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aveExternalLinkValues="0" updateLinks="never" codeName="ThisWorkbook"/>
  <bookViews>
    <workbookView xWindow="-105" yWindow="1350" windowWidth="15390" windowHeight="7875" tabRatio="919"/>
  </bookViews>
  <sheets>
    <sheet name="ImportantDisclosures" sheetId="623" r:id="rId1"/>
    <sheet name="CircularReferenceAlert" sheetId="626" r:id="rId2"/>
    <sheet name="Cover" sheetId="572" r:id="rId3"/>
    <sheet name="Model" sheetId="25" r:id="rId4"/>
    <sheet name="MW-Cache" sheetId="554" state="veryHidden" r:id="rId5"/>
    <sheet name="Summary" sheetId="617" r:id="rId6"/>
    <sheet name="US Retail" sheetId="571" r:id="rId7"/>
    <sheet name="International Retail" sheetId="607" r:id="rId8"/>
    <sheet name="International Wholesale" sheetId="613" r:id="rId9"/>
    <sheet name="Debt" sheetId="611" r:id="rId10"/>
    <sheet name="Guidance" sheetId="614" r:id="rId11"/>
    <sheet name="Scenarios" sheetId="559" r:id="rId12"/>
    <sheet name="IndexInformation" sheetId="624" r:id="rId13"/>
    <sheet name="ModPubIndex" sheetId="625" r:id="rId14"/>
    <sheet name="__FDSCACHE__" sheetId="562" state="veryHidden" r:id="rId15"/>
  </sheets>
  <externalReferences>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s>
  <definedNames>
    <definedName name="__ASM2">{9}</definedName>
    <definedName name="__FDS_HYPERLINK_TOGGLE_STATE__" hidden="1">"ON"</definedName>
    <definedName name="__FDS_UNIQUE_RANGE_ID_GENERATOR_COUNTER" hidden="1">1</definedName>
    <definedName name="_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0.210959&amp;VAR:V=12.695783&amp;VAR:V0=13.047982&amp;VAR:V1=11.531567&amp;VAR:Y0=2011&amp;VAR:Y1=2012&amp;VAR:P=1279.204993&amp;VAR:DATE=20110318&amp;VAR:THRESH=-|-|","-|-|-|-|-"}</definedName>
    <definedName name="_10__FDSAUDITLINK__" hidden="1">{"fdsup://directions/FAT%20Viewer?VAR:TM=NTMA&amp;VAR:PCT=0.402740&amp;VAR:Y0=2010&amp;VAR:Y1=2011&amp;VAR:V0=13.409862&amp;VAR:V1=11.621548&amp;VAR:V=12.281152&amp;VAR:AUDIT_ID=00000117&amp;VAR:DATE=20100806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Aggregates&amp;VAR:MEASURE=PE_MEAN&amp;VAR:CALC_MODE=PORTFOLIO&amp;VAR:CHGPERIOD=NA&amp;VAR:FQLFORMULA=FMA_PE&amp;VAR:CURRENCY=USD&amp;VAR:P=1","121.641914&amp;VAR:THRESH=||||||&amp;VAR:null=.html"}</definedName>
    <definedName name="_100__FDSAUDITLINK__" hidden="1">{"fdsup://directions/FAT%20Viewer?VAR:TM=NTMA&amp;VAR:PCT=0.128415&amp;VAR:Y0=2008&amp;VAR:Y1=2009&amp;VAR:V0=11.356012&amp;VAR:V1=10.045893&amp;VAR:V=10.196961&amp;VAR:AUDIT_ID=00000117&amp;VAR:DATE=20081114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Aggregates&amp;VAR:MEASURE=PE_MEAN&amp;VAR:CALC_MODE=PORTFOLIO&amp;VAR:CHGPERIOD=NA&amp;VAR:FQLFORMULA=FMA_PE&amp;VAR:CURRENCY=USD&amp;VAR:P=8","73.291209&amp;VAR:THRESH=||||||&amp;VAR:null=.html"}</definedName>
    <definedName name="_1000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1001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1002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1003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1004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1005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1006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1007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1008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1009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101__FDSAUDITLINK__" hidden="1">{"fdsup://directions/FAT%20Viewer?VAR:TM=NTMA&amp;VAR:PCT=0.147541&amp;VAR:Y0=2008&amp;VAR:Y1=2009&amp;VAR:V0=11.860899&amp;VAR:V1=10.486725&amp;VAR:V=10.669100&amp;VAR:AUDIT_ID=00000117&amp;VAR:DATE=20081107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Aggregates&amp;VAR:MEASURE=PE_MEAN&amp;VAR:CALC_MODE=PORTFOLIO&amp;VAR:CHGPERIOD=NA&amp;VAR:FQLFORMULA=FMA_PE&amp;VAR:CURRENCY=USD&amp;VAR:P=9","30.992881&amp;VAR:THRESH=||||||&amp;VAR:null=.html"}</definedName>
    <definedName name="_1010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1011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1012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1013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1014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1015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1016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1017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1018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1019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102__FDSAUDITLINK__" hidden="1">{"fdsup://directions/FAT%20Viewer?VAR:TM=NTMA&amp;VAR:PCT=0.166667&amp;VAR:Y0=2008&amp;VAR:Y1=2009&amp;VAR:V0=12.235438&amp;VAR:V1=10.699897&amp;VAR:V=10.928483&amp;VAR:AUDIT_ID=00000117&amp;VAR:DATE=20081031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Aggregates&amp;VAR:MEASURE=PE_MEAN&amp;VAR:CALC_MODE=PORTFOLIO&amp;VAR:CHGPERIOD=NA&amp;VAR:FQLFORMULA=FMA_PE&amp;VAR:CURRENCY=USD&amp;VAR:P=9","68.753800&amp;VAR:THRESH=||||||&amp;VAR:null=.html"}</definedName>
    <definedName name="_1020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1021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1022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1023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1024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1025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1026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1027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1028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1029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103__FDSAUDITLINK__" hidden="1">{"fdsup://directions/FAT%20Viewer?VAR:TM=NTMA&amp;VAR:PCT=0.185792&amp;VAR:Y0=2008&amp;VAR:Y1=2009&amp;VAR:V0=11.002497&amp;VAR:V1=9.431371&amp;VAR:V=9.688411&amp;VAR:AUDIT_ID=00000117&amp;VAR:DATE=20081024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Aggregates&amp;VAR:MEASURE=PE_MEAN&amp;VAR:CALC_MODE=PORTFOLIO&amp;VAR:CHGPERIOD=NA&amp;VAR:FQLFORMULA=FMA_PE&amp;VAR:CURRENCY=USD&amp;VAR:P=876",".769600&amp;VAR:THRESH=||||||&amp;VAR:null=.html"}</definedName>
    <definedName name="_1030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1031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1032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1033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1034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1035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1036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1037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1038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1039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104__FDSAUDITLINK__" hidden="1">{"fdsup://directions/FAT%20Viewer?VAR:TM=NTMA&amp;VAR:PCT=0.204918&amp;VAR:Y0=2008&amp;VAR:Y1=2009&amp;VAR:V0=11.652285&amp;VAR:V1=9.759586&amp;VAR:V=10.095620&amp;VAR:AUDIT_ID=00000117&amp;VAR:DATE=20081017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Aggregates&amp;VAR:MEASURE=PE_MEAN&amp;VAR:CALC_MODE=PORTFOLIO&amp;VAR:CHGPERIOD=NA&amp;VAR:FQLFORMULA=FMA_PE&amp;VAR:CURRENCY=USD&amp;VAR:P=94","0.552000&amp;VAR:THRESH=||||||&amp;VAR:null=.html"}</definedName>
    <definedName name="_1040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1041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1042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1043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1044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1045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1046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1047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1048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1049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105__FDSAUDITLINK__" hidden="1">{"fdsup://directions/FAT%20Viewer?VAR:TM=NTMA&amp;VAR:PCT=0.224044&amp;VAR:Y0=2008&amp;VAR:Y1=2009&amp;VAR:V0=10.975668&amp;VAR:V1=9.104337&amp;VAR:V=9.465926&amp;VAR:AUDIT_ID=00000117&amp;VAR:DATE=20081010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Aggregates&amp;VAR:MEASURE=PE_MEAN&amp;VAR:CALC_MODE=PORTFOLIO&amp;VAR:CHGPERIOD=NA&amp;VAR:FQLFORMULA=FMA_PE&amp;VAR:CURRENCY=USD&amp;VAR:P=899",".216300&amp;VAR:THRESH=||||||&amp;VAR:null=.html"}</definedName>
    <definedName name="_1050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1051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1052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1053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1054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1055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1056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1057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1058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1059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106__FDSAUDITLINK__" hidden="1">{"fdsup://directions/FAT%20Viewer?VAR:TM=NTMA&amp;VAR:PCT=0.243169&amp;VAR:Y0=2008&amp;VAR:Y1=2009&amp;VAR:V0=13.204147&amp;VAR:V1=10.858740&amp;VAR:V=11.348939&amp;VAR:AUDIT_ID=00000117&amp;VAR:DATE=20081003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Aggregates&amp;VAR:MEASURE=PE_MEAN&amp;VAR:CALC_MODE=PORTFOLIO&amp;VAR:CHGPERIOD=NA&amp;VAR:FQLFORMULA=FMA_PE&amp;VAR:CURRENCY=USD&amp;VAR:P=1","099.233800&amp;VAR:THRESH=||||||&amp;VAR:null=.html"}</definedName>
    <definedName name="_1060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1061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1062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1063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1064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1065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1066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1067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1068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1069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107__FDSAUDITLINK__" hidden="1">{"fdsup://directions/FAT%20Viewer?VAR:TM=NTMA&amp;VAR:PCT=0.262295&amp;VAR:Y0=2008&amp;VAR:Y1=2009&amp;VAR:V0=14.580833&amp;VAR:V1=11.794031&amp;VAR:V=12.416493&amp;VAR:AUDIT_ID=00000117&amp;VAR:DATE=20080926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Aggregates&amp;VAR:MEASURE=PE_MEAN&amp;VAR:CALC_MODE=PORTFOLIO&amp;VAR:CHGPERIOD=NA&amp;VAR:FQLFORMULA=FMA_PE&amp;VAR:CURRENCY=USD&amp;VAR:P=1","213.012800&amp;VAR:THRESH=||||||&amp;VAR:null=.html"}</definedName>
    <definedName name="_1070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1071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1072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1073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1074__FDSAUDITLINK__" hidden="1">{"fdsup://directions/FAT Viewer?action=UPDATE&amp;creator=factset&amp;DYN_ARGS=TRUE&amp;DOC_NAME=FAT:FQL_AUDITING_CLIENT_TEMPLATE.FAT&amp;display_string=Audit&amp;VAR:KEY=PODEFWZGFS&amp;VAR:QUERY=RkZfUkRfRVhQKENBTCwzOTQ0NywsLCwp&amp;WINDOW=FIRST_POPUP&amp;HEIGHT=450&amp;WIDTH=450&amp;START_MAXIMI","ZED=FALSE&amp;VAR:CALENDAR=US&amp;VAR:SYMBOL=BIIB&amp;VAR:INDEX=0"}</definedName>
    <definedName name="_1075__FDSAUDITLINK__" hidden="1">{"fdsup://directions/FAT Viewer?action=UPDATE&amp;creator=factset&amp;DYN_ARGS=TRUE&amp;DOC_NAME=FAT:FQL_AUDITING_CLIENT_TEMPLATE.FAT&amp;display_string=Audit&amp;VAR:KEY=HQFYRGDOJS&amp;VAR:QUERY=RkZfUkRfRVhQKENBTCwzOTA4MiwsLCwp&amp;WINDOW=FIRST_POPUP&amp;HEIGHT=450&amp;WIDTH=450&amp;START_MAXIMI","ZED=FALSE&amp;VAR:CALENDAR=US&amp;VAR:SYMBOL=BIIB&amp;VAR:INDEX=0"}</definedName>
    <definedName name="_1076__FDSAUDITLINK__" hidden="1">{"fdsup://directions/FAT Viewer?action=UPDATE&amp;creator=factset&amp;DYN_ARGS=TRUE&amp;DOC_NAME=FAT:FQL_AUDITING_CLIENT_TEMPLATE.FAT&amp;display_string=Audit&amp;VAR:KEY=BWLKBKRSNC&amp;VAR:QUERY=RkZfUkRfRVhQKENBTCwzODcxNywsLCwp&amp;WINDOW=FIRST_POPUP&amp;HEIGHT=450&amp;WIDTH=450&amp;START_MAXIMI","ZED=FALSE&amp;VAR:CALENDAR=US&amp;VAR:SYMBOL=BIIB&amp;VAR:INDEX=0"}</definedName>
    <definedName name="_1077__FDSAUDITLINK__" hidden="1">{"fdsup://directions/FAT Viewer?action=UPDATE&amp;creator=factset&amp;DYN_ARGS=TRUE&amp;DOC_NAME=FAT:FQL_AUDITING_CLIENT_TEMPLATE.FAT&amp;display_string=Audit&amp;VAR:KEY=NCJCPSJUJA&amp;VAR:QUERY=RkZfUkRfRVhQKENBTCwzODM1MiwsLCwp&amp;WINDOW=FIRST_POPUP&amp;HEIGHT=450&amp;WIDTH=450&amp;START_MAXIMI","ZED=FALSE&amp;VAR:CALENDAR=US&amp;VAR:SYMBOL=BIIB&amp;VAR:INDEX=0"}</definedName>
    <definedName name="_1078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1079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108__FDSAUDITLINK__" hidden="1">{"fdsup://directions/FAT%20Viewer?VAR:TM=NTMA&amp;VAR:PCT=0.281421&amp;VAR:Y0=2008&amp;VAR:Y1=2009&amp;VAR:V0=14.902310&amp;VAR:V1=11.990616&amp;VAR:V=12.688288&amp;VAR:AUDIT_ID=00000117&amp;VAR:DATE=20080919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Aggregates&amp;VAR:MEASURE=PE_MEAN&amp;VAR:CALC_MODE=PORTFOLIO&amp;VAR:CHGPERIOD=NA&amp;VAR:FQLFORMULA=FMA_PE&amp;VAR:CURRENCY=USD&amp;VAR:P=1","255.075200&amp;VAR:THRESH=||||||&amp;VAR:null=.html"}</definedName>
    <definedName name="_1080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1081__FDSAUDITLINK__" hidden="1">{"fdsup://directions/FAT Viewer?action=UPDATE&amp;creator=factset&amp;DYN_ARGS=TRUE&amp;DOC_NAME=FAT:FQL_AUDITING_CLIENT_TEMPLATE.FAT&amp;display_string=Audit&amp;VAR:KEY=BQVALCNUXY&amp;VAR:QUERY=RkZfUkRfRVhQKENBTCwzOTQ0NywsLCwp&amp;WINDOW=FIRST_POPUP&amp;HEIGHT=450&amp;WIDTH=450&amp;START_MAXIMI","ZED=FALSE&amp;VAR:CALENDAR=US&amp;VAR:SYMBOL=707752&amp;VAR:INDEX=0"}</definedName>
    <definedName name="_1082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1083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1084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1085__FDSAUDITLINK__" hidden="1">{"fdsup://directions/FAT Viewer?action=UPDATE&amp;creator=factset&amp;DYN_ARGS=TRUE&amp;DOC_NAME=FAT:FQL_AUDITING_CLIENT_TEMPLATE.FAT&amp;display_string=Audit&amp;VAR:KEY=VYJCJQLQHW&amp;VAR:QUERY=RkZfUkRfRVhQKENBTCwzOTQ0NywsLCwp&amp;WINDOW=FIRST_POPUP&amp;HEIGHT=450&amp;WIDTH=450&amp;START_MAXIMI","ZED=FALSE&amp;VAR:CALENDAR=US&amp;VAR:SYMBOL=630720&amp;VAR:INDEX=0"}</definedName>
    <definedName name="_1086__FDSAUDITLINK__" hidden="1">{"fdsup://directions/FAT Viewer?action=UPDATE&amp;creator=factset&amp;DYN_ARGS=TRUE&amp;DOC_NAME=FAT:FQL_AUDITING_CLIENT_TEMPLATE.FAT&amp;display_string=Audit&amp;VAR:KEY=TUBQTARIDK&amp;VAR:QUERY=RkZfUkRfRVhQKENBTCwzOTA4MiwsLCwp&amp;WINDOW=FIRST_POPUP&amp;HEIGHT=450&amp;WIDTH=450&amp;START_MAXIMI","ZED=FALSE&amp;VAR:CALENDAR=US&amp;VAR:SYMBOL=630720&amp;VAR:INDEX=0"}</definedName>
    <definedName name="_1087__FDSAUDITLINK__" hidden="1">{"fdsup://directions/FAT Viewer?action=UPDATE&amp;creator=factset&amp;DYN_ARGS=TRUE&amp;DOC_NAME=FAT:FQL_AUDITING_CLIENT_TEMPLATE.FAT&amp;display_string=Audit&amp;VAR:KEY=TEDCLSDYNM&amp;VAR:QUERY=RkZfUkRfRVhQKENBTCwzODcxNywsLCwp&amp;WINDOW=FIRST_POPUP&amp;HEIGHT=450&amp;WIDTH=450&amp;START_MAXIMI","ZED=FALSE&amp;VAR:CALENDAR=US&amp;VAR:SYMBOL=630720&amp;VAR:INDEX=0"}</definedName>
    <definedName name="_1088__FDSAUDITLINK__" hidden="1">{"fdsup://directions/FAT Viewer?action=UPDATE&amp;creator=factset&amp;DYN_ARGS=TRUE&amp;DOC_NAME=FAT:FQL_AUDITING_CLIENT_TEMPLATE.FAT&amp;display_string=Audit&amp;VAR:KEY=HWBSXSJUJE&amp;VAR:QUERY=RkZfUkRfRVhQKENBTCwzODM1MiwsLCwp&amp;WINDOW=FIRST_POPUP&amp;HEIGHT=450&amp;WIDTH=450&amp;START_MAXIMI","ZED=FALSE&amp;VAR:CALENDAR=US&amp;VAR:SYMBOL=630720&amp;VAR:INDEX=0"}</definedName>
    <definedName name="_1089__FDSAUDITLINK__" hidden="1">{"fdsup://directions/FAT Viewer?action=UPDATE&amp;creator=factset&amp;DYN_ARGS=TRUE&amp;DOC_NAME=FAT:FQL_AUDITING_CLIENT_TEMPLATE.FAT&amp;display_string=Audit&amp;VAR:KEY=NOFYHOLEJE&amp;VAR:QUERY=RkZfUkRfRVhQKENBTCwzNzk4NiwsLCwp&amp;WINDOW=FIRST_POPUP&amp;HEIGHT=450&amp;WIDTH=450&amp;START_MAXIMI","ZED=FALSE&amp;VAR:CALENDAR=US&amp;VAR:SYMBOL=630720&amp;VAR:INDEX=0"}</definedName>
    <definedName name="_109__FDSAUDITLINK__" hidden="1">{"fdsup://directions/FAT%20Viewer?VAR:TM=NTMA&amp;VAR:PCT=0.300546&amp;VAR:Y0=2008&amp;VAR:Y1=2009&amp;VAR:V0=14.947059&amp;VAR:V1=11.880196&amp;VAR:V=12.660954&amp;VAR:AUDIT_ID=00000117&amp;VAR:DATE=20080912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Aggregates&amp;VAR:MEASURE=PE_MEAN&amp;VAR:CALC_MODE=PORTFOLIO&amp;VAR:CHGPERIOD=NA&amp;VAR:FQLFORMULA=FMA_PE&amp;VAR:CURRENCY=USD&amp;VAR:P=1","251.700900&amp;VAR:THRESH=||||||&amp;VAR:null=.html"}</definedName>
    <definedName name="_1090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1091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1092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1093__FDSAUDITLINK__" hidden="1">{"fdsup://directions/FAT Viewer?action=UPDATE&amp;creator=factset&amp;DYN_ARGS=TRUE&amp;DOC_NAME=FAT:FQL_AUDITING_CLIENT_TEMPLATE.FAT&amp;display_string=Audit&amp;VAR:KEY=DSRAFCZODS&amp;VAR:QUERY=RkZfUkRfRVhQKENBTCwzOTQ0NywsLCwp&amp;WINDOW=FIRST_POPUP&amp;HEIGHT=450&amp;WIDTH=450&amp;START_MAXIMI","ZED=FALSE&amp;VAR:CALENDAR=US&amp;VAR:SYMBOL=698538&amp;VAR:INDEX=0"}</definedName>
    <definedName name="_1094__FDSAUDITLINK__" hidden="1">{"fdsup://directions/FAT Viewer?action=UPDATE&amp;creator=factset&amp;DYN_ARGS=TRUE&amp;DOC_NAME=FAT:FQL_AUDITING_CLIENT_TEMPLATE.FAT&amp;display_string=Audit&amp;VAR:KEY=FODYBQZGBW&amp;VAR:QUERY=RkZfUkRfRVhQKENBTCwzOTA4MiwsLCwp&amp;WINDOW=FIRST_POPUP&amp;HEIGHT=450&amp;WIDTH=450&amp;START_MAXIMI","ZED=FALSE&amp;VAR:CALENDAR=US&amp;VAR:SYMBOL=698538&amp;VAR:INDEX=0"}</definedName>
    <definedName name="_1095__FDSAUDITLINK__" hidden="1">{"fdsup://directions/FAT Viewer?action=UPDATE&amp;creator=factset&amp;DYN_ARGS=TRUE&amp;DOC_NAME=FAT:FQL_AUDITING_CLIENT_TEMPLATE.FAT&amp;display_string=Audit&amp;VAR:KEY=LMDOJUJATK&amp;VAR:QUERY=RkZfUkRfRVhQKENBTCwzODcxNywsLCwp&amp;WINDOW=FIRST_POPUP&amp;HEIGHT=450&amp;WIDTH=450&amp;START_MAXIMI","ZED=FALSE&amp;VAR:CALENDAR=US&amp;VAR:SYMBOL=698538&amp;VAR:INDEX=0"}</definedName>
    <definedName name="_1096__FDSAUDITLINK__" hidden="1">{"fdsup://directions/FAT Viewer?action=UPDATE&amp;creator=factset&amp;DYN_ARGS=TRUE&amp;DOC_NAME=FAT:FQL_AUDITING_CLIENT_TEMPLATE.FAT&amp;display_string=Audit&amp;VAR:KEY=BCDOVGLIHM&amp;VAR:QUERY=RkZfUkRfRVhQKENBTCwzODM1MiwsLCwp&amp;WINDOW=FIRST_POPUP&amp;HEIGHT=450&amp;WIDTH=450&amp;START_MAXIMI","ZED=FALSE&amp;VAR:CALENDAR=US&amp;VAR:SYMBOL=698538&amp;VAR:INDEX=0"}</definedName>
    <definedName name="_1097__FDSAUDITLINK__" hidden="1">{"fdsup://directions/FAT Viewer?action=UPDATE&amp;creator=factset&amp;DYN_ARGS=TRUE&amp;DOC_NAME=FAT:FQL_AUDITING_CLIENT_TEMPLATE.FAT&amp;display_string=Audit&amp;VAR:KEY=VAVSHGNKLS&amp;VAR:QUERY=RkZfUkRfRVhQKENBTCwzNzk4NiwsLCwp&amp;WINDOW=FIRST_POPUP&amp;HEIGHT=450&amp;WIDTH=450&amp;START_MAXIMI","ZED=FALSE&amp;VAR:CALENDAR=US&amp;VAR:SYMBOL=698538&amp;VAR:INDEX=0"}</definedName>
    <definedName name="_1098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1099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11__FDSAUDITLINK__" hidden="1">{"fdsup://directions/FAT%20Viewer?VAR:TM=NTMA&amp;VAR:PCT=0.421918&amp;VAR:Y0=2010&amp;VAR:Y1=2011&amp;VAR:V0=13.175007&amp;VAR:V1=11.421184&amp;VAR:V=12.100822&amp;VAR:AUDIT_ID=00000117&amp;VAR:DATE=20100730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Aggregates&amp;VAR:MEASURE=PE_MEAN&amp;VAR:CALC_MODE=PORTFOLIO&amp;VAR:CHGPERIOD=NA&amp;VAR:FQLFORMULA=FMA_PE&amp;VAR:CURRENCY=USD&amp;VAR:P=1","101.597352&amp;VAR:THRESH=||||||&amp;VAR:null=.html"}</definedName>
    <definedName name="_110__FDSAUDITLINK__" hidden="1">{"fdsup://directions/FAT%20Viewer?VAR:TM=NTMA&amp;VAR:PCT=0.319672&amp;VAR:Y0=2008&amp;VAR:Y1=2009&amp;VAR:V0=14.877785&amp;VAR:V1=11.766944&amp;VAR:V=12.609798&amp;VAR:AUDIT_ID=00000117&amp;VAR:DATE=20080905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Aggregates&amp;VAR:MEASURE=PE_MEAN&amp;VAR:CALC_MODE=PORTFOLIO&amp;VAR:CHGPERIOD=NA&amp;VAR:FQLFORMULA=FMA_PE&amp;VAR:CURRENCY=USD&amp;VAR:P=1","242.314300&amp;VAR:THRESH=||||||&amp;VAR:null=.html"}</definedName>
    <definedName name="_1100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1101__FDSAUDITLINK__" hidden="1">{"fdsup://directions/FAT Viewer?action=UPDATE&amp;creator=factset&amp;DYN_ARGS=TRUE&amp;DOC_NAME=FAT:FQL_AUDITING_CLIENT_TEMPLATE.FAT&amp;display_string=Audit&amp;VAR:KEY=DQXADMHEVC&amp;VAR:QUERY=RkZfUkRfRVhQKENBTCw0MDE3OCwsLCxKUFkp&amp;WINDOW=FIRST_POPUP&amp;HEIGHT=450&amp;WIDTH=450&amp;START_MA","XIMIZED=FALSE&amp;VAR:CALENDAR=US&amp;VAR:SYMBOL=B0J7D9&amp;VAR:INDEX=0"}</definedName>
    <definedName name="_1102__FDSAUDITLINK__" hidden="1">{"fdsup://directions/FAT Viewer?action=UPDATE&amp;creator=factset&amp;DYN_ARGS=TRUE&amp;DOC_NAME=FAT:FQL_AUDITING_CLIENT_TEMPLATE.FAT&amp;display_string=Audit&amp;VAR:KEY=TOLORIHYHO&amp;VAR:QUERY=RkZfUkRfRVhQKENBTCwzOTgxMywsLCxKUFkp&amp;WINDOW=FIRST_POPUP&amp;HEIGHT=450&amp;WIDTH=450&amp;START_MA","XIMIZED=FALSE&amp;VAR:CALENDAR=US&amp;VAR:SYMBOL=B0J7D9&amp;VAR:INDEX=0"}</definedName>
    <definedName name="_1103__FDSAUDITLINK__" hidden="1">{"fdsup://directions/FAT Viewer?action=UPDATE&amp;creator=factset&amp;DYN_ARGS=TRUE&amp;DOC_NAME=FAT:FQL_AUDITING_CLIENT_TEMPLATE.FAT&amp;display_string=Audit&amp;VAR:KEY=JOZMPGZMJM&amp;VAR:QUERY=RkZfUkRfRVhQKENBTCwzOTQ0NywsLCxKUFkp&amp;WINDOW=FIRST_POPUP&amp;HEIGHT=450&amp;WIDTH=450&amp;START_MA","XIMIZED=FALSE&amp;VAR:CALENDAR=US&amp;VAR:SYMBOL=B0J7D9&amp;VAR:INDEX=0"}</definedName>
    <definedName name="_1104__FDSAUDITLINK__" hidden="1">{"fdsup://directions/FAT Viewer?action=UPDATE&amp;creator=factset&amp;DYN_ARGS=TRUE&amp;DOC_NAME=FAT:FQL_AUDITING_CLIENT_TEMPLATE.FAT&amp;display_string=Audit&amp;VAR:KEY=NABIRCXULI&amp;VAR:QUERY=RkZfUkRfRVhQKENBTCwzOTA4MiwsLCxKUFkp&amp;WINDOW=FIRST_POPUP&amp;HEIGHT=450&amp;WIDTH=450&amp;START_MA","XIMIZED=FALSE&amp;VAR:CALENDAR=US&amp;VAR:SYMBOL=B0J7D9&amp;VAR:INDEX=0"}</definedName>
    <definedName name="_1105__FDSAUDITLINK__" hidden="1">{"fdsup://directions/FAT Viewer?action=UPDATE&amp;creator=factset&amp;DYN_ARGS=TRUE&amp;DOC_NAME=FAT:FQL_AUDITING_CLIENT_TEMPLATE.FAT&amp;display_string=Audit&amp;VAR:KEY=PKNSHOFKFO&amp;VAR:QUERY=RkZfUkRfRVhQKENBTCwzODcxNywsLCxKUFkp&amp;WINDOW=FIRST_POPUP&amp;HEIGHT=450&amp;WIDTH=450&amp;START_MA","XIMIZED=FALSE&amp;VAR:CALENDAR=US&amp;VAR:SYMBOL=B0J7D9&amp;VAR:INDEX=0"}</definedName>
    <definedName name="_1106__FDSAUDITLINK__" hidden="1">{"fdsup://directions/FAT Viewer?action=UPDATE&amp;creator=factset&amp;DYN_ARGS=TRUE&amp;DOC_NAME=FAT:FQL_AUDITING_CLIENT_TEMPLATE.FAT&amp;display_string=Audit&amp;VAR:KEY=TEXUHKRIJS&amp;VAR:QUERY=RkZfUkRfRVhQKENBTCwzODM1MiwsLCxKUFkp&amp;WINDOW=FIRST_POPUP&amp;HEIGHT=450&amp;WIDTH=450&amp;START_MA","XIMIZED=FALSE&amp;VAR:CALENDAR=US&amp;VAR:SYMBOL=B0J7D9&amp;VAR:INDEX=0"}</definedName>
    <definedName name="_1107__FDSAUDITLINK__" hidden="1">{"fdsup://directions/FAT Viewer?action=UPDATE&amp;creator=factset&amp;DYN_ARGS=TRUE&amp;DOC_NAME=FAT:FQL_AUDITING_CLIENT_TEMPLATE.FAT&amp;display_string=Audit&amp;VAR:KEY=BMDYTORIHY&amp;VAR:QUERY=RkZfUkRfRVhQKENBTCwzNzk4NiwsLCxKUFkp&amp;WINDOW=FIRST_POPUP&amp;HEIGHT=450&amp;WIDTH=450&amp;START_MA","XIMIZED=FALSE&amp;VAR:CALENDAR=US&amp;VAR:SYMBOL=B0J7D9&amp;VAR:INDEX=0"}</definedName>
    <definedName name="_1108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1109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111__FDSAUDITLINK__" hidden="1">{"fdsup://directions/FAT%20Viewer?VAR:TM=NTMA&amp;VAR:PCT=0.338798&amp;VAR:Y0=2008&amp;VAR:Y1=2009&amp;VAR:V0=15.296804&amp;VAR:V1=12.113071&amp;VAR:V=13.032013&amp;VAR:AUDIT_ID=00000117&amp;VAR:DATE=20080829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Aggregates&amp;VAR:MEASURE=PE_MEAN&amp;VAR:CALC_MODE=PORTFOLIO&amp;VAR:CHGPERIOD=NA&amp;VAR:FQLFORMULA=FMA_PE&amp;VAR:CURRENCY=USD&amp;VAR:P=1","282.828000&amp;VAR:THRESH=||||||&amp;VAR:null=.html"}</definedName>
    <definedName name="_1110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1111__FDSAUDITLINK__" hidden="1">{"fdsup://directions/FAT Viewer?action=UPDATE&amp;creator=factset&amp;DYN_ARGS=TRUE&amp;DOC_NAME=FAT:FQL_AUDITING_CLIENT_TEMPLATE.FAT&amp;display_string=Audit&amp;VAR:KEY=JGFKDSPYPQ&amp;VAR:QUERY=RkZfUkRfRVhQKENBTCwzOTQ0NywsLCwp&amp;WINDOW=FIRST_POPUP&amp;HEIGHT=450&amp;WIDTH=450&amp;START_MAXIMI","ZED=FALSE&amp;VAR:CALENDAR=US&amp;VAR:SYMBOL=AMGN&amp;VAR:INDEX=0"}</definedName>
    <definedName name="_1112__FDSAUDITLINK__" hidden="1">{"fdsup://directions/FAT Viewer?action=UPDATE&amp;creator=factset&amp;DYN_ARGS=TRUE&amp;DOC_NAME=FAT:FQL_AUDITING_CLIENT_TEMPLATE.FAT&amp;display_string=Audit&amp;VAR:KEY=PITSZWZGJQ&amp;VAR:QUERY=RkZfUkRfRVhQKENBTCwzOTA4MiwsLCwp&amp;WINDOW=FIRST_POPUP&amp;HEIGHT=450&amp;WIDTH=450&amp;START_MAXIMI","ZED=FALSE&amp;VAR:CALENDAR=US&amp;VAR:SYMBOL=AMGN&amp;VAR:INDEX=0"}</definedName>
    <definedName name="_1113__FDSAUDITLINK__" hidden="1">{"fdsup://directions/FAT Viewer?action=UPDATE&amp;creator=factset&amp;DYN_ARGS=TRUE&amp;DOC_NAME=FAT:FQL_AUDITING_CLIENT_TEMPLATE.FAT&amp;display_string=Audit&amp;VAR:KEY=HKBWVOJSHI&amp;VAR:QUERY=RkZfUkRfRVhQKENBTCwzODcxNywsLCwp&amp;WINDOW=FIRST_POPUP&amp;HEIGHT=450&amp;WIDTH=450&amp;START_MAXIMI","ZED=FALSE&amp;VAR:CALENDAR=US&amp;VAR:SYMBOL=AMGN&amp;VAR:INDEX=0"}</definedName>
    <definedName name="_1114__FDSAUDITLINK__" hidden="1">{"fdsup://directions/FAT Viewer?action=UPDATE&amp;creator=factset&amp;DYN_ARGS=TRUE&amp;DOC_NAME=FAT:FQL_AUDITING_CLIENT_TEMPLATE.FAT&amp;display_string=Audit&amp;VAR:KEY=TUHABOXUJS&amp;VAR:QUERY=RkZfUkRfRVhQKENBTCwzODM1MiwsLCwp&amp;WINDOW=FIRST_POPUP&amp;HEIGHT=450&amp;WIDTH=450&amp;START_MAXIMI","ZED=FALSE&amp;VAR:CALENDAR=US&amp;VAR:SYMBOL=AMGN&amp;VAR:INDEX=0"}</definedName>
    <definedName name="_1115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1116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1117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1118__FDSAUDITLINK__" hidden="1">{"fdsup://directions/FAT Viewer?action=UPDATE&amp;creator=factset&amp;DYN_ARGS=TRUE&amp;DOC_NAME=FAT:FQL_AUDITING_CLIENT_TEMPLATE.FAT&amp;display_string=Audit&amp;VAR:KEY=FSDQDMTKFI&amp;VAR:QUERY=RkZfUkRfRVhQKENBTCwzOTQ0NywsLCwp&amp;WINDOW=FIRST_POPUP&amp;HEIGHT=450&amp;WIDTH=450&amp;START_MAXIMI","ZED=FALSE&amp;VAR:CALENDAR=US&amp;VAR:SYMBOL=ABT&amp;VAR:INDEX=0"}</definedName>
    <definedName name="_1119__FDSAUDITLINK__" hidden="1">{"fdsup://directions/FAT Viewer?action=UPDATE&amp;creator=factset&amp;DYN_ARGS=TRUE&amp;DOC_NAME=FAT:FQL_AUDITING_CLIENT_TEMPLATE.FAT&amp;display_string=Audit&amp;VAR:KEY=DKXQFUXYNQ&amp;VAR:QUERY=RkZfUkRfRVhQKENBTCwzOTA4MiwsLCwp&amp;WINDOW=FIRST_POPUP&amp;HEIGHT=450&amp;WIDTH=450&amp;START_MAXIMI","ZED=FALSE&amp;VAR:CALENDAR=US&amp;VAR:SYMBOL=ABT&amp;VAR:INDEX=0"}</definedName>
    <definedName name="_112__FDSAUDITLINK__" hidden="1">{"fdsup://directions/FAT%20Viewer?VAR:TM=NTMA&amp;VAR:PCT=0.357923&amp;VAR:Y0=2008&amp;VAR:Y1=2009&amp;VAR:V0=15.350265&amp;VAR:V1=12.196554&amp;VAR:V=13.164619&amp;VAR:AUDIT_ID=00000117&amp;VAR:DATE=20080822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Aggregates&amp;VAR:MEASURE=PE_MEAN&amp;VAR:CALC_MODE=PORTFOLIO&amp;VAR:CHGPERIOD=NA&amp;VAR:FQLFORMULA=FMA_PE&amp;VAR:CURRENCY=USD&amp;VAR:P=1","292.195900&amp;VAR:THRESH=||||||&amp;VAR:null=.html"}</definedName>
    <definedName name="_1120__FDSAUDITLINK__" hidden="1">{"fdsup://directions/FAT Viewer?action=UPDATE&amp;creator=factset&amp;DYN_ARGS=TRUE&amp;DOC_NAME=FAT:FQL_AUDITING_CLIENT_TEMPLATE.FAT&amp;display_string=Audit&amp;VAR:KEY=DCTAJGPGHM&amp;VAR:QUERY=RkZfUkRfRVhQKENBTCwzODcxNywsLCwp&amp;WINDOW=FIRST_POPUP&amp;HEIGHT=450&amp;WIDTH=450&amp;START_MAXIMI","ZED=FALSE&amp;VAR:CALENDAR=US&amp;VAR:SYMBOL=ABT&amp;VAR:INDEX=0"}</definedName>
    <definedName name="_1121__FDSAUDITLINK__" hidden="1">{"fdsup://directions/FAT Viewer?action=UPDATE&amp;creator=factset&amp;DYN_ARGS=TRUE&amp;DOC_NAME=FAT:FQL_AUDITING_CLIENT_TEMPLATE.FAT&amp;display_string=Audit&amp;VAR:KEY=DWROLQJYRO&amp;VAR:QUERY=RkZfUkRfRVhQKENBTCwzODM1MiwsLCwp&amp;WINDOW=FIRST_POPUP&amp;HEIGHT=450&amp;WIDTH=450&amp;START_MAXIMI","ZED=FALSE&amp;VAR:CALENDAR=US&amp;VAR:SYMBOL=ABT&amp;VAR:INDEX=0"}</definedName>
    <definedName name="_1122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1123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1124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1125__FDSAUDITLINK__" hidden="1">{"fdsup://directions/FAT Viewer?action=UPDATE&amp;creator=factset&amp;DYN_ARGS=TRUE&amp;DOC_NAME=FAT:FQL_AUDITING_CLIENT_TEMPLATE.FAT&amp;display_string=Audit&amp;VAR:KEY=RSBIBMVATE&amp;VAR:QUERY=RkZfUkRfRVhQKENBTCwzOTQ0NywsLCwp&amp;WINDOW=FIRST_POPUP&amp;HEIGHT=450&amp;WIDTH=450&amp;START_MAXIMI","ZED=FALSE&amp;VAR:CALENDAR=US&amp;VAR:SYMBOL=687044&amp;VAR:INDEX=0"}</definedName>
    <definedName name="_1126__FDSAUDITLINK__" hidden="1">{"fdsup://directions/FAT Viewer?action=UPDATE&amp;creator=factset&amp;DYN_ARGS=TRUE&amp;DOC_NAME=FAT:FQL_AUDITING_CLIENT_TEMPLATE.FAT&amp;display_string=Audit&amp;VAR:KEY=BMBQFCROBS&amp;VAR:QUERY=RkZfUkRfRVhQKENBTCwzOTA4MiwsLCwp&amp;WINDOW=FIRST_POPUP&amp;HEIGHT=450&amp;WIDTH=450&amp;START_MAXIMI","ZED=FALSE&amp;VAR:CALENDAR=US&amp;VAR:SYMBOL=687044&amp;VAR:INDEX=0"}</definedName>
    <definedName name="_1127__FDSAUDITLINK__" hidden="1">{"fdsup://directions/FAT Viewer?action=UPDATE&amp;creator=factset&amp;DYN_ARGS=TRUE&amp;DOC_NAME=FAT:FQL_AUDITING_CLIENT_TEMPLATE.FAT&amp;display_string=Audit&amp;VAR:KEY=PSVODMRWBK&amp;VAR:QUERY=RkZfUkRfRVhQKENBTCwzODcxNywsLCwp&amp;WINDOW=FIRST_POPUP&amp;HEIGHT=450&amp;WIDTH=450&amp;START_MAXIMI","ZED=FALSE&amp;VAR:CALENDAR=US&amp;VAR:SYMBOL=687044&amp;VAR:INDEX=0"}</definedName>
    <definedName name="_1128__FDSAUDITLINK__" hidden="1">{"fdsup://directions/FAT Viewer?action=UPDATE&amp;creator=factset&amp;DYN_ARGS=TRUE&amp;DOC_NAME=FAT:FQL_AUDITING_CLIENT_TEMPLATE.FAT&amp;display_string=Audit&amp;VAR:KEY=XETOTYBIDC&amp;VAR:QUERY=RkZfUkRfRVhQKENBTCwzODM1MiwsLCwp&amp;WINDOW=FIRST_POPUP&amp;HEIGHT=450&amp;WIDTH=450&amp;START_MAXIMI","ZED=FALSE&amp;VAR:CALENDAR=US&amp;VAR:SYMBOL=687044&amp;VAR:INDEX=0"}</definedName>
    <definedName name="_1129__FDSAUDITLINK__" hidden="1">{"fdsup://directions/FAT Viewer?action=UPDATE&amp;creator=factset&amp;DYN_ARGS=TRUE&amp;DOC_NAME=FAT:FQL_AUDITING_CLIENT_TEMPLATE.FAT&amp;display_string=Audit&amp;VAR:KEY=ZYDGDSXIPY&amp;VAR:QUERY=RkZfUkRfRVhQKENBTCwzNzk4NiwsLCwp&amp;WINDOW=FIRST_POPUP&amp;HEIGHT=450&amp;WIDTH=450&amp;START_MAXIMI","ZED=FALSE&amp;VAR:CALENDAR=US&amp;VAR:SYMBOL=687044&amp;VAR:INDEX=0"}</definedName>
    <definedName name="_113__FDSAUDITLINK__" hidden="1">{"fdsup://directions/FAT%20Viewer?VAR:TM=NTMA&amp;VAR:PCT=0.377049&amp;VAR:Y0=2008&amp;VAR:Y1=2009&amp;VAR:V0=15.340875&amp;VAR:V1=12.229587&amp;VAR:V=13.242212&amp;VAR:AUDIT_ID=00000117&amp;VAR:DATE=20080815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Aggregates&amp;VAR:MEASURE=PE_MEAN&amp;VAR:CALC_MODE=PORTFOLIO&amp;VAR:CHGPERIOD=NA&amp;VAR:FQLFORMULA=FMA_PE&amp;VAR:CURRENCY=USD&amp;VAR:P=1","298.199600&amp;VAR:THRESH=||||||&amp;VAR:null=.html"}</definedName>
    <definedName name="_1130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1131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1132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1133__FDSAUDITLINK__" hidden="1">{"fdsup://directions/FAT Viewer?action=UPDATE&amp;creator=factset&amp;DYN_ARGS=TRUE&amp;DOC_NAME=FAT:FQL_AUDITING_CLIENT_TEMPLATE.FAT&amp;display_string=Audit&amp;VAR:KEY=RSXSPYNOFE&amp;VAR:QUERY=RkZfUkRfRVhQKENBTCwzOTQ0NywsLCwp&amp;WINDOW=FIRST_POPUP&amp;HEIGHT=450&amp;WIDTH=450&amp;START_MAXIMI","ZED=FALSE&amp;VAR:CALENDAR=US&amp;VAR:SYMBOL=BMY&amp;VAR:INDEX=0"}</definedName>
    <definedName name="_1134__FDSAUDITLINK__" hidden="1">{"fdsup://directions/FAT Viewer?action=UPDATE&amp;creator=factset&amp;DYN_ARGS=TRUE&amp;DOC_NAME=FAT:FQL_AUDITING_CLIENT_TEMPLATE.FAT&amp;display_string=Audit&amp;VAR:KEY=LKDOVYBADY&amp;VAR:QUERY=RkZfUkRfRVhQKENBTCwzOTA4MiwsLCwp&amp;WINDOW=FIRST_POPUP&amp;HEIGHT=450&amp;WIDTH=450&amp;START_MAXIMI","ZED=FALSE&amp;VAR:CALENDAR=US&amp;VAR:SYMBOL=BMY&amp;VAR:INDEX=0"}</definedName>
    <definedName name="_1135__FDSAUDITLINK__" hidden="1">{"fdsup://directions/FAT Viewer?action=UPDATE&amp;creator=factset&amp;DYN_ARGS=TRUE&amp;DOC_NAME=FAT:FQL_AUDITING_CLIENT_TEMPLATE.FAT&amp;display_string=Audit&amp;VAR:KEY=LQFUHMHSHG&amp;VAR:QUERY=RkZfUkRfRVhQKENBTCwzODcxNywsLCwp&amp;WINDOW=FIRST_POPUP&amp;HEIGHT=450&amp;WIDTH=450&amp;START_MAXIMI","ZED=FALSE&amp;VAR:CALENDAR=US&amp;VAR:SYMBOL=BMY&amp;VAR:INDEX=0"}</definedName>
    <definedName name="_1136__FDSAUDITLINK__" hidden="1">{"fdsup://directions/FAT Viewer?action=UPDATE&amp;creator=factset&amp;DYN_ARGS=TRUE&amp;DOC_NAME=FAT:FQL_AUDITING_CLIENT_TEMPLATE.FAT&amp;display_string=Audit&amp;VAR:KEY=FQBKHMBUDK&amp;VAR:QUERY=RkZfUkRfRVhQKENBTCwzODM1MiwsLCwp&amp;WINDOW=FIRST_POPUP&amp;HEIGHT=450&amp;WIDTH=450&amp;START_MAXIMI","ZED=FALSE&amp;VAR:CALENDAR=US&amp;VAR:SYMBOL=BMY&amp;VAR:INDEX=0"}</definedName>
    <definedName name="_1137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1138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1139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114__FDSAUDITLINK__" hidden="1">{"fdsup://directions/FAT%20Viewer?VAR:TM=NTMA&amp;VAR:PCT=0.396175&amp;VAR:Y0=2008&amp;VAR:Y1=2009&amp;VAR:V0=15.205429&amp;VAR:V1=12.154830&amp;VAR:V=13.204349&amp;VAR:AUDIT_ID=00000117&amp;VAR:DATE=20080808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Aggregates&amp;VAR:MEASURE=PE_MEAN&amp;VAR:CALC_MODE=PORTFOLIO&amp;VAR:CHGPERIOD=NA&amp;VAR:FQLFORMULA=FMA_PE&amp;VAR:CURRENCY=USD&amp;VAR:P=1","296.322100&amp;VAR:THRESH=||||||&amp;VAR:null=.html"}</definedName>
    <definedName name="_1140__FDSAUDITLINK__" hidden="1">{"fdsup://directions/FAT Viewer?action=UPDATE&amp;creator=factset&amp;DYN_ARGS=TRUE&amp;DOC_NAME=FAT:FQL_AUDITING_CLIENT_TEMPLATE.FAT&amp;display_string=Audit&amp;VAR:KEY=HEPKDCHMJW&amp;VAR:QUERY=RkZfUkRfRVhQKENBTCwzOTQ0NywsLCwp&amp;WINDOW=FIRST_POPUP&amp;HEIGHT=450&amp;WIDTH=450&amp;START_MAXIMI","ZED=FALSE&amp;VAR:CALENDAR=US&amp;VAR:SYMBOL=LLY&amp;VAR:INDEX=0"}</definedName>
    <definedName name="_1141__FDSAUDITLINK__" hidden="1">{"fdsup://directions/FAT Viewer?action=UPDATE&amp;creator=factset&amp;DYN_ARGS=TRUE&amp;DOC_NAME=FAT:FQL_AUDITING_CLIENT_TEMPLATE.FAT&amp;display_string=Audit&amp;VAR:KEY=FENANCDSZW&amp;VAR:QUERY=RkZfUkRfRVhQKENBTCwzOTA4MiwsLCwp&amp;WINDOW=FIRST_POPUP&amp;HEIGHT=450&amp;WIDTH=450&amp;START_MAXIMI","ZED=FALSE&amp;VAR:CALENDAR=US&amp;VAR:SYMBOL=LLY&amp;VAR:INDEX=0"}</definedName>
    <definedName name="_1142__FDSAUDITLINK__" hidden="1">{"fdsup://directions/FAT Viewer?action=UPDATE&amp;creator=factset&amp;DYN_ARGS=TRUE&amp;DOC_NAME=FAT:FQL_AUDITING_CLIENT_TEMPLATE.FAT&amp;display_string=Audit&amp;VAR:KEY=BUFUPIJOPY&amp;VAR:QUERY=RkZfUkRfRVhQKENBTCwzODcxNywsLCwp&amp;WINDOW=FIRST_POPUP&amp;HEIGHT=450&amp;WIDTH=450&amp;START_MAXIMI","ZED=FALSE&amp;VAR:CALENDAR=US&amp;VAR:SYMBOL=LLY&amp;VAR:INDEX=0"}</definedName>
    <definedName name="_1143__FDSAUDITLINK__" hidden="1">{"fdsup://directions/FAT Viewer?action=UPDATE&amp;creator=factset&amp;DYN_ARGS=TRUE&amp;DOC_NAME=FAT:FQL_AUDITING_CLIENT_TEMPLATE.FAT&amp;display_string=Audit&amp;VAR:KEY=FITARQDYHC&amp;VAR:QUERY=RkZfUkRfRVhQKENBTCwzODM1MiwsLCwp&amp;WINDOW=FIRST_POPUP&amp;HEIGHT=450&amp;WIDTH=450&amp;START_MAXIMI","ZED=FALSE&amp;VAR:CALENDAR=US&amp;VAR:SYMBOL=LLY&amp;VAR:INDEX=0"}</definedName>
    <definedName name="_1144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1145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1146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1147__FDSAUDITLINK__" hidden="1">{"fdsup://directions/FAT Viewer?action=UPDATE&amp;creator=factset&amp;DYN_ARGS=TRUE&amp;DOC_NAME=FAT:FQL_AUDITING_CLIENT_TEMPLATE.FAT&amp;display_string=Audit&amp;VAR:KEY=RWDWLABEJW&amp;VAR:QUERY=RkZfUkRfRVhQKENBTCwzOTQ0NywsLCwp&amp;WINDOW=FIRST_POPUP&amp;HEIGHT=450&amp;WIDTH=450&amp;START_MAXIMI","ZED=FALSE&amp;VAR:CALENDAR=US&amp;VAR:SYMBOL=506921&amp;VAR:INDEX=0"}</definedName>
    <definedName name="_1148__FDSAUDITLINK__" hidden="1">{"fdsup://directions/FAT Viewer?action=UPDATE&amp;creator=factset&amp;DYN_ARGS=TRUE&amp;DOC_NAME=FAT:FQL_AUDITING_CLIENT_TEMPLATE.FAT&amp;display_string=Audit&amp;VAR:KEY=FGJCBIHEHA&amp;VAR:QUERY=RkZfUkRfRVhQKENBTCwzOTA4MiwsLCwp&amp;WINDOW=FIRST_POPUP&amp;HEIGHT=450&amp;WIDTH=450&amp;START_MAXIMI","ZED=FALSE&amp;VAR:CALENDAR=US&amp;VAR:SYMBOL=506921&amp;VAR:INDEX=0"}</definedName>
    <definedName name="_1149__FDSAUDITLINK__" hidden="1">{"fdsup://directions/FAT Viewer?action=UPDATE&amp;creator=factset&amp;DYN_ARGS=TRUE&amp;DOC_NAME=FAT:FQL_AUDITING_CLIENT_TEMPLATE.FAT&amp;display_string=Audit&amp;VAR:KEY=BYZCRITIBW&amp;VAR:QUERY=RkZfUkRfRVhQKENBTCwzODcxNywsLCwp&amp;WINDOW=FIRST_POPUP&amp;HEIGHT=450&amp;WIDTH=450&amp;START_MAXIMI","ZED=FALSE&amp;VAR:CALENDAR=US&amp;VAR:SYMBOL=506921&amp;VAR:INDEX=0"}</definedName>
    <definedName name="_115__FDSAUDITLINK__" hidden="1">{"fdsup://directions/FAT%20Viewer?VAR:TM=NTMA&amp;VAR:PCT=0.415301&amp;VAR:Y0=2008&amp;VAR:Y1=2009&amp;VAR:V0=14.518974&amp;VAR:V1=11.753660&amp;VAR:V=12.763218&amp;VAR:AUDIT_ID=00000117&amp;VAR:DATE=20080801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Aggregates&amp;VAR:MEASURE=PE_MEAN&amp;VAR:CALC_MODE=PORTFOLIO&amp;VAR:CHGPERIOD=NA&amp;VAR:FQLFORMULA=FMA_PE&amp;VAR:CURRENCY=USD&amp;VAR:P=1","260.313800&amp;VAR:THRESH=||||||&amp;VAR:null=.html"}</definedName>
    <definedName name="_1150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1151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1152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1153__FDSAUDITLINK__" hidden="1">{"fdsup://directions/FAT Viewer?action=UPDATE&amp;creator=factset&amp;DYN_ARGS=TRUE&amp;DOC_NAME=FAT:FQL_AUDITING_CLIENT_TEMPLATE.FAT&amp;display_string=Audit&amp;VAR:KEY=RWLEDIBETI&amp;VAR:QUERY=RkZfUkRfRVhQKENBTCwzOTQ0NywsLCwp&amp;WINDOW=FIRST_POPUP&amp;HEIGHT=450&amp;WIDTH=450&amp;START_MAXIMI","ZED=FALSE&amp;VAR:CALENDAR=US&amp;VAR:SYMBOL=567173&amp;VAR:INDEX=0"}</definedName>
    <definedName name="_1154__FDSAUDITLINK__" hidden="1">{"fdsup://directions/FAT Viewer?action=UPDATE&amp;creator=factset&amp;DYN_ARGS=TRUE&amp;DOC_NAME=FAT:FQL_AUDITING_CLIENT_TEMPLATE.FAT&amp;display_string=Audit&amp;VAR:KEY=VWPMVGBIVA&amp;VAR:QUERY=RkZfUkRfRVhQKENBTCwzOTA4MiwsLCwp&amp;WINDOW=FIRST_POPUP&amp;HEIGHT=450&amp;WIDTH=450&amp;START_MAXIMI","ZED=FALSE&amp;VAR:CALENDAR=US&amp;VAR:SYMBOL=567173&amp;VAR:INDEX=0"}</definedName>
    <definedName name="_1155__FDSAUDITLINK__" hidden="1">{"fdsup://directions/FAT Viewer?action=UPDATE&amp;creator=factset&amp;DYN_ARGS=TRUE&amp;DOC_NAME=FAT:FQL_AUDITING_CLIENT_TEMPLATE.FAT&amp;display_string=Audit&amp;VAR:KEY=ZGNEJWTYPU&amp;VAR:QUERY=RkZfUkRfRVhQKENBTCwzODcxNywsLCwp&amp;WINDOW=FIRST_POPUP&amp;HEIGHT=450&amp;WIDTH=450&amp;START_MAXIMI","ZED=FALSE&amp;VAR:CALENDAR=US&amp;VAR:SYMBOL=567173&amp;VAR:INDEX=0"}</definedName>
    <definedName name="_1156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1157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1158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1159__FDSAUDITLINK__" hidden="1">{"fdsup://directions/FAT Viewer?action=UPDATE&amp;creator=factset&amp;DYN_ARGS=TRUE&amp;DOC_NAME=FAT:FQL_AUDITING_CLIENT_TEMPLATE.FAT&amp;display_string=Audit&amp;VAR:KEY=FYLUREVORG&amp;VAR:QUERY=RkZfUkRfRVhQKENBTCwzOTQ0NywsLCwp&amp;WINDOW=FIRST_POPUP&amp;HEIGHT=450&amp;WIDTH=450&amp;START_MAXIMI","ZED=FALSE&amp;VAR:CALENDAR=US&amp;VAR:SYMBOL=JNJ&amp;VAR:INDEX=0"}</definedName>
    <definedName name="_116__FDSAUDITLINK__" hidden="1">{"fdsup://directions/FAT%20Viewer?VAR:TM=NTMA&amp;VAR:PCT=0.434426&amp;VAR:Y0=2008&amp;VAR:Y1=2009&amp;VAR:V0=14.306991&amp;VAR:V1=11.694990&amp;VAR:V=12.702452&amp;VAR:AUDIT_ID=00000117&amp;VAR:DATE=20080725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Aggregates&amp;VAR:MEASURE=PE_MEAN&amp;VAR:CALC_MODE=PORTFOLIO&amp;VAR:CHGPERIOD=NA&amp;VAR:FQLFORMULA=FMA_PE&amp;VAR:CURRENCY=USD&amp;VAR:P=1","257.763900&amp;VAR:THRESH=||||||&amp;VAR:null=.html"}</definedName>
    <definedName name="_1160__FDSAUDITLINK__" hidden="1">{"fdsup://directions/FAT Viewer?action=UPDATE&amp;creator=factset&amp;DYN_ARGS=TRUE&amp;DOC_NAME=FAT:FQL_AUDITING_CLIENT_TEMPLATE.FAT&amp;display_string=Audit&amp;VAR:KEY=BUPWHWVEFO&amp;VAR:QUERY=RkZfUkRfRVhQKENBTCwzOTA4MiwsLCwp&amp;WINDOW=FIRST_POPUP&amp;HEIGHT=450&amp;WIDTH=450&amp;START_MAXIMI","ZED=FALSE&amp;VAR:CALENDAR=US&amp;VAR:SYMBOL=JNJ&amp;VAR:INDEX=0"}</definedName>
    <definedName name="_1161__FDSAUDITLINK__" hidden="1">{"fdsup://directions/FAT Viewer?action=UPDATE&amp;creator=factset&amp;DYN_ARGS=TRUE&amp;DOC_NAME=FAT:FQL_AUDITING_CLIENT_TEMPLATE.FAT&amp;display_string=Audit&amp;VAR:KEY=BIZGFAZSLE&amp;VAR:QUERY=RkZfUkRfRVhQKENBTCwzODcxNywsLCwp&amp;WINDOW=FIRST_POPUP&amp;HEIGHT=450&amp;WIDTH=450&amp;START_MAXIMI","ZED=FALSE&amp;VAR:CALENDAR=US&amp;VAR:SYMBOL=JNJ&amp;VAR:INDEX=0"}</definedName>
    <definedName name="_1162__FDSAUDITLINK__" hidden="1">{"fdsup://directions/FAT Viewer?action=UPDATE&amp;creator=factset&amp;DYN_ARGS=TRUE&amp;DOC_NAME=FAT:FQL_AUDITING_CLIENT_TEMPLATE.FAT&amp;display_string=Audit&amp;VAR:KEY=FQZEXGVUHG&amp;VAR:QUERY=RkZfUkRfRVhQKENBTCwzODM1MiwsLCwp&amp;WINDOW=FIRST_POPUP&amp;HEIGHT=450&amp;WIDTH=450&amp;START_MAXIMI","ZED=FALSE&amp;VAR:CALENDAR=US&amp;VAR:SYMBOL=JNJ&amp;VAR:INDEX=0"}</definedName>
    <definedName name="_1163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1164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1165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1166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1167__FDSAUDITLINK__" hidden="1">{"fdsup://directions/FAT Viewer?action=UPDATE&amp;creator=factset&amp;DYN_ARGS=TRUE&amp;DOC_NAME=FAT:FQL_AUDITING_CLIENT_TEMPLATE.FAT&amp;display_string=Audit&amp;VAR:KEY=BAPYPCNOVG&amp;VAR:QUERY=RkZfUkRfRVhQKENBTCwzOTA4MiwsLCwp&amp;WINDOW=FIRST_POPUP&amp;HEIGHT=450&amp;WIDTH=450&amp;START_MAXIMI","ZED=FALSE&amp;VAR:CALENDAR=US&amp;VAR:SYMBOL=710306&amp;VAR:INDEX=0"}</definedName>
    <definedName name="_1168__FDSAUDITLINK__" hidden="1">{"fdsup://directions/FAT Viewer?action=UPDATE&amp;creator=factset&amp;DYN_ARGS=TRUE&amp;DOC_NAME=FAT:FQL_AUDITING_CLIENT_TEMPLATE.FAT&amp;display_string=Audit&amp;VAR:KEY=VKXURALSNK&amp;VAR:QUERY=RkZfUkRfRVhQKENBTCwzODcxNywsLCwp&amp;WINDOW=FIRST_POPUP&amp;HEIGHT=450&amp;WIDTH=450&amp;START_MAXIMI","ZED=FALSE&amp;VAR:CALENDAR=US&amp;VAR:SYMBOL=710306&amp;VAR:INDEX=0"}</definedName>
    <definedName name="_1169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117__FDSAUDITLINK__" hidden="1">{"fdsup://directions/FAT%20Viewer?VAR:TM=NTMA&amp;VAR:PCT=0.453552&amp;VAR:Y0=2008&amp;VAR:Y1=2009&amp;VAR:V0=14.183054&amp;VAR:V1=11.657250&amp;VAR:V=12.681555&amp;VAR:AUDIT_ID=00000117&amp;VAR:DATE=20080718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Aggregates&amp;VAR:MEASURE=PE_MEAN&amp;VAR:CALC_MODE=PORTFOLIO&amp;VAR:CHGPERIOD=NA&amp;VAR:FQLFORMULA=FMA_PE&amp;VAR:CURRENCY=USD&amp;VAR:P=1","260.682400&amp;VAR:THRESH=||||||&amp;VAR:null=.html"}</definedName>
    <definedName name="_1170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1171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1172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1173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1174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1175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1176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1177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1178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1179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118__FDSAUDITLINK__" hidden="1">{"fdsup://directions/FAT%20Viewer?VAR:TM=NTMA&amp;VAR:PCT=0.472678&amp;VAR:Y0=2008&amp;VAR:Y1=2009&amp;VAR:V0=13.758374&amp;VAR:V1=11.381942&amp;VAR:V=12.393821&amp;VAR:AUDIT_ID=00000117&amp;VAR:DATE=20080711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Aggregates&amp;VAR:MEASURE=PE_MEAN&amp;VAR:CALC_MODE=PORTFOLIO&amp;VAR:CHGPERIOD=NA&amp;VAR:FQLFORMULA=FMA_PE&amp;VAR:CURRENCY=USD&amp;VAR:P=1","239.489600&amp;VAR:THRESH=||||||&amp;VAR:null=.html"}</definedName>
    <definedName name="_1180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1181__FDSAUDITLINK__" hidden="1">{"fdsup://directions/FAT Viewer?action=UPDATE&amp;creator=factset&amp;DYN_ARGS=TRUE&amp;DOC_NAME=FAT:FQL_AUDITING_CLIENT_TEMPLATE.FAT&amp;display_string=Audit&amp;VAR:KEY=LSNMLEBONA&amp;VAR:QUERY=RkZfUkRfRVhQKENBTCwzOTQ0NywsLCwp&amp;WINDOW=FIRST_POPUP&amp;HEIGHT=450&amp;WIDTH=450&amp;START_MAXIMI","ZED=FALSE&amp;VAR:CALENDAR=US&amp;VAR:SYMBOL=MRK&amp;VAR:INDEX=0"}</definedName>
    <definedName name="_1182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1183__FDSAUDITLINK__" hidden="1">{"fdsup://directions/FAT Viewer?action=UPDATE&amp;creator=factset&amp;DYN_ARGS=TRUE&amp;DOC_NAME=FAT:FQL_AUDITING_CLIENT_TEMPLATE.FAT&amp;display_string=Audit&amp;VAR:KEY=NMHYXIZERM&amp;VAR:QUERY=RkZfUkRfRVhQKENBTCwzOTA4MiwsLCwp&amp;WINDOW=FIRST_POPUP&amp;HEIGHT=450&amp;WIDTH=450&amp;START_MAXIMI","ZED=FALSE&amp;VAR:CALENDAR=US&amp;VAR:SYMBOL=MRK&amp;VAR:INDEX=0"}</definedName>
    <definedName name="_1184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1185__FDSAUDITLINK__" hidden="1">{"fdsup://directions/FAT Viewer?action=UPDATE&amp;creator=factset&amp;DYN_ARGS=TRUE&amp;DOC_NAME=FAT:FQL_AUDITING_CLIENT_TEMPLATE.FAT&amp;display_string=Audit&amp;VAR:KEY=HIHQXGPWVE&amp;VAR:QUERY=RkZfUkRfRVhQKENBTCwzODcxNywsLCwp&amp;WINDOW=FIRST_POPUP&amp;HEIGHT=450&amp;WIDTH=450&amp;START_MAXIMI","ZED=FALSE&amp;VAR:CALENDAR=US&amp;VAR:SYMBOL=MRK&amp;VAR:INDEX=0"}</definedName>
    <definedName name="_1186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1187__FDSAUDITLINK__" hidden="1">{"fdsup://directions/FAT Viewer?action=UPDATE&amp;creator=factset&amp;DYN_ARGS=TRUE&amp;DOC_NAME=FAT:FQL_AUDITING_CLIENT_TEMPLATE.FAT&amp;display_string=Audit&amp;VAR:KEY=BILIDIROZO&amp;VAR:QUERY=RkZfUkRfRVhQKENBTCwzODM1MiwsLCwp&amp;WINDOW=FIRST_POPUP&amp;HEIGHT=450&amp;WIDTH=450&amp;START_MAXIMI","ZED=FALSE&amp;VAR:CALENDAR=US&amp;VAR:SYMBOL=MRK&amp;VAR:INDEX=0"}</definedName>
    <definedName name="_1188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1189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119__FDSAUDITLINK__" hidden="1">{"fdsup://directions/FAT%20Viewer?VAR:TM=NTMA&amp;VAR:PCT=0.494536&amp;VAR:Y0=2008&amp;VAR:Y1=2009&amp;VAR:V0=13.893942&amp;VAR:V1=11.579941&amp;VAR:V=12.619314&amp;VAR:AUDIT_ID=00000117&amp;VAR:DATE=20080703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Aggregates&amp;VAR:MEASURE=PE_MEAN&amp;VAR:CALC_MODE=PORTFOLIO&amp;VAR:CHGPERIOD=NA&amp;VAR:FQLFORMULA=FMA_PE&amp;VAR:CURRENCY=USD&amp;VAR:P=1","262.897200&amp;VAR:THRESH=||||||&amp;VAR:null=.html"}</definedName>
    <definedName name="_1190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1191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1192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1193__FDSAUDITLINK__" hidden="1">{"fdsup://directions/FAT Viewer?action=UPDATE&amp;creator=factset&amp;DYN_ARGS=TRUE&amp;DOC_NAME=FAT:FQL_AUDITING_CLIENT_TEMPLATE.FAT&amp;display_string=Audit&amp;VAR:KEY=TEDKTITIXA&amp;VAR:QUERY=RkZfUkRfRVhQKENBTCwzOTQ0NywsLCwp&amp;WINDOW=FIRST_POPUP&amp;HEIGHT=450&amp;WIDTH=450&amp;START_MAXIMI","ZED=FALSE&amp;VAR:CALENDAR=US&amp;VAR:SYMBOL=PFE&amp;VAR:INDEX=0"}</definedName>
    <definedName name="_1194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1195__FDSAUDITLINK__" hidden="1">{"fdsup://directions/FAT Viewer?action=UPDATE&amp;creator=factset&amp;DYN_ARGS=TRUE&amp;DOC_NAME=FAT:FQL_AUDITING_CLIENT_TEMPLATE.FAT&amp;display_string=Audit&amp;VAR:KEY=VOPUPSJQLI&amp;VAR:QUERY=RkZfUkRfRVhQKENBTCwzOTA4MiwsLCwp&amp;WINDOW=FIRST_POPUP&amp;HEIGHT=450&amp;WIDTH=450&amp;START_MAXIMI","ZED=FALSE&amp;VAR:CALENDAR=US&amp;VAR:SYMBOL=PFE&amp;VAR:INDEX=0"}</definedName>
    <definedName name="_1196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1197__FDSAUDITLINK__" hidden="1">{"fdsup://directions/FAT Viewer?action=UPDATE&amp;creator=factset&amp;DYN_ARGS=TRUE&amp;DOC_NAME=FAT:FQL_AUDITING_CLIENT_TEMPLATE.FAT&amp;display_string=Audit&amp;VAR:KEY=DUZANORCZM&amp;VAR:QUERY=RkZfUkRfRVhQKENBTCwzODcxNywsLCwp&amp;WINDOW=FIRST_POPUP&amp;HEIGHT=450&amp;WIDTH=450&amp;START_MAXIMI","ZED=FALSE&amp;VAR:CALENDAR=US&amp;VAR:SYMBOL=PFE&amp;VAR:INDEX=0"}</definedName>
    <definedName name="_1198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1199__FDSAUDITLINK__" hidden="1">{"fdsup://directions/FAT Viewer?action=UPDATE&amp;creator=factset&amp;DYN_ARGS=TRUE&amp;DOC_NAME=FAT:FQL_AUDITING_CLIENT_TEMPLATE.FAT&amp;display_string=Audit&amp;VAR:KEY=BETMVWVSBG&amp;VAR:QUERY=RkZfUkRfRVhQKENBTCwzODM1MiwsLCwp&amp;WINDOW=FIRST_POPUP&amp;HEIGHT=450&amp;WIDTH=450&amp;START_MAXIMI","ZED=FALSE&amp;VAR:CALENDAR=US&amp;VAR:SYMBOL=PFE&amp;VAR:INDEX=0"}</definedName>
    <definedName name="_12__FDSAUDITLINK__" hidden="1">{"fdsup://directions/FAT%20Viewer?VAR:TM=NTMA&amp;VAR:PCT=0.441096&amp;VAR:Y0=2010&amp;VAR:Y1=2011&amp;VAR:V0=13.240406&amp;VAR:V1=11.424023&amp;VAR:V=12.159835&amp;VAR:AUDIT_ID=00000117&amp;VAR:DATE=20100723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Aggregates&amp;VAR:MEASURE=PE_MEAN&amp;VAR:CALC_MODE=PORTFOLIO&amp;VAR:CHGPERIOD=NA&amp;VAR:FQLFORMULA=FMA_PE&amp;VAR:CURRENCY=USD&amp;VAR:P=1","102.658226&amp;VAR:THRESH=||||||&amp;VAR:null=.html"}</definedName>
    <definedName name="_120__FDSAUDITLINK__" hidden="1">{"fdsup://directions/FAT%20Viewer?VAR:TM=NTMA&amp;VAR:PCT=0.510929&amp;VAR:Y0=2008&amp;VAR:Y1=2009&amp;VAR:V0=14.002363&amp;VAR:V1=11.638854&amp;VAR:V=12.737342&amp;VAR:AUDIT_ID=00000117&amp;VAR:DATE=20080627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Aggregates&amp;VAR:MEASURE=PE_MEAN&amp;VAR:CALC_MODE=PORTFOLIO&amp;VAR:CHGPERIOD=NA&amp;VAR:FQLFORMULA=FMA_PE&amp;VAR:CURRENCY=USD&amp;VAR:P=1","278.375400&amp;VAR:THRESH=||||||&amp;VAR:null=.html"}</definedName>
    <definedName name="_1200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1201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1202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1203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1204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1205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1206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1207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1208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1209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121__FDSAUDITLINK__" hidden="1">{"fdsup://directions/FAT%20Viewer?VAR:TM=NTMA&amp;VAR:PCT=0.530055&amp;VAR:Y0=2008&amp;VAR:Y1=2009&amp;VAR:V0=14.385699&amp;VAR:V1=12.055146&amp;VAR:V=13.187582&amp;VAR:AUDIT_ID=00000117&amp;VAR:DATE=20080620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Aggregates&amp;VAR:MEASURE=PE_MEAN&amp;VAR:CALC_MODE=PORTFOLIO&amp;VAR:CHGPERIOD=NA&amp;VAR:FQLFORMULA=FMA_PE&amp;VAR:CURRENCY=USD&amp;VAR:P=1","317.925900&amp;VAR:THRESH=||||||&amp;VAR:null=.html"}</definedName>
    <definedName name="_1210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1211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1212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1213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1214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1215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1216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1217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1218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1219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122__FDSAUDITLINK__" hidden="1">{"fdsup://directions/FAT%20Viewer?VAR:TM=NTMA&amp;VAR:PCT=0.549180&amp;VAR:Y0=2008&amp;VAR:Y1=2009&amp;VAR:V0=14.785577&amp;VAR:V1=12.406878&amp;VAR:V=13.609285&amp;VAR:AUDIT_ID=00000117&amp;VAR:DATE=20080613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Aggregates&amp;VAR:MEASURE=PE_MEAN&amp;VAR:CALC_MODE=PORTFOLIO&amp;VAR:CHGPERIOD=NA&amp;VAR:FQLFORMULA=FMA_PE&amp;VAR:CURRENCY=USD&amp;VAR:P=1","360.029000&amp;VAR:THRESH=||||||&amp;VAR:null=.html"}</definedName>
    <definedName name="_1220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1221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1222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1223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1224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1225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1226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1227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1228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1229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123__FDSAUDITLINK__" hidden="1">{"fdsup://directions/FAT%20Viewer?VAR:TM=NTMA&amp;VAR:PCT=0.568306&amp;VAR:Y0=2008&amp;VAR:Y1=2009&amp;VAR:V0=14.697715&amp;VAR:V1=12.379170&amp;VAR:V=13.598246&amp;VAR:AUDIT_ID=00000117&amp;VAR:DATE=20080606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Aggregates&amp;VAR:MEASURE=PE_MEAN&amp;VAR:CALC_MODE=PORTFOLIO&amp;VAR:CHGPERIOD=NA&amp;VAR:FQLFORMULA=FMA_PE&amp;VAR:CURRENCY=USD&amp;VAR:P=1","360.678300&amp;VAR:THRESH=||||||&amp;VAR:null=.html"}</definedName>
    <definedName name="_1230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1231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1232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1233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1234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1235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1236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1237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1238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1239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124__FDSAUDITLINK__" hidden="1">{"fdsup://directions/FAT%20Viewer?VAR:TM=NTMA&amp;VAR:PCT=0.587432&amp;VAR:Y0=2008&amp;VAR:Y1=2009&amp;VAR:V0=15.139003&amp;VAR:V1=12.739188&amp;VAR:V=14.047253&amp;VAR:AUDIT_ID=00000117&amp;VAR:DATE=20080530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Aggregates&amp;VAR:MEASURE=PE_MEAN&amp;VAR:CALC_MODE=PORTFOLIO&amp;VAR:CHGPERIOD=NA&amp;VAR:FQLFORMULA=FMA_PE&amp;VAR:CURRENCY=USD&amp;VAR:P=1","400.376700&amp;VAR:THRESH=||||||&amp;VAR:null=.html"}</definedName>
    <definedName name="_1240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1241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1242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1243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1244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1245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1246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1247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1248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1249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125__FDSAUDITLINK__" hidden="1">{"fdsup://directions/FAT%20Viewer?VAR:TM=NTMA&amp;VAR:PCT=0.606557&amp;VAR:Y0=2008&amp;VAR:Y1=2009&amp;VAR:V0=14.881182&amp;VAR:V1=12.504257&amp;VAR:V=13.845675&amp;VAR:AUDIT_ID=00000117&amp;VAR:DATE=20080523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Aggregates&amp;VAR:MEASURE=PE_MEAN&amp;VAR:CALC_MODE=PORTFOLIO&amp;VAR:CHGPERIOD=NA&amp;VAR:FQLFORMULA=FMA_PE&amp;VAR:CURRENCY=USD&amp;VAR:P=1","375.931900&amp;VAR:THRESH=||||||&amp;VAR:null=.html"}</definedName>
    <definedName name="_1250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1251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1252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1253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1254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1255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1256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1257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1258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1259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126__FDSAUDITLINK__" hidden="1">{"fdsup://directions/FAT%20Viewer?VAR:TM=NTMA&amp;VAR:PCT=0.625683&amp;VAR:Y0=2008&amp;VAR:Y1=2009&amp;VAR:V0=15.374222&amp;VAR:V1=12.951777&amp;VAR:V=14.368289&amp;VAR:AUDIT_ID=00000117&amp;VAR:DATE=20080516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Aggregates&amp;VAR:MEASURE=PE_MEAN&amp;VAR:CALC_MODE=PORTFOLIO&amp;VAR:CHGPERIOD=NA&amp;VAR:FQLFORMULA=FMA_PE&amp;VAR:CURRENCY=USD&amp;VAR:P=1","425.346600&amp;VAR:THRESH=||||||&amp;VAR:null=.html"}</definedName>
    <definedName name="_1260__FDSAUDITLINK__" hidden="1">{"fdsup://directions/FAT Viewer?action=UPDATE&amp;creator=factset&amp;DYN_ARGS=TRUE&amp;DOC_NAME=FAT:FQL_AUDITING_CLIENT_TEMPLATE.FAT&amp;display_string=Audit&amp;VAR:KEY=LYPQBETAZS&amp;VAR:QUERY=RkZfU0FMRVMoQ0FMLDM5NDQ3LCwsLCk=&amp;WINDOW=FIRST_POPUP&amp;HEIGHT=450&amp;WIDTH=450&amp;START_MAXIMI","ZED=FALSE&amp;VAR:CALENDAR=US&amp;VAR:SYMBOL=BIIB&amp;VAR:INDEX=0"}</definedName>
    <definedName name="_1261__FDSAUDITLINK__" hidden="1">{"fdsup://directions/FAT Viewer?action=UPDATE&amp;creator=factset&amp;DYN_ARGS=TRUE&amp;DOC_NAME=FAT:FQL_AUDITING_CLIENT_TEMPLATE.FAT&amp;display_string=Audit&amp;VAR:KEY=ZELAFGHURE&amp;VAR:QUERY=RkZfU0FMRVMoQ0FMLDM5MDgyLCwsLCk=&amp;WINDOW=FIRST_POPUP&amp;HEIGHT=450&amp;WIDTH=450&amp;START_MAXIMI","ZED=FALSE&amp;VAR:CALENDAR=US&amp;VAR:SYMBOL=BIIB&amp;VAR:INDEX=0"}</definedName>
    <definedName name="_1262__FDSAUDITLINK__" hidden="1">{"fdsup://directions/FAT Viewer?action=UPDATE&amp;creator=factset&amp;DYN_ARGS=TRUE&amp;DOC_NAME=FAT:FQL_AUDITING_CLIENT_TEMPLATE.FAT&amp;display_string=Audit&amp;VAR:KEY=JEJEDARGZU&amp;VAR:QUERY=RkZfU0FMRVMoQ0FMLDM4NzE3LCwsLCk=&amp;WINDOW=FIRST_POPUP&amp;HEIGHT=450&amp;WIDTH=450&amp;START_MAXIMI","ZED=FALSE&amp;VAR:CALENDAR=US&amp;VAR:SYMBOL=BIIB&amp;VAR:INDEX=0"}</definedName>
    <definedName name="_1263__FDSAUDITLINK__" hidden="1">{"fdsup://directions/FAT Viewer?action=UPDATE&amp;creator=factset&amp;DYN_ARGS=TRUE&amp;DOC_NAME=FAT:FQL_AUDITING_CLIENT_TEMPLATE.FAT&amp;display_string=Audit&amp;VAR:KEY=BGRMFOVODW&amp;VAR:QUERY=RkZfU0FMRVMoQ0FMLDM4MzUyLCwsLCk=&amp;WINDOW=FIRST_POPUP&amp;HEIGHT=450&amp;WIDTH=450&amp;START_MAXIMI","ZED=FALSE&amp;VAR:CALENDAR=US&amp;VAR:SYMBOL=BIIB&amp;VAR:INDEX=0"}</definedName>
    <definedName name="_1264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1265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1266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1267__FDSAUDITLINK__" hidden="1">{"fdsup://directions/FAT Viewer?action=UPDATE&amp;creator=factset&amp;DYN_ARGS=TRUE&amp;DOC_NAME=FAT:FQL_AUDITING_CLIENT_TEMPLATE.FAT&amp;display_string=Audit&amp;VAR:KEY=VWHYNKZKRG&amp;VAR:QUERY=RkZfU0FMRVMoQ0FMLDM5NDQ3LCwsLCk=&amp;WINDOW=FIRST_POPUP&amp;HEIGHT=450&amp;WIDTH=450&amp;START_MAXIMI","ZED=FALSE&amp;VAR:CALENDAR=US&amp;VAR:SYMBOL=707752&amp;VAR:INDEX=0"}</definedName>
    <definedName name="_1268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1269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127__FDSAUDITLINK__" hidden="1">{"fdsup://directions/FAT%20Viewer?VAR:TM=NTMA&amp;VAR:PCT=0.644809&amp;VAR:Y0=2008&amp;VAR:Y1=2009&amp;VAR:V0=15.003694&amp;VAR:V1=12.661254&amp;VAR:V=14.078545&amp;VAR:AUDIT_ID=00000117&amp;VAR:DATE=20080509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Aggregates&amp;VAR:MEASURE=PE_MEAN&amp;VAR:CALC_MODE=PORTFOLIO&amp;VAR:CHGPERIOD=NA&amp;VAR:FQLFORMULA=FMA_PE&amp;VAR:CURRENCY=USD&amp;VAR:P=1","388.281000&amp;VAR:THRESH=||||||&amp;VAR:null=.html"}</definedName>
    <definedName name="_1270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1271__FDSAUDITLINK__" hidden="1">{"fdsup://directions/FAT Viewer?action=UPDATE&amp;creator=factset&amp;DYN_ARGS=TRUE&amp;DOC_NAME=FAT:FQL_AUDITING_CLIENT_TEMPLATE.FAT&amp;display_string=Audit&amp;VAR:KEY=RYPORYFIJI&amp;VAR:QUERY=RkZfU0FMRVMoQ0FMLDM5NDQ3LCwsLCk=&amp;WINDOW=FIRST_POPUP&amp;HEIGHT=450&amp;WIDTH=450&amp;START_MAXIMI","ZED=FALSE&amp;VAR:CALENDAR=US&amp;VAR:SYMBOL=630720&amp;VAR:INDEX=0"}</definedName>
    <definedName name="_1272__FDSAUDITLINK__" hidden="1">{"fdsup://directions/FAT Viewer?action=UPDATE&amp;creator=factset&amp;DYN_ARGS=TRUE&amp;DOC_NAME=FAT:FQL_AUDITING_CLIENT_TEMPLATE.FAT&amp;display_string=Audit&amp;VAR:KEY=XOXAFQPQBU&amp;VAR:QUERY=RkZfU0FMRVMoQ0FMLDM5MDgyLCwsLCk=&amp;WINDOW=FIRST_POPUP&amp;HEIGHT=450&amp;WIDTH=450&amp;START_MAXIMI","ZED=FALSE&amp;VAR:CALENDAR=US&amp;VAR:SYMBOL=630720&amp;VAR:INDEX=0"}</definedName>
    <definedName name="_1273__FDSAUDITLINK__" hidden="1">{"fdsup://directions/FAT Viewer?action=UPDATE&amp;creator=factset&amp;DYN_ARGS=TRUE&amp;DOC_NAME=FAT:FQL_AUDITING_CLIENT_TEMPLATE.FAT&amp;display_string=Audit&amp;VAR:KEY=RWPCRWLQPE&amp;VAR:QUERY=RkZfU0FMRVMoQ0FMLDM4NzE3LCwsLCk=&amp;WINDOW=FIRST_POPUP&amp;HEIGHT=450&amp;WIDTH=450&amp;START_MAXIMI","ZED=FALSE&amp;VAR:CALENDAR=US&amp;VAR:SYMBOL=630720&amp;VAR:INDEX=0"}</definedName>
    <definedName name="_1274__FDSAUDITLINK__" hidden="1">{"fdsup://directions/FAT Viewer?action=UPDATE&amp;creator=factset&amp;DYN_ARGS=TRUE&amp;DOC_NAME=FAT:FQL_AUDITING_CLIENT_TEMPLATE.FAT&amp;display_string=Audit&amp;VAR:KEY=HMVSNIBYDY&amp;VAR:QUERY=RkZfU0FMRVMoQ0FMLDM4MzUyLCwsLCk=&amp;WINDOW=FIRST_POPUP&amp;HEIGHT=450&amp;WIDTH=450&amp;START_MAXIMI","ZED=FALSE&amp;VAR:CALENDAR=US&amp;VAR:SYMBOL=630720&amp;VAR:INDEX=0"}</definedName>
    <definedName name="_1275__FDSAUDITLINK__" hidden="1">{"fdsup://directions/FAT Viewer?action=UPDATE&amp;creator=factset&amp;DYN_ARGS=TRUE&amp;DOC_NAME=FAT:FQL_AUDITING_CLIENT_TEMPLATE.FAT&amp;display_string=Audit&amp;VAR:KEY=FMVKVUFQTO&amp;VAR:QUERY=RkZfU0FMRVMoQ0FMLDM3OTg2LCwsLCk=&amp;WINDOW=FIRST_POPUP&amp;HEIGHT=450&amp;WIDTH=450&amp;START_MAXIMI","ZED=FALSE&amp;VAR:CALENDAR=US&amp;VAR:SYMBOL=630720&amp;VAR:INDEX=0"}</definedName>
    <definedName name="_1276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1277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1278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1279__FDSAUDITLINK__" hidden="1">{"fdsup://directions/FAT Viewer?action=UPDATE&amp;creator=factset&amp;DYN_ARGS=TRUE&amp;DOC_NAME=FAT:FQL_AUDITING_CLIENT_TEMPLATE.FAT&amp;display_string=Audit&amp;VAR:KEY=NGFQXAXQVY&amp;VAR:QUERY=RkZfU0FMRVMoQ0FMLDM5NDQ3LCwsLCk=&amp;WINDOW=FIRST_POPUP&amp;HEIGHT=450&amp;WIDTH=450&amp;START_MAXIMI","ZED=FALSE&amp;VAR:CALENDAR=US&amp;VAR:SYMBOL=698538&amp;VAR:INDEX=0"}</definedName>
    <definedName name="_128__FDSAUDITLINK__" hidden="1">{"fdsup://directions/FAT%20Viewer?VAR:TM=NTMA&amp;VAR:PCT=0.663934&amp;VAR:Y0=2008&amp;VAR:Y1=2009&amp;VAR:V0=15.210963&amp;VAR:V1=12.898484&amp;VAR:V=14.346570&amp;VAR:AUDIT_ID=00000117&amp;VAR:DATE=20080502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Aggregates&amp;VAR:MEASURE=PE_MEAN&amp;VAR:CALC_MODE=PORTFOLIO&amp;VAR:CHGPERIOD=NA&amp;VAR:FQLFORMULA=FMA_PE&amp;VAR:CURRENCY=USD&amp;VAR:P=1","413.897500&amp;VAR:THRESH=||||||&amp;VAR:null=.html"}</definedName>
    <definedName name="_1280__FDSAUDITLINK__" hidden="1">{"fdsup://directions/FAT Viewer?action=UPDATE&amp;creator=factset&amp;DYN_ARGS=TRUE&amp;DOC_NAME=FAT:FQL_AUDITING_CLIENT_TEMPLATE.FAT&amp;display_string=Audit&amp;VAR:KEY=RYLYJAFOJG&amp;VAR:QUERY=RkZfU0FMRVMoQ0FMLDM5MDgyLCwsLCk=&amp;WINDOW=FIRST_POPUP&amp;HEIGHT=450&amp;WIDTH=450&amp;START_MAXIMI","ZED=FALSE&amp;VAR:CALENDAR=US&amp;VAR:SYMBOL=698538&amp;VAR:INDEX=0"}</definedName>
    <definedName name="_1281__FDSAUDITLINK__" hidden="1">{"fdsup://directions/FAT Viewer?action=UPDATE&amp;creator=factset&amp;DYN_ARGS=TRUE&amp;DOC_NAME=FAT:FQL_AUDITING_CLIENT_TEMPLATE.FAT&amp;display_string=Audit&amp;VAR:KEY=VSLYLYVYLU&amp;VAR:QUERY=RkZfU0FMRVMoQ0FMLDM4NzE3LCwsLCk=&amp;WINDOW=FIRST_POPUP&amp;HEIGHT=450&amp;WIDTH=450&amp;START_MAXIMI","ZED=FALSE&amp;VAR:CALENDAR=US&amp;VAR:SYMBOL=698538&amp;VAR:INDEX=0"}</definedName>
    <definedName name="_1282__FDSAUDITLINK__" hidden="1">{"fdsup://directions/FAT Viewer?action=UPDATE&amp;creator=factset&amp;DYN_ARGS=TRUE&amp;DOC_NAME=FAT:FQL_AUDITING_CLIENT_TEMPLATE.FAT&amp;display_string=Audit&amp;VAR:KEY=ZQTYLIBWXM&amp;VAR:QUERY=RkZfU0FMRVMoQ0FMLDM4MzUyLCwsLCk=&amp;WINDOW=FIRST_POPUP&amp;HEIGHT=450&amp;WIDTH=450&amp;START_MAXIMI","ZED=FALSE&amp;VAR:CALENDAR=US&amp;VAR:SYMBOL=698538&amp;VAR:INDEX=0"}</definedName>
    <definedName name="_1283__FDSAUDITLINK__" hidden="1">{"fdsup://directions/FAT Viewer?action=UPDATE&amp;creator=factset&amp;DYN_ARGS=TRUE&amp;DOC_NAME=FAT:FQL_AUDITING_CLIENT_TEMPLATE.FAT&amp;display_string=Audit&amp;VAR:KEY=ZITUFQLYRU&amp;VAR:QUERY=RkZfU0FMRVMoQ0FMLDM3OTg2LCwsLCk=&amp;WINDOW=FIRST_POPUP&amp;HEIGHT=450&amp;WIDTH=450&amp;START_MAXIMI","ZED=FALSE&amp;VAR:CALENDAR=US&amp;VAR:SYMBOL=698538&amp;VAR:INDEX=0"}</definedName>
    <definedName name="_1284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1285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1286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1287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1288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1289__FDSAUDITLINK__" hidden="1">{"fdsup://directions/FAT Viewer?action=UPDATE&amp;creator=factset&amp;DYN_ARGS=TRUE&amp;DOC_NAME=FAT:FQL_AUDITING_CLIENT_TEMPLATE.FAT&amp;display_string=Audit&amp;VAR:KEY=RCLWNAZUVM&amp;VAR:QUERY=RkZfU0FMRVMoQ0FMLDM5NDQ3LCwsLCk=&amp;WINDOW=FIRST_POPUP&amp;HEIGHT=450&amp;WIDTH=450&amp;START_MAXIMI","ZED=FALSE&amp;VAR:CALENDAR=US&amp;VAR:SYMBOL=B0J7D9&amp;VAR:INDEX=0"}</definedName>
    <definedName name="_129__FDSAUDITLINK__" hidden="1">{"fdsup://directions/FAT%20Viewer?VAR:TM=NTMA&amp;VAR:PCT=0.683060&amp;VAR:Y0=2008&amp;VAR:Y1=2009&amp;VAR:V0=15.032156&amp;VAR:V1=12.737471&amp;VAR:V=14.220218&amp;VAR:AUDIT_ID=00000117&amp;VAR:DATE=20080425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Aggregates&amp;VAR:MEASURE=PE_MEAN&amp;VAR:CALC_MODE=PORTFOLIO&amp;VAR:CHGPERIOD=NA&amp;VAR:FQLFORMULA=FMA_PE&amp;VAR:CURRENCY=USD&amp;VAR:P=1","397.843500&amp;VAR:THRESH=||||||&amp;VAR:null=.html"}</definedName>
    <definedName name="_1290__FDSAUDITLINK__" hidden="1">{"fdsup://directions/FAT Viewer?action=UPDATE&amp;creator=factset&amp;DYN_ARGS=TRUE&amp;DOC_NAME=FAT:FQL_AUDITING_CLIENT_TEMPLATE.FAT&amp;display_string=Audit&amp;VAR:KEY=VYFIHMHMZI&amp;VAR:QUERY=RkZfU0FMRVMoQ0FMLDM5MDgyLCwsLCk=&amp;WINDOW=FIRST_POPUP&amp;HEIGHT=450&amp;WIDTH=450&amp;START_MAXIMI","ZED=FALSE&amp;VAR:CALENDAR=US&amp;VAR:SYMBOL=B0J7D9&amp;VAR:INDEX=0"}</definedName>
    <definedName name="_1291__FDSAUDITLINK__" hidden="1">{"fdsup://directions/FAT Viewer?action=UPDATE&amp;creator=factset&amp;DYN_ARGS=TRUE&amp;DOC_NAME=FAT:FQL_AUDITING_CLIENT_TEMPLATE.FAT&amp;display_string=Audit&amp;VAR:KEY=RATYXOVERC&amp;VAR:QUERY=RkZfU0FMRVMoQ0FMLDM4NzE3LCwsLCk=&amp;WINDOW=FIRST_POPUP&amp;HEIGHT=450&amp;WIDTH=450&amp;START_MAXIMI","ZED=FALSE&amp;VAR:CALENDAR=US&amp;VAR:SYMBOL=B0J7D9&amp;VAR:INDEX=0"}</definedName>
    <definedName name="_1292__FDSAUDITLINK__" hidden="1">{"fdsup://directions/FAT Viewer?action=UPDATE&amp;creator=factset&amp;DYN_ARGS=TRUE&amp;DOC_NAME=FAT:FQL_AUDITING_CLIENT_TEMPLATE.FAT&amp;display_string=Audit&amp;VAR:KEY=HEROTQBOTS&amp;VAR:QUERY=RkZfU0FMRVMoQ0FMLDM4MzUyLCwsLCk=&amp;WINDOW=FIRST_POPUP&amp;HEIGHT=450&amp;WIDTH=450&amp;START_MAXIMI","ZED=FALSE&amp;VAR:CALENDAR=US&amp;VAR:SYMBOL=B0J7D9&amp;VAR:INDEX=0"}</definedName>
    <definedName name="_1293__FDSAUDITLINK__" hidden="1">{"fdsup://directions/FAT Viewer?action=UPDATE&amp;creator=factset&amp;DYN_ARGS=TRUE&amp;DOC_NAME=FAT:FQL_AUDITING_CLIENT_TEMPLATE.FAT&amp;display_string=Audit&amp;VAR:KEY=JAZQJETKLY&amp;VAR:QUERY=RkZfU0FMRVMoQ0FMLDM3OTg2LCwsLCk=&amp;WINDOW=FIRST_POPUP&amp;HEIGHT=450&amp;WIDTH=450&amp;START_MAXIMI","ZED=FALSE&amp;VAR:CALENDAR=US&amp;VAR:SYMBOL=B0J7D9&amp;VAR:INDEX=0"}</definedName>
    <definedName name="_1294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1295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1296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1297__FDSAUDITLINK__" hidden="1">{"fdsup://directions/FAT Viewer?action=UPDATE&amp;creator=factset&amp;DYN_ARGS=TRUE&amp;DOC_NAME=FAT:FQL_AUDITING_CLIENT_TEMPLATE.FAT&amp;display_string=Audit&amp;VAR:KEY=PGJOVCLGBS&amp;VAR:QUERY=RkZfU0FMRVMoQ0FMLDM5NDQ3LCwsLCk=&amp;WINDOW=FIRST_POPUP&amp;HEIGHT=450&amp;WIDTH=450&amp;START_MAXIMI","ZED=FALSE&amp;VAR:CALENDAR=US&amp;VAR:SYMBOL=AMGN&amp;VAR:INDEX=0"}</definedName>
    <definedName name="_1298__FDSAUDITLINK__" hidden="1">{"fdsup://directions/FAT Viewer?action=UPDATE&amp;creator=factset&amp;DYN_ARGS=TRUE&amp;DOC_NAME=FAT:FQL_AUDITING_CLIENT_TEMPLATE.FAT&amp;display_string=Audit&amp;VAR:KEY=FYXGXAXURW&amp;VAR:QUERY=RkZfU0FMRVMoQ0FMLDM5MDgyLCwsLCk=&amp;WINDOW=FIRST_POPUP&amp;HEIGHT=450&amp;WIDTH=450&amp;START_MAXIMI","ZED=FALSE&amp;VAR:CALENDAR=US&amp;VAR:SYMBOL=AMGN&amp;VAR:INDEX=0"}</definedName>
    <definedName name="_1299__FDSAUDITLINK__" hidden="1">{"fdsup://directions/FAT Viewer?action=UPDATE&amp;creator=factset&amp;DYN_ARGS=TRUE&amp;DOC_NAME=FAT:FQL_AUDITING_CLIENT_TEMPLATE.FAT&amp;display_string=Audit&amp;VAR:KEY=VADUDGDYFA&amp;VAR:QUERY=RkZfU0FMRVMoQ0FMLDM4NzE3LCwsLCk=&amp;WINDOW=FIRST_POPUP&amp;HEIGHT=450&amp;WIDTH=450&amp;START_MAXIMI","ZED=FALSE&amp;VAR:CALENDAR=US&amp;VAR:SYMBOL=AMGN&amp;VAR:INDEX=0"}</definedName>
    <definedName name="_13__FDSAUDITLINK__" hidden="1">{"fdsup://directions/FAT%20Viewer?VAR:TM=NTMA&amp;VAR:PCT=0.460274&amp;VAR:Y0=2010&amp;VAR:Y1=2011&amp;VAR:V0=12.879478&amp;VAR:V1=11.037963&amp;VAR:V=11.815547&amp;VAR:AUDIT_ID=00000117&amp;VAR:DATE=20100716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Aggregates&amp;VAR:MEASURE=PE_MEAN&amp;VAR:CALC_MODE=PORTFOLIO&amp;VAR:CHGPERIOD=NA&amp;VAR:FQLFORMULA=FMA_PE&amp;VAR:CURRENCY=USD&amp;VAR:P=1","064.877415&amp;VAR:THRESH=||||||&amp;VAR:null=.html"}</definedName>
    <definedName name="_130__FDSAUDITLINK__" hidden="1">{"fdsup://directions/FAT%20Viewer?VAR:TM=NTMA&amp;VAR:PCT=0.702186&amp;VAR:Y0=2008&amp;VAR:Y1=2009&amp;VAR:V0=14.800800&amp;VAR:V1=12.646816&amp;VAR:V=14.086298&amp;VAR:AUDIT_ID=00000117&amp;VAR:DATE=20080418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Aggregates&amp;VAR:MEASURE=PE_MEAN&amp;VAR:CALC_MODE=PORTFOLIO&amp;VAR:CHGPERIOD=NA&amp;VAR:FQLFORMULA=FMA_PE&amp;VAR:CURRENCY=USD&amp;VAR:P=1","390.331500&amp;VAR:THRESH=||||||&amp;VAR:null=.html"}</definedName>
    <definedName name="_1300__FDSAUDITLINK__" hidden="1">{"fdsup://directions/FAT Viewer?action=UPDATE&amp;creator=factset&amp;DYN_ARGS=TRUE&amp;DOC_NAME=FAT:FQL_AUDITING_CLIENT_TEMPLATE.FAT&amp;display_string=Audit&amp;VAR:KEY=FKDOZAJURW&amp;VAR:QUERY=RkZfU0FMRVMoQ0FMLDM4MzUyLCwsLCk=&amp;WINDOW=FIRST_POPUP&amp;HEIGHT=450&amp;WIDTH=450&amp;START_MAXIMI","ZED=FALSE&amp;VAR:CALENDAR=US&amp;VAR:SYMBOL=AMGN&amp;VAR:INDEX=0"}</definedName>
    <definedName name="_1301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1302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1303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1304__FDSAUDITLINK__" hidden="1">{"fdsup://directions/FAT Viewer?action=UPDATE&amp;creator=factset&amp;DYN_ARGS=TRUE&amp;DOC_NAME=FAT:FQL_AUDITING_CLIENT_TEMPLATE.FAT&amp;display_string=Audit&amp;VAR:KEY=VOVAHWRMBQ&amp;VAR:QUERY=RkZfU0FMRVMoQ0FMLDM5NDQ3LCwsLCk=&amp;WINDOW=FIRST_POPUP&amp;HEIGHT=450&amp;WIDTH=450&amp;START_MAXIMI","ZED=FALSE&amp;VAR:CALENDAR=US&amp;VAR:SYMBOL=ABT&amp;VAR:INDEX=0"}</definedName>
    <definedName name="_1305__FDSAUDITLINK__" hidden="1">{"fdsup://directions/FAT Viewer?action=UPDATE&amp;creator=factset&amp;DYN_ARGS=TRUE&amp;DOC_NAME=FAT:FQL_AUDITING_CLIENT_TEMPLATE.FAT&amp;display_string=Audit&amp;VAR:KEY=JIZSHKHCLG&amp;VAR:QUERY=RkZfU0FMRVMoQ0FMLDM5MDgyLCwsLCk=&amp;WINDOW=FIRST_POPUP&amp;HEIGHT=450&amp;WIDTH=450&amp;START_MAXIMI","ZED=FALSE&amp;VAR:CALENDAR=US&amp;VAR:SYMBOL=ABT&amp;VAR:INDEX=0"}</definedName>
    <definedName name="_1306__FDSAUDITLINK__" hidden="1">{"fdsup://directions/FAT Viewer?action=UPDATE&amp;creator=factset&amp;DYN_ARGS=TRUE&amp;DOC_NAME=FAT:FQL_AUDITING_CLIENT_TEMPLATE.FAT&amp;display_string=Audit&amp;VAR:KEY=HGLONMHIHO&amp;VAR:QUERY=RkZfU0FMRVMoQ0FMLDM4NzE3LCwsLCk=&amp;WINDOW=FIRST_POPUP&amp;HEIGHT=450&amp;WIDTH=450&amp;START_MAXIMI","ZED=FALSE&amp;VAR:CALENDAR=US&amp;VAR:SYMBOL=ABT&amp;VAR:INDEX=0"}</definedName>
    <definedName name="_1307__FDSAUDITLINK__" hidden="1">{"fdsup://directions/FAT Viewer?action=UPDATE&amp;creator=factset&amp;DYN_ARGS=TRUE&amp;DOC_NAME=FAT:FQL_AUDITING_CLIENT_TEMPLATE.FAT&amp;display_string=Audit&amp;VAR:KEY=PMFYHUFOJW&amp;VAR:QUERY=RkZfU0FMRVMoQ0FMLDM4MzUyLCwsLCk=&amp;WINDOW=FIRST_POPUP&amp;HEIGHT=450&amp;WIDTH=450&amp;START_MAXIMI","ZED=FALSE&amp;VAR:CALENDAR=US&amp;VAR:SYMBOL=ABT&amp;VAR:INDEX=0"}</definedName>
    <definedName name="_1308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1309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131__FDSAUDITLINK__" hidden="1">{"fdsup://directions/FAT%20Viewer?VAR:TM=NTMA&amp;VAR:PCT=0.721311&amp;VAR:Y0=2008&amp;VAR:Y1=2009&amp;VAR:V0=14.019117&amp;VAR:V1=12.071342&amp;VAR:V=13.415835&amp;VAR:AUDIT_ID=00000117&amp;VAR:DATE=20080411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Aggregates&amp;VAR:MEASURE=PE_MEAN&amp;VAR:CALC_MODE=PORTFOLIO&amp;VAR:CHGPERIOD=NA&amp;VAR:FQLFORMULA=FMA_PE&amp;VAR:CURRENCY=USD&amp;VAR:P=1","332.827000&amp;VAR:THRESH=||||||&amp;VAR:null=.html"}</definedName>
    <definedName name="_1310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1311__FDSAUDITLINK__" hidden="1">{"fdsup://directions/FAT Viewer?action=UPDATE&amp;creator=factset&amp;DYN_ARGS=TRUE&amp;DOC_NAME=FAT:FQL_AUDITING_CLIENT_TEMPLATE.FAT&amp;display_string=Audit&amp;VAR:KEY=LANUXGTUJE&amp;VAR:QUERY=RkZfU0FMRVMoQ0FMLDM5NDQ3LCwsLCk=&amp;WINDOW=FIRST_POPUP&amp;HEIGHT=450&amp;WIDTH=450&amp;START_MAXIMI","ZED=FALSE&amp;VAR:CALENDAR=US&amp;VAR:SYMBOL=687044&amp;VAR:INDEX=0"}</definedName>
    <definedName name="_1312__FDSAUDITLINK__" hidden="1">{"fdsup://directions/FAT Viewer?action=UPDATE&amp;creator=factset&amp;DYN_ARGS=TRUE&amp;DOC_NAME=FAT:FQL_AUDITING_CLIENT_TEMPLATE.FAT&amp;display_string=Audit&amp;VAR:KEY=VMNWLAFAZG&amp;VAR:QUERY=RkZfU0FMRVMoQ0FMLDM5MDgyLCwsLCk=&amp;WINDOW=FIRST_POPUP&amp;HEIGHT=450&amp;WIDTH=450&amp;START_MAXIMI","ZED=FALSE&amp;VAR:CALENDAR=US&amp;VAR:SYMBOL=687044&amp;VAR:INDEX=0"}</definedName>
    <definedName name="_1314__FDSAUDITLINK__" hidden="1">{"fdsup://directions/FAT Viewer?action=UPDATE&amp;creator=factset&amp;DYN_ARGS=TRUE&amp;DOC_NAME=FAT:FQL_AUDITING_CLIENT_TEMPLATE.FAT&amp;display_string=Audit&amp;VAR:KEY=VEBOPIBOXG&amp;VAR:QUERY=RkZfU0FMRVMoQ0FMLDM4MzUyLCwsLCk=&amp;WINDOW=FIRST_POPUP&amp;HEIGHT=450&amp;WIDTH=450&amp;START_MAXIMI","ZED=FALSE&amp;VAR:CALENDAR=US&amp;VAR:SYMBOL=687044&amp;VAR:INDEX=0"}</definedName>
    <definedName name="_1315__FDSAUDITLINK__" hidden="1">{"fdsup://directions/FAT Viewer?action=UPDATE&amp;creator=factset&amp;DYN_ARGS=TRUE&amp;DOC_NAME=FAT:FQL_AUDITING_CLIENT_TEMPLATE.FAT&amp;display_string=Audit&amp;VAR:KEY=TWJGRYHSBC&amp;VAR:QUERY=RkZfU0FMRVMoQ0FMLDM3OTg2LCwsLCk=&amp;WINDOW=FIRST_POPUP&amp;HEIGHT=450&amp;WIDTH=450&amp;START_MAXIMI","ZED=FALSE&amp;VAR:CALENDAR=US&amp;VAR:SYMBOL=687044&amp;VAR:INDEX=0"}</definedName>
    <definedName name="_1316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1317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1318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1319__FDSAUDITLINK__" hidden="1">{"fdsup://directions/FAT Viewer?action=UPDATE&amp;creator=factset&amp;DYN_ARGS=TRUE&amp;DOC_NAME=FAT:FQL_AUDITING_CLIENT_TEMPLATE.FAT&amp;display_string=Audit&amp;VAR:KEY=FGNGDYBWJI&amp;VAR:QUERY=RkZfU0FMRVMoQ0FMLDM5NDQ3LCwsLCk=&amp;WINDOW=FIRST_POPUP&amp;HEIGHT=450&amp;WIDTH=450&amp;START_MAXIMI","ZED=FALSE&amp;VAR:CALENDAR=US&amp;VAR:SYMBOL=BMY&amp;VAR:INDEX=0"}</definedName>
    <definedName name="_132__FDSAUDITLINK__" hidden="1">{"fdsup://directions/FAT%20Viewer?VAR:TM=NTMA&amp;VAR:PCT=0.740437&amp;VAR:Y0=2008&amp;VAR:Y1=2009&amp;VAR:V0=14.367662&amp;VAR:V1=12.403610&amp;VAR:V=13.800456&amp;VAR:AUDIT_ID=00000117&amp;VAR:DATE=20080404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Aggregates&amp;VAR:MEASURE=PE_MEAN&amp;VAR:CALC_MODE=PORTFOLIO&amp;VAR:CHGPERIOD=NA&amp;VAR:FQLFORMULA=FMA_PE&amp;VAR:CURRENCY=USD&amp;VAR:P=1","370.400000&amp;VAR:THRESH=||||||&amp;VAR:null=.html"}</definedName>
    <definedName name="_1320__FDSAUDITLINK__" hidden="1">{"fdsup://directions/FAT Viewer?action=UPDATE&amp;creator=factset&amp;DYN_ARGS=TRUE&amp;DOC_NAME=FAT:FQL_AUDITING_CLIENT_TEMPLATE.FAT&amp;display_string=Audit&amp;VAR:KEY=ZEPMHOTKTQ&amp;VAR:QUERY=RkZfU0FMRVMoQ0FMLDM5MDgyLCwsLCk=&amp;WINDOW=FIRST_POPUP&amp;HEIGHT=450&amp;WIDTH=450&amp;START_MAXIMI","ZED=FALSE&amp;VAR:CALENDAR=US&amp;VAR:SYMBOL=BMY&amp;VAR:INDEX=0"}</definedName>
    <definedName name="_1321__FDSAUDITLINK__" hidden="1">{"fdsup://directions/FAT Viewer?action=UPDATE&amp;creator=factset&amp;DYN_ARGS=TRUE&amp;DOC_NAME=FAT:FQL_AUDITING_CLIENT_TEMPLATE.FAT&amp;display_string=Audit&amp;VAR:KEY=ZSRUVKHGFO&amp;VAR:QUERY=RkZfU0FMRVMoQ0FMLDM4NzE3LCwsLCk=&amp;WINDOW=FIRST_POPUP&amp;HEIGHT=450&amp;WIDTH=450&amp;START_MAXIMI","ZED=FALSE&amp;VAR:CALENDAR=US&amp;VAR:SYMBOL=BMY&amp;VAR:INDEX=0"}</definedName>
    <definedName name="_1322__FDSAUDITLINK__" hidden="1">{"fdsup://directions/FAT Viewer?action=UPDATE&amp;creator=factset&amp;DYN_ARGS=TRUE&amp;DOC_NAME=FAT:FQL_AUDITING_CLIENT_TEMPLATE.FAT&amp;display_string=Audit&amp;VAR:KEY=LWZIXAXMJY&amp;VAR:QUERY=RkZfU0FMRVMoQ0FMLDM4MzUyLCwsLCk=&amp;WINDOW=FIRST_POPUP&amp;HEIGHT=450&amp;WIDTH=450&amp;START_MAXIMI","ZED=FALSE&amp;VAR:CALENDAR=US&amp;VAR:SYMBOL=BMY&amp;VAR:INDEX=0"}</definedName>
    <definedName name="_1323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1324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1325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1326__FDSAUDITLINK__" hidden="1">{"fdsup://directions/FAT Viewer?action=UPDATE&amp;creator=factset&amp;DYN_ARGS=TRUE&amp;DOC_NAME=FAT:FQL_AUDITING_CLIENT_TEMPLATE.FAT&amp;display_string=Audit&amp;VAR:KEY=ZMZGTAHWVI&amp;VAR:QUERY=RkZfU0FMRVMoQ0FMLDM5NDQ3LCwsLCk=&amp;WINDOW=FIRST_POPUP&amp;HEIGHT=450&amp;WIDTH=450&amp;START_MAXIMI","ZED=FALSE&amp;VAR:CALENDAR=US&amp;VAR:SYMBOL=LLY&amp;VAR:INDEX=0"}</definedName>
    <definedName name="_1327__FDSAUDITLINK__" hidden="1">{"fdsup://directions/FAT Viewer?action=UPDATE&amp;creator=factset&amp;DYN_ARGS=TRUE&amp;DOC_NAME=FAT:FQL_AUDITING_CLIENT_TEMPLATE.FAT&amp;display_string=Audit&amp;VAR:KEY=VGZWFCPGLW&amp;VAR:QUERY=RkZfU0FMRVMoQ0FMLDM5MDgyLCwsLCk=&amp;WINDOW=FIRST_POPUP&amp;HEIGHT=450&amp;WIDTH=450&amp;START_MAXIMI","ZED=FALSE&amp;VAR:CALENDAR=US&amp;VAR:SYMBOL=LLY&amp;VAR:INDEX=0"}</definedName>
    <definedName name="_1328__FDSAUDITLINK__" hidden="1">{"fdsup://directions/FAT Viewer?action=UPDATE&amp;creator=factset&amp;DYN_ARGS=TRUE&amp;DOC_NAME=FAT:FQL_AUDITING_CLIENT_TEMPLATE.FAT&amp;display_string=Audit&amp;VAR:KEY=NMLWPYZODY&amp;VAR:QUERY=RkZfU0FMRVMoQ0FMLDM4NzE3LCwsLCk=&amp;WINDOW=FIRST_POPUP&amp;HEIGHT=450&amp;WIDTH=450&amp;START_MAXIMI","ZED=FALSE&amp;VAR:CALENDAR=US&amp;VAR:SYMBOL=LLY&amp;VAR:INDEX=0"}</definedName>
    <definedName name="_1329__FDSAUDITLINK__" hidden="1">{"fdsup://directions/FAT Viewer?action=UPDATE&amp;creator=factset&amp;DYN_ARGS=TRUE&amp;DOC_NAME=FAT:FQL_AUDITING_CLIENT_TEMPLATE.FAT&amp;display_string=Audit&amp;VAR:KEY=XERCTWXSFY&amp;VAR:QUERY=RkZfU0FMRVMoQ0FMLDM4MzUyLCwsLCk=&amp;WINDOW=FIRST_POPUP&amp;HEIGHT=450&amp;WIDTH=450&amp;START_MAXIMI","ZED=FALSE&amp;VAR:CALENDAR=US&amp;VAR:SYMBOL=LLY&amp;VAR:INDEX=0"}</definedName>
    <definedName name="_133__FDSAUDITLINK__" hidden="1">{"fdsup://directions/FAT%20Viewer?VAR:TM=NTMA&amp;VAR:PCT=0.759563&amp;VAR:Y0=2008&amp;VAR:Y1=2009&amp;VAR:V0=13.659499&amp;VAR:V1=11.898924&amp;VAR:V=13.190252&amp;VAR:AUDIT_ID=00000117&amp;VAR:DATE=20080328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Aggregates&amp;VAR:MEASURE=PE_MEAN&amp;VAR:CALC_MODE=PORTFOLIO&amp;VAR:CHGPERIOD=NA&amp;VAR:FQLFORMULA=FMA_PE&amp;VAR:CURRENCY=USD&amp;VAR:P=1","315.216200&amp;VAR:THRESH=||||||&amp;VAR:null=.html"}</definedName>
    <definedName name="_1330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1331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1332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1333__FDSAUDITLINK__" hidden="1">{"fdsup://directions/FAT Viewer?action=UPDATE&amp;creator=factset&amp;DYN_ARGS=TRUE&amp;DOC_NAME=FAT:FQL_AUDITING_CLIENT_TEMPLATE.FAT&amp;display_string=Audit&amp;VAR:KEY=VGFMRYZUDQ&amp;VAR:QUERY=RkZfU0FMRVMoQ0FMLDM5NDQ3LCwsLCk=&amp;WINDOW=FIRST_POPUP&amp;HEIGHT=450&amp;WIDTH=450&amp;START_MAXIMI","ZED=FALSE&amp;VAR:CALENDAR=US&amp;VAR:SYMBOL=506921&amp;VAR:INDEX=0"}</definedName>
    <definedName name="_1334__FDSAUDITLINK__" hidden="1">{"fdsup://directions/FAT Viewer?action=UPDATE&amp;creator=factset&amp;DYN_ARGS=TRUE&amp;DOC_NAME=FAT:FQL_AUDITING_CLIENT_TEMPLATE.FAT&amp;display_string=Audit&amp;VAR:KEY=PYPMDAJYFY&amp;VAR:QUERY=RkZfU0FMRVMoQ0FMLDM5MDgyLCwsLCk=&amp;WINDOW=FIRST_POPUP&amp;HEIGHT=450&amp;WIDTH=450&amp;START_MAXIMI","ZED=FALSE&amp;VAR:CALENDAR=US&amp;VAR:SYMBOL=506921&amp;VAR:INDEX=0"}</definedName>
    <definedName name="_1335__FDSAUDITLINK__" hidden="1">{"fdsup://directions/FAT Viewer?action=UPDATE&amp;creator=factset&amp;DYN_ARGS=TRUE&amp;DOC_NAME=FAT:FQL_AUDITING_CLIENT_TEMPLATE.FAT&amp;display_string=Audit&amp;VAR:KEY=FGLEFQPUNK&amp;VAR:QUERY=RkZfU0FMRVMoQ0FMLDM4NzE3LCwsLCk=&amp;WINDOW=FIRST_POPUP&amp;HEIGHT=450&amp;WIDTH=450&amp;START_MAXIMI","ZED=FALSE&amp;VAR:CALENDAR=US&amp;VAR:SYMBOL=506921&amp;VAR:INDEX=0"}</definedName>
    <definedName name="_1336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1337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1338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1339__FDSAUDITLINK__" hidden="1">{"fdsup://directions/FAT Viewer?action=UPDATE&amp;creator=factset&amp;DYN_ARGS=TRUE&amp;DOC_NAME=FAT:FQL_AUDITING_CLIENT_TEMPLATE.FAT&amp;display_string=Audit&amp;VAR:KEY=XUVOBOTILK&amp;VAR:QUERY=RkZfU0FMRVMoQ0FMLDM5NDQ3LCwsLCk=&amp;WINDOW=FIRST_POPUP&amp;HEIGHT=450&amp;WIDTH=450&amp;START_MAXIMI","ZED=FALSE&amp;VAR:CALENDAR=US&amp;VAR:SYMBOL=567173&amp;VAR:INDEX=0"}</definedName>
    <definedName name="_134__FDSAUDITLINK__" hidden="1">{"fdsup://directions/FAT%20Viewer?VAR:TM=NTMA&amp;VAR:PCT=0.781421&amp;VAR:Y0=2008&amp;VAR:Y1=2009&amp;VAR:V0=13.689228&amp;VAR:V1=11.994122&amp;VAR:V=13.279021&amp;VAR:AUDIT_ID=00000117&amp;VAR:DATE=20080320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Aggregates&amp;VAR:MEASURE=PE_MEAN&amp;VAR:CALC_MODE=PORTFOLIO&amp;VAR:CHGPERIOD=NA&amp;VAR:FQLFORMULA=FMA_PE&amp;VAR:CURRENCY=USD&amp;VAR:P=1","329.508400&amp;VAR:THRESH=||||||&amp;VAR:null=.html"}</definedName>
    <definedName name="_1340__FDSAUDITLINK__" hidden="1">{"fdsup://directions/FAT Viewer?action=UPDATE&amp;creator=factset&amp;DYN_ARGS=TRUE&amp;DOC_NAME=FAT:FQL_AUDITING_CLIENT_TEMPLATE.FAT&amp;display_string=Audit&amp;VAR:KEY=TUNGLUVQJS&amp;VAR:QUERY=RkZfU0FMRVMoQ0FMLDM5MDgyLCwsLCk=&amp;WINDOW=FIRST_POPUP&amp;HEIGHT=450&amp;WIDTH=450&amp;START_MAXIMI","ZED=FALSE&amp;VAR:CALENDAR=US&amp;VAR:SYMBOL=567173&amp;VAR:INDEX=0"}</definedName>
    <definedName name="_1341__FDSAUDITLINK__" hidden="1">{"fdsup://directions/FAT Viewer?action=UPDATE&amp;creator=factset&amp;DYN_ARGS=TRUE&amp;DOC_NAME=FAT:FQL_AUDITING_CLIENT_TEMPLATE.FAT&amp;display_string=Audit&amp;VAR:KEY=ZCZKRMREJQ&amp;VAR:QUERY=RkZfU0FMRVMoQ0FMLDM4NzE3LCwsLCk=&amp;WINDOW=FIRST_POPUP&amp;HEIGHT=450&amp;WIDTH=450&amp;START_MAXIMI","ZED=FALSE&amp;VAR:CALENDAR=US&amp;VAR:SYMBOL=567173&amp;VAR:INDEX=0"}</definedName>
    <definedName name="_1342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1343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1344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1345__FDSAUDITLINK__" hidden="1">{"fdsup://directions/FAT Viewer?action=UPDATE&amp;creator=factset&amp;DYN_ARGS=TRUE&amp;DOC_NAME=FAT:FQL_AUDITING_CLIENT_TEMPLATE.FAT&amp;display_string=Audit&amp;VAR:KEY=NSBWVCLYDE&amp;VAR:QUERY=RkZfU0FMRVMoQ0FMLDM5NDQ3LCwsLCk=&amp;WINDOW=FIRST_POPUP&amp;HEIGHT=450&amp;WIDTH=450&amp;START_MAXIMI","ZED=FALSE&amp;VAR:CALENDAR=US&amp;VAR:SYMBOL=JNJ&amp;VAR:INDEX=0"}</definedName>
    <definedName name="_1346__FDSAUDITLINK__" hidden="1">{"fdsup://directions/FAT Viewer?action=UPDATE&amp;creator=factset&amp;DYN_ARGS=TRUE&amp;DOC_NAME=FAT:FQL_AUDITING_CLIENT_TEMPLATE.FAT&amp;display_string=Audit&amp;VAR:KEY=VCFODGNGBS&amp;VAR:QUERY=RkZfU0FMRVMoQ0FMLDM5MDgyLCwsLCk=&amp;WINDOW=FIRST_POPUP&amp;HEIGHT=450&amp;WIDTH=450&amp;START_MAXIMI","ZED=FALSE&amp;VAR:CALENDAR=US&amp;VAR:SYMBOL=JNJ&amp;VAR:INDEX=0"}</definedName>
    <definedName name="_1347__FDSAUDITLINK__" hidden="1">{"fdsup://directions/FAT Viewer?action=UPDATE&amp;creator=factset&amp;DYN_ARGS=TRUE&amp;DOC_NAME=FAT:FQL_AUDITING_CLIENT_TEMPLATE.FAT&amp;display_string=Audit&amp;VAR:KEY=FMJMDKHKDK&amp;VAR:QUERY=RkZfU0FMRVMoQ0FMLDM4NzE3LCwsLCk=&amp;WINDOW=FIRST_POPUP&amp;HEIGHT=450&amp;WIDTH=450&amp;START_MAXIMI","ZED=FALSE&amp;VAR:CALENDAR=US&amp;VAR:SYMBOL=JNJ&amp;VAR:INDEX=0"}</definedName>
    <definedName name="_1348__FDSAUDITLINK__" hidden="1">{"fdsup://directions/FAT Viewer?action=UPDATE&amp;creator=factset&amp;DYN_ARGS=TRUE&amp;DOC_NAME=FAT:FQL_AUDITING_CLIENT_TEMPLATE.FAT&amp;display_string=Audit&amp;VAR:KEY=ZWTENCPKDC&amp;VAR:QUERY=RkZfU0FMRVMoQ0FMLDM4MzUyLCwsLCk=&amp;WINDOW=FIRST_POPUP&amp;HEIGHT=450&amp;WIDTH=450&amp;START_MAXIMI","ZED=FALSE&amp;VAR:CALENDAR=US&amp;VAR:SYMBOL=JNJ&amp;VAR:INDEX=0"}</definedName>
    <definedName name="_1349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135__FDSAUDITLINK__" hidden="1">{"fdsup://directions/FAT%20Viewer?VAR:TM=NTMA&amp;VAR:PCT=0.797814&amp;VAR:Y0=2008&amp;VAR:Y1=2009&amp;VAR:V0=13.221457&amp;VAR:V1=11.598812&amp;VAR:V=12.857772&amp;VAR:AUDIT_ID=00000117&amp;VAR:DATE=20080314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Aggregates&amp;VAR:MEASURE=PE_MEAN&amp;VAR:CALC_MODE=PORTFOLIO&amp;VAR:CHGPERIOD=NA&amp;VAR:FQLFORMULA=FMA_PE&amp;VAR:CURRENCY=USD&amp;VAR:P=1","288.139800&amp;VAR:THRESH=||||||&amp;VAR:null=.html"}</definedName>
    <definedName name="_1350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1351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1352__FDSAUDITLINK__" hidden="1">{"fdsup://directions/FAT Viewer?action=UPDATE&amp;creator=factset&amp;DYN_ARGS=TRUE&amp;DOC_NAME=FAT:FQL_AUDITING_CLIENT_TEMPLATE.FAT&amp;display_string=Audit&amp;VAR:KEY=LMVERYPEZG&amp;VAR:QUERY=RkZfU0FMRVMoQ0FMLDM5NDQ3LCwsLCk=&amp;WINDOW=FIRST_POPUP&amp;HEIGHT=450&amp;WIDTH=450&amp;START_MAXIMI","ZED=FALSE&amp;VAR:CALENDAR=US&amp;VAR:SYMBOL=710306&amp;VAR:INDEX=0"}</definedName>
    <definedName name="_1353__FDSAUDITLINK__" hidden="1">{"fdsup://directions/FAT Viewer?action=UPDATE&amp;creator=factset&amp;DYN_ARGS=TRUE&amp;DOC_NAME=FAT:FQL_AUDITING_CLIENT_TEMPLATE.FAT&amp;display_string=Audit&amp;VAR:KEY=XQLOLCJYLW&amp;VAR:QUERY=RkZfU0FMRVMoQ0FMLDM5MDgyLCwsLCk=&amp;WINDOW=FIRST_POPUP&amp;HEIGHT=450&amp;WIDTH=450&amp;START_MAXIMI","ZED=FALSE&amp;VAR:CALENDAR=US&amp;VAR:SYMBOL=710306&amp;VAR:INDEX=0"}</definedName>
    <definedName name="_1354__FDSAUDITLINK__" hidden="1">{"fdsup://directions/FAT Viewer?action=UPDATE&amp;creator=factset&amp;DYN_ARGS=TRUE&amp;DOC_NAME=FAT:FQL_AUDITING_CLIENT_TEMPLATE.FAT&amp;display_string=Audit&amp;VAR:KEY=JIVKRKVAXY&amp;VAR:QUERY=RkZfU0FMRVMoQ0FMLDM4NzE3LCwsLCk=&amp;WINDOW=FIRST_POPUP&amp;HEIGHT=450&amp;WIDTH=450&amp;START_MAXIMI","ZED=FALSE&amp;VAR:CALENDAR=US&amp;VAR:SYMBOL=710306&amp;VAR:INDEX=0"}</definedName>
    <definedName name="_1355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1356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1357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1358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1359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136__FDSAUDITLINK__" hidden="1">{"fdsup://directions/FAT%20Viewer?VAR:TM=NTMA&amp;VAR:PCT=0.816940&amp;VAR:Y0=2008&amp;VAR:Y1=2009&amp;VAR:V0=13.172765&amp;VAR:V1=11.624458&amp;VAR:V=12.859225&amp;VAR:AUDIT_ID=00000117&amp;VAR:DATE=20080307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Aggregates&amp;VAR:MEASURE=PE_MEAN&amp;VAR:CALC_MODE=PORTFOLIO&amp;VAR:CHGPERIOD=NA&amp;VAR:FQLFORMULA=FMA_PE&amp;VAR:CURRENCY=USD&amp;VAR:P=1","293.372200&amp;VAR:THRESH=||||||&amp;VAR:null=.html"}</definedName>
    <definedName name="_1360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1361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1362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1363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1364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1365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1366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1367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1368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1369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137__FDSAUDITLINK__" hidden="1">{"fdsup://directions/FAT%20Viewer?VAR:TM=NTMA&amp;VAR:PCT=0.836066&amp;VAR:Y0=2008&amp;VAR:Y1=2009&amp;VAR:V0=13.540415&amp;VAR:V1=11.966412&amp;VAR:V=13.254604&amp;VAR:AUDIT_ID=00000117&amp;VAR:DATE=20080229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Aggregates&amp;VAR:MEASURE=PE_MEAN&amp;VAR:CALC_MODE=PORTFOLIO&amp;VAR:CHGPERIOD=NA&amp;VAR:FQLFORMULA=FMA_PE&amp;VAR:CURRENCY=USD&amp;VAR:P=1","330.632900&amp;VAR:THRESH=||||||&amp;VAR:null=.html"}</definedName>
    <definedName name="_1370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1371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1372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1373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1374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1375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1376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1377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1378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1379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138__FDSAUDITLINK__" hidden="1">{"fdsup://directions/FAT%20Viewer?VAR:TM=NTMA&amp;VAR:PCT=0.855191&amp;VAR:Y0=2008&amp;VAR:Y1=2009&amp;VAR:V0=13.635471&amp;VAR:V1=12.096137&amp;VAR:V=13.388742&amp;VAR:AUDIT_ID=00000117&amp;VAR:DATE=20080222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Aggregates&amp;VAR:MEASURE=PE_MEAN&amp;VAR:CALC_MODE=PORTFOLIO&amp;VAR:CHGPERIOD=NA&amp;VAR:FQLFORMULA=FMA_PE&amp;VAR:CURRENCY=USD&amp;VAR:P=1","353.112200&amp;VAR:THRESH=||||||&amp;VAR:null=.html"}</definedName>
    <definedName name="_1380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1381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1382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1383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1384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1385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1386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1387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1388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1389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139__FDSAUDITLINK__" hidden="1">{"fdsup://directions/FAT%20Viewer?VAR:TM=NTMA&amp;VAR:PCT=0.874317&amp;VAR:Y0=2008&amp;VAR:Y1=2009&amp;VAR:V0=13.575324&amp;VAR:V1=12.040771&amp;VAR:V=13.361305&amp;VAR:AUDIT_ID=00000117&amp;VAR:DATE=20080215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Aggregates&amp;VAR:MEASURE=PE_MEAN&amp;VAR:CALC_MODE=PORTFOLIO&amp;VAR:CHGPERIOD=NA&amp;VAR:FQLFORMULA=FMA_PE&amp;VAR:CURRENCY=USD&amp;VAR:P=1","349.994800&amp;VAR:THRESH=||||||&amp;VAR:null=.html"}</definedName>
    <definedName name="_1390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1391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1392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1393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1394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1395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1396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1397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1398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1399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14__FDSAUDITLINK__" hidden="1">{"fdsup://directions/FAT%20Viewer?VAR:TM=NTMA&amp;VAR:PCT=0.479452&amp;VAR:Y0=2010&amp;VAR:Y1=2011&amp;VAR:V0=13.130149&amp;VAR:V1=11.166496&amp;VAR:V=12.029019&amp;VAR:AUDIT_ID=00000117&amp;VAR:DATE=20100709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Aggregates&amp;VAR:MEASURE=PE_MEAN&amp;VAR:CALC_MODE=PORTFOLIO&amp;VAR:CHGPERIOD=NA&amp;VAR:FQLFORMULA=FMA_PE&amp;VAR:CURRENCY=USD&amp;VAR:P=1","077.957709&amp;VAR:THRESH=||||||&amp;VAR:null=.html"}</definedName>
    <definedName name="_140__FDSAUDITLINK__" hidden="1">{"fdsup://directions/FAT%20Viewer?VAR:TM=NTMA&amp;VAR:PCT=0.893443&amp;VAR:Y0=2008&amp;VAR:Y1=2009&amp;VAR:V0=13.354003&amp;VAR:V1=11.868813&amp;VAR:V=13.178285&amp;VAR:AUDIT_ID=00000117&amp;VAR:DATE=20080208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Aggregates&amp;VAR:MEASURE=PE_MEAN&amp;VAR:CALC_MODE=PORTFOLIO&amp;VAR:CHGPERIOD=NA&amp;VAR:FQLFORMULA=FMA_PE&amp;VAR:CURRENCY=USD&amp;VAR:P=1","331.294000&amp;VAR:THRESH=||||||&amp;VAR:null=.html"}</definedName>
    <definedName name="_1400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1401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1402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1403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1404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1405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1406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1407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1408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1409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141__FDSAUDITLINK__" hidden="1">{"fdsup://directions/FAT%20Viewer?VAR:TM=NTMA&amp;VAR:PCT=0.912568&amp;VAR:Y0=2008&amp;VAR:Y1=2009&amp;VAR:V0=13.939578&amp;VAR:V1=12.405948&amp;VAR:V=13.790525&amp;VAR:AUDIT_ID=00000117&amp;VAR:DATE=20080201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Aggregates&amp;VAR:MEASURE=PE_MEAN&amp;VAR:CALC_MODE=PORTFOLIO&amp;VAR:CHGPERIOD=NA&amp;VAR:FQLFORMULA=FMA_PE&amp;VAR:CURRENCY=USD&amp;VAR:P=1","395.415200&amp;VAR:THRESH=||||||&amp;VAR:null=.html"}</definedName>
    <definedName name="_1410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1411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1412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1413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1414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1415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1416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1417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1418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1419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142__FDSAUDITLINK__" hidden="1">{"fdsup://directions/FAT%20Viewer?VAR:TM=NTMA&amp;VAR:PCT=0.931694&amp;VAR:Y0=2008&amp;VAR:Y1=2009&amp;VAR:V0=13.223797&amp;VAR:V1=11.769711&amp;VAR:V=13.113137&amp;VAR:AUDIT_ID=00000117&amp;VAR:DATE=20080125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Aggregates&amp;VAR:MEASURE=PE_MEAN&amp;VAR:CALC_MODE=PORTFOLIO&amp;VAR:CHGPERIOD=NA&amp;VAR:FQLFORMULA=FMA_PE&amp;VAR:CURRENCY=USD&amp;VAR:P=1","330.605200&amp;VAR:THRESH=||||||&amp;VAR:null=.html"}</definedName>
    <definedName name="_1420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1421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1422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1423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1424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1425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1426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1427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1428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1429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143__FDSAUDITLINK__" hidden="1">{"fdsup://directions/FAT%20Viewer?VAR:TM=NTMA&amp;VAR:PCT=0.950820&amp;VAR:Y0=2008&amp;VAR:Y1=2009&amp;VAR:V0=13.101782&amp;VAR:V1=11.657414&amp;VAR:V=13.022430&amp;VAR:AUDIT_ID=00000117&amp;VAR:DATE=20080118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Aggregates&amp;VAR:MEASURE=PE_MEAN&amp;VAR:CALC_MODE=PORTFOLIO&amp;VAR:CHGPERIOD=NA&amp;VAR:FQLFORMULA=FMA_PE&amp;VAR:CURRENCY=USD&amp;VAR:P=1","325.189300&amp;VAR:THRESH=||||||&amp;VAR:null=.html"}</definedName>
    <definedName name="_1430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1431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1432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1433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1434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1435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1436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1437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1438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1439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144__FDSAUDITLINK__" hidden="1">{"fdsup://directions/FAT%20Viewer?VAR:TM=NTMA&amp;VAR:PCT=0.969945&amp;VAR:Y0=2008&amp;VAR:Y1=2009&amp;VAR:V0=13.707218&amp;VAR:V1=12.247907&amp;VAR:V=13.658308&amp;VAR:AUDIT_ID=00000117&amp;VAR:DATE=20080111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Aggregates&amp;VAR:MEASURE=PE_MEAN&amp;VAR:CALC_MODE=PORTFOLIO&amp;VAR:CHGPERIOD=NA&amp;VAR:FQLFORMULA=FMA_PE&amp;VAR:CURRENCY=USD&amp;VAR:P=1","401.016200&amp;VAR:THRESH=||||||&amp;VAR:null=.html"}</definedName>
    <definedName name="_1440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1441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1442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1443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1444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1445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1446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1447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1448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1449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145__FDSAUDITLINK__" hidden="1">{"fdsup://directions/FAT%20Viewer?VAR:TM=NTMA&amp;VAR:PCT=0.989071&amp;VAR:Y0=2008&amp;VAR:Y1=2009&amp;VAR:V0=13.805444&amp;VAR:V1=12.299928&amp;VAR:V=13.787001&amp;VAR:AUDIT_ID=00000117&amp;VAR:DATE=20080104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Aggregates&amp;VAR:MEASURE=PE_MEAN&amp;VAR:CALC_MODE=PORTFOLIO&amp;VAR:CHGPERIOD=NA&amp;VAR:FQLFORMULA=FMA_PE&amp;VAR:CURRENCY=USD&amp;VAR:P=1","411.629800&amp;VAR:THRESH=||||||&amp;VAR:null=.html"}</definedName>
    <definedName name="_1450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1451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1452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1453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1454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1455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1456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1457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1458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1459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146__FDSAUDITLINK__" hidden="1">{"fdsup://directions/FAT%20Viewer?VAR:TM=NTMA&amp;VAR:PCT=0.008219&amp;VAR:Y0=2007&amp;VAR:Y1=2008&amp;VAR:V0=16.745897&amp;VAR:V1=14.430927&amp;VAR:V=14.447342&amp;VAR:AUDIT_ID=00000117&amp;VAR:DATE=20071228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Aggregates&amp;VAR:MEASURE=PE_MEAN&amp;VAR:CALC_MODE=PORTFOLIO&amp;VAR:CHGPERIOD=NA&amp;VAR:FQLFORMULA=FMA_PE&amp;VAR:CURRENCY=USD&amp;VAR:P=1","478.487700&amp;VAR:THRESH=||||||&amp;VAR:null=.html"}</definedName>
    <definedName name="_1460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1461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1462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1463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1464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1465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1466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1467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1468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1469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147__FDSAUDITLINK__" hidden="1">{"fdsup://directions/FAT%20Viewer?VAR:TM=NTMA&amp;VAR:PCT=0.027397&amp;VAR:Y0=2007&amp;VAR:Y1=2008&amp;VAR:V0=16.764110&amp;VAR:V1=14.472994&amp;VAR:V=14.527389&amp;VAR:AUDIT_ID=00000117&amp;VAR:DATE=20071221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Aggregates&amp;VAR:MEASURE=PE_MEAN&amp;VAR:CALC_MODE=PORTFOLIO&amp;VAR:CHGPERIOD=NA&amp;VAR:FQLFORMULA=FMA_PE&amp;VAR:CURRENCY=USD&amp;VAR:P=1","484.462600&amp;VAR:THRESH=||||||&amp;VAR:null=.html"}</definedName>
    <definedName name="_1470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1471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1472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1473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1474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1475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1476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1477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1478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1479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148__FDSAUDITLINK__" hidden="1">{"fdsup://directions/FAT%20Viewer?VAR:TM=NTMA&amp;VAR:PCT=0.046575&amp;VAR:Y0=2007&amp;VAR:Y1=2008&amp;VAR:V0=16.391975&amp;VAR:V1=14.285416&amp;VAR:V=14.371436&amp;VAR:AUDIT_ID=00000117&amp;VAR:DATE=20071214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Aggregates&amp;VAR:MEASURE=PE_MEAN&amp;VAR:CALC_MODE=PORTFOLIO&amp;VAR:CHGPERIOD=NA&amp;VAR:FQLFORMULA=FMA_PE&amp;VAR:CURRENCY=USD&amp;VAR:P=1","467.952000&amp;VAR:THRESH=||||||&amp;VAR:null=.html"}</definedName>
    <definedName name="_1480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1481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1482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1483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1484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1485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1486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1487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1488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1489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149__FDSAUDITLINK__" hidden="1">{"fdsup://directions/FAT%20Viewer?VAR:TM=NTMA&amp;VAR:PCT=0.065753&amp;VAR:Y0=2007&amp;VAR:Y1=2008&amp;VAR:V0=16.722126&amp;VAR:V1=14.504838&amp;VAR:V=14.632413&amp;VAR:AUDIT_ID=00000117&amp;VAR:DATE=20071207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Aggregates&amp;VAR:MEASURE=PE_MEAN&amp;VAR:CALC_MODE=PORTFOLIO&amp;VAR:CHGPERIOD=NA&amp;VAR:FQLFORMULA=FMA_PE&amp;VAR:CURRENCY=USD&amp;VAR:P=1","504.659500&amp;VAR:THRESH=||||||&amp;VAR:null=.html"}</definedName>
    <definedName name="_1490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1491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1492__FDSAUDITLINK__" hidden="1">{"fdsup://directions/FAT Viewer?action=UPDATE&amp;creator=factset&amp;DYN_ARGS=TRUE&amp;DOC_NAME=FAT:FQL_AUDITING_CLIENT_TEMPLATE.FAT&amp;display_string=Audit&amp;VAR:KEY=PODEFWZGFS&amp;VAR:QUERY=RkZfUkRfRVhQKENBTCwzOTQ0NywsLCwp&amp;WINDOW=FIRST_POPUP&amp;HEIGHT=450&amp;WIDTH=450&amp;START_MAXIMI","ZED=FALSE&amp;VAR:CALENDAR=US&amp;VAR:SYMBOL=BIIB&amp;VAR:INDEX=0"}</definedName>
    <definedName name="_1493__FDSAUDITLINK__" hidden="1">{"fdsup://directions/FAT Viewer?action=UPDATE&amp;creator=factset&amp;DYN_ARGS=TRUE&amp;DOC_NAME=FAT:FQL_AUDITING_CLIENT_TEMPLATE.FAT&amp;display_string=Audit&amp;VAR:KEY=HQFYRGDOJS&amp;VAR:QUERY=RkZfUkRfRVhQKENBTCwzOTA4MiwsLCwp&amp;WINDOW=FIRST_POPUP&amp;HEIGHT=450&amp;WIDTH=450&amp;START_MAXIMI","ZED=FALSE&amp;VAR:CALENDAR=US&amp;VAR:SYMBOL=BIIB&amp;VAR:INDEX=0"}</definedName>
    <definedName name="_1494__FDSAUDITLINK__" hidden="1">{"fdsup://directions/FAT Viewer?action=UPDATE&amp;creator=factset&amp;DYN_ARGS=TRUE&amp;DOC_NAME=FAT:FQL_AUDITING_CLIENT_TEMPLATE.FAT&amp;display_string=Audit&amp;VAR:KEY=BWLKBKRSNC&amp;VAR:QUERY=RkZfUkRfRVhQKENBTCwzODcxNywsLCwp&amp;WINDOW=FIRST_POPUP&amp;HEIGHT=450&amp;WIDTH=450&amp;START_MAXIMI","ZED=FALSE&amp;VAR:CALENDAR=US&amp;VAR:SYMBOL=BIIB&amp;VAR:INDEX=0"}</definedName>
    <definedName name="_1495__FDSAUDITLINK__" hidden="1">{"fdsup://directions/FAT Viewer?action=UPDATE&amp;creator=factset&amp;DYN_ARGS=TRUE&amp;DOC_NAME=FAT:FQL_AUDITING_CLIENT_TEMPLATE.FAT&amp;display_string=Audit&amp;VAR:KEY=NCJCPSJUJA&amp;VAR:QUERY=RkZfUkRfRVhQKENBTCwzODM1MiwsLCwp&amp;WINDOW=FIRST_POPUP&amp;HEIGHT=450&amp;WIDTH=450&amp;START_MAXIMI","ZED=FALSE&amp;VAR:CALENDAR=US&amp;VAR:SYMBOL=BIIB&amp;VAR:INDEX=0"}</definedName>
    <definedName name="_1496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1497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1498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1499__FDSAUDITLINK__" hidden="1">{"fdsup://directions/FAT Viewer?action=UPDATE&amp;creator=factset&amp;DYN_ARGS=TRUE&amp;DOC_NAME=FAT:FQL_AUDITING_CLIENT_TEMPLATE.FAT&amp;display_string=Audit&amp;VAR:KEY=BQVALCNUXY&amp;VAR:QUERY=RkZfUkRfRVhQKENBTCwzOTQ0NywsLCwp&amp;WINDOW=FIRST_POPUP&amp;HEIGHT=450&amp;WIDTH=450&amp;START_MAXIMI","ZED=FALSE&amp;VAR:CALENDAR=US&amp;VAR:SYMBOL=707752&amp;VAR:INDEX=0"}</definedName>
    <definedName name="_15__FDSAUDITLINK__" hidden="1">{"fdsup://directions/FAT%20Viewer?VAR:TM=NTMA&amp;VAR:PCT=0.498630&amp;VAR:Y0=2010&amp;VAR:Y1=2011&amp;VAR:V0=12.433186&amp;VAR:V1=10.558830&amp;VAR:V=11.417057&amp;VAR:AUDIT_ID=00000117&amp;VAR:DATE=20100702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Aggregates&amp;VAR:MEASURE=PE_MEAN&amp;VAR:CALC_MODE=PORTFOLIO&amp;VAR:CHGPERIOD=NA&amp;VAR:FQLFORMULA=FMA_PE&amp;VAR:CURRENCY=USD&amp;VAR:P=1","022.582975&amp;VAR:THRESH=||||||&amp;VAR:null=.html"}</definedName>
    <definedName name="_150__FDSAUDITLINK__" hidden="1">{"fdsup://directions/FAT%20Viewer?VAR:TM=NTMA&amp;VAR:PCT=0.084932&amp;VAR:Y0=2007&amp;VAR:Y1=2008&amp;VAR:V0=16.375660&amp;VAR:V1=14.225454&amp;VAR:V=14.385884&amp;VAR:AUDIT_ID=00000117&amp;VAR:DATE=20071130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Aggregates&amp;VAR:MEASURE=PE_MEAN&amp;VAR:CALC_MODE=PORTFOLIO&amp;VAR:CHGPERIOD=NA&amp;VAR:FQLFORMULA=FMA_PE&amp;VAR:CURRENCY=USD&amp;VAR:P=1","481.143200&amp;VAR:THRESH=||||||&amp;VAR:null=.html"}</definedName>
    <definedName name="_1500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1501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1502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1503__FDSAUDITLINK__" hidden="1">{"fdsup://directions/FAT Viewer?action=UPDATE&amp;creator=factset&amp;DYN_ARGS=TRUE&amp;DOC_NAME=FAT:FQL_AUDITING_CLIENT_TEMPLATE.FAT&amp;display_string=Audit&amp;VAR:KEY=VYJCJQLQHW&amp;VAR:QUERY=RkZfUkRfRVhQKENBTCwzOTQ0NywsLCwp&amp;WINDOW=FIRST_POPUP&amp;HEIGHT=450&amp;WIDTH=450&amp;START_MAXIMI","ZED=FALSE&amp;VAR:CALENDAR=US&amp;VAR:SYMBOL=630720&amp;VAR:INDEX=0"}</definedName>
    <definedName name="_1504__FDSAUDITLINK__" hidden="1">{"fdsup://directions/FAT Viewer?action=UPDATE&amp;creator=factset&amp;DYN_ARGS=TRUE&amp;DOC_NAME=FAT:FQL_AUDITING_CLIENT_TEMPLATE.FAT&amp;display_string=Audit&amp;VAR:KEY=TUBQTARIDK&amp;VAR:QUERY=RkZfUkRfRVhQKENBTCwzOTA4MiwsLCwp&amp;WINDOW=FIRST_POPUP&amp;HEIGHT=450&amp;WIDTH=450&amp;START_MAXIMI","ZED=FALSE&amp;VAR:CALENDAR=US&amp;VAR:SYMBOL=630720&amp;VAR:INDEX=0"}</definedName>
    <definedName name="_1505__FDSAUDITLINK__" hidden="1">{"fdsup://directions/FAT Viewer?action=UPDATE&amp;creator=factset&amp;DYN_ARGS=TRUE&amp;DOC_NAME=FAT:FQL_AUDITING_CLIENT_TEMPLATE.FAT&amp;display_string=Audit&amp;VAR:KEY=TEDCLSDYNM&amp;VAR:QUERY=RkZfUkRfRVhQKENBTCwzODcxNywsLCwp&amp;WINDOW=FIRST_POPUP&amp;HEIGHT=450&amp;WIDTH=450&amp;START_MAXIMI","ZED=FALSE&amp;VAR:CALENDAR=US&amp;VAR:SYMBOL=630720&amp;VAR:INDEX=0"}</definedName>
    <definedName name="_1506__FDSAUDITLINK__" hidden="1">{"fdsup://directions/FAT Viewer?action=UPDATE&amp;creator=factset&amp;DYN_ARGS=TRUE&amp;DOC_NAME=FAT:FQL_AUDITING_CLIENT_TEMPLATE.FAT&amp;display_string=Audit&amp;VAR:KEY=HWBSXSJUJE&amp;VAR:QUERY=RkZfUkRfRVhQKENBTCwzODM1MiwsLCwp&amp;WINDOW=FIRST_POPUP&amp;HEIGHT=450&amp;WIDTH=450&amp;START_MAXIMI","ZED=FALSE&amp;VAR:CALENDAR=US&amp;VAR:SYMBOL=630720&amp;VAR:INDEX=0"}</definedName>
    <definedName name="_1507__FDSAUDITLINK__" hidden="1">{"fdsup://directions/FAT Viewer?action=UPDATE&amp;creator=factset&amp;DYN_ARGS=TRUE&amp;DOC_NAME=FAT:FQL_AUDITING_CLIENT_TEMPLATE.FAT&amp;display_string=Audit&amp;VAR:KEY=NOFYHOLEJE&amp;VAR:QUERY=RkZfUkRfRVhQKENBTCwzNzk4NiwsLCwp&amp;WINDOW=FIRST_POPUP&amp;HEIGHT=450&amp;WIDTH=450&amp;START_MAXIMI","ZED=FALSE&amp;VAR:CALENDAR=US&amp;VAR:SYMBOL=630720&amp;VAR:INDEX=0"}</definedName>
    <definedName name="_1508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1509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151__FDSAUDITLINK__" hidden="1">{"fdsup://directions/FAT%20Viewer?VAR:TM=NTMA&amp;VAR:PCT=0.104110&amp;VAR:Y0=2007&amp;VAR:Y1=2008&amp;VAR:V0=15.846854&amp;VAR:V1=13.809117&amp;VAR:V=13.996493&amp;VAR:AUDIT_ID=00000117&amp;VAR:DATE=20071123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Aggregates&amp;VAR:MEASURE=PE_MEAN&amp;VAR:CALC_MODE=PORTFOLIO&amp;VAR:CHGPERIOD=NA&amp;VAR:FQLFORMULA=FMA_PE&amp;VAR:CURRENCY=USD&amp;VAR:P=1","440.700700&amp;VAR:THRESH=||||||&amp;VAR:null=.html"}</definedName>
    <definedName name="_1510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1511__FDSAUDITLINK__" hidden="1">{"fdsup://directions/FAT Viewer?action=UPDATE&amp;creator=factset&amp;DYN_ARGS=TRUE&amp;DOC_NAME=FAT:FQL_AUDITING_CLIENT_TEMPLATE.FAT&amp;display_string=Audit&amp;VAR:KEY=DSRAFCZODS&amp;VAR:QUERY=RkZfUkRfRVhQKENBTCwzOTQ0NywsLCwp&amp;WINDOW=FIRST_POPUP&amp;HEIGHT=450&amp;WIDTH=450&amp;START_MAXIMI","ZED=FALSE&amp;VAR:CALENDAR=US&amp;VAR:SYMBOL=698538&amp;VAR:INDEX=0"}</definedName>
    <definedName name="_1512__FDSAUDITLINK__" hidden="1">{"fdsup://directions/FAT Viewer?action=UPDATE&amp;creator=factset&amp;DYN_ARGS=TRUE&amp;DOC_NAME=FAT:FQL_AUDITING_CLIENT_TEMPLATE.FAT&amp;display_string=Audit&amp;VAR:KEY=FODYBQZGBW&amp;VAR:QUERY=RkZfUkRfRVhQKENBTCwzOTA4MiwsLCwp&amp;WINDOW=FIRST_POPUP&amp;HEIGHT=450&amp;WIDTH=450&amp;START_MAXIMI","ZED=FALSE&amp;VAR:CALENDAR=US&amp;VAR:SYMBOL=698538&amp;VAR:INDEX=0"}</definedName>
    <definedName name="_1513__FDSAUDITLINK__" hidden="1">{"fdsup://directions/FAT Viewer?action=UPDATE&amp;creator=factset&amp;DYN_ARGS=TRUE&amp;DOC_NAME=FAT:FQL_AUDITING_CLIENT_TEMPLATE.FAT&amp;display_string=Audit&amp;VAR:KEY=LMDOJUJATK&amp;VAR:QUERY=RkZfUkRfRVhQKENBTCwzODcxNywsLCwp&amp;WINDOW=FIRST_POPUP&amp;HEIGHT=450&amp;WIDTH=450&amp;START_MAXIMI","ZED=FALSE&amp;VAR:CALENDAR=US&amp;VAR:SYMBOL=698538&amp;VAR:INDEX=0"}</definedName>
    <definedName name="_1514__FDSAUDITLINK__" hidden="1">{"fdsup://directions/FAT Viewer?action=UPDATE&amp;creator=factset&amp;DYN_ARGS=TRUE&amp;DOC_NAME=FAT:FQL_AUDITING_CLIENT_TEMPLATE.FAT&amp;display_string=Audit&amp;VAR:KEY=BCDOVGLIHM&amp;VAR:QUERY=RkZfUkRfRVhQKENBTCwzODM1MiwsLCwp&amp;WINDOW=FIRST_POPUP&amp;HEIGHT=450&amp;WIDTH=450&amp;START_MAXIMI","ZED=FALSE&amp;VAR:CALENDAR=US&amp;VAR:SYMBOL=698538&amp;VAR:INDEX=0"}</definedName>
    <definedName name="_1515__FDSAUDITLINK__" hidden="1">{"fdsup://directions/FAT Viewer?action=UPDATE&amp;creator=factset&amp;DYN_ARGS=TRUE&amp;DOC_NAME=FAT:FQL_AUDITING_CLIENT_TEMPLATE.FAT&amp;display_string=Audit&amp;VAR:KEY=VAVSHGNKLS&amp;VAR:QUERY=RkZfUkRfRVhQKENBTCwzNzk4NiwsLCwp&amp;WINDOW=FIRST_POPUP&amp;HEIGHT=450&amp;WIDTH=450&amp;START_MAXIMI","ZED=FALSE&amp;VAR:CALENDAR=US&amp;VAR:SYMBOL=698538&amp;VAR:INDEX=0"}</definedName>
    <definedName name="_1516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1517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1518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1519__FDSAUDITLINK__" hidden="1">{"fdsup://directions/FAT Viewer?action=UPDATE&amp;creator=factset&amp;DYN_ARGS=TRUE&amp;DOC_NAME=FAT:FQL_AUDITING_CLIENT_TEMPLATE.FAT&amp;display_string=Audit&amp;VAR:KEY=DQXADMHEVC&amp;VAR:QUERY=RkZfUkRfRVhQKENBTCw0MDE3OCwsLCxKUFkp&amp;WINDOW=FIRST_POPUP&amp;HEIGHT=450&amp;WIDTH=450&amp;START_MA","XIMIZED=FALSE&amp;VAR:CALENDAR=US&amp;VAR:SYMBOL=B0J7D9&amp;VAR:INDEX=0"}</definedName>
    <definedName name="_152__FDSAUDITLINK__" hidden="1">{"fdsup://directions/FAT%20Viewer?VAR:TM=NTMA&amp;VAR:PCT=0.123288&amp;VAR:Y0=2007&amp;VAR:Y1=2008&amp;VAR:V0=15.948479&amp;VAR:V1=13.909364&amp;VAR:V=14.132130&amp;VAR:AUDIT_ID=00000117&amp;VAR:DATE=20071116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Aggregates&amp;VAR:MEASURE=PE_MEAN&amp;VAR:CALC_MODE=PORTFOLIO&amp;VAR:CHGPERIOD=NA&amp;VAR:FQLFORMULA=FMA_PE&amp;VAR:CURRENCY=USD&amp;VAR:P=1","458.739300&amp;VAR:THRESH=||||||&amp;VAR:null=.html"}</definedName>
    <definedName name="_1520__FDSAUDITLINK__" hidden="1">{"fdsup://directions/FAT Viewer?action=UPDATE&amp;creator=factset&amp;DYN_ARGS=TRUE&amp;DOC_NAME=FAT:FQL_AUDITING_CLIENT_TEMPLATE.FAT&amp;display_string=Audit&amp;VAR:KEY=TOLORIHYHO&amp;VAR:QUERY=RkZfUkRfRVhQKENBTCwzOTgxMywsLCxKUFkp&amp;WINDOW=FIRST_POPUP&amp;HEIGHT=450&amp;WIDTH=450&amp;START_MA","XIMIZED=FALSE&amp;VAR:CALENDAR=US&amp;VAR:SYMBOL=B0J7D9&amp;VAR:INDEX=0"}</definedName>
    <definedName name="_1521__FDSAUDITLINK__" hidden="1">{"fdsup://directions/FAT Viewer?action=UPDATE&amp;creator=factset&amp;DYN_ARGS=TRUE&amp;DOC_NAME=FAT:FQL_AUDITING_CLIENT_TEMPLATE.FAT&amp;display_string=Audit&amp;VAR:KEY=JOZMPGZMJM&amp;VAR:QUERY=RkZfUkRfRVhQKENBTCwzOTQ0NywsLCxKUFkp&amp;WINDOW=FIRST_POPUP&amp;HEIGHT=450&amp;WIDTH=450&amp;START_MA","XIMIZED=FALSE&amp;VAR:CALENDAR=US&amp;VAR:SYMBOL=B0J7D9&amp;VAR:INDEX=0"}</definedName>
    <definedName name="_1522__FDSAUDITLINK__" hidden="1">{"fdsup://directions/FAT Viewer?action=UPDATE&amp;creator=factset&amp;DYN_ARGS=TRUE&amp;DOC_NAME=FAT:FQL_AUDITING_CLIENT_TEMPLATE.FAT&amp;display_string=Audit&amp;VAR:KEY=NABIRCXULI&amp;VAR:QUERY=RkZfUkRfRVhQKENBTCwzOTA4MiwsLCxKUFkp&amp;WINDOW=FIRST_POPUP&amp;HEIGHT=450&amp;WIDTH=450&amp;START_MA","XIMIZED=FALSE&amp;VAR:CALENDAR=US&amp;VAR:SYMBOL=B0J7D9&amp;VAR:INDEX=0"}</definedName>
    <definedName name="_1523__FDSAUDITLINK__" hidden="1">{"fdsup://directions/FAT Viewer?action=UPDATE&amp;creator=factset&amp;DYN_ARGS=TRUE&amp;DOC_NAME=FAT:FQL_AUDITING_CLIENT_TEMPLATE.FAT&amp;display_string=Audit&amp;VAR:KEY=PKNSHOFKFO&amp;VAR:QUERY=RkZfUkRfRVhQKENBTCwzODcxNywsLCxKUFkp&amp;WINDOW=FIRST_POPUP&amp;HEIGHT=450&amp;WIDTH=450&amp;START_MA","XIMIZED=FALSE&amp;VAR:CALENDAR=US&amp;VAR:SYMBOL=B0J7D9&amp;VAR:INDEX=0"}</definedName>
    <definedName name="_1524__FDSAUDITLINK__" hidden="1">{"fdsup://directions/FAT Viewer?action=UPDATE&amp;creator=factset&amp;DYN_ARGS=TRUE&amp;DOC_NAME=FAT:FQL_AUDITING_CLIENT_TEMPLATE.FAT&amp;display_string=Audit&amp;VAR:KEY=TEXUHKRIJS&amp;VAR:QUERY=RkZfUkRfRVhQKENBTCwzODM1MiwsLCxKUFkp&amp;WINDOW=FIRST_POPUP&amp;HEIGHT=450&amp;WIDTH=450&amp;START_MA","XIMIZED=FALSE&amp;VAR:CALENDAR=US&amp;VAR:SYMBOL=B0J7D9&amp;VAR:INDEX=0"}</definedName>
    <definedName name="_1525__FDSAUDITLINK__" hidden="1">{"fdsup://directions/FAT Viewer?action=UPDATE&amp;creator=factset&amp;DYN_ARGS=TRUE&amp;DOC_NAME=FAT:FQL_AUDITING_CLIENT_TEMPLATE.FAT&amp;display_string=Audit&amp;VAR:KEY=BMDYTORIHY&amp;VAR:QUERY=RkZfUkRfRVhQKENBTCwzNzk4NiwsLCxKUFkp&amp;WINDOW=FIRST_POPUP&amp;HEIGHT=450&amp;WIDTH=450&amp;START_MA","XIMIZED=FALSE&amp;VAR:CALENDAR=US&amp;VAR:SYMBOL=B0J7D9&amp;VAR:INDEX=0"}</definedName>
    <definedName name="_1526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1527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1528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1529__FDSAUDITLINK__" hidden="1">{"fdsup://directions/FAT Viewer?action=UPDATE&amp;creator=factset&amp;DYN_ARGS=TRUE&amp;DOC_NAME=FAT:FQL_AUDITING_CLIENT_TEMPLATE.FAT&amp;display_string=Audit&amp;VAR:KEY=JGFKDSPYPQ&amp;VAR:QUERY=RkZfUkRfRVhQKENBTCwzOTQ0NywsLCwp&amp;WINDOW=FIRST_POPUP&amp;HEIGHT=450&amp;WIDTH=450&amp;START_MAXIMI","ZED=FALSE&amp;VAR:CALENDAR=US&amp;VAR:SYMBOL=AMGN&amp;VAR:INDEX=0"}</definedName>
    <definedName name="_153__FDSAUDITLINK__" hidden="1">{"fdsup://directions/FAT%20Viewer?VAR:TM=NTMA&amp;VAR:PCT=0.142466&amp;VAR:Y0=2007&amp;VAR:Y1=2008&amp;VAR:V0=15.816878&amp;VAR:V1=13.820716&amp;VAR:V=14.073760&amp;VAR:AUDIT_ID=00000117&amp;VAR:DATE=20071109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Aggregates&amp;VAR:MEASURE=PE_MEAN&amp;VAR:CALC_MODE=PORTFOLIO&amp;VAR:CHGPERIOD=NA&amp;VAR:FQLFORMULA=FMA_PE&amp;VAR:CURRENCY=USD&amp;VAR:P=1","453.696300&amp;VAR:THRESH=||||||&amp;VAR:null=.html"}</definedName>
    <definedName name="_1530__FDSAUDITLINK__" hidden="1">{"fdsup://directions/FAT Viewer?action=UPDATE&amp;creator=factset&amp;DYN_ARGS=TRUE&amp;DOC_NAME=FAT:FQL_AUDITING_CLIENT_TEMPLATE.FAT&amp;display_string=Audit&amp;VAR:KEY=PITSZWZGJQ&amp;VAR:QUERY=RkZfUkRfRVhQKENBTCwzOTA4MiwsLCwp&amp;WINDOW=FIRST_POPUP&amp;HEIGHT=450&amp;WIDTH=450&amp;START_MAXIMI","ZED=FALSE&amp;VAR:CALENDAR=US&amp;VAR:SYMBOL=AMGN&amp;VAR:INDEX=0"}</definedName>
    <definedName name="_1531__FDSAUDITLINK__" hidden="1">{"fdsup://directions/FAT Viewer?action=UPDATE&amp;creator=factset&amp;DYN_ARGS=TRUE&amp;DOC_NAME=FAT:FQL_AUDITING_CLIENT_TEMPLATE.FAT&amp;display_string=Audit&amp;VAR:KEY=HKBWVOJSHI&amp;VAR:QUERY=RkZfUkRfRVhQKENBTCwzODcxNywsLCwp&amp;WINDOW=FIRST_POPUP&amp;HEIGHT=450&amp;WIDTH=450&amp;START_MAXIMI","ZED=FALSE&amp;VAR:CALENDAR=US&amp;VAR:SYMBOL=AMGN&amp;VAR:INDEX=0"}</definedName>
    <definedName name="_1532__FDSAUDITLINK__" hidden="1">{"fdsup://directions/FAT Viewer?action=UPDATE&amp;creator=factset&amp;DYN_ARGS=TRUE&amp;DOC_NAME=FAT:FQL_AUDITING_CLIENT_TEMPLATE.FAT&amp;display_string=Audit&amp;VAR:KEY=TUHABOXUJS&amp;VAR:QUERY=RkZfUkRfRVhQKENBTCwzODM1MiwsLCwp&amp;WINDOW=FIRST_POPUP&amp;HEIGHT=450&amp;WIDTH=450&amp;START_MAXIMI","ZED=FALSE&amp;VAR:CALENDAR=US&amp;VAR:SYMBOL=AMGN&amp;VAR:INDEX=0"}</definedName>
    <definedName name="_1533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1534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1535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1536__FDSAUDITLINK__" hidden="1">{"fdsup://directions/FAT Viewer?action=UPDATE&amp;creator=factset&amp;DYN_ARGS=TRUE&amp;DOC_NAME=FAT:FQL_AUDITING_CLIENT_TEMPLATE.FAT&amp;display_string=Audit&amp;VAR:KEY=FSDQDMTKFI&amp;VAR:QUERY=RkZfUkRfRVhQKENBTCwzOTQ0NywsLCwp&amp;WINDOW=FIRST_POPUP&amp;HEIGHT=450&amp;WIDTH=450&amp;START_MAXIMI","ZED=FALSE&amp;VAR:CALENDAR=US&amp;VAR:SYMBOL=ABT&amp;VAR:INDEX=0"}</definedName>
    <definedName name="_1537__FDSAUDITLINK__" hidden="1">{"fdsup://directions/FAT Viewer?action=UPDATE&amp;creator=factset&amp;DYN_ARGS=TRUE&amp;DOC_NAME=FAT:FQL_AUDITING_CLIENT_TEMPLATE.FAT&amp;display_string=Audit&amp;VAR:KEY=DKXQFUXYNQ&amp;VAR:QUERY=RkZfUkRfRVhQKENBTCwzOTA4MiwsLCwp&amp;WINDOW=FIRST_POPUP&amp;HEIGHT=450&amp;WIDTH=450&amp;START_MAXIMI","ZED=FALSE&amp;VAR:CALENDAR=US&amp;VAR:SYMBOL=ABT&amp;VAR:INDEX=0"}</definedName>
    <definedName name="_1538__FDSAUDITLINK__" hidden="1">{"fdsup://directions/FAT Viewer?action=UPDATE&amp;creator=factset&amp;DYN_ARGS=TRUE&amp;DOC_NAME=FAT:FQL_AUDITING_CLIENT_TEMPLATE.FAT&amp;display_string=Audit&amp;VAR:KEY=DCTAJGPGHM&amp;VAR:QUERY=RkZfUkRfRVhQKENBTCwzODcxNywsLCwp&amp;WINDOW=FIRST_POPUP&amp;HEIGHT=450&amp;WIDTH=450&amp;START_MAXIMI","ZED=FALSE&amp;VAR:CALENDAR=US&amp;VAR:SYMBOL=ABT&amp;VAR:INDEX=0"}</definedName>
    <definedName name="_1539__FDSAUDITLINK__" hidden="1">{"fdsup://directions/FAT Viewer?action=UPDATE&amp;creator=factset&amp;DYN_ARGS=TRUE&amp;DOC_NAME=FAT:FQL_AUDITING_CLIENT_TEMPLATE.FAT&amp;display_string=Audit&amp;VAR:KEY=DWROLQJYRO&amp;VAR:QUERY=RkZfUkRfRVhQKENBTCwzODM1MiwsLCwp&amp;WINDOW=FIRST_POPUP&amp;HEIGHT=450&amp;WIDTH=450&amp;START_MAXIMI","ZED=FALSE&amp;VAR:CALENDAR=US&amp;VAR:SYMBOL=ABT&amp;VAR:INDEX=0"}</definedName>
    <definedName name="_154__FDSAUDITLINK__" hidden="1">{"fdsup://directions/FAT%20Viewer?VAR:TM=NTMA&amp;VAR:PCT=0.161644&amp;VAR:Y0=2007&amp;VAR:Y1=2008&amp;VAR:V0=16.182796&amp;VAR:V1=14.339024&amp;VAR:V=14.608057&amp;VAR:AUDIT_ID=00000117&amp;VAR:DATE=20071102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Aggregates&amp;VAR:MEASURE=PE_MEAN&amp;VAR:CALC_MODE=PORTFOLIO&amp;VAR:CHGPERIOD=NA&amp;VAR:FQLFORMULA=FMA_PE&amp;VAR:CURRENCY=USD&amp;VAR:P=1","509.651700&amp;VAR:THRESH=||||||&amp;VAR:null=.html"}</definedName>
    <definedName name="_1540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1541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1542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1543__FDSAUDITLINK__" hidden="1">{"fdsup://directions/FAT Viewer?action=UPDATE&amp;creator=factset&amp;DYN_ARGS=TRUE&amp;DOC_NAME=FAT:FQL_AUDITING_CLIENT_TEMPLATE.FAT&amp;display_string=Audit&amp;VAR:KEY=RSBIBMVATE&amp;VAR:QUERY=RkZfUkRfRVhQKENBTCwzOTQ0NywsLCwp&amp;WINDOW=FIRST_POPUP&amp;HEIGHT=450&amp;WIDTH=450&amp;START_MAXIMI","ZED=FALSE&amp;VAR:CALENDAR=US&amp;VAR:SYMBOL=687044&amp;VAR:INDEX=0"}</definedName>
    <definedName name="_1544__FDSAUDITLINK__" hidden="1">{"fdsup://directions/FAT Viewer?action=UPDATE&amp;creator=factset&amp;DYN_ARGS=TRUE&amp;DOC_NAME=FAT:FQL_AUDITING_CLIENT_TEMPLATE.FAT&amp;display_string=Audit&amp;VAR:KEY=BMBQFCROBS&amp;VAR:QUERY=RkZfUkRfRVhQKENBTCwzOTA4MiwsLCwp&amp;WINDOW=FIRST_POPUP&amp;HEIGHT=450&amp;WIDTH=450&amp;START_MAXIMI","ZED=FALSE&amp;VAR:CALENDAR=US&amp;VAR:SYMBOL=687044&amp;VAR:INDEX=0"}</definedName>
    <definedName name="_1545__FDSAUDITLINK__" hidden="1">{"fdsup://directions/FAT Viewer?action=UPDATE&amp;creator=factset&amp;DYN_ARGS=TRUE&amp;DOC_NAME=FAT:FQL_AUDITING_CLIENT_TEMPLATE.FAT&amp;display_string=Audit&amp;VAR:KEY=PSVODMRWBK&amp;VAR:QUERY=RkZfUkRfRVhQKENBTCwzODcxNywsLCwp&amp;WINDOW=FIRST_POPUP&amp;HEIGHT=450&amp;WIDTH=450&amp;START_MAXIMI","ZED=FALSE&amp;VAR:CALENDAR=US&amp;VAR:SYMBOL=687044&amp;VAR:INDEX=0"}</definedName>
    <definedName name="_1546__FDSAUDITLINK__" hidden="1">{"fdsup://directions/FAT Viewer?action=UPDATE&amp;creator=factset&amp;DYN_ARGS=TRUE&amp;DOC_NAME=FAT:FQL_AUDITING_CLIENT_TEMPLATE.FAT&amp;display_string=Audit&amp;VAR:KEY=XETOTYBIDC&amp;VAR:QUERY=RkZfUkRfRVhQKENBTCwzODM1MiwsLCwp&amp;WINDOW=FIRST_POPUP&amp;HEIGHT=450&amp;WIDTH=450&amp;START_MAXIMI","ZED=FALSE&amp;VAR:CALENDAR=US&amp;VAR:SYMBOL=687044&amp;VAR:INDEX=0"}</definedName>
    <definedName name="_1547__FDSAUDITLINK__" hidden="1">{"fdsup://directions/FAT Viewer?action=UPDATE&amp;creator=factset&amp;DYN_ARGS=TRUE&amp;DOC_NAME=FAT:FQL_AUDITING_CLIENT_TEMPLATE.FAT&amp;display_string=Audit&amp;VAR:KEY=ZYDGDSXIPY&amp;VAR:QUERY=RkZfUkRfRVhQKENBTCwzNzk4NiwsLCwp&amp;WINDOW=FIRST_POPUP&amp;HEIGHT=450&amp;WIDTH=450&amp;START_MAXIMI","ZED=FALSE&amp;VAR:CALENDAR=US&amp;VAR:SYMBOL=687044&amp;VAR:INDEX=0"}</definedName>
    <definedName name="_1548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1549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155__FDSAUDITLINK__" hidden="1">{"fdsup://directions/FAT%20Viewer?VAR:TM=NTMA&amp;VAR:PCT=0.180822&amp;VAR:Y0=2007&amp;VAR:Y1=2008&amp;VAR:V0=16.437965&amp;VAR:V1=14.574603&amp;VAR:V=14.879597&amp;VAR:AUDIT_ID=00000117&amp;VAR:DATE=20071026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Aggregates&amp;VAR:MEASURE=PE_MEAN&amp;VAR:CALC_MODE=PORTFOLIO&amp;VAR:CHGPERIOD=NA&amp;VAR:FQLFORMULA=FMA_PE&amp;VAR:CURRENCY=USD&amp;VAR:P=1","535.277500&amp;VAR:THRESH=||||||&amp;VAR:null=.html"}</definedName>
    <definedName name="_1550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1551__FDSAUDITLINK__" hidden="1">{"fdsup://directions/FAT Viewer?action=UPDATE&amp;creator=factset&amp;DYN_ARGS=TRUE&amp;DOC_NAME=FAT:FQL_AUDITING_CLIENT_TEMPLATE.FAT&amp;display_string=Audit&amp;VAR:KEY=RSXSPYNOFE&amp;VAR:QUERY=RkZfUkRfRVhQKENBTCwzOTQ0NywsLCwp&amp;WINDOW=FIRST_POPUP&amp;HEIGHT=450&amp;WIDTH=450&amp;START_MAXIMI","ZED=FALSE&amp;VAR:CALENDAR=US&amp;VAR:SYMBOL=BMY&amp;VAR:INDEX=0"}</definedName>
    <definedName name="_1552__FDSAUDITLINK__" hidden="1">{"fdsup://directions/FAT Viewer?action=UPDATE&amp;creator=factset&amp;DYN_ARGS=TRUE&amp;DOC_NAME=FAT:FQL_AUDITING_CLIENT_TEMPLATE.FAT&amp;display_string=Audit&amp;VAR:KEY=LKDOVYBADY&amp;VAR:QUERY=RkZfUkRfRVhQKENBTCwzOTA4MiwsLCwp&amp;WINDOW=FIRST_POPUP&amp;HEIGHT=450&amp;WIDTH=450&amp;START_MAXIMI","ZED=FALSE&amp;VAR:CALENDAR=US&amp;VAR:SYMBOL=BMY&amp;VAR:INDEX=0"}</definedName>
    <definedName name="_1553__FDSAUDITLINK__" hidden="1">{"fdsup://directions/FAT Viewer?action=UPDATE&amp;creator=factset&amp;DYN_ARGS=TRUE&amp;DOC_NAME=FAT:FQL_AUDITING_CLIENT_TEMPLATE.FAT&amp;display_string=Audit&amp;VAR:KEY=LQFUHMHSHG&amp;VAR:QUERY=RkZfUkRfRVhQKENBTCwzODcxNywsLCwp&amp;WINDOW=FIRST_POPUP&amp;HEIGHT=450&amp;WIDTH=450&amp;START_MAXIMI","ZED=FALSE&amp;VAR:CALENDAR=US&amp;VAR:SYMBOL=BMY&amp;VAR:INDEX=0"}</definedName>
    <definedName name="_1554__FDSAUDITLINK__" hidden="1">{"fdsup://directions/FAT Viewer?action=UPDATE&amp;creator=factset&amp;DYN_ARGS=TRUE&amp;DOC_NAME=FAT:FQL_AUDITING_CLIENT_TEMPLATE.FAT&amp;display_string=Audit&amp;VAR:KEY=FQBKHMBUDK&amp;VAR:QUERY=RkZfUkRfRVhQKENBTCwzODM1MiwsLCwp&amp;WINDOW=FIRST_POPUP&amp;HEIGHT=450&amp;WIDTH=450&amp;START_MAXIMI","ZED=FALSE&amp;VAR:CALENDAR=US&amp;VAR:SYMBOL=BMY&amp;VAR:INDEX=0"}</definedName>
    <definedName name="_1555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1556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1557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1558__FDSAUDITLINK__" hidden="1">{"fdsup://directions/FAT Viewer?action=UPDATE&amp;creator=factset&amp;DYN_ARGS=TRUE&amp;DOC_NAME=FAT:FQL_AUDITING_CLIENT_TEMPLATE.FAT&amp;display_string=Audit&amp;VAR:KEY=HEPKDCHMJW&amp;VAR:QUERY=RkZfUkRfRVhQKENBTCwzOTQ0NywsLCwp&amp;WINDOW=FIRST_POPUP&amp;HEIGHT=450&amp;WIDTH=450&amp;START_MAXIMI","ZED=FALSE&amp;VAR:CALENDAR=US&amp;VAR:SYMBOL=LLY&amp;VAR:INDEX=0"}</definedName>
    <definedName name="_1559__FDSAUDITLINK__" hidden="1">{"fdsup://directions/FAT Viewer?action=UPDATE&amp;creator=factset&amp;DYN_ARGS=TRUE&amp;DOC_NAME=FAT:FQL_AUDITING_CLIENT_TEMPLATE.FAT&amp;display_string=Audit&amp;VAR:KEY=FENANCDSZW&amp;VAR:QUERY=RkZfUkRfRVhQKENBTCwzOTA4MiwsLCwp&amp;WINDOW=FIRST_POPUP&amp;HEIGHT=450&amp;WIDTH=450&amp;START_MAXIMI","ZED=FALSE&amp;VAR:CALENDAR=US&amp;VAR:SYMBOL=LLY&amp;VAR:INDEX=0"}</definedName>
    <definedName name="_156__FDSAUDITLINK__" hidden="1">{"fdsup://directions/FAT%20Viewer?VAR:TM=NTMA&amp;VAR:PCT=0.200000&amp;VAR:Y0=2007&amp;VAR:Y1=2008&amp;VAR:V0=16.030287&amp;VAR:V1=14.241964&amp;VAR:V=14.566980&amp;VAR:AUDIT_ID=00000117&amp;VAR:DATE=20071019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Aggregates&amp;VAR:MEASURE=PE_MEAN&amp;VAR:CALC_MODE=PORTFOLIO&amp;VAR:CHGPERIOD=NA&amp;VAR:FQLFORMULA=FMA_PE&amp;VAR:CURRENCY=USD&amp;VAR:P=1","500.631000&amp;VAR:THRESH=||||||&amp;VAR:null=.html"}</definedName>
    <definedName name="_1560__FDSAUDITLINK__" hidden="1">{"fdsup://directions/FAT Viewer?action=UPDATE&amp;creator=factset&amp;DYN_ARGS=TRUE&amp;DOC_NAME=FAT:FQL_AUDITING_CLIENT_TEMPLATE.FAT&amp;display_string=Audit&amp;VAR:KEY=BUFUPIJOPY&amp;VAR:QUERY=RkZfUkRfRVhQKENBTCwzODcxNywsLCwp&amp;WINDOW=FIRST_POPUP&amp;HEIGHT=450&amp;WIDTH=450&amp;START_MAXIMI","ZED=FALSE&amp;VAR:CALENDAR=US&amp;VAR:SYMBOL=LLY&amp;VAR:INDEX=0"}</definedName>
    <definedName name="_1561__FDSAUDITLINK__" hidden="1">{"fdsup://directions/FAT Viewer?action=UPDATE&amp;creator=factset&amp;DYN_ARGS=TRUE&amp;DOC_NAME=FAT:FQL_AUDITING_CLIENT_TEMPLATE.FAT&amp;display_string=Audit&amp;VAR:KEY=FITARQDYHC&amp;VAR:QUERY=RkZfUkRfRVhQKENBTCwzODM1MiwsLCwp&amp;WINDOW=FIRST_POPUP&amp;HEIGHT=450&amp;WIDTH=450&amp;START_MAXIMI","ZED=FALSE&amp;VAR:CALENDAR=US&amp;VAR:SYMBOL=LLY&amp;VAR:INDEX=0"}</definedName>
    <definedName name="_1562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1563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1564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1565__FDSAUDITLINK__" hidden="1">{"fdsup://directions/FAT Viewer?action=UPDATE&amp;creator=factset&amp;DYN_ARGS=TRUE&amp;DOC_NAME=FAT:FQL_AUDITING_CLIENT_TEMPLATE.FAT&amp;display_string=Audit&amp;VAR:KEY=RWDWLABEJW&amp;VAR:QUERY=RkZfUkRfRVhQKENBTCwzOTQ0NywsLCwp&amp;WINDOW=FIRST_POPUP&amp;HEIGHT=450&amp;WIDTH=450&amp;START_MAXIMI","ZED=FALSE&amp;VAR:CALENDAR=US&amp;VAR:SYMBOL=506921&amp;VAR:INDEX=0"}</definedName>
    <definedName name="_1566__FDSAUDITLINK__" hidden="1">{"fdsup://directions/FAT Viewer?action=UPDATE&amp;creator=factset&amp;DYN_ARGS=TRUE&amp;DOC_NAME=FAT:FQL_AUDITING_CLIENT_TEMPLATE.FAT&amp;display_string=Audit&amp;VAR:KEY=FGJCBIHEHA&amp;VAR:QUERY=RkZfUkRfRVhQKENBTCwzOTA4MiwsLCwp&amp;WINDOW=FIRST_POPUP&amp;HEIGHT=450&amp;WIDTH=450&amp;START_MAXIMI","ZED=FALSE&amp;VAR:CALENDAR=US&amp;VAR:SYMBOL=506921&amp;VAR:INDEX=0"}</definedName>
    <definedName name="_1567__FDSAUDITLINK__" hidden="1">{"fdsup://directions/FAT Viewer?action=UPDATE&amp;creator=factset&amp;DYN_ARGS=TRUE&amp;DOC_NAME=FAT:FQL_AUDITING_CLIENT_TEMPLATE.FAT&amp;display_string=Audit&amp;VAR:KEY=BYZCRITIBW&amp;VAR:QUERY=RkZfUkRfRVhQKENBTCwzODcxNywsLCwp&amp;WINDOW=FIRST_POPUP&amp;HEIGHT=450&amp;WIDTH=450&amp;START_MAXIMI","ZED=FALSE&amp;VAR:CALENDAR=US&amp;VAR:SYMBOL=506921&amp;VAR:INDEX=0"}</definedName>
    <definedName name="_1568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1569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157__FDSAUDITLINK__" hidden="1">{"fdsup://directions/FAT%20Viewer?VAR:TM=NTMA&amp;VAR:PCT=0.219178&amp;VAR:Y0=2007&amp;VAR:Y1=2008&amp;VAR:V0=16.650010&amp;VAR:V1=14.782745&amp;VAR:V=15.155267&amp;VAR:AUDIT_ID=00000117&amp;VAR:DATE=20071012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Aggregates&amp;VAR:MEASURE=PE_MEAN&amp;VAR:CALC_MODE=PORTFOLIO&amp;VAR:CHGPERIOD=NA&amp;VAR:FQLFORMULA=FMA_PE&amp;VAR:CURRENCY=USD&amp;VAR:P=1","561.800700&amp;VAR:THRESH=||||||&amp;VAR:null=.html"}</definedName>
    <definedName name="_1570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1571__FDSAUDITLINK__" hidden="1">{"fdsup://directions/FAT Viewer?action=UPDATE&amp;creator=factset&amp;DYN_ARGS=TRUE&amp;DOC_NAME=FAT:FQL_AUDITING_CLIENT_TEMPLATE.FAT&amp;display_string=Audit&amp;VAR:KEY=RWLEDIBETI&amp;VAR:QUERY=RkZfUkRfRVhQKENBTCwzOTQ0NywsLCwp&amp;WINDOW=FIRST_POPUP&amp;HEIGHT=450&amp;WIDTH=450&amp;START_MAXIMI","ZED=FALSE&amp;VAR:CALENDAR=US&amp;VAR:SYMBOL=567173&amp;VAR:INDEX=0"}</definedName>
    <definedName name="_1572__FDSAUDITLINK__" hidden="1">{"fdsup://directions/FAT Viewer?action=UPDATE&amp;creator=factset&amp;DYN_ARGS=TRUE&amp;DOC_NAME=FAT:FQL_AUDITING_CLIENT_TEMPLATE.FAT&amp;display_string=Audit&amp;VAR:KEY=VWPMVGBIVA&amp;VAR:QUERY=RkZfUkRfRVhQKENBTCwzOTA4MiwsLCwp&amp;WINDOW=FIRST_POPUP&amp;HEIGHT=450&amp;WIDTH=450&amp;START_MAXIMI","ZED=FALSE&amp;VAR:CALENDAR=US&amp;VAR:SYMBOL=567173&amp;VAR:INDEX=0"}</definedName>
    <definedName name="_1573__FDSAUDITLINK__" hidden="1">{"fdsup://directions/FAT Viewer?action=UPDATE&amp;creator=factset&amp;DYN_ARGS=TRUE&amp;DOC_NAME=FAT:FQL_AUDITING_CLIENT_TEMPLATE.FAT&amp;display_string=Audit&amp;VAR:KEY=ZGNEJWTYPU&amp;VAR:QUERY=RkZfUkRfRVhQKENBTCwzODcxNywsLCwp&amp;WINDOW=FIRST_POPUP&amp;HEIGHT=450&amp;WIDTH=450&amp;START_MAXIMI","ZED=FALSE&amp;VAR:CALENDAR=US&amp;VAR:SYMBOL=567173&amp;VAR:INDEX=0"}</definedName>
    <definedName name="_1574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1575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1576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1577__FDSAUDITLINK__" hidden="1">{"fdsup://directions/FAT Viewer?action=UPDATE&amp;creator=factset&amp;DYN_ARGS=TRUE&amp;DOC_NAME=FAT:FQL_AUDITING_CLIENT_TEMPLATE.FAT&amp;display_string=Audit&amp;VAR:KEY=FYLUREVORG&amp;VAR:QUERY=RkZfUkRfRVhQKENBTCwzOTQ0NywsLCwp&amp;WINDOW=FIRST_POPUP&amp;HEIGHT=450&amp;WIDTH=450&amp;START_MAXIMI","ZED=FALSE&amp;VAR:CALENDAR=US&amp;VAR:SYMBOL=JNJ&amp;VAR:INDEX=0"}</definedName>
    <definedName name="_1578__FDSAUDITLINK__" hidden="1">{"fdsup://directions/FAT Viewer?action=UPDATE&amp;creator=factset&amp;DYN_ARGS=TRUE&amp;DOC_NAME=FAT:FQL_AUDITING_CLIENT_TEMPLATE.FAT&amp;display_string=Audit&amp;VAR:KEY=BUPWHWVEFO&amp;VAR:QUERY=RkZfUkRfRVhQKENBTCwzOTA4MiwsLCwp&amp;WINDOW=FIRST_POPUP&amp;HEIGHT=450&amp;WIDTH=450&amp;START_MAXIMI","ZED=FALSE&amp;VAR:CALENDAR=US&amp;VAR:SYMBOL=JNJ&amp;VAR:INDEX=0"}</definedName>
    <definedName name="_1579__FDSAUDITLINK__" hidden="1">{"fdsup://directions/FAT Viewer?action=UPDATE&amp;creator=factset&amp;DYN_ARGS=TRUE&amp;DOC_NAME=FAT:FQL_AUDITING_CLIENT_TEMPLATE.FAT&amp;display_string=Audit&amp;VAR:KEY=BIZGFAZSLE&amp;VAR:QUERY=RkZfUkRfRVhQKENBTCwzODcxNywsLCwp&amp;WINDOW=FIRST_POPUP&amp;HEIGHT=450&amp;WIDTH=450&amp;START_MAXIMI","ZED=FALSE&amp;VAR:CALENDAR=US&amp;VAR:SYMBOL=JNJ&amp;VAR:INDEX=0"}</definedName>
    <definedName name="_158__FDSAUDITLINK__" hidden="1">{"fdsup://directions/FAT%20Viewer?VAR:TM=NTMA&amp;VAR:PCT=0.238356&amp;VAR:Y0=2007&amp;VAR:Y1=2008&amp;VAR:V0=16.543629&amp;VAR:V1=14.733152&amp;VAR:V=15.127758&amp;VAR:AUDIT_ID=00000117&amp;VAR:DATE=20071005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Aggregates&amp;VAR:MEASURE=PE_MEAN&amp;VAR:CALC_MODE=PORTFOLIO&amp;VAR:CHGPERIOD=NA&amp;VAR:FQLFORMULA=FMA_PE&amp;VAR:CURRENCY=USD&amp;VAR:P=1","557.593100&amp;VAR:THRESH=||||||&amp;VAR:null=.html"}</definedName>
    <definedName name="_1580__FDSAUDITLINK__" hidden="1">{"fdsup://directions/FAT Viewer?action=UPDATE&amp;creator=factset&amp;DYN_ARGS=TRUE&amp;DOC_NAME=FAT:FQL_AUDITING_CLIENT_TEMPLATE.FAT&amp;display_string=Audit&amp;VAR:KEY=FQZEXGVUHG&amp;VAR:QUERY=RkZfUkRfRVhQKENBTCwzODM1MiwsLCwp&amp;WINDOW=FIRST_POPUP&amp;HEIGHT=450&amp;WIDTH=450&amp;START_MAXIMI","ZED=FALSE&amp;VAR:CALENDAR=US&amp;VAR:SYMBOL=JNJ&amp;VAR:INDEX=0"}</definedName>
    <definedName name="_1581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1582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1583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1584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1585__FDSAUDITLINK__" hidden="1">{"fdsup://directions/FAT Viewer?action=UPDATE&amp;creator=factset&amp;DYN_ARGS=TRUE&amp;DOC_NAME=FAT:FQL_AUDITING_CLIENT_TEMPLATE.FAT&amp;display_string=Audit&amp;VAR:KEY=BAPYPCNOVG&amp;VAR:QUERY=RkZfUkRfRVhQKENBTCwzOTA4MiwsLCwp&amp;WINDOW=FIRST_POPUP&amp;HEIGHT=450&amp;WIDTH=450&amp;START_MAXIMI","ZED=FALSE&amp;VAR:CALENDAR=US&amp;VAR:SYMBOL=710306&amp;VAR:INDEX=0"}</definedName>
    <definedName name="_1586__FDSAUDITLINK__" hidden="1">{"fdsup://directions/FAT Viewer?action=UPDATE&amp;creator=factset&amp;DYN_ARGS=TRUE&amp;DOC_NAME=FAT:FQL_AUDITING_CLIENT_TEMPLATE.FAT&amp;display_string=Audit&amp;VAR:KEY=VKXURALSNK&amp;VAR:QUERY=RkZfUkRfRVhQKENBTCwzODcxNywsLCwp&amp;WINDOW=FIRST_POPUP&amp;HEIGHT=450&amp;WIDTH=450&amp;START_MAXIMI","ZED=FALSE&amp;VAR:CALENDAR=US&amp;VAR:SYMBOL=710306&amp;VAR:INDEX=0"}</definedName>
    <definedName name="_1587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1588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1589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159__FDSAUDITLINK__" hidden="1">{"fdsup://directions/FAT%20Viewer?VAR:TM=NTMA&amp;VAR:PCT=0.257534&amp;VAR:Y0=2007&amp;VAR:Y1=2008&amp;VAR:V0=16.091827&amp;VAR:V1=14.419194&amp;VAR:V=14.815796&amp;VAR:AUDIT_ID=00000117&amp;VAR:DATE=20070928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Aggregates&amp;VAR:MEASURE=PE_MEAN&amp;VAR:CALC_MODE=PORTFOLIO&amp;VAR:CHGPERIOD=NA&amp;VAR:FQLFORMULA=FMA_PE&amp;VAR:CURRENCY=USD&amp;VAR:P=1","526.746700&amp;VAR:THRESH=||||||&amp;VAR:null=.html"}</definedName>
    <definedName name="_1590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1591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1592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1593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1594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1595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1596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1597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1598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1599__FDSAUDITLINK__" hidden="1">{"fdsup://directions/FAT Viewer?action=UPDATE&amp;creator=factset&amp;DYN_ARGS=TRUE&amp;DOC_NAME=FAT:FQL_AUDITING_CLIENT_TEMPLATE.FAT&amp;display_string=Audit&amp;VAR:KEY=LSNMLEBONA&amp;VAR:QUERY=RkZfUkRfRVhQKENBTCwzOTQ0NywsLCwp&amp;WINDOW=FIRST_POPUP&amp;HEIGHT=450&amp;WIDTH=450&amp;START_MAXIMI","ZED=FALSE&amp;VAR:CALENDAR=US&amp;VAR:SYMBOL=MRK&amp;VAR:INDEX=0"}</definedName>
    <definedName name="_16__FDSAUDITLINK__" hidden="1">{"fdsup://directions/FAT%20Viewer?VAR:TM=NTMA&amp;VAR:PCT=0.517808&amp;VAR:Y0=2010&amp;VAR:Y1=2011&amp;VAR:V0=13.097696&amp;VAR:V1=11.139990&amp;VAR:V=12.074516&amp;VAR:AUDIT_ID=00000117&amp;VAR:DATE=20100625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Aggregates&amp;VAR:MEASURE=PE_MEAN&amp;VAR:CALC_MODE=PORTFOLIO&amp;VAR:CHGPERIOD=NA&amp;VAR:FQLFORMULA=FMA_PE&amp;VAR:CURRENCY=USD&amp;VAR:P=1","076.764638&amp;VAR:THRESH=||||||&amp;VAR:null=.html"}</definedName>
    <definedName name="_160__FDSAUDITLINK__" hidden="1">{"fdsup://directions/FAT%20Viewer?VAR:TM=NTMA&amp;VAR:PCT=0.276712&amp;VAR:Y0=2007&amp;VAR:Y1=2008&amp;VAR:V0=16.058249&amp;VAR:V1=14.408971&amp;VAR:V=14.830453&amp;VAR:AUDIT_ID=00000117&amp;VAR:DATE=20070921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Aggregates&amp;VAR:MEASURE=PE_MEAN&amp;VAR:CALC_MODE=PORTFOLIO&amp;VAR:CHGPERIOD=NA&amp;VAR:FQLFORMULA=FMA_PE&amp;VAR:CURRENCY=USD&amp;VAR:P=1","525.749000&amp;VAR:THRESH=||||||&amp;VAR:null=.html"}</definedName>
    <definedName name="_1600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1601__FDSAUDITLINK__" hidden="1">{"fdsup://directions/FAT Viewer?action=UPDATE&amp;creator=factset&amp;DYN_ARGS=TRUE&amp;DOC_NAME=FAT:FQL_AUDITING_CLIENT_TEMPLATE.FAT&amp;display_string=Audit&amp;VAR:KEY=NMHYXIZERM&amp;VAR:QUERY=RkZfUkRfRVhQKENBTCwzOTA4MiwsLCwp&amp;WINDOW=FIRST_POPUP&amp;HEIGHT=450&amp;WIDTH=450&amp;START_MAXIMI","ZED=FALSE&amp;VAR:CALENDAR=US&amp;VAR:SYMBOL=MRK&amp;VAR:INDEX=0"}</definedName>
    <definedName name="_1602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1603__FDSAUDITLINK__" hidden="1">{"fdsup://directions/FAT Viewer?action=UPDATE&amp;creator=factset&amp;DYN_ARGS=TRUE&amp;DOC_NAME=FAT:FQL_AUDITING_CLIENT_TEMPLATE.FAT&amp;display_string=Audit&amp;VAR:KEY=HIHQXGPWVE&amp;VAR:QUERY=RkZfUkRfRVhQKENBTCwzODcxNywsLCwp&amp;WINDOW=FIRST_POPUP&amp;HEIGHT=450&amp;WIDTH=450&amp;START_MAXIMI","ZED=FALSE&amp;VAR:CALENDAR=US&amp;VAR:SYMBOL=MRK&amp;VAR:INDEX=0"}</definedName>
    <definedName name="_1604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1605__FDSAUDITLINK__" hidden="1">{"fdsup://directions/FAT Viewer?action=UPDATE&amp;creator=factset&amp;DYN_ARGS=TRUE&amp;DOC_NAME=FAT:FQL_AUDITING_CLIENT_TEMPLATE.FAT&amp;display_string=Audit&amp;VAR:KEY=BILIDIROZO&amp;VAR:QUERY=RkZfUkRfRVhQKENBTCwzODM1MiwsLCwp&amp;WINDOW=FIRST_POPUP&amp;HEIGHT=450&amp;WIDTH=450&amp;START_MAXIMI","ZED=FALSE&amp;VAR:CALENDAR=US&amp;VAR:SYMBOL=MRK&amp;VAR:INDEX=0"}</definedName>
    <definedName name="_1606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1607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1608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1609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161__FDSAUDITLINK__" hidden="1">{"fdsup://directions/FAT%20Viewer?VAR:TM=NTMA&amp;VAR:PCT=0.295890&amp;VAR:Y0=2007&amp;VAR:Y1=2008&amp;VAR:V0=15.593051&amp;VAR:V1=13.999429&amp;VAR:V=14.435976&amp;VAR:AUDIT_ID=00000117&amp;VAR:DATE=20070914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Aggregates&amp;VAR:MEASURE=PE_MEAN&amp;VAR:CALC_MODE=PORTFOLIO&amp;VAR:CHGPERIOD=NA&amp;VAR:FQLFORMULA=FMA_PE&amp;VAR:CURRENCY=USD&amp;VAR:P=1","484.254300&amp;VAR:THRESH=||||||&amp;VAR:null=.html"}</definedName>
    <definedName name="_1610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1611__FDSAUDITLINK__" hidden="1">{"fdsup://directions/FAT Viewer?action=UPDATE&amp;creator=factset&amp;DYN_ARGS=TRUE&amp;DOC_NAME=FAT:FQL_AUDITING_CLIENT_TEMPLATE.FAT&amp;display_string=Audit&amp;VAR:KEY=TEDKTITIXA&amp;VAR:QUERY=RkZfUkRfRVhQKENBTCwzOTQ0NywsLCwp&amp;WINDOW=FIRST_POPUP&amp;HEIGHT=450&amp;WIDTH=450&amp;START_MAXIMI","ZED=FALSE&amp;VAR:CALENDAR=US&amp;VAR:SYMBOL=PFE&amp;VAR:INDEX=0"}</definedName>
    <definedName name="_1612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1613__FDSAUDITLINK__" hidden="1">{"fdsup://directions/FAT Viewer?action=UPDATE&amp;creator=factset&amp;DYN_ARGS=TRUE&amp;DOC_NAME=FAT:FQL_AUDITING_CLIENT_TEMPLATE.FAT&amp;display_string=Audit&amp;VAR:KEY=VOPUPSJQLI&amp;VAR:QUERY=RkZfUkRfRVhQKENBTCwzOTA4MiwsLCwp&amp;WINDOW=FIRST_POPUP&amp;HEIGHT=450&amp;WIDTH=450&amp;START_MAXIMI","ZED=FALSE&amp;VAR:CALENDAR=US&amp;VAR:SYMBOL=PFE&amp;VAR:INDEX=0"}</definedName>
    <definedName name="_1614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1615__FDSAUDITLINK__" hidden="1">{"fdsup://directions/FAT Viewer?action=UPDATE&amp;creator=factset&amp;DYN_ARGS=TRUE&amp;DOC_NAME=FAT:FQL_AUDITING_CLIENT_TEMPLATE.FAT&amp;display_string=Audit&amp;VAR:KEY=DUZANORCZM&amp;VAR:QUERY=RkZfUkRfRVhQKENBTCwzODcxNywsLCwp&amp;WINDOW=FIRST_POPUP&amp;HEIGHT=450&amp;WIDTH=450&amp;START_MAXIMI","ZED=FALSE&amp;VAR:CALENDAR=US&amp;VAR:SYMBOL=PFE&amp;VAR:INDEX=0"}</definedName>
    <definedName name="_1616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1617__FDSAUDITLINK__" hidden="1">{"fdsup://directions/FAT Viewer?action=UPDATE&amp;creator=factset&amp;DYN_ARGS=TRUE&amp;DOC_NAME=FAT:FQL_AUDITING_CLIENT_TEMPLATE.FAT&amp;display_string=Audit&amp;VAR:KEY=BETMVWVSBG&amp;VAR:QUERY=RkZfUkRfRVhQKENBTCwzODM1MiwsLCwp&amp;WINDOW=FIRST_POPUP&amp;HEIGHT=450&amp;WIDTH=450&amp;START_MAXIMI","ZED=FALSE&amp;VAR:CALENDAR=US&amp;VAR:SYMBOL=PFE&amp;VAR:INDEX=0"}</definedName>
    <definedName name="_1618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1619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162__FDSAUDITLINK__" hidden="1">{"fdsup://directions/FAT%20Viewer?VAR:TM=NTMA&amp;VAR:PCT=0.315068&amp;VAR:Y0=2007&amp;VAR:Y1=2008&amp;VAR:V0=15.237577&amp;VAR:V1=13.681131&amp;VAR:V=14.136069&amp;VAR:AUDIT_ID=00000117&amp;VAR:DATE=20070907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Aggregates&amp;VAR:MEASURE=PE_MEAN&amp;VAR:CALC_MODE=PORTFOLIO&amp;VAR:CHGPERIOD=NA&amp;VAR:FQLFORMULA=FMA_PE&amp;VAR:CURRENCY=USD&amp;VAR:P=1","453.552600&amp;VAR:THRESH=||||||&amp;VAR:null=.html"}</definedName>
    <definedName name="_1620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1621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1622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1623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1624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1625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1626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1627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1628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1629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163__FDSAUDITLINK__" hidden="1">{"fdsup://directions/FAT%20Viewer?VAR:TM=NTMA&amp;VAR:PCT=0.334247&amp;VAR:Y0=2007&amp;VAR:Y1=2008&amp;VAR:V0=15.436054&amp;VAR:V1=13.856543&amp;VAR:V=14.347250&amp;VAR:AUDIT_ID=00000117&amp;VAR:DATE=20070831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Aggregates&amp;VAR:MEASURE=PE_MEAN&amp;VAR:CALC_MODE=PORTFOLIO&amp;VAR:CHGPERIOD=NA&amp;VAR:FQLFORMULA=FMA_PE&amp;VAR:CURRENCY=USD&amp;VAR:P=1","473.987900&amp;VAR:THRESH=||||||&amp;VAR:null=.html"}</definedName>
    <definedName name="_1630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1631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1632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1633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1634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1635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1636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1637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1638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1639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164__FDSAUDITLINK__" hidden="1">{"fdsup://directions/FAT%20Viewer?VAR:TM=NTMA&amp;VAR:PCT=0.353425&amp;VAR:Y0=2007&amp;VAR:Y1=2008&amp;VAR:V0=15.478256&amp;VAR:V1=13.902472&amp;VAR:V=14.421365&amp;VAR:AUDIT_ID=00000117&amp;VAR:DATE=20070824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Aggregates&amp;VAR:MEASURE=PE_MEAN&amp;VAR:CALC_MODE=PORTFOLIO&amp;VAR:CHGPERIOD=NA&amp;VAR:FQLFORMULA=FMA_PE&amp;VAR:CURRENCY=USD&amp;VAR:P=1","479.366100&amp;VAR:THRESH=||||||&amp;VAR:null=.html"}</definedName>
    <definedName name="_1640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1641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1642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1643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1644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1645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1646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1647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1648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1649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165__FDSAUDITLINK__" hidden="1">{"fdsup://directions/FAT%20Viewer?VAR:TM=NTMA&amp;VAR:PCT=0.372603&amp;VAR:Y0=2007&amp;VAR:Y1=2008&amp;VAR:V0=15.125785&amp;VAR:V1=13.583673&amp;VAR:V=14.120063&amp;VAR:AUDIT_ID=00000117&amp;VAR:DATE=20070817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Aggregates&amp;VAR:MEASURE=PE_MEAN&amp;VAR:CALC_MODE=PORTFOLIO&amp;VAR:CHGPERIOD=NA&amp;VAR:FQLFORMULA=FMA_PE&amp;VAR:CURRENCY=USD&amp;VAR:P=1","445.943200&amp;VAR:THRESH=||||||&amp;VAR:null=.html"}</definedName>
    <definedName name="_1650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1651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1652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1653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1654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1655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1656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1657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1658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1659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166__FDSAUDITLINK__" hidden="1">{"fdsup://directions/FAT%20Viewer?VAR:TM=NTMA&amp;VAR:PCT=0.391781&amp;VAR:Y0=2007&amp;VAR:Y1=2008&amp;VAR:V0=15.198924&amp;VAR:V1=13.659029&amp;VAR:V=14.223617&amp;VAR:AUDIT_ID=00000117&amp;VAR:DATE=20070810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Aggregates&amp;VAR:MEASURE=PE_MEAN&amp;VAR:CALC_MODE=PORTFOLIO&amp;VAR:CHGPERIOD=NA&amp;VAR:FQLFORMULA=FMA_PE&amp;VAR:CURRENCY=USD&amp;VAR:P=1","453.639400&amp;VAR:THRESH=||||||&amp;VAR:null=.html"}</definedName>
    <definedName name="_1660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1661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1662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1663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1664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1665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1666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1667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1668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1669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167__FDSAUDITLINK__" hidden="1">{"fdsup://directions/FAT%20Viewer?VAR:TM=NTMA&amp;VAR:PCT=0.410959&amp;VAR:Y0=2007&amp;VAR:Y1=2008&amp;VAR:V0=14.976248&amp;VAR:V1=13.455192&amp;VAR:V=14.041258&amp;VAR:AUDIT_ID=00000117&amp;VAR:DATE=20070803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Aggregates&amp;VAR:MEASURE=PE_MEAN&amp;VAR:CALC_MODE=PORTFOLIO&amp;VAR:CHGPERIOD=NA&amp;VAR:FQLFORMULA=FMA_PE&amp;VAR:CURRENCY=USD&amp;VAR:P=1","433.057900&amp;VAR:THRESH=||||||&amp;VAR:null=.html"}</definedName>
    <definedName name="_1670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1671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1672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1673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1674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1675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1676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1677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1678__FDSAUDITLINK__" hidden="1">{"fdsup://directions/FAT Viewer?action=UPDATE&amp;creator=factset&amp;DYN_ARGS=TRUE&amp;DOC_NAME=FAT:FQL_AUDITING_CLIENT_TEMPLATE.FAT&amp;display_string=Audit&amp;VAR:KEY=LYPQBETAZS&amp;VAR:QUERY=RkZfU0FMRVMoQ0FMLDM5NDQ3LCwsLCk=&amp;WINDOW=FIRST_POPUP&amp;HEIGHT=450&amp;WIDTH=450&amp;START_MAXIMI","ZED=FALSE&amp;VAR:CALENDAR=US&amp;VAR:SYMBOL=BIIB&amp;VAR:INDEX=0"}</definedName>
    <definedName name="_1679__FDSAUDITLINK__" hidden="1">{"fdsup://directions/FAT Viewer?action=UPDATE&amp;creator=factset&amp;DYN_ARGS=TRUE&amp;DOC_NAME=FAT:FQL_AUDITING_CLIENT_TEMPLATE.FAT&amp;display_string=Audit&amp;VAR:KEY=ZELAFGHURE&amp;VAR:QUERY=RkZfU0FMRVMoQ0FMLDM5MDgyLCwsLCk=&amp;WINDOW=FIRST_POPUP&amp;HEIGHT=450&amp;WIDTH=450&amp;START_MAXIMI","ZED=FALSE&amp;VAR:CALENDAR=US&amp;VAR:SYMBOL=BIIB&amp;VAR:INDEX=0"}</definedName>
    <definedName name="_168__FDSAUDITLINK__" hidden="1">{"fdsup://directions/FAT%20Viewer?VAR:TM=NTMA&amp;VAR:PCT=0.430137&amp;VAR:Y0=2007&amp;VAR:Y1=2008&amp;VAR:V0=15.296671&amp;VAR:V1=13.725448&amp;VAR:V=14.359901&amp;VAR:AUDIT_ID=00000117&amp;VAR:DATE=20070727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Aggregates&amp;VAR:MEASURE=PE_MEAN&amp;VAR:CALC_MODE=PORTFOLIO&amp;VAR:CHGPERIOD=NA&amp;VAR:FQLFORMULA=FMA_PE&amp;VAR:CURRENCY=USD&amp;VAR:P=1","458.951900&amp;VAR:THRESH=||||||&amp;VAR:null=.html"}</definedName>
    <definedName name="_1680__FDSAUDITLINK__" hidden="1">{"fdsup://directions/FAT Viewer?action=UPDATE&amp;creator=factset&amp;DYN_ARGS=TRUE&amp;DOC_NAME=FAT:FQL_AUDITING_CLIENT_TEMPLATE.FAT&amp;display_string=Audit&amp;VAR:KEY=JEJEDARGZU&amp;VAR:QUERY=RkZfU0FMRVMoQ0FMLDM4NzE3LCwsLCk=&amp;WINDOW=FIRST_POPUP&amp;HEIGHT=450&amp;WIDTH=450&amp;START_MAXIMI","ZED=FALSE&amp;VAR:CALENDAR=US&amp;VAR:SYMBOL=BIIB&amp;VAR:INDEX=0"}</definedName>
    <definedName name="_1681__FDSAUDITLINK__" hidden="1">{"fdsup://directions/FAT Viewer?action=UPDATE&amp;creator=factset&amp;DYN_ARGS=TRUE&amp;DOC_NAME=FAT:FQL_AUDITING_CLIENT_TEMPLATE.FAT&amp;display_string=Audit&amp;VAR:KEY=BGRMFOVODW&amp;VAR:QUERY=RkZfU0FMRVMoQ0FMLDM4MzUyLCwsLCk=&amp;WINDOW=FIRST_POPUP&amp;HEIGHT=450&amp;WIDTH=450&amp;START_MAXIMI","ZED=FALSE&amp;VAR:CALENDAR=US&amp;VAR:SYMBOL=BIIB&amp;VAR:INDEX=0"}</definedName>
    <definedName name="_1682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1683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1684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1685__FDSAUDITLINK__" hidden="1">{"fdsup://directions/FAT Viewer?action=UPDATE&amp;creator=factset&amp;DYN_ARGS=TRUE&amp;DOC_NAME=FAT:FQL_AUDITING_CLIENT_TEMPLATE.FAT&amp;display_string=Audit&amp;VAR:KEY=VWHYNKZKRG&amp;VAR:QUERY=RkZfU0FMRVMoQ0FMLDM5NDQ3LCwsLCk=&amp;WINDOW=FIRST_POPUP&amp;HEIGHT=450&amp;WIDTH=450&amp;START_MAXIMI","ZED=FALSE&amp;VAR:CALENDAR=US&amp;VAR:SYMBOL=707752&amp;VAR:INDEX=0"}</definedName>
    <definedName name="_1686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1687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1688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1689__FDSAUDITLINK__" hidden="1">{"fdsup://directions/FAT Viewer?action=UPDATE&amp;creator=factset&amp;DYN_ARGS=TRUE&amp;DOC_NAME=FAT:FQL_AUDITING_CLIENT_TEMPLATE.FAT&amp;display_string=Audit&amp;VAR:KEY=RYPORYFIJI&amp;VAR:QUERY=RkZfU0FMRVMoQ0FMLDM5NDQ3LCwsLCk=&amp;WINDOW=FIRST_POPUP&amp;HEIGHT=450&amp;WIDTH=450&amp;START_MAXIMI","ZED=FALSE&amp;VAR:CALENDAR=US&amp;VAR:SYMBOL=630720&amp;VAR:INDEX=0"}</definedName>
    <definedName name="_169__FDSAUDITLINK__" hidden="1">{"fdsup://directions/FAT%20Viewer?VAR:TM=NTMA&amp;VAR:PCT=0.449315&amp;VAR:Y0=2007&amp;VAR:Y1=2008&amp;VAR:V0=16.139261&amp;VAR:V1=14.481765&amp;VAR:V=15.182347&amp;VAR:AUDIT_ID=00000117&amp;VAR:DATE=20070720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Aggregates&amp;VAR:MEASURE=PE_MEAN&amp;VAR:CALC_MODE=PORTFOLIO&amp;VAR:CHGPERIOD=NA&amp;VAR:FQLFORMULA=FMA_PE&amp;VAR:CURRENCY=USD&amp;VAR:P=1","534.095200&amp;VAR:THRESH=||||||&amp;VAR:null=.html"}</definedName>
    <definedName name="_1690__FDSAUDITLINK__" hidden="1">{"fdsup://directions/FAT Viewer?action=UPDATE&amp;creator=factset&amp;DYN_ARGS=TRUE&amp;DOC_NAME=FAT:FQL_AUDITING_CLIENT_TEMPLATE.FAT&amp;display_string=Audit&amp;VAR:KEY=XOXAFQPQBU&amp;VAR:QUERY=RkZfU0FMRVMoQ0FMLDM5MDgyLCwsLCk=&amp;WINDOW=FIRST_POPUP&amp;HEIGHT=450&amp;WIDTH=450&amp;START_MAXIMI","ZED=FALSE&amp;VAR:CALENDAR=US&amp;VAR:SYMBOL=630720&amp;VAR:INDEX=0"}</definedName>
    <definedName name="_1691__FDSAUDITLINK__" hidden="1">{"fdsup://directions/FAT Viewer?action=UPDATE&amp;creator=factset&amp;DYN_ARGS=TRUE&amp;DOC_NAME=FAT:FQL_AUDITING_CLIENT_TEMPLATE.FAT&amp;display_string=Audit&amp;VAR:KEY=RWPCRWLQPE&amp;VAR:QUERY=RkZfU0FMRVMoQ0FMLDM4NzE3LCwsLCk=&amp;WINDOW=FIRST_POPUP&amp;HEIGHT=450&amp;WIDTH=450&amp;START_MAXIMI","ZED=FALSE&amp;VAR:CALENDAR=US&amp;VAR:SYMBOL=630720&amp;VAR:INDEX=0"}</definedName>
    <definedName name="_1692__FDSAUDITLINK__" hidden="1">{"fdsup://directions/FAT Viewer?action=UPDATE&amp;creator=factset&amp;DYN_ARGS=TRUE&amp;DOC_NAME=FAT:FQL_AUDITING_CLIENT_TEMPLATE.FAT&amp;display_string=Audit&amp;VAR:KEY=HMVSNIBYDY&amp;VAR:QUERY=RkZfU0FMRVMoQ0FMLDM4MzUyLCwsLCk=&amp;WINDOW=FIRST_POPUP&amp;HEIGHT=450&amp;WIDTH=450&amp;START_MAXIMI","ZED=FALSE&amp;VAR:CALENDAR=US&amp;VAR:SYMBOL=630720&amp;VAR:INDEX=0"}</definedName>
    <definedName name="_1693__FDSAUDITLINK__" hidden="1">{"fdsup://directions/FAT Viewer?action=UPDATE&amp;creator=factset&amp;DYN_ARGS=TRUE&amp;DOC_NAME=FAT:FQL_AUDITING_CLIENT_TEMPLATE.FAT&amp;display_string=Audit&amp;VAR:KEY=FMVKVUFQTO&amp;VAR:QUERY=RkZfU0FMRVMoQ0FMLDM3OTg2LCwsLCk=&amp;WINDOW=FIRST_POPUP&amp;HEIGHT=450&amp;WIDTH=450&amp;START_MAXIMI","ZED=FALSE&amp;VAR:CALENDAR=US&amp;VAR:SYMBOL=630720&amp;VAR:INDEX=0"}</definedName>
    <definedName name="_1694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1695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1696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1697__FDSAUDITLINK__" hidden="1">{"fdsup://directions/FAT Viewer?action=UPDATE&amp;creator=factset&amp;DYN_ARGS=TRUE&amp;DOC_NAME=FAT:FQL_AUDITING_CLIENT_TEMPLATE.FAT&amp;display_string=Audit&amp;VAR:KEY=NGFQXAXQVY&amp;VAR:QUERY=RkZfU0FMRVMoQ0FMLDM5NDQ3LCwsLCk=&amp;WINDOW=FIRST_POPUP&amp;HEIGHT=450&amp;WIDTH=450&amp;START_MAXIMI","ZED=FALSE&amp;VAR:CALENDAR=US&amp;VAR:SYMBOL=698538&amp;VAR:INDEX=0"}</definedName>
    <definedName name="_1698__FDSAUDITLINK__" hidden="1">{"fdsup://directions/FAT Viewer?action=UPDATE&amp;creator=factset&amp;DYN_ARGS=TRUE&amp;DOC_NAME=FAT:FQL_AUDITING_CLIENT_TEMPLATE.FAT&amp;display_string=Audit&amp;VAR:KEY=RYLYJAFOJG&amp;VAR:QUERY=RkZfU0FMRVMoQ0FMLDM5MDgyLCwsLCk=&amp;WINDOW=FIRST_POPUP&amp;HEIGHT=450&amp;WIDTH=450&amp;START_MAXIMI","ZED=FALSE&amp;VAR:CALENDAR=US&amp;VAR:SYMBOL=698538&amp;VAR:INDEX=0"}</definedName>
    <definedName name="_1699__FDSAUDITLINK__" hidden="1">{"fdsup://directions/FAT Viewer?action=UPDATE&amp;creator=factset&amp;DYN_ARGS=TRUE&amp;DOC_NAME=FAT:FQL_AUDITING_CLIENT_TEMPLATE.FAT&amp;display_string=Audit&amp;VAR:KEY=VSLYLYVYLU&amp;VAR:QUERY=RkZfU0FMRVMoQ0FMLDM4NzE3LCwsLCk=&amp;WINDOW=FIRST_POPUP&amp;HEIGHT=450&amp;WIDTH=450&amp;START_MAXIMI","ZED=FALSE&amp;VAR:CALENDAR=US&amp;VAR:SYMBOL=698538&amp;VAR:INDEX=0"}</definedName>
    <definedName name="_17__FDSAUDITLINK__" hidden="1">{"fdsup://directions/FAT%20Viewer?VAR:TM=NTMA&amp;VAR:PCT=0.536986&amp;VAR:Y0=2010&amp;VAR:Y1=2011&amp;VAR:V0=13.570112&amp;VAR:V1=11.542468&amp;VAR:V=12.549386&amp;VAR:AUDIT_ID=00000117&amp;VAR:DATE=20100618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Aggregates&amp;VAR:MEASURE=PE_MEAN&amp;VAR:CALC_MODE=PORTFOLIO&amp;VAR:CHGPERIOD=NA&amp;VAR:FQLFORMULA=FMA_PE&amp;VAR:CURRENCY=USD&amp;VAR:P=1","117.510608&amp;VAR:THRESH=||||||&amp;VAR:null=.html"}</definedName>
    <definedName name="_170__FDSAUDITLINK__" hidden="1">{"fdsup://directions/FAT%20Viewer?VAR:TM=NTMA&amp;VAR:PCT=0.468493&amp;VAR:Y0=2007&amp;VAR:Y1=2008&amp;VAR:V0=16.358913&amp;VAR:V1=14.679952&amp;VAR:V=15.421458&amp;VAR:AUDIT_ID=00000117&amp;VAR:DATE=20070713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Aggregates&amp;VAR:MEASURE=PE_MEAN&amp;VAR:CALC_MODE=PORTFOLIO&amp;VAR:CHGPERIOD=NA&amp;VAR:FQLFORMULA=FMA_PE&amp;VAR:CURRENCY=USD&amp;VAR:P=1","552.497800&amp;VAR:THRESH=||||||&amp;VAR:null=.html"}</definedName>
    <definedName name="_1700__FDSAUDITLINK__" hidden="1">{"fdsup://directions/FAT Viewer?action=UPDATE&amp;creator=factset&amp;DYN_ARGS=TRUE&amp;DOC_NAME=FAT:FQL_AUDITING_CLIENT_TEMPLATE.FAT&amp;display_string=Audit&amp;VAR:KEY=ZQTYLIBWXM&amp;VAR:QUERY=RkZfU0FMRVMoQ0FMLDM4MzUyLCwsLCk=&amp;WINDOW=FIRST_POPUP&amp;HEIGHT=450&amp;WIDTH=450&amp;START_MAXIMI","ZED=FALSE&amp;VAR:CALENDAR=US&amp;VAR:SYMBOL=698538&amp;VAR:INDEX=0"}</definedName>
    <definedName name="_1701__FDSAUDITLINK__" hidden="1">{"fdsup://directions/FAT Viewer?action=UPDATE&amp;creator=factset&amp;DYN_ARGS=TRUE&amp;DOC_NAME=FAT:FQL_AUDITING_CLIENT_TEMPLATE.FAT&amp;display_string=Audit&amp;VAR:KEY=ZITUFQLYRU&amp;VAR:QUERY=RkZfU0FMRVMoQ0FMLDM3OTg2LCwsLCk=&amp;WINDOW=FIRST_POPUP&amp;HEIGHT=450&amp;WIDTH=450&amp;START_MAXIMI","ZED=FALSE&amp;VAR:CALENDAR=US&amp;VAR:SYMBOL=698538&amp;VAR:INDEX=0"}</definedName>
    <definedName name="_1702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1703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1704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1705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1706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1707__FDSAUDITLINK__" hidden="1">{"fdsup://directions/FAT Viewer?action=UPDATE&amp;creator=factset&amp;DYN_ARGS=TRUE&amp;DOC_NAME=FAT:FQL_AUDITING_CLIENT_TEMPLATE.FAT&amp;display_string=Audit&amp;VAR:KEY=RCLWNAZUVM&amp;VAR:QUERY=RkZfU0FMRVMoQ0FMLDM5NDQ3LCwsLCk=&amp;WINDOW=FIRST_POPUP&amp;HEIGHT=450&amp;WIDTH=450&amp;START_MAXIMI","ZED=FALSE&amp;VAR:CALENDAR=US&amp;VAR:SYMBOL=B0J7D9&amp;VAR:INDEX=0"}</definedName>
    <definedName name="_1708__FDSAUDITLINK__" hidden="1">{"fdsup://directions/FAT Viewer?action=UPDATE&amp;creator=factset&amp;DYN_ARGS=TRUE&amp;DOC_NAME=FAT:FQL_AUDITING_CLIENT_TEMPLATE.FAT&amp;display_string=Audit&amp;VAR:KEY=VYFIHMHMZI&amp;VAR:QUERY=RkZfU0FMRVMoQ0FMLDM5MDgyLCwsLCk=&amp;WINDOW=FIRST_POPUP&amp;HEIGHT=450&amp;WIDTH=450&amp;START_MAXIMI","ZED=FALSE&amp;VAR:CALENDAR=US&amp;VAR:SYMBOL=B0J7D9&amp;VAR:INDEX=0"}</definedName>
    <definedName name="_1709__FDSAUDITLINK__" hidden="1">{"fdsup://directions/FAT Viewer?action=UPDATE&amp;creator=factset&amp;DYN_ARGS=TRUE&amp;DOC_NAME=FAT:FQL_AUDITING_CLIENT_TEMPLATE.FAT&amp;display_string=Audit&amp;VAR:KEY=RATYXOVERC&amp;VAR:QUERY=RkZfU0FMRVMoQ0FMLDM4NzE3LCwsLCk=&amp;WINDOW=FIRST_POPUP&amp;HEIGHT=450&amp;WIDTH=450&amp;START_MAXIMI","ZED=FALSE&amp;VAR:CALENDAR=US&amp;VAR:SYMBOL=B0J7D9&amp;VAR:INDEX=0"}</definedName>
    <definedName name="_171__FDSAUDITLINK__" hidden="1">{"fdsup://directions/FAT%20Viewer?VAR:TM=NTMA&amp;VAR:PCT=0.487671&amp;VAR:Y0=2007&amp;VAR:Y1=2008&amp;VAR:V0=16.122200&amp;VAR:V1=14.472488&amp;VAR:V=15.232614&amp;VAR:AUDIT_ID=00000117&amp;VAR:DATE=20070706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Aggregates&amp;VAR:MEASURE=PE_MEAN&amp;VAR:CALC_MODE=PORTFOLIO&amp;VAR:CHGPERIOD=NA&amp;VAR:FQLFORMULA=FMA_PE&amp;VAR:CURRENCY=USD&amp;VAR:P=1","530.440700&amp;VAR:THRESH=||||||&amp;VAR:null=.html"}</definedName>
    <definedName name="_1710__FDSAUDITLINK__" hidden="1">{"fdsup://directions/FAT Viewer?action=UPDATE&amp;creator=factset&amp;DYN_ARGS=TRUE&amp;DOC_NAME=FAT:FQL_AUDITING_CLIENT_TEMPLATE.FAT&amp;display_string=Audit&amp;VAR:KEY=HEROTQBOTS&amp;VAR:QUERY=RkZfU0FMRVMoQ0FMLDM4MzUyLCwsLCk=&amp;WINDOW=FIRST_POPUP&amp;HEIGHT=450&amp;WIDTH=450&amp;START_MAXIMI","ZED=FALSE&amp;VAR:CALENDAR=US&amp;VAR:SYMBOL=B0J7D9&amp;VAR:INDEX=0"}</definedName>
    <definedName name="_1711__FDSAUDITLINK__" hidden="1">{"fdsup://directions/FAT Viewer?action=UPDATE&amp;creator=factset&amp;DYN_ARGS=TRUE&amp;DOC_NAME=FAT:FQL_AUDITING_CLIENT_TEMPLATE.FAT&amp;display_string=Audit&amp;VAR:KEY=JAZQJETKLY&amp;VAR:QUERY=RkZfU0FMRVMoQ0FMLDM3OTg2LCwsLCk=&amp;WINDOW=FIRST_POPUP&amp;HEIGHT=450&amp;WIDTH=450&amp;START_MAXIMI","ZED=FALSE&amp;VAR:CALENDAR=US&amp;VAR:SYMBOL=B0J7D9&amp;VAR:INDEX=0"}</definedName>
    <definedName name="_1712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1713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1714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1715__FDSAUDITLINK__" hidden="1">{"fdsup://directions/FAT Viewer?action=UPDATE&amp;creator=factset&amp;DYN_ARGS=TRUE&amp;DOC_NAME=FAT:FQL_AUDITING_CLIENT_TEMPLATE.FAT&amp;display_string=Audit&amp;VAR:KEY=PGJOVCLGBS&amp;VAR:QUERY=RkZfU0FMRVMoQ0FMLDM5NDQ3LCwsLCk=&amp;WINDOW=FIRST_POPUP&amp;HEIGHT=450&amp;WIDTH=450&amp;START_MAXIMI","ZED=FALSE&amp;VAR:CALENDAR=US&amp;VAR:SYMBOL=AMGN&amp;VAR:INDEX=0"}</definedName>
    <definedName name="_1716__FDSAUDITLINK__" hidden="1">{"fdsup://directions/FAT Viewer?action=UPDATE&amp;creator=factset&amp;DYN_ARGS=TRUE&amp;DOC_NAME=FAT:FQL_AUDITING_CLIENT_TEMPLATE.FAT&amp;display_string=Audit&amp;VAR:KEY=FYXGXAXURW&amp;VAR:QUERY=RkZfU0FMRVMoQ0FMLDM5MDgyLCwsLCk=&amp;WINDOW=FIRST_POPUP&amp;HEIGHT=450&amp;WIDTH=450&amp;START_MAXIMI","ZED=FALSE&amp;VAR:CALENDAR=US&amp;VAR:SYMBOL=AMGN&amp;VAR:INDEX=0"}</definedName>
    <definedName name="_1717__FDSAUDITLINK__" hidden="1">{"fdsup://directions/FAT Viewer?action=UPDATE&amp;creator=factset&amp;DYN_ARGS=TRUE&amp;DOC_NAME=FAT:FQL_AUDITING_CLIENT_TEMPLATE.FAT&amp;display_string=Audit&amp;VAR:KEY=VADUDGDYFA&amp;VAR:QUERY=RkZfU0FMRVMoQ0FMLDM4NzE3LCwsLCk=&amp;WINDOW=FIRST_POPUP&amp;HEIGHT=450&amp;WIDTH=450&amp;START_MAXIMI","ZED=FALSE&amp;VAR:CALENDAR=US&amp;VAR:SYMBOL=AMGN&amp;VAR:INDEX=0"}</definedName>
    <definedName name="_1718__FDSAUDITLINK__" hidden="1">{"fdsup://directions/FAT Viewer?action=UPDATE&amp;creator=factset&amp;DYN_ARGS=TRUE&amp;DOC_NAME=FAT:FQL_AUDITING_CLIENT_TEMPLATE.FAT&amp;display_string=Audit&amp;VAR:KEY=FKDOZAJURW&amp;VAR:QUERY=RkZfU0FMRVMoQ0FMLDM4MzUyLCwsLCk=&amp;WINDOW=FIRST_POPUP&amp;HEIGHT=450&amp;WIDTH=450&amp;START_MAXIMI","ZED=FALSE&amp;VAR:CALENDAR=US&amp;VAR:SYMBOL=AMGN&amp;VAR:INDEX=0"}</definedName>
    <definedName name="_1719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172__FDSAUDITLINK__" hidden="1">{"fdsup://directions/FAT%20Viewer?VAR:TM=NTMA&amp;VAR:PCT=0.506849&amp;VAR:Y0=2007&amp;VAR:Y1=2008&amp;VAR:V0=15.839108&amp;VAR:V1=14.222311&amp;VAR:V=14.998281&amp;VAR:AUDIT_ID=00000117&amp;VAR:DATE=20070629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Aggregates&amp;VAR:MEASURE=PE_MEAN&amp;VAR:CALC_MODE=PORTFOLIO&amp;VAR:CHGPERIOD=NA&amp;VAR:FQLFORMULA=FMA_PE&amp;VAR:CURRENCY=USD&amp;VAR:P=1","503.348600&amp;VAR:THRESH=||||||&amp;VAR:null=.html"}</definedName>
    <definedName name="_1720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1721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1722__FDSAUDITLINK__" hidden="1">{"fdsup://directions/FAT Viewer?action=UPDATE&amp;creator=factset&amp;DYN_ARGS=TRUE&amp;DOC_NAME=FAT:FQL_AUDITING_CLIENT_TEMPLATE.FAT&amp;display_string=Audit&amp;VAR:KEY=VOVAHWRMBQ&amp;VAR:QUERY=RkZfU0FMRVMoQ0FMLDM5NDQ3LCwsLCk=&amp;WINDOW=FIRST_POPUP&amp;HEIGHT=450&amp;WIDTH=450&amp;START_MAXIMI","ZED=FALSE&amp;VAR:CALENDAR=US&amp;VAR:SYMBOL=ABT&amp;VAR:INDEX=0"}</definedName>
    <definedName name="_1723__FDSAUDITLINK__" hidden="1">{"fdsup://directions/FAT Viewer?action=UPDATE&amp;creator=factset&amp;DYN_ARGS=TRUE&amp;DOC_NAME=FAT:FQL_AUDITING_CLIENT_TEMPLATE.FAT&amp;display_string=Audit&amp;VAR:KEY=JIZSHKHCLG&amp;VAR:QUERY=RkZfU0FMRVMoQ0FMLDM5MDgyLCwsLCk=&amp;WINDOW=FIRST_POPUP&amp;HEIGHT=450&amp;WIDTH=450&amp;START_MAXIMI","ZED=FALSE&amp;VAR:CALENDAR=US&amp;VAR:SYMBOL=ABT&amp;VAR:INDEX=0"}</definedName>
    <definedName name="_1724__FDSAUDITLINK__" hidden="1">{"fdsup://directions/FAT Viewer?action=UPDATE&amp;creator=factset&amp;DYN_ARGS=TRUE&amp;DOC_NAME=FAT:FQL_AUDITING_CLIENT_TEMPLATE.FAT&amp;display_string=Audit&amp;VAR:KEY=HGLONMHIHO&amp;VAR:QUERY=RkZfU0FMRVMoQ0FMLDM4NzE3LCwsLCk=&amp;WINDOW=FIRST_POPUP&amp;HEIGHT=450&amp;WIDTH=450&amp;START_MAXIMI","ZED=FALSE&amp;VAR:CALENDAR=US&amp;VAR:SYMBOL=ABT&amp;VAR:INDEX=0"}</definedName>
    <definedName name="_1725__FDSAUDITLINK__" hidden="1">{"fdsup://directions/FAT Viewer?action=UPDATE&amp;creator=factset&amp;DYN_ARGS=TRUE&amp;DOC_NAME=FAT:FQL_AUDITING_CLIENT_TEMPLATE.FAT&amp;display_string=Audit&amp;VAR:KEY=PMFYHUFOJW&amp;VAR:QUERY=RkZfU0FMRVMoQ0FMLDM4MzUyLCwsLCk=&amp;WINDOW=FIRST_POPUP&amp;HEIGHT=450&amp;WIDTH=450&amp;START_MAXIMI","ZED=FALSE&amp;VAR:CALENDAR=US&amp;VAR:SYMBOL=ABT&amp;VAR:INDEX=0"}</definedName>
    <definedName name="_1726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1727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1728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1729__FDSAUDITLINK__" hidden="1">{"fdsup://directions/FAT Viewer?action=UPDATE&amp;creator=factset&amp;DYN_ARGS=TRUE&amp;DOC_NAME=FAT:FQL_AUDITING_CLIENT_TEMPLATE.FAT&amp;display_string=Audit&amp;VAR:KEY=LANUXGTUJE&amp;VAR:QUERY=RkZfU0FMRVMoQ0FMLDM5NDQ3LCwsLCk=&amp;WINDOW=FIRST_POPUP&amp;HEIGHT=450&amp;WIDTH=450&amp;START_MAXIMI","ZED=FALSE&amp;VAR:CALENDAR=US&amp;VAR:SYMBOL=687044&amp;VAR:INDEX=0"}</definedName>
    <definedName name="_173__FDSAUDITLINK__" hidden="1">{"fdsup://directions/FAT%20Viewer?VAR:TM=NTMA&amp;VAR:PCT=0.526027&amp;VAR:Y0=2007&amp;VAR:Y1=2008&amp;VAR:V0=15.838882&amp;VAR:V1=14.235549&amp;VAR:V=15.036205&amp;VAR:AUDIT_ID=00000117&amp;VAR:DATE=20070622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Aggregates&amp;VAR:MEASURE=PE_MEAN&amp;VAR:CALC_MODE=PORTFOLIO&amp;VAR:CHGPERIOD=NA&amp;VAR:FQLFORMULA=FMA_PE&amp;VAR:CURRENCY=USD&amp;VAR:P=1","502.560400&amp;VAR:THRESH=||||||&amp;VAR:null=.html"}</definedName>
    <definedName name="_1730__FDSAUDITLINK__" hidden="1">{"fdsup://directions/FAT Viewer?action=UPDATE&amp;creator=factset&amp;DYN_ARGS=TRUE&amp;DOC_NAME=FAT:FQL_AUDITING_CLIENT_TEMPLATE.FAT&amp;display_string=Audit&amp;VAR:KEY=VMNWLAFAZG&amp;VAR:QUERY=RkZfU0FMRVMoQ0FMLDM5MDgyLCwsLCk=&amp;WINDOW=FIRST_POPUP&amp;HEIGHT=450&amp;WIDTH=450&amp;START_MAXIMI","ZED=FALSE&amp;VAR:CALENDAR=US&amp;VAR:SYMBOL=687044&amp;VAR:INDEX=0"}</definedName>
    <definedName name="_1731__FDSAUDITLINK__" hidden="1">{"fdsup://directions/FAT Viewer?action=UPDATE&amp;creator=factset&amp;DYN_ARGS=TRUE&amp;DOC_NAME=FAT:FQL_AUDITING_CLIENT_TEMPLATE.FAT&amp;display_string=Audit&amp;VAR:KEY=VUHEZEHYDS&amp;VAR:QUERY=RkZfU0FMRVMoQ0FMLDM4NzE3LCwsLCk=&amp;WINDOW=FIRST_POPUP&amp;HEIGHT=450&amp;WIDTH=450&amp;START_MAXIMI","ZED=FALSE&amp;VAR:CALENDAR=US&amp;VAR:SYMBOL=687044&amp;VAR:INDEX=0"}</definedName>
    <definedName name="_1732__FDSAUDITLINK__" hidden="1">{"fdsup://directions/FAT Viewer?action=UPDATE&amp;creator=factset&amp;DYN_ARGS=TRUE&amp;DOC_NAME=FAT:FQL_AUDITING_CLIENT_TEMPLATE.FAT&amp;display_string=Audit&amp;VAR:KEY=VEBOPIBOXG&amp;VAR:QUERY=RkZfU0FMRVMoQ0FMLDM4MzUyLCwsLCk=&amp;WINDOW=FIRST_POPUP&amp;HEIGHT=450&amp;WIDTH=450&amp;START_MAXIMI","ZED=FALSE&amp;VAR:CALENDAR=US&amp;VAR:SYMBOL=687044&amp;VAR:INDEX=0"}</definedName>
    <definedName name="_1733__FDSAUDITLINK__" hidden="1">{"fdsup://directions/FAT Viewer?action=UPDATE&amp;creator=factset&amp;DYN_ARGS=TRUE&amp;DOC_NAME=FAT:FQL_AUDITING_CLIENT_TEMPLATE.FAT&amp;display_string=Audit&amp;VAR:KEY=TWJGRYHSBC&amp;VAR:QUERY=RkZfU0FMRVMoQ0FMLDM3OTg2LCwsLCk=&amp;WINDOW=FIRST_POPUP&amp;HEIGHT=450&amp;WIDTH=450&amp;START_MAXIMI","ZED=FALSE&amp;VAR:CALENDAR=US&amp;VAR:SYMBOL=687044&amp;VAR:INDEX=0"}</definedName>
    <definedName name="_1734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1735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1736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1737__FDSAUDITLINK__" hidden="1">{"fdsup://directions/FAT Viewer?action=UPDATE&amp;creator=factset&amp;DYN_ARGS=TRUE&amp;DOC_NAME=FAT:FQL_AUDITING_CLIENT_TEMPLATE.FAT&amp;display_string=Audit&amp;VAR:KEY=FGNGDYBWJI&amp;VAR:QUERY=RkZfU0FMRVMoQ0FMLDM5NDQ3LCwsLCk=&amp;WINDOW=FIRST_POPUP&amp;HEIGHT=450&amp;WIDTH=450&amp;START_MAXIMI","ZED=FALSE&amp;VAR:CALENDAR=US&amp;VAR:SYMBOL=BMY&amp;VAR:INDEX=0"}</definedName>
    <definedName name="_1738__FDSAUDITLINK__" hidden="1">{"fdsup://directions/FAT Viewer?action=UPDATE&amp;creator=factset&amp;DYN_ARGS=TRUE&amp;DOC_NAME=FAT:FQL_AUDITING_CLIENT_TEMPLATE.FAT&amp;display_string=Audit&amp;VAR:KEY=ZEPMHOTKTQ&amp;VAR:QUERY=RkZfU0FMRVMoQ0FMLDM5MDgyLCwsLCk=&amp;WINDOW=FIRST_POPUP&amp;HEIGHT=450&amp;WIDTH=450&amp;START_MAXIMI","ZED=FALSE&amp;VAR:CALENDAR=US&amp;VAR:SYMBOL=BMY&amp;VAR:INDEX=0"}</definedName>
    <definedName name="_1739__FDSAUDITLINK__" hidden="1">{"fdsup://directions/FAT Viewer?action=UPDATE&amp;creator=factset&amp;DYN_ARGS=TRUE&amp;DOC_NAME=FAT:FQL_AUDITING_CLIENT_TEMPLATE.FAT&amp;display_string=Audit&amp;VAR:KEY=ZSRUVKHGFO&amp;VAR:QUERY=RkZfU0FMRVMoQ0FMLDM4NzE3LCwsLCk=&amp;WINDOW=FIRST_POPUP&amp;HEIGHT=450&amp;WIDTH=450&amp;START_MAXIMI","ZED=FALSE&amp;VAR:CALENDAR=US&amp;VAR:SYMBOL=BMY&amp;VAR:INDEX=0"}</definedName>
    <definedName name="_174__FDSAUDITLINK__" hidden="1">{"fdsup://directions/FAT%20Viewer?VAR:TM=NTMA&amp;VAR:PCT=0.545205&amp;VAR:Y0=2007&amp;VAR:Y1=2008&amp;VAR:V0=16.156555&amp;VAR:V1=14.542868&amp;VAR:V=15.380394&amp;VAR:AUDIT_ID=00000117&amp;VAR:DATE=20070615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Aggregates&amp;VAR:MEASURE=PE_MEAN&amp;VAR:CALC_MODE=PORTFOLIO&amp;VAR:CHGPERIOD=NA&amp;VAR:FQLFORMULA=FMA_PE&amp;VAR:CURRENCY=USD&amp;VAR:P=1","532.908100&amp;VAR:THRESH=||||||&amp;VAR:null=.html"}</definedName>
    <definedName name="_1740__FDSAUDITLINK__" hidden="1">{"fdsup://directions/FAT Viewer?action=UPDATE&amp;creator=factset&amp;DYN_ARGS=TRUE&amp;DOC_NAME=FAT:FQL_AUDITING_CLIENT_TEMPLATE.FAT&amp;display_string=Audit&amp;VAR:KEY=LWZIXAXMJY&amp;VAR:QUERY=RkZfU0FMRVMoQ0FMLDM4MzUyLCwsLCk=&amp;WINDOW=FIRST_POPUP&amp;HEIGHT=450&amp;WIDTH=450&amp;START_MAXIMI","ZED=FALSE&amp;VAR:CALENDAR=US&amp;VAR:SYMBOL=BMY&amp;VAR:INDEX=0"}</definedName>
    <definedName name="_1741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1742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1743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1744__FDSAUDITLINK__" hidden="1">{"fdsup://directions/FAT Viewer?action=UPDATE&amp;creator=factset&amp;DYN_ARGS=TRUE&amp;DOC_NAME=FAT:FQL_AUDITING_CLIENT_TEMPLATE.FAT&amp;display_string=Audit&amp;VAR:KEY=ZMZGTAHWVI&amp;VAR:QUERY=RkZfU0FMRVMoQ0FMLDM5NDQ3LCwsLCk=&amp;WINDOW=FIRST_POPUP&amp;HEIGHT=450&amp;WIDTH=450&amp;START_MAXIMI","ZED=FALSE&amp;VAR:CALENDAR=US&amp;VAR:SYMBOL=LLY&amp;VAR:INDEX=0"}</definedName>
    <definedName name="_1745__FDSAUDITLINK__" hidden="1">{"fdsup://directions/FAT Viewer?action=UPDATE&amp;creator=factset&amp;DYN_ARGS=TRUE&amp;DOC_NAME=FAT:FQL_AUDITING_CLIENT_TEMPLATE.FAT&amp;display_string=Audit&amp;VAR:KEY=VGZWFCPGLW&amp;VAR:QUERY=RkZfU0FMRVMoQ0FMLDM5MDgyLCwsLCk=&amp;WINDOW=FIRST_POPUP&amp;HEIGHT=450&amp;WIDTH=450&amp;START_MAXIMI","ZED=FALSE&amp;VAR:CALENDAR=US&amp;VAR:SYMBOL=LLY&amp;VAR:INDEX=0"}</definedName>
    <definedName name="_1746__FDSAUDITLINK__" hidden="1">{"fdsup://directions/FAT Viewer?action=UPDATE&amp;creator=factset&amp;DYN_ARGS=TRUE&amp;DOC_NAME=FAT:FQL_AUDITING_CLIENT_TEMPLATE.FAT&amp;display_string=Audit&amp;VAR:KEY=NMLWPYZODY&amp;VAR:QUERY=RkZfU0FMRVMoQ0FMLDM4NzE3LCwsLCk=&amp;WINDOW=FIRST_POPUP&amp;HEIGHT=450&amp;WIDTH=450&amp;START_MAXIMI","ZED=FALSE&amp;VAR:CALENDAR=US&amp;VAR:SYMBOL=LLY&amp;VAR:INDEX=0"}</definedName>
    <definedName name="_1747__FDSAUDITLINK__" hidden="1">{"fdsup://directions/FAT Viewer?action=UPDATE&amp;creator=factset&amp;DYN_ARGS=TRUE&amp;DOC_NAME=FAT:FQL_AUDITING_CLIENT_TEMPLATE.FAT&amp;display_string=Audit&amp;VAR:KEY=XERCTWXSFY&amp;VAR:QUERY=RkZfU0FMRVMoQ0FMLDM4MzUyLCwsLCk=&amp;WINDOW=FIRST_POPUP&amp;HEIGHT=450&amp;WIDTH=450&amp;START_MAXIMI","ZED=FALSE&amp;VAR:CALENDAR=US&amp;VAR:SYMBOL=LLY&amp;VAR:INDEX=0"}</definedName>
    <definedName name="_1748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1749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175__FDSAUDITLINK__" hidden="1">{"fdsup://directions/FAT%20Viewer?VAR:TM=NTMA&amp;VAR:PCT=0.564384&amp;VAR:Y0=2007&amp;VAR:Y1=2008&amp;VAR:V0=15.885239&amp;VAR:V1=14.307099&amp;VAR:V=15.156940&amp;VAR:AUDIT_ID=00000117&amp;VAR:DATE=20070608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Aggregates&amp;VAR:MEASURE=PE_MEAN&amp;VAR:CALC_MODE=PORTFOLIO&amp;VAR:CHGPERIOD=NA&amp;VAR:FQLFORMULA=FMA_PE&amp;VAR:CURRENCY=USD&amp;VAR:P=1","507.672900&amp;VAR:THRESH=||||||&amp;VAR:null=.html"}</definedName>
    <definedName name="_1750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1751__FDSAUDITLINK__" hidden="1">{"fdsup://directions/FAT Viewer?action=UPDATE&amp;creator=factset&amp;DYN_ARGS=TRUE&amp;DOC_NAME=FAT:FQL_AUDITING_CLIENT_TEMPLATE.FAT&amp;display_string=Audit&amp;VAR:KEY=VGFMRYZUDQ&amp;VAR:QUERY=RkZfU0FMRVMoQ0FMLDM5NDQ3LCwsLCk=&amp;WINDOW=FIRST_POPUP&amp;HEIGHT=450&amp;WIDTH=450&amp;START_MAXIMI","ZED=FALSE&amp;VAR:CALENDAR=US&amp;VAR:SYMBOL=506921&amp;VAR:INDEX=0"}</definedName>
    <definedName name="_1752__FDSAUDITLINK__" hidden="1">{"fdsup://directions/FAT Viewer?action=UPDATE&amp;creator=factset&amp;DYN_ARGS=TRUE&amp;DOC_NAME=FAT:FQL_AUDITING_CLIENT_TEMPLATE.FAT&amp;display_string=Audit&amp;VAR:KEY=PYPMDAJYFY&amp;VAR:QUERY=RkZfU0FMRVMoQ0FMLDM5MDgyLCwsLCk=&amp;WINDOW=FIRST_POPUP&amp;HEIGHT=450&amp;WIDTH=450&amp;START_MAXIMI","ZED=FALSE&amp;VAR:CALENDAR=US&amp;VAR:SYMBOL=506921&amp;VAR:INDEX=0"}</definedName>
    <definedName name="_1753__FDSAUDITLINK__" hidden="1">{"fdsup://directions/FAT Viewer?action=UPDATE&amp;creator=factset&amp;DYN_ARGS=TRUE&amp;DOC_NAME=FAT:FQL_AUDITING_CLIENT_TEMPLATE.FAT&amp;display_string=Audit&amp;VAR:KEY=FGLEFQPUNK&amp;VAR:QUERY=RkZfU0FMRVMoQ0FMLDM4NzE3LCwsLCk=&amp;WINDOW=FIRST_POPUP&amp;HEIGHT=450&amp;WIDTH=450&amp;START_MAXIMI","ZED=FALSE&amp;VAR:CALENDAR=US&amp;VAR:SYMBOL=506921&amp;VAR:INDEX=0"}</definedName>
    <definedName name="_1754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1755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1756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1757__FDSAUDITLINK__" hidden="1">{"fdsup://directions/FAT Viewer?action=UPDATE&amp;creator=factset&amp;DYN_ARGS=TRUE&amp;DOC_NAME=FAT:FQL_AUDITING_CLIENT_TEMPLATE.FAT&amp;display_string=Audit&amp;VAR:KEY=XUVOBOTILK&amp;VAR:QUERY=RkZfU0FMRVMoQ0FMLDM5NDQ3LCwsLCk=&amp;WINDOW=FIRST_POPUP&amp;HEIGHT=450&amp;WIDTH=450&amp;START_MAXIMI","ZED=FALSE&amp;VAR:CALENDAR=US&amp;VAR:SYMBOL=567173&amp;VAR:INDEX=0"}</definedName>
    <definedName name="_1758__FDSAUDITLINK__" hidden="1">{"fdsup://directions/FAT Viewer?action=UPDATE&amp;creator=factset&amp;DYN_ARGS=TRUE&amp;DOC_NAME=FAT:FQL_AUDITING_CLIENT_TEMPLATE.FAT&amp;display_string=Audit&amp;VAR:KEY=TUNGLUVQJS&amp;VAR:QUERY=RkZfU0FMRVMoQ0FMLDM5MDgyLCwsLCk=&amp;WINDOW=FIRST_POPUP&amp;HEIGHT=450&amp;WIDTH=450&amp;START_MAXIMI","ZED=FALSE&amp;VAR:CALENDAR=US&amp;VAR:SYMBOL=567173&amp;VAR:INDEX=0"}</definedName>
    <definedName name="_1759__FDSAUDITLINK__" hidden="1">{"fdsup://directions/FAT Viewer?action=UPDATE&amp;creator=factset&amp;DYN_ARGS=TRUE&amp;DOC_NAME=FAT:FQL_AUDITING_CLIENT_TEMPLATE.FAT&amp;display_string=Audit&amp;VAR:KEY=ZCZKRMREJQ&amp;VAR:QUERY=RkZfU0FMRVMoQ0FMLDM4NzE3LCwsLCk=&amp;WINDOW=FIRST_POPUP&amp;HEIGHT=450&amp;WIDTH=450&amp;START_MAXIMI","ZED=FALSE&amp;VAR:CALENDAR=US&amp;VAR:SYMBOL=567173&amp;VAR:INDEX=0"}</definedName>
    <definedName name="_176__FDSAUDITLINK__" hidden="1">{"fdsup://directions/FAT%20Viewer?VAR:TM=NTMA&amp;VAR:PCT=0.583562&amp;VAR:Y0=2007&amp;VAR:Y1=2008&amp;VAR:V0=16.217684&amp;VAR:V1=14.584099&amp;VAR:V=15.494911&amp;VAR:AUDIT_ID=00000117&amp;VAR:DATE=20070601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Aggregates&amp;VAR:MEASURE=PE_MEAN&amp;VAR:CALC_MODE=PORTFOLIO&amp;VAR:CHGPERIOD=NA&amp;VAR:FQLFORMULA=FMA_PE&amp;VAR:CURRENCY=USD&amp;VAR:P=1","536.335800&amp;VAR:THRESH=||||||&amp;VAR:null=.html"}</definedName>
    <definedName name="_1760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1761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1762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1763__FDSAUDITLINK__" hidden="1">{"fdsup://directions/FAT Viewer?action=UPDATE&amp;creator=factset&amp;DYN_ARGS=TRUE&amp;DOC_NAME=FAT:FQL_AUDITING_CLIENT_TEMPLATE.FAT&amp;display_string=Audit&amp;VAR:KEY=NSBWVCLYDE&amp;VAR:QUERY=RkZfU0FMRVMoQ0FMLDM5NDQ3LCwsLCk=&amp;WINDOW=FIRST_POPUP&amp;HEIGHT=450&amp;WIDTH=450&amp;START_MAXIMI","ZED=FALSE&amp;VAR:CALENDAR=US&amp;VAR:SYMBOL=JNJ&amp;VAR:INDEX=0"}</definedName>
    <definedName name="_1764__FDSAUDITLINK__" hidden="1">{"fdsup://directions/FAT Viewer?action=UPDATE&amp;creator=factset&amp;DYN_ARGS=TRUE&amp;DOC_NAME=FAT:FQL_AUDITING_CLIENT_TEMPLATE.FAT&amp;display_string=Audit&amp;VAR:KEY=VCFODGNGBS&amp;VAR:QUERY=RkZfU0FMRVMoQ0FMLDM5MDgyLCwsLCk=&amp;WINDOW=FIRST_POPUP&amp;HEIGHT=450&amp;WIDTH=450&amp;START_MAXIMI","ZED=FALSE&amp;VAR:CALENDAR=US&amp;VAR:SYMBOL=JNJ&amp;VAR:INDEX=0"}</definedName>
    <definedName name="_1765__FDSAUDITLINK__" hidden="1">{"fdsup://directions/FAT Viewer?action=UPDATE&amp;creator=factset&amp;DYN_ARGS=TRUE&amp;DOC_NAME=FAT:FQL_AUDITING_CLIENT_TEMPLATE.FAT&amp;display_string=Audit&amp;VAR:KEY=FMJMDKHKDK&amp;VAR:QUERY=RkZfU0FMRVMoQ0FMLDM4NzE3LCwsLCk=&amp;WINDOW=FIRST_POPUP&amp;HEIGHT=450&amp;WIDTH=450&amp;START_MAXIMI","ZED=FALSE&amp;VAR:CALENDAR=US&amp;VAR:SYMBOL=JNJ&amp;VAR:INDEX=0"}</definedName>
    <definedName name="_1766__FDSAUDITLINK__" hidden="1">{"fdsup://directions/FAT Viewer?action=UPDATE&amp;creator=factset&amp;DYN_ARGS=TRUE&amp;DOC_NAME=FAT:FQL_AUDITING_CLIENT_TEMPLATE.FAT&amp;display_string=Audit&amp;VAR:KEY=ZWTENCPKDC&amp;VAR:QUERY=RkZfU0FMRVMoQ0FMLDM4MzUyLCwsLCk=&amp;WINDOW=FIRST_POPUP&amp;HEIGHT=450&amp;WIDTH=450&amp;START_MAXIMI","ZED=FALSE&amp;VAR:CALENDAR=US&amp;VAR:SYMBOL=JNJ&amp;VAR:INDEX=0"}</definedName>
    <definedName name="_1767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1768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1769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177__FDSAUDITLINK__" hidden="1">{"fdsup://directions/FAT%20Viewer?VAR:TM=NTMA&amp;VAR:PCT=0.602740&amp;VAR:Y0=2007&amp;VAR:Y1=2008&amp;VAR:V0=16.033735&amp;VAR:V1=14.410264&amp;VAR:V=15.346876&amp;VAR:AUDIT_ID=00000117&amp;VAR:DATE=20070525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Aggregates&amp;VAR:MEASURE=PE_MEAN&amp;VAR:CALC_MODE=PORTFOLIO&amp;VAR:CHGPERIOD=NA&amp;VAR:FQLFORMULA=FMA_PE&amp;VAR:CURRENCY=USD&amp;VAR:P=1","515.733600&amp;VAR:THRESH=||||||&amp;VAR:null=.html"}</definedName>
    <definedName name="_1770__FDSAUDITLINK__" hidden="1">{"fdsup://directions/FAT Viewer?action=UPDATE&amp;creator=factset&amp;DYN_ARGS=TRUE&amp;DOC_NAME=FAT:FQL_AUDITING_CLIENT_TEMPLATE.FAT&amp;display_string=Audit&amp;VAR:KEY=LMVERYPEZG&amp;VAR:QUERY=RkZfU0FMRVMoQ0FMLDM5NDQ3LCwsLCk=&amp;WINDOW=FIRST_POPUP&amp;HEIGHT=450&amp;WIDTH=450&amp;START_MAXIMI","ZED=FALSE&amp;VAR:CALENDAR=US&amp;VAR:SYMBOL=710306&amp;VAR:INDEX=0"}</definedName>
    <definedName name="_1771__FDSAUDITLINK__" hidden="1">{"fdsup://directions/FAT Viewer?action=UPDATE&amp;creator=factset&amp;DYN_ARGS=TRUE&amp;DOC_NAME=FAT:FQL_AUDITING_CLIENT_TEMPLATE.FAT&amp;display_string=Audit&amp;VAR:KEY=XQLOLCJYLW&amp;VAR:QUERY=RkZfU0FMRVMoQ0FMLDM5MDgyLCwsLCk=&amp;WINDOW=FIRST_POPUP&amp;HEIGHT=450&amp;WIDTH=450&amp;START_MAXIMI","ZED=FALSE&amp;VAR:CALENDAR=US&amp;VAR:SYMBOL=710306&amp;VAR:INDEX=0"}</definedName>
    <definedName name="_1772__FDSAUDITLINK__" hidden="1">{"fdsup://directions/FAT Viewer?action=UPDATE&amp;creator=factset&amp;DYN_ARGS=TRUE&amp;DOC_NAME=FAT:FQL_AUDITING_CLIENT_TEMPLATE.FAT&amp;display_string=Audit&amp;VAR:KEY=JIVKRKVAXY&amp;VAR:QUERY=RkZfU0FMRVMoQ0FMLDM4NzE3LCwsLCk=&amp;WINDOW=FIRST_POPUP&amp;HEIGHT=450&amp;WIDTH=450&amp;START_MAXIMI","ZED=FALSE&amp;VAR:CALENDAR=US&amp;VAR:SYMBOL=710306&amp;VAR:INDEX=0"}</definedName>
    <definedName name="_1773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1774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1775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1776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1777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1778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1779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178__FDSAUDITLINK__" hidden="1">{"fdsup://directions/FAT%20Viewer?VAR:TM=NTMA&amp;VAR:PCT=0.621918&amp;VAR:Y0=2007&amp;VAR:Y1=2008&amp;VAR:V0=16.116000&amp;VAR:V1=14.479741&amp;VAR:V=15.455664&amp;VAR:AUDIT_ID=00000117&amp;VAR:DATE=20070518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Aggregates&amp;VAR:MEASURE=PE_MEAN&amp;VAR:CALC_MODE=PORTFOLIO&amp;VAR:CHGPERIOD=NA&amp;VAR:FQLFORMULA=FMA_PE&amp;VAR:CURRENCY=USD&amp;VAR:P=1","522.748000&amp;VAR:THRESH=||||||&amp;VAR:null=.html"}</definedName>
    <definedName name="_1780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1781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1782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1783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1784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1785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1786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1787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1788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1789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179__FDSAUDITLINK__" hidden="1">{"fdsup://directions/FAT%20Viewer?VAR:TM=NTMA&amp;VAR:PCT=0.641096&amp;VAR:Y0=2007&amp;VAR:Y1=2008&amp;VAR:V0=15.954186&amp;VAR:V1=14.335467&amp;VAR:V=15.332803&amp;VAR:AUDIT_ID=00000117&amp;VAR:DATE=20070511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Aggregates&amp;VAR:MEASURE=PE_MEAN&amp;VAR:CALC_MODE=PORTFOLIO&amp;VAR:CHGPERIOD=NA&amp;VAR:FQLFORMULA=FMA_PE&amp;VAR:CURRENCY=USD&amp;VAR:P=1","505.845600&amp;VAR:THRESH=||||||&amp;VAR:null=.html"}</definedName>
    <definedName name="_1790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1791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1792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1793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1794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1795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1796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1797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1798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1799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18__FDSAUDITLINK__" hidden="1">{"fdsup://directions/FAT%20Viewer?VAR:TM=NTMA&amp;VAR:PCT=0.556164&amp;VAR:Y0=2010&amp;VAR:Y1=2011&amp;VAR:V0=13.244223&amp;VAR:V1=11.271667&amp;VAR:V=12.289663&amp;VAR:AUDIT_ID=00000117&amp;VAR:DATE=20100611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Aggregates&amp;VAR:MEASURE=PE_MEAN&amp;VAR:CALC_MODE=PORTFOLIO&amp;VAR:CHGPERIOD=NA&amp;VAR:FQLFORMULA=FMA_PE&amp;VAR:CURRENCY=USD&amp;VAR:P=1","091.599561&amp;VAR:THRESH=||||||&amp;VAR:null=.html"}</definedName>
    <definedName name="_180__FDSAUDITLINK__" hidden="1">{"fdsup://directions/FAT%20Viewer?VAR:TM=NTMA&amp;VAR:PCT=0.660274&amp;VAR:Y0=2007&amp;VAR:Y1=2008&amp;VAR:V0=15.953061&amp;VAR:V1=14.339516&amp;VAR:V=15.365670&amp;VAR:AUDIT_ID=00000117&amp;VAR:DATE=20070504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Aggregates&amp;VAR:MEASURE=PE_MEAN&amp;VAR:CALC_MODE=PORTFOLIO&amp;VAR:CHGPERIOD=NA&amp;VAR:FQLFORMULA=FMA_PE&amp;VAR:CURRENCY=USD&amp;VAR:P=1","505.617000&amp;VAR:THRESH=||||||&amp;VAR:null=.html"}</definedName>
    <definedName name="_1800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1801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1802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1803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1804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1805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1806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1807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1808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1809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181__FDSAUDITLINK__" hidden="1">{"fdsup://directions/FAT%20Viewer?VAR:TM=NTMA&amp;VAR:PCT=0.679452&amp;VAR:Y0=2007&amp;VAR:Y1=2008&amp;VAR:V0=15.839933&amp;VAR:V1=14.226266&amp;VAR:V=15.284209&amp;VAR:AUDIT_ID=00000117&amp;VAR:DATE=20070427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Aggregates&amp;VAR:MEASURE=PE_MEAN&amp;VAR:CALC_MODE=PORTFOLIO&amp;VAR:CHGPERIOD=NA&amp;VAR:FQLFORMULA=FMA_PE&amp;VAR:CURRENCY=USD&amp;VAR:P=1","494.067600&amp;VAR:THRESH=||||||&amp;VAR:null=.html"}</definedName>
    <definedName name="_1810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1811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1812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1813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1814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1815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1816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1817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1818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1819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182__FDSAUDITLINK__" hidden="1">{"fdsup://directions/FAT%20Viewer?VAR:TM=NTMA&amp;VAR:PCT=0.698630&amp;VAR:Y0=2007&amp;VAR:Y1=2008&amp;VAR:V0=15.845240&amp;VAR:V1=14.201632&amp;VAR:V=15.311206&amp;VAR:AUDIT_ID=00000117&amp;VAR:DATE=20070420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Aggregates&amp;VAR:MEASURE=PE_MEAN&amp;VAR:CALC_MODE=PORTFOLIO&amp;VAR:CHGPERIOD=NA&amp;VAR:FQLFORMULA=FMA_PE&amp;VAR:CURRENCY=USD&amp;VAR:P=1","484.350300&amp;VAR:THRESH=||||||&amp;VAR:null=.html"}</definedName>
    <definedName name="_1820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1821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1822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1823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1824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1825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1826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1827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1828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1829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183__FDSAUDITLINK__" hidden="1">{"fdsup://directions/FAT%20Viewer?VAR:TM=NTMA&amp;VAR:PCT=0.717808&amp;VAR:Y0=2007&amp;VAR:Y1=2008&amp;VAR:V0=15.529286&amp;VAR:V1=13.925777&amp;VAR:V=15.040566&amp;VAR:AUDIT_ID=00000117&amp;VAR:DATE=20070413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Aggregates&amp;VAR:MEASURE=PE_MEAN&amp;VAR:CALC_MODE=PORTFOLIO&amp;VAR:CHGPERIOD=NA&amp;VAR:FQLFORMULA=FMA_PE&amp;VAR:CURRENCY=USD&amp;VAR:P=1","452.845800&amp;VAR:THRESH=||||||&amp;VAR:null=.html"}</definedName>
    <definedName name="_1830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1831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1832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1833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1834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1835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1836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1837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1838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1839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184__FDSAUDITLINK__" hidden="1">{"fdsup://directions/FAT%20Viewer?VAR:TM=NTMA&amp;VAR:PCT=0.739726&amp;VAR:Y0=2007&amp;VAR:Y1=2008&amp;VAR:V0=15.435123&amp;VAR:V1=13.862814&amp;VAR:V=14.992542&amp;VAR:AUDIT_ID=00000117&amp;VAR:DATE=20070405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Aggregates&amp;VAR:MEASURE=PE_MEAN&amp;VAR:CALC_MODE=PORTFOLIO&amp;VAR:CHGPERIOD=NA&amp;VAR:FQLFORMULA=FMA_PE&amp;VAR:CURRENCY=USD&amp;VAR:P=1","443.755600&amp;VAR:THRESH=||||||&amp;VAR:null=.html"}</definedName>
    <definedName name="_1840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1841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1842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1843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1844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1845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1846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1847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1848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1849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185__FDSAUDITLINK__" hidden="1">{"fdsup://directions/FAT%20Viewer?VAR:TM=NTMA&amp;VAR:PCT=0.756164&amp;VAR:Y0=2007&amp;VAR:Y1=2008&amp;VAR:V0=15.185842&amp;VAR:V1=13.649474&amp;VAR:V=14.780187&amp;VAR:AUDIT_ID=00000117&amp;VAR:DATE=20070330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Aggregates&amp;VAR:MEASURE=PE_MEAN&amp;VAR:CALC_MODE=PORTFOLIO&amp;VAR:CHGPERIOD=NA&amp;VAR:FQLFORMULA=FMA_PE&amp;VAR:CURRENCY=USD&amp;VAR:P=1","420.863800&amp;VAR:THRESH=||||||&amp;VAR:null=.html"}</definedName>
    <definedName name="_1850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1851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1852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1853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1854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1855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1856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1857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1858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1859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186__FDSAUDITLINK__" hidden="1">{"fdsup://directions/FAT%20Viewer?VAR:TM=NTMA&amp;VAR:PCT=0.775342&amp;VAR:Y0=2007&amp;VAR:Y1=2008&amp;VAR:V0=15.350641&amp;VAR:V1=13.793422&amp;VAR:V=14.970935&amp;VAR:AUDIT_ID=00000117&amp;VAR:DATE=20070323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Aggregates&amp;VAR:MEASURE=PE_MEAN&amp;VAR:CALC_MODE=PORTFOLIO&amp;VAR:CHGPERIOD=NA&amp;VAR:FQLFORMULA=FMA_PE&amp;VAR:CURRENCY=USD&amp;VAR:P=1","436.112500&amp;VAR:THRESH=||||||&amp;VAR:null=.html"}</definedName>
    <definedName name="_1860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1861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1862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1863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1864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1865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1866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1867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1868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1869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187__FDSAUDITLINK__" hidden="1">{"fdsup://directions/FAT%20Viewer?VAR:TM=NTMA&amp;VAR:PCT=0.794521&amp;VAR:Y0=2007&amp;VAR:Y1=2008&amp;VAR:V0=14.766724&amp;VAR:V1=13.280086&amp;VAR:V=14.434692&amp;VAR:AUDIT_ID=00000117&amp;VAR:DATE=20070316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Aggregates&amp;VAR:MEASURE=PE_MEAN&amp;VAR:CALC_MODE=PORTFOLIO&amp;VAR:CHGPERIOD=NA&amp;VAR:FQLFORMULA=FMA_PE&amp;VAR:CURRENCY=USD&amp;VAR:P=1","386.945100&amp;VAR:THRESH=||||||&amp;VAR:null=.html"}</definedName>
    <definedName name="_1870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1871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1872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1873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1874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1875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1876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1877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1878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1879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188__FDSAUDITLINK__" hidden="1">{"fdsup://directions/FAT%20Viewer?VAR:TM=NTMA&amp;VAR:PCT=0.813699&amp;VAR:Y0=2007&amp;VAR:Y1=2008&amp;VAR:V0=14.931805&amp;VAR:V1=13.442535&amp;VAR:V=14.629846&amp;VAR:AUDIT_ID=00000117&amp;VAR:DATE=20070309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Aggregates&amp;VAR:MEASURE=PE_MEAN&amp;VAR:CALC_MODE=PORTFOLIO&amp;VAR:CHGPERIOD=NA&amp;VAR:FQLFORMULA=FMA_PE&amp;VAR:CURRENCY=USD&amp;VAR:P=1","402.846400&amp;VAR:THRESH=||||||&amp;VAR:null=.html"}</definedName>
    <definedName name="_1880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1881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1882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1883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1884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1885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1886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1887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1888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1889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189__FDSAUDITLINK__" hidden="1">{"fdsup://directions/FAT%20Viewer?VAR:TM=NTMA&amp;VAR:PCT=0.832877&amp;VAR:Y0=2007&amp;VAR:Y1=2008&amp;VAR:V0=14.763748&amp;VAR:V1=13.285182&amp;VAR:V=14.494158&amp;VAR:AUDIT_ID=00000117&amp;VAR:DATE=20070302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Aggregates&amp;VAR:MEASURE=PE_MEAN&amp;VAR:CALC_MODE=PORTFOLIO&amp;VAR:CHGPERIOD=NA&amp;VAR:FQLFORMULA=FMA_PE&amp;VAR:CURRENCY=USD&amp;VAR:P=1","387.165600&amp;VAR:THRESH=||||||&amp;VAR:null=.html"}</definedName>
    <definedName name="_1890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1891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1892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1893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1894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1895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1896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1897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1898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1899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19__FDSAUDITLINK__" hidden="1">{"fdsup://directions/FAT%20Viewer?VAR:TM=NTMA&amp;VAR:PCT=0.575342&amp;VAR:Y0=2010&amp;VAR:Y1=2011&amp;VAR:V0=12.902870&amp;VAR:V1=10.991080&amp;VAR:V=12.015356&amp;VAR:AUDIT_ID=00000117&amp;VAR:DATE=20100604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Aggregates&amp;VAR:MEASURE=PE_MEAN&amp;VAR:CALC_MODE=PORTFOLIO&amp;VAR:CHGPERIOD=NA&amp;VAR:FQLFORMULA=FMA_PE&amp;VAR:CURRENCY=USD&amp;VAR:P=1","064.875042&amp;VAR:THRESH=||||||&amp;VAR:null=.html"}</definedName>
    <definedName name="_190__FDSAUDITLINK__" hidden="1">{"fdsup://directions/FAT%20Viewer?VAR:TM=NTMA&amp;VAR:PCT=0.852055&amp;VAR:Y0=2007&amp;VAR:Y1=2008&amp;VAR:V0=15.436389&amp;VAR:V1=13.920094&amp;VAR:V=15.191570&amp;VAR:AUDIT_ID=00000117&amp;VAR:DATE=20070223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Aggregates&amp;VAR:MEASURE=PE_MEAN&amp;VAR:CALC_MODE=PORTFOLIO&amp;VAR:CHGPERIOD=NA&amp;VAR:FQLFORMULA=FMA_PE&amp;VAR:CURRENCY=USD&amp;VAR:P=1","451.194000&amp;VAR:THRESH=||||||&amp;VAR:null=.html"}</definedName>
    <definedName name="_1900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1901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1902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1903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1904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1905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1906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1907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1908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1909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191__FDSAUDITLINK__" hidden="1">{"fdsup://directions/FAT%20Viewer?VAR:TM=NTMA&amp;VAR:PCT=0.871233&amp;VAR:Y0=2007&amp;VAR:Y1=2008&amp;VAR:V0=15.481628&amp;VAR:V1=13.965576&amp;VAR:V=15.268202&amp;VAR:AUDIT_ID=00000117&amp;VAR:DATE=20070216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Aggregates&amp;VAR:MEASURE=PE_MEAN&amp;VAR:CALC_MODE=PORTFOLIO&amp;VAR:CHGPERIOD=NA&amp;VAR:FQLFORMULA=FMA_PE&amp;VAR:CURRENCY=USD&amp;VAR:P=1","455.538000&amp;VAR:THRESH=||||||&amp;VAR:null=.html"}</definedName>
    <definedName name="_1910__FDSAUDITLINK__" hidden="1">{"fdsup://directions/FAT Viewer?action=UPDATE&amp;creator=factset&amp;DYN_ARGS=TRUE&amp;DOC_NAME=FAT:FQL_AUDITING_CLIENT_TEMPLATE.FAT&amp;display_string=Audit&amp;VAR:KEY=PODEFWZGFS&amp;VAR:QUERY=RkZfUkRfRVhQKENBTCwzOTQ0NywsLCwp&amp;WINDOW=FIRST_POPUP&amp;HEIGHT=450&amp;WIDTH=450&amp;START_MAXIMI","ZED=FALSE&amp;VAR:CALENDAR=US&amp;VAR:SYMBOL=BIIB&amp;VAR:INDEX=0"}</definedName>
    <definedName name="_1911__FDSAUDITLINK__" hidden="1">{"fdsup://directions/FAT Viewer?action=UPDATE&amp;creator=factset&amp;DYN_ARGS=TRUE&amp;DOC_NAME=FAT:FQL_AUDITING_CLIENT_TEMPLATE.FAT&amp;display_string=Audit&amp;VAR:KEY=HQFYRGDOJS&amp;VAR:QUERY=RkZfUkRfRVhQKENBTCwzOTA4MiwsLCwp&amp;WINDOW=FIRST_POPUP&amp;HEIGHT=450&amp;WIDTH=450&amp;START_MAXIMI","ZED=FALSE&amp;VAR:CALENDAR=US&amp;VAR:SYMBOL=BIIB&amp;VAR:INDEX=0"}</definedName>
    <definedName name="_1912__FDSAUDITLINK__" hidden="1">{"fdsup://directions/FAT Viewer?action=UPDATE&amp;creator=factset&amp;DYN_ARGS=TRUE&amp;DOC_NAME=FAT:FQL_AUDITING_CLIENT_TEMPLATE.FAT&amp;display_string=Audit&amp;VAR:KEY=BWLKBKRSNC&amp;VAR:QUERY=RkZfUkRfRVhQKENBTCwzODcxNywsLCwp&amp;WINDOW=FIRST_POPUP&amp;HEIGHT=450&amp;WIDTH=450&amp;START_MAXIMI","ZED=FALSE&amp;VAR:CALENDAR=US&amp;VAR:SYMBOL=BIIB&amp;VAR:INDEX=0"}</definedName>
    <definedName name="_1913__FDSAUDITLINK__" hidden="1">{"fdsup://directions/FAT Viewer?action=UPDATE&amp;creator=factset&amp;DYN_ARGS=TRUE&amp;DOC_NAME=FAT:FQL_AUDITING_CLIENT_TEMPLATE.FAT&amp;display_string=Audit&amp;VAR:KEY=NCJCPSJUJA&amp;VAR:QUERY=RkZfUkRfRVhQKENBTCwzODM1MiwsLCwp&amp;WINDOW=FIRST_POPUP&amp;HEIGHT=450&amp;WIDTH=450&amp;START_MAXIMI","ZED=FALSE&amp;VAR:CALENDAR=US&amp;VAR:SYMBOL=BIIB&amp;VAR:INDEX=0"}</definedName>
    <definedName name="_1914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1915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1916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1917__FDSAUDITLINK__" hidden="1">{"fdsup://directions/FAT Viewer?action=UPDATE&amp;creator=factset&amp;DYN_ARGS=TRUE&amp;DOC_NAME=FAT:FQL_AUDITING_CLIENT_TEMPLATE.FAT&amp;display_string=Audit&amp;VAR:KEY=BQVALCNUXY&amp;VAR:QUERY=RkZfUkRfRVhQKENBTCwzOTQ0NywsLCwp&amp;WINDOW=FIRST_POPUP&amp;HEIGHT=450&amp;WIDTH=450&amp;START_MAXIMI","ZED=FALSE&amp;VAR:CALENDAR=US&amp;VAR:SYMBOL=707752&amp;VAR:INDEX=0"}</definedName>
    <definedName name="_1918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1919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192__FDSAUDITLINK__" hidden="1">{"fdsup://directions/FAT%20Viewer?VAR:TM=NTMA&amp;VAR:PCT=0.890411&amp;VAR:Y0=2007&amp;VAR:Y1=2008&amp;VAR:V0=15.291641&amp;VAR:V1=13.803925&amp;VAR:V=15.113141&amp;VAR:AUDIT_ID=00000117&amp;VAR:DATE=20070209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Aggregates&amp;VAR:MEASURE=PE_MEAN&amp;VAR:CALC_MODE=PORTFOLIO&amp;VAR:CHGPERIOD=NA&amp;VAR:FQLFORMULA=FMA_PE&amp;VAR:CURRENCY=USD&amp;VAR:P=1","438.061000&amp;VAR:THRESH=||||||&amp;VAR:null=.html"}</definedName>
    <definedName name="_1920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1921__FDSAUDITLINK__" hidden="1">{"fdsup://directions/FAT Viewer?action=UPDATE&amp;creator=factset&amp;DYN_ARGS=TRUE&amp;DOC_NAME=FAT:FQL_AUDITING_CLIENT_TEMPLATE.FAT&amp;display_string=Audit&amp;VAR:KEY=VYJCJQLQHW&amp;VAR:QUERY=RkZfUkRfRVhQKENBTCwzOTQ0NywsLCwp&amp;WINDOW=FIRST_POPUP&amp;HEIGHT=450&amp;WIDTH=450&amp;START_MAXIMI","ZED=FALSE&amp;VAR:CALENDAR=US&amp;VAR:SYMBOL=630720&amp;VAR:INDEX=0"}</definedName>
    <definedName name="_1922__FDSAUDITLINK__" hidden="1">{"fdsup://directions/FAT Viewer?action=UPDATE&amp;creator=factset&amp;DYN_ARGS=TRUE&amp;DOC_NAME=FAT:FQL_AUDITING_CLIENT_TEMPLATE.FAT&amp;display_string=Audit&amp;VAR:KEY=TUBQTARIDK&amp;VAR:QUERY=RkZfUkRfRVhQKENBTCwzOTA4MiwsLCwp&amp;WINDOW=FIRST_POPUP&amp;HEIGHT=450&amp;WIDTH=450&amp;START_MAXIMI","ZED=FALSE&amp;VAR:CALENDAR=US&amp;VAR:SYMBOL=630720&amp;VAR:INDEX=0"}</definedName>
    <definedName name="_1923__FDSAUDITLINK__" hidden="1">{"fdsup://directions/FAT Viewer?action=UPDATE&amp;creator=factset&amp;DYN_ARGS=TRUE&amp;DOC_NAME=FAT:FQL_AUDITING_CLIENT_TEMPLATE.FAT&amp;display_string=Audit&amp;VAR:KEY=TEDCLSDYNM&amp;VAR:QUERY=RkZfUkRfRVhQKENBTCwzODcxNywsLCwp&amp;WINDOW=FIRST_POPUP&amp;HEIGHT=450&amp;WIDTH=450&amp;START_MAXIMI","ZED=FALSE&amp;VAR:CALENDAR=US&amp;VAR:SYMBOL=630720&amp;VAR:INDEX=0"}</definedName>
    <definedName name="_1924__FDSAUDITLINK__" hidden="1">{"fdsup://directions/FAT Viewer?action=UPDATE&amp;creator=factset&amp;DYN_ARGS=TRUE&amp;DOC_NAME=FAT:FQL_AUDITING_CLIENT_TEMPLATE.FAT&amp;display_string=Audit&amp;VAR:KEY=HWBSXSJUJE&amp;VAR:QUERY=RkZfUkRfRVhQKENBTCwzODM1MiwsLCwp&amp;WINDOW=FIRST_POPUP&amp;HEIGHT=450&amp;WIDTH=450&amp;START_MAXIMI","ZED=FALSE&amp;VAR:CALENDAR=US&amp;VAR:SYMBOL=630720&amp;VAR:INDEX=0"}</definedName>
    <definedName name="_1925__FDSAUDITLINK__" hidden="1">{"fdsup://directions/FAT Viewer?action=UPDATE&amp;creator=factset&amp;DYN_ARGS=TRUE&amp;DOC_NAME=FAT:FQL_AUDITING_CLIENT_TEMPLATE.FAT&amp;display_string=Audit&amp;VAR:KEY=NOFYHOLEJE&amp;VAR:QUERY=RkZfUkRfRVhQKENBTCwzNzk4NiwsLCwp&amp;WINDOW=FIRST_POPUP&amp;HEIGHT=450&amp;WIDTH=450&amp;START_MAXIMI","ZED=FALSE&amp;VAR:CALENDAR=US&amp;VAR:SYMBOL=630720&amp;VAR:INDEX=0"}</definedName>
    <definedName name="_1926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1927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1928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1929__FDSAUDITLINK__" hidden="1">{"fdsup://directions/FAT Viewer?action=UPDATE&amp;creator=factset&amp;DYN_ARGS=TRUE&amp;DOC_NAME=FAT:FQL_AUDITING_CLIENT_TEMPLATE.FAT&amp;display_string=Audit&amp;VAR:KEY=DSRAFCZODS&amp;VAR:QUERY=RkZfUkRfRVhQKENBTCwzOTQ0NywsLCwp&amp;WINDOW=FIRST_POPUP&amp;HEIGHT=450&amp;WIDTH=450&amp;START_MAXIMI","ZED=FALSE&amp;VAR:CALENDAR=US&amp;VAR:SYMBOL=698538&amp;VAR:INDEX=0"}</definedName>
    <definedName name="_193__FDSAUDITLINK__" hidden="1">{"fdsup://directions/FAT%20Viewer?VAR:TM=NTMA&amp;VAR:PCT=0.909589&amp;VAR:Y0=2007&amp;VAR:Y1=2008&amp;VAR:V0=15.376873&amp;VAR:V1=13.886900&amp;VAR:V=15.229143&amp;VAR:AUDIT_ID=00000117&amp;VAR:DATE=20070202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Aggregates&amp;VAR:MEASURE=PE_MEAN&amp;VAR:CALC_MODE=PORTFOLIO&amp;VAR:CHGPERIOD=NA&amp;VAR:FQLFORMULA=FMA_PE&amp;VAR:CURRENCY=USD&amp;VAR:P=1","448.390100&amp;VAR:THRESH=||||||&amp;VAR:null=.html"}</definedName>
    <definedName name="_1930__FDSAUDITLINK__" hidden="1">{"fdsup://directions/FAT Viewer?action=UPDATE&amp;creator=factset&amp;DYN_ARGS=TRUE&amp;DOC_NAME=FAT:FQL_AUDITING_CLIENT_TEMPLATE.FAT&amp;display_string=Audit&amp;VAR:KEY=FODYBQZGBW&amp;VAR:QUERY=RkZfUkRfRVhQKENBTCwzOTA4MiwsLCwp&amp;WINDOW=FIRST_POPUP&amp;HEIGHT=450&amp;WIDTH=450&amp;START_MAXIMI","ZED=FALSE&amp;VAR:CALENDAR=US&amp;VAR:SYMBOL=698538&amp;VAR:INDEX=0"}</definedName>
    <definedName name="_1931__FDSAUDITLINK__" hidden="1">{"fdsup://directions/FAT Viewer?action=UPDATE&amp;creator=factset&amp;DYN_ARGS=TRUE&amp;DOC_NAME=FAT:FQL_AUDITING_CLIENT_TEMPLATE.FAT&amp;display_string=Audit&amp;VAR:KEY=LMDOJUJATK&amp;VAR:QUERY=RkZfUkRfRVhQKENBTCwzODcxNywsLCwp&amp;WINDOW=FIRST_POPUP&amp;HEIGHT=450&amp;WIDTH=450&amp;START_MAXIMI","ZED=FALSE&amp;VAR:CALENDAR=US&amp;VAR:SYMBOL=698538&amp;VAR:INDEX=0"}</definedName>
    <definedName name="_1932__FDSAUDITLINK__" hidden="1">{"fdsup://directions/FAT Viewer?action=UPDATE&amp;creator=factset&amp;DYN_ARGS=TRUE&amp;DOC_NAME=FAT:FQL_AUDITING_CLIENT_TEMPLATE.FAT&amp;display_string=Audit&amp;VAR:KEY=BCDOVGLIHM&amp;VAR:QUERY=RkZfUkRfRVhQKENBTCwzODM1MiwsLCwp&amp;WINDOW=FIRST_POPUP&amp;HEIGHT=450&amp;WIDTH=450&amp;START_MAXIMI","ZED=FALSE&amp;VAR:CALENDAR=US&amp;VAR:SYMBOL=698538&amp;VAR:INDEX=0"}</definedName>
    <definedName name="_1933__FDSAUDITLINK__" hidden="1">{"fdsup://directions/FAT Viewer?action=UPDATE&amp;creator=factset&amp;DYN_ARGS=TRUE&amp;DOC_NAME=FAT:FQL_AUDITING_CLIENT_TEMPLATE.FAT&amp;display_string=Audit&amp;VAR:KEY=VAVSHGNKLS&amp;VAR:QUERY=RkZfUkRfRVhQKENBTCwzNzk4NiwsLCwp&amp;WINDOW=FIRST_POPUP&amp;HEIGHT=450&amp;WIDTH=450&amp;START_MAXIMI","ZED=FALSE&amp;VAR:CALENDAR=US&amp;VAR:SYMBOL=698538&amp;VAR:INDEX=0"}</definedName>
    <definedName name="_1934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1935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1936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1937__FDSAUDITLINK__" hidden="1">{"fdsup://directions/FAT Viewer?action=UPDATE&amp;creator=factset&amp;DYN_ARGS=TRUE&amp;DOC_NAME=FAT:FQL_AUDITING_CLIENT_TEMPLATE.FAT&amp;display_string=Audit&amp;VAR:KEY=DQXADMHEVC&amp;VAR:QUERY=RkZfUkRfRVhQKENBTCw0MDE3OCwsLCxKUFkp&amp;WINDOW=FIRST_POPUP&amp;HEIGHT=450&amp;WIDTH=450&amp;START_MA","XIMIZED=FALSE&amp;VAR:CALENDAR=US&amp;VAR:SYMBOL=B0J7D9&amp;VAR:INDEX=0"}</definedName>
    <definedName name="_1938__FDSAUDITLINK__" hidden="1">{"fdsup://directions/FAT Viewer?action=UPDATE&amp;creator=factset&amp;DYN_ARGS=TRUE&amp;DOC_NAME=FAT:FQL_AUDITING_CLIENT_TEMPLATE.FAT&amp;display_string=Audit&amp;VAR:KEY=TOLORIHYHO&amp;VAR:QUERY=RkZfUkRfRVhQKENBTCwzOTgxMywsLCxKUFkp&amp;WINDOW=FIRST_POPUP&amp;HEIGHT=450&amp;WIDTH=450&amp;START_MA","XIMIZED=FALSE&amp;VAR:CALENDAR=US&amp;VAR:SYMBOL=B0J7D9&amp;VAR:INDEX=0"}</definedName>
    <definedName name="_1939__FDSAUDITLINK__" hidden="1">{"fdsup://directions/FAT Viewer?action=UPDATE&amp;creator=factset&amp;DYN_ARGS=TRUE&amp;DOC_NAME=FAT:FQL_AUDITING_CLIENT_TEMPLATE.FAT&amp;display_string=Audit&amp;VAR:KEY=JOZMPGZMJM&amp;VAR:QUERY=RkZfUkRfRVhQKENBTCwzOTQ0NywsLCxKUFkp&amp;WINDOW=FIRST_POPUP&amp;HEIGHT=450&amp;WIDTH=450&amp;START_MA","XIMIZED=FALSE&amp;VAR:CALENDAR=US&amp;VAR:SYMBOL=B0J7D9&amp;VAR:INDEX=0"}</definedName>
    <definedName name="_194__FDSAUDITLINK__" hidden="1">{"fdsup://directions/FAT%20Viewer?VAR:TM=NTMA&amp;VAR:PCT=0.928767&amp;VAR:Y0=2007&amp;VAR:Y1=2008&amp;VAR:V0=15.052644&amp;VAR:V1=13.544930&amp;VAR:V=14.934229&amp;VAR:AUDIT_ID=00000117&amp;VAR:DATE=20070126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Aggregates&amp;VAR:MEASURE=PE_MEAN&amp;VAR:CALC_MODE=PORTFOLIO&amp;VAR:CHGPERIOD=NA&amp;VAR:FQLFORMULA=FMA_PE&amp;VAR:CURRENCY=USD&amp;VAR:P=1","422.182400&amp;VAR:THRESH=||||||&amp;VAR:null=.html"}</definedName>
    <definedName name="_1940__FDSAUDITLINK__" hidden="1">{"fdsup://directions/FAT Viewer?action=UPDATE&amp;creator=factset&amp;DYN_ARGS=TRUE&amp;DOC_NAME=FAT:FQL_AUDITING_CLIENT_TEMPLATE.FAT&amp;display_string=Audit&amp;VAR:KEY=NABIRCXULI&amp;VAR:QUERY=RkZfUkRfRVhQKENBTCwzOTA4MiwsLCxKUFkp&amp;WINDOW=FIRST_POPUP&amp;HEIGHT=450&amp;WIDTH=450&amp;START_MA","XIMIZED=FALSE&amp;VAR:CALENDAR=US&amp;VAR:SYMBOL=B0J7D9&amp;VAR:INDEX=0"}</definedName>
    <definedName name="_1941__FDSAUDITLINK__" hidden="1">{"fdsup://directions/FAT Viewer?action=UPDATE&amp;creator=factset&amp;DYN_ARGS=TRUE&amp;DOC_NAME=FAT:FQL_AUDITING_CLIENT_TEMPLATE.FAT&amp;display_string=Audit&amp;VAR:KEY=PKNSHOFKFO&amp;VAR:QUERY=RkZfUkRfRVhQKENBTCwzODcxNywsLCxKUFkp&amp;WINDOW=FIRST_POPUP&amp;HEIGHT=450&amp;WIDTH=450&amp;START_MA","XIMIZED=FALSE&amp;VAR:CALENDAR=US&amp;VAR:SYMBOL=B0J7D9&amp;VAR:INDEX=0"}</definedName>
    <definedName name="_1942__FDSAUDITLINK__" hidden="1">{"fdsup://directions/FAT Viewer?action=UPDATE&amp;creator=factset&amp;DYN_ARGS=TRUE&amp;DOC_NAME=FAT:FQL_AUDITING_CLIENT_TEMPLATE.FAT&amp;display_string=Audit&amp;VAR:KEY=TEXUHKRIJS&amp;VAR:QUERY=RkZfUkRfRVhQKENBTCwzODM1MiwsLCxKUFkp&amp;WINDOW=FIRST_POPUP&amp;HEIGHT=450&amp;WIDTH=450&amp;START_MA","XIMIZED=FALSE&amp;VAR:CALENDAR=US&amp;VAR:SYMBOL=B0J7D9&amp;VAR:INDEX=0"}</definedName>
    <definedName name="_1943__FDSAUDITLINK__" hidden="1">{"fdsup://directions/FAT Viewer?action=UPDATE&amp;creator=factset&amp;DYN_ARGS=TRUE&amp;DOC_NAME=FAT:FQL_AUDITING_CLIENT_TEMPLATE.FAT&amp;display_string=Audit&amp;VAR:KEY=BMDYTORIHY&amp;VAR:QUERY=RkZfUkRfRVhQKENBTCwzNzk4NiwsLCxKUFkp&amp;WINDOW=FIRST_POPUP&amp;HEIGHT=450&amp;WIDTH=450&amp;START_MA","XIMIZED=FALSE&amp;VAR:CALENDAR=US&amp;VAR:SYMBOL=B0J7D9&amp;VAR:INDEX=0"}</definedName>
    <definedName name="_1944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1945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1946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1947__FDSAUDITLINK__" hidden="1">{"fdsup://directions/FAT Viewer?action=UPDATE&amp;creator=factset&amp;DYN_ARGS=TRUE&amp;DOC_NAME=FAT:FQL_AUDITING_CLIENT_TEMPLATE.FAT&amp;display_string=Audit&amp;VAR:KEY=JGFKDSPYPQ&amp;VAR:QUERY=RkZfUkRfRVhQKENBTCwzOTQ0NywsLCwp&amp;WINDOW=FIRST_POPUP&amp;HEIGHT=450&amp;WIDTH=450&amp;START_MAXIMI","ZED=FALSE&amp;VAR:CALENDAR=US&amp;VAR:SYMBOL=AMGN&amp;VAR:INDEX=0"}</definedName>
    <definedName name="_1948__FDSAUDITLINK__" hidden="1">{"fdsup://directions/FAT Viewer?action=UPDATE&amp;creator=factset&amp;DYN_ARGS=TRUE&amp;DOC_NAME=FAT:FQL_AUDITING_CLIENT_TEMPLATE.FAT&amp;display_string=Audit&amp;VAR:KEY=PITSZWZGJQ&amp;VAR:QUERY=RkZfUkRfRVhQKENBTCwzOTA4MiwsLCwp&amp;WINDOW=FIRST_POPUP&amp;HEIGHT=450&amp;WIDTH=450&amp;START_MAXIMI","ZED=FALSE&amp;VAR:CALENDAR=US&amp;VAR:SYMBOL=AMGN&amp;VAR:INDEX=0"}</definedName>
    <definedName name="_1949__FDSAUDITLINK__" hidden="1">{"fdsup://directions/FAT Viewer?action=UPDATE&amp;creator=factset&amp;DYN_ARGS=TRUE&amp;DOC_NAME=FAT:FQL_AUDITING_CLIENT_TEMPLATE.FAT&amp;display_string=Audit&amp;VAR:KEY=HKBWVOJSHI&amp;VAR:QUERY=RkZfUkRfRVhQKENBTCwzODcxNywsLCwp&amp;WINDOW=FIRST_POPUP&amp;HEIGHT=450&amp;WIDTH=450&amp;START_MAXIMI","ZED=FALSE&amp;VAR:CALENDAR=US&amp;VAR:SYMBOL=AMGN&amp;VAR:INDEX=0"}</definedName>
    <definedName name="_195__FDSAUDITLINK__" hidden="1">{"fdsup://directions/FAT%20Viewer?VAR:TM=NTMA&amp;VAR:PCT=0.947945&amp;VAR:Y0=2007&amp;VAR:Y1=2008&amp;VAR:V0=15.098285&amp;VAR:V1=13.692316&amp;VAR:V=15.018012&amp;VAR:AUDIT_ID=00000117&amp;VAR:DATE=20070119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Aggregates&amp;VAR:MEASURE=PE_MEAN&amp;VAR:CALC_MODE=PORTFOLIO&amp;VAR:CHGPERIOD=NA&amp;VAR:FQLFORMULA=FMA_PE&amp;VAR:CURRENCY=USD&amp;VAR:P=1","430.503700&amp;VAR:THRESH=||||||&amp;VAR:null=.html"}</definedName>
    <definedName name="_1950__FDSAUDITLINK__" hidden="1">{"fdsup://directions/FAT Viewer?action=UPDATE&amp;creator=factset&amp;DYN_ARGS=TRUE&amp;DOC_NAME=FAT:FQL_AUDITING_CLIENT_TEMPLATE.FAT&amp;display_string=Audit&amp;VAR:KEY=TUHABOXUJS&amp;VAR:QUERY=RkZfUkRfRVhQKENBTCwzODM1MiwsLCwp&amp;WINDOW=FIRST_POPUP&amp;HEIGHT=450&amp;WIDTH=450&amp;START_MAXIMI","ZED=FALSE&amp;VAR:CALENDAR=US&amp;VAR:SYMBOL=AMGN&amp;VAR:INDEX=0"}</definedName>
    <definedName name="_1951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1952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1953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1954__FDSAUDITLINK__" hidden="1">{"fdsup://directions/FAT Viewer?action=UPDATE&amp;creator=factset&amp;DYN_ARGS=TRUE&amp;DOC_NAME=FAT:FQL_AUDITING_CLIENT_TEMPLATE.FAT&amp;display_string=Audit&amp;VAR:KEY=FSDQDMTKFI&amp;VAR:QUERY=RkZfUkRfRVhQKENBTCwzOTQ0NywsLCwp&amp;WINDOW=FIRST_POPUP&amp;HEIGHT=450&amp;WIDTH=450&amp;START_MAXIMI","ZED=FALSE&amp;VAR:CALENDAR=US&amp;VAR:SYMBOL=ABT&amp;VAR:INDEX=0"}</definedName>
    <definedName name="_1955__FDSAUDITLINK__" hidden="1">{"fdsup://directions/FAT Viewer?action=UPDATE&amp;creator=factset&amp;DYN_ARGS=TRUE&amp;DOC_NAME=FAT:FQL_AUDITING_CLIENT_TEMPLATE.FAT&amp;display_string=Audit&amp;VAR:KEY=DKXQFUXYNQ&amp;VAR:QUERY=RkZfUkRfRVhQKENBTCwzOTA4MiwsLCwp&amp;WINDOW=FIRST_POPUP&amp;HEIGHT=450&amp;WIDTH=450&amp;START_MAXIMI","ZED=FALSE&amp;VAR:CALENDAR=US&amp;VAR:SYMBOL=ABT&amp;VAR:INDEX=0"}</definedName>
    <definedName name="_1956__FDSAUDITLINK__" hidden="1">{"fdsup://directions/FAT Viewer?action=UPDATE&amp;creator=factset&amp;DYN_ARGS=TRUE&amp;DOC_NAME=FAT:FQL_AUDITING_CLIENT_TEMPLATE.FAT&amp;display_string=Audit&amp;VAR:KEY=DCTAJGPGHM&amp;VAR:QUERY=RkZfUkRfRVhQKENBTCwzODcxNywsLCwp&amp;WINDOW=FIRST_POPUP&amp;HEIGHT=450&amp;WIDTH=450&amp;START_MAXIMI","ZED=FALSE&amp;VAR:CALENDAR=US&amp;VAR:SYMBOL=ABT&amp;VAR:INDEX=0"}</definedName>
    <definedName name="_1957__FDSAUDITLINK__" hidden="1">{"fdsup://directions/FAT Viewer?action=UPDATE&amp;creator=factset&amp;DYN_ARGS=TRUE&amp;DOC_NAME=FAT:FQL_AUDITING_CLIENT_TEMPLATE.FAT&amp;display_string=Audit&amp;VAR:KEY=DWROLQJYRO&amp;VAR:QUERY=RkZfUkRfRVhQKENBTCwzODM1MiwsLCwp&amp;WINDOW=FIRST_POPUP&amp;HEIGHT=450&amp;WIDTH=450&amp;START_MAXIMI","ZED=FALSE&amp;VAR:CALENDAR=US&amp;VAR:SYMBOL=ABT&amp;VAR:INDEX=0"}</definedName>
    <definedName name="_1958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1959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196__FDSAUDITLINK__" hidden="1">{"fdsup://directions/FAT%20Viewer?VAR:TM=NTMA&amp;VAR:PCT=0.967123&amp;VAR:Y0=2007&amp;VAR:Y1=2008&amp;VAR:V0=15.062906&amp;VAR:V1=13.677268&amp;VAR:V=15.012902&amp;VAR:AUDIT_ID=00000117&amp;VAR:DATE=20070112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Aggregates&amp;VAR:MEASURE=PE_MEAN&amp;VAR:CALC_MODE=PORTFOLIO&amp;VAR:CHGPERIOD=NA&amp;VAR:FQLFORMULA=FMA_PE&amp;VAR:CURRENCY=USD&amp;VAR:P=1","430.732700&amp;VAR:THRESH=||||||&amp;VAR:null=.html"}</definedName>
    <definedName name="_1960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1961__FDSAUDITLINK__" hidden="1">{"fdsup://directions/FAT Viewer?action=UPDATE&amp;creator=factset&amp;DYN_ARGS=TRUE&amp;DOC_NAME=FAT:FQL_AUDITING_CLIENT_TEMPLATE.FAT&amp;display_string=Audit&amp;VAR:KEY=RSBIBMVATE&amp;VAR:QUERY=RkZfUkRfRVhQKENBTCwzOTQ0NywsLCwp&amp;WINDOW=FIRST_POPUP&amp;HEIGHT=450&amp;WIDTH=450&amp;START_MAXIMI","ZED=FALSE&amp;VAR:CALENDAR=US&amp;VAR:SYMBOL=687044&amp;VAR:INDEX=0"}</definedName>
    <definedName name="_1962__FDSAUDITLINK__" hidden="1">{"fdsup://directions/FAT Viewer?action=UPDATE&amp;creator=factset&amp;DYN_ARGS=TRUE&amp;DOC_NAME=FAT:FQL_AUDITING_CLIENT_TEMPLATE.FAT&amp;display_string=Audit&amp;VAR:KEY=BMBQFCROBS&amp;VAR:QUERY=RkZfUkRfRVhQKENBTCwzOTA4MiwsLCwp&amp;WINDOW=FIRST_POPUP&amp;HEIGHT=450&amp;WIDTH=450&amp;START_MAXIMI","ZED=FALSE&amp;VAR:CALENDAR=US&amp;VAR:SYMBOL=687044&amp;VAR:INDEX=0"}</definedName>
    <definedName name="_1963__FDSAUDITLINK__" hidden="1">{"fdsup://directions/FAT Viewer?action=UPDATE&amp;creator=factset&amp;DYN_ARGS=TRUE&amp;DOC_NAME=FAT:FQL_AUDITING_CLIENT_TEMPLATE.FAT&amp;display_string=Audit&amp;VAR:KEY=PSVODMRWBK&amp;VAR:QUERY=RkZfUkRfRVhQKENBTCwzODcxNywsLCwp&amp;WINDOW=FIRST_POPUP&amp;HEIGHT=450&amp;WIDTH=450&amp;START_MAXIMI","ZED=FALSE&amp;VAR:CALENDAR=US&amp;VAR:SYMBOL=687044&amp;VAR:INDEX=0"}</definedName>
    <definedName name="_1964__FDSAUDITLINK__" hidden="1">{"fdsup://directions/FAT Viewer?action=UPDATE&amp;creator=factset&amp;DYN_ARGS=TRUE&amp;DOC_NAME=FAT:FQL_AUDITING_CLIENT_TEMPLATE.FAT&amp;display_string=Audit&amp;VAR:KEY=XETOTYBIDC&amp;VAR:QUERY=RkZfUkRfRVhQKENBTCwzODM1MiwsLCwp&amp;WINDOW=FIRST_POPUP&amp;HEIGHT=450&amp;WIDTH=450&amp;START_MAXIMI","ZED=FALSE&amp;VAR:CALENDAR=US&amp;VAR:SYMBOL=687044&amp;VAR:INDEX=0"}</definedName>
    <definedName name="_1965__FDSAUDITLINK__" hidden="1">{"fdsup://directions/FAT Viewer?action=UPDATE&amp;creator=factset&amp;DYN_ARGS=TRUE&amp;DOC_NAME=FAT:FQL_AUDITING_CLIENT_TEMPLATE.FAT&amp;display_string=Audit&amp;VAR:KEY=ZYDGDSXIPY&amp;VAR:QUERY=RkZfUkRfRVhQKENBTCwzNzk4NiwsLCwp&amp;WINDOW=FIRST_POPUP&amp;HEIGHT=450&amp;WIDTH=450&amp;START_MAXIMI","ZED=FALSE&amp;VAR:CALENDAR=US&amp;VAR:SYMBOL=687044&amp;VAR:INDEX=0"}</definedName>
    <definedName name="_1966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1967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1968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1969__FDSAUDITLINK__" hidden="1">{"fdsup://directions/FAT Viewer?action=UPDATE&amp;creator=factset&amp;DYN_ARGS=TRUE&amp;DOC_NAME=FAT:FQL_AUDITING_CLIENT_TEMPLATE.FAT&amp;display_string=Audit&amp;VAR:KEY=RSXSPYNOFE&amp;VAR:QUERY=RkZfUkRfRVhQKENBTCwzOTQ0NywsLCwp&amp;WINDOW=FIRST_POPUP&amp;HEIGHT=450&amp;WIDTH=450&amp;START_MAXIMI","ZED=FALSE&amp;VAR:CALENDAR=US&amp;VAR:SYMBOL=BMY&amp;VAR:INDEX=0"}</definedName>
    <definedName name="_197__FDSAUDITLINK__" hidden="1">{"fdsup://directions/FAT%20Viewer?VAR:TM=NTMA&amp;VAR:PCT=0.986301&amp;VAR:Y0=2007&amp;VAR:Y1=2008&amp;VAR:V0=14.795378&amp;VAR:V1=13.454315&amp;VAR:V=14.775204&amp;VAR:AUDIT_ID=00000117&amp;VAR:DATE=20070105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Aggregates&amp;VAR:MEASURE=PE_MEAN&amp;VAR:CALC_MODE=PORTFOLIO&amp;VAR:CHGPERIOD=NA&amp;VAR:FQLFORMULA=FMA_PE&amp;VAR:CURRENCY=USD&amp;VAR:P=1","409.707000&amp;VAR:THRESH=||||||&amp;VAR:null=.html"}</definedName>
    <definedName name="_1970__FDSAUDITLINK__" hidden="1">{"fdsup://directions/FAT Viewer?action=UPDATE&amp;creator=factset&amp;DYN_ARGS=TRUE&amp;DOC_NAME=FAT:FQL_AUDITING_CLIENT_TEMPLATE.FAT&amp;display_string=Audit&amp;VAR:KEY=LKDOVYBADY&amp;VAR:QUERY=RkZfUkRfRVhQKENBTCwzOTA4MiwsLCwp&amp;WINDOW=FIRST_POPUP&amp;HEIGHT=450&amp;WIDTH=450&amp;START_MAXIMI","ZED=FALSE&amp;VAR:CALENDAR=US&amp;VAR:SYMBOL=BMY&amp;VAR:INDEX=0"}</definedName>
    <definedName name="_1971__FDSAUDITLINK__" hidden="1">{"fdsup://directions/FAT Viewer?action=UPDATE&amp;creator=factset&amp;DYN_ARGS=TRUE&amp;DOC_NAME=FAT:FQL_AUDITING_CLIENT_TEMPLATE.FAT&amp;display_string=Audit&amp;VAR:KEY=LQFUHMHSHG&amp;VAR:QUERY=RkZfUkRfRVhQKENBTCwzODcxNywsLCwp&amp;WINDOW=FIRST_POPUP&amp;HEIGHT=450&amp;WIDTH=450&amp;START_MAXIMI","ZED=FALSE&amp;VAR:CALENDAR=US&amp;VAR:SYMBOL=BMY&amp;VAR:INDEX=0"}</definedName>
    <definedName name="_1972__FDSAUDITLINK__" hidden="1">{"fdsup://directions/FAT Viewer?action=UPDATE&amp;creator=factset&amp;DYN_ARGS=TRUE&amp;DOC_NAME=FAT:FQL_AUDITING_CLIENT_TEMPLATE.FAT&amp;display_string=Audit&amp;VAR:KEY=FQBKHMBUDK&amp;VAR:QUERY=RkZfUkRfRVhQKENBTCwzODM1MiwsLCwp&amp;WINDOW=FIRST_POPUP&amp;HEIGHT=450&amp;WIDTH=450&amp;START_MAXIMI","ZED=FALSE&amp;VAR:CALENDAR=US&amp;VAR:SYMBOL=BMY&amp;VAR:INDEX=0"}</definedName>
    <definedName name="_1973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1974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1975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1976__FDSAUDITLINK__" hidden="1">{"fdsup://directions/FAT Viewer?action=UPDATE&amp;creator=factset&amp;DYN_ARGS=TRUE&amp;DOC_NAME=FAT:FQL_AUDITING_CLIENT_TEMPLATE.FAT&amp;display_string=Audit&amp;VAR:KEY=HEPKDCHMJW&amp;VAR:QUERY=RkZfUkRfRVhQKENBTCwzOTQ0NywsLCwp&amp;WINDOW=FIRST_POPUP&amp;HEIGHT=450&amp;WIDTH=450&amp;START_MAXIMI","ZED=FALSE&amp;VAR:CALENDAR=US&amp;VAR:SYMBOL=LLY&amp;VAR:INDEX=0"}</definedName>
    <definedName name="_1977__FDSAUDITLINK__" hidden="1">{"fdsup://directions/FAT Viewer?action=UPDATE&amp;creator=factset&amp;DYN_ARGS=TRUE&amp;DOC_NAME=FAT:FQL_AUDITING_CLIENT_TEMPLATE.FAT&amp;display_string=Audit&amp;VAR:KEY=FENANCDSZW&amp;VAR:QUERY=RkZfUkRfRVhQKENBTCwzOTA4MiwsLCwp&amp;WINDOW=FIRST_POPUP&amp;HEIGHT=450&amp;WIDTH=450&amp;START_MAXIMI","ZED=FALSE&amp;VAR:CALENDAR=US&amp;VAR:SYMBOL=LLY&amp;VAR:INDEX=0"}</definedName>
    <definedName name="_1978__FDSAUDITLINK__" hidden="1">{"fdsup://directions/FAT Viewer?action=UPDATE&amp;creator=factset&amp;DYN_ARGS=TRUE&amp;DOC_NAME=FAT:FQL_AUDITING_CLIENT_TEMPLATE.FAT&amp;display_string=Audit&amp;VAR:KEY=BUFUPIJOPY&amp;VAR:QUERY=RkZfUkRfRVhQKENBTCwzODcxNywsLCwp&amp;WINDOW=FIRST_POPUP&amp;HEIGHT=450&amp;WIDTH=450&amp;START_MAXIMI","ZED=FALSE&amp;VAR:CALENDAR=US&amp;VAR:SYMBOL=LLY&amp;VAR:INDEX=0"}</definedName>
    <definedName name="_1979__FDSAUDITLINK__" hidden="1">{"fdsup://directions/FAT Viewer?action=UPDATE&amp;creator=factset&amp;DYN_ARGS=TRUE&amp;DOC_NAME=FAT:FQL_AUDITING_CLIENT_TEMPLATE.FAT&amp;display_string=Audit&amp;VAR:KEY=FITARQDYHC&amp;VAR:QUERY=RkZfUkRfRVhQKENBTCwzODM1MiwsLCwp&amp;WINDOW=FIRST_POPUP&amp;HEIGHT=450&amp;WIDTH=450&amp;START_MAXIMI","ZED=FALSE&amp;VAR:CALENDAR=US&amp;VAR:SYMBOL=LLY&amp;VAR:INDEX=0"}</definedName>
    <definedName name="_198__FDSAUDITLINK__" hidden="1">{"fdsup://directions/FAT%20Viewer?VAR:TM=NTMA&amp;VAR:PCT=0.005479&amp;VAR:Y0=2006&amp;VAR:Y1=2007&amp;VAR:V0=16.238012&amp;VAR:V1=14.898939&amp;VAR:V=14.905674&amp;VAR:AUDIT_ID=00000117&amp;VAR:DATE=20061229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Aggregates&amp;VAR:MEASURE=PE_MEAN&amp;VAR:CALC_MODE=PORTFOLIO&amp;VAR:CHGPERIOD=NA&amp;VAR:FQLFORMULA=FMA_PE&amp;VAR:CURRENCY=USD&amp;VAR:P=1","418.300500&amp;VAR:THRESH=||||||&amp;VAR:null=.html"}</definedName>
    <definedName name="_1980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1981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1982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1983__FDSAUDITLINK__" hidden="1">{"fdsup://directions/FAT Viewer?action=UPDATE&amp;creator=factset&amp;DYN_ARGS=TRUE&amp;DOC_NAME=FAT:FQL_AUDITING_CLIENT_TEMPLATE.FAT&amp;display_string=Audit&amp;VAR:KEY=RWDWLABEJW&amp;VAR:QUERY=RkZfUkRfRVhQKENBTCwzOTQ0NywsLCwp&amp;WINDOW=FIRST_POPUP&amp;HEIGHT=450&amp;WIDTH=450&amp;START_MAXIMI","ZED=FALSE&amp;VAR:CALENDAR=US&amp;VAR:SYMBOL=506921&amp;VAR:INDEX=0"}</definedName>
    <definedName name="_1984__FDSAUDITLINK__" hidden="1">{"fdsup://directions/FAT Viewer?action=UPDATE&amp;creator=factset&amp;DYN_ARGS=TRUE&amp;DOC_NAME=FAT:FQL_AUDITING_CLIENT_TEMPLATE.FAT&amp;display_string=Audit&amp;VAR:KEY=FGJCBIHEHA&amp;VAR:QUERY=RkZfUkRfRVhQKENBTCwzOTA4MiwsLCwp&amp;WINDOW=FIRST_POPUP&amp;HEIGHT=450&amp;WIDTH=450&amp;START_MAXIMI","ZED=FALSE&amp;VAR:CALENDAR=US&amp;VAR:SYMBOL=506921&amp;VAR:INDEX=0"}</definedName>
    <definedName name="_1985__FDSAUDITLINK__" hidden="1">{"fdsup://directions/FAT Viewer?action=UPDATE&amp;creator=factset&amp;DYN_ARGS=TRUE&amp;DOC_NAME=FAT:FQL_AUDITING_CLIENT_TEMPLATE.FAT&amp;display_string=Audit&amp;VAR:KEY=BYZCRITIBW&amp;VAR:QUERY=RkZfUkRfRVhQKENBTCwzODcxNywsLCwp&amp;WINDOW=FIRST_POPUP&amp;HEIGHT=450&amp;WIDTH=450&amp;START_MAXIMI","ZED=FALSE&amp;VAR:CALENDAR=US&amp;VAR:SYMBOL=506921&amp;VAR:INDEX=0"}</definedName>
    <definedName name="_1986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1987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1988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1989__FDSAUDITLINK__" hidden="1">{"fdsup://directions/FAT Viewer?action=UPDATE&amp;creator=factset&amp;DYN_ARGS=TRUE&amp;DOC_NAME=FAT:FQL_AUDITING_CLIENT_TEMPLATE.FAT&amp;display_string=Audit&amp;VAR:KEY=RWLEDIBETI&amp;VAR:QUERY=RkZfUkRfRVhQKENBTCwzOTQ0NywsLCwp&amp;WINDOW=FIRST_POPUP&amp;HEIGHT=450&amp;WIDTH=450&amp;START_MAXIMI","ZED=FALSE&amp;VAR:CALENDAR=US&amp;VAR:SYMBOL=567173&amp;VAR:INDEX=0"}</definedName>
    <definedName name="_199__FDSAUDITLINK__" hidden="1">{"fdsup://directions/FAT%20Viewer?VAR:TM=NTMA&amp;VAR:PCT=0.024658&amp;VAR:Y0=2006&amp;VAR:Y1=2007&amp;VAR:V0=16.151920&amp;VAR:V1=14.820734&amp;VAR:V=14.850914&amp;VAR:AUDIT_ID=00000117&amp;VAR:DATE=20061222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Aggregates&amp;VAR:MEASURE=PE_MEAN&amp;VAR:CALC_MODE=PORTFOLIO&amp;VAR:CHGPERIOD=NA&amp;VAR:FQLFORMULA=FMA_PE&amp;VAR:CURRENCY=USD&amp;VAR:P=1","410.764800&amp;VAR:THRESH=||||||&amp;VAR:null=.html"}</definedName>
    <definedName name="_1990__FDSAUDITLINK__" hidden="1">{"fdsup://directions/FAT Viewer?action=UPDATE&amp;creator=factset&amp;DYN_ARGS=TRUE&amp;DOC_NAME=FAT:FQL_AUDITING_CLIENT_TEMPLATE.FAT&amp;display_string=Audit&amp;VAR:KEY=VWPMVGBIVA&amp;VAR:QUERY=RkZfUkRfRVhQKENBTCwzOTA4MiwsLCwp&amp;WINDOW=FIRST_POPUP&amp;HEIGHT=450&amp;WIDTH=450&amp;START_MAXIMI","ZED=FALSE&amp;VAR:CALENDAR=US&amp;VAR:SYMBOL=567173&amp;VAR:INDEX=0"}</definedName>
    <definedName name="_1991__FDSAUDITLINK__" hidden="1">{"fdsup://directions/FAT Viewer?action=UPDATE&amp;creator=factset&amp;DYN_ARGS=TRUE&amp;DOC_NAME=FAT:FQL_AUDITING_CLIENT_TEMPLATE.FAT&amp;display_string=Audit&amp;VAR:KEY=ZGNEJWTYPU&amp;VAR:QUERY=RkZfUkRfRVhQKENBTCwzODcxNywsLCwp&amp;WINDOW=FIRST_POPUP&amp;HEIGHT=450&amp;WIDTH=450&amp;START_MAXIMI","ZED=FALSE&amp;VAR:CALENDAR=US&amp;VAR:SYMBOL=567173&amp;VAR:INDEX=0"}</definedName>
    <definedName name="_1992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1993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1994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1995__FDSAUDITLINK__" hidden="1">{"fdsup://directions/FAT Viewer?action=UPDATE&amp;creator=factset&amp;DYN_ARGS=TRUE&amp;DOC_NAME=FAT:FQL_AUDITING_CLIENT_TEMPLATE.FAT&amp;display_string=Audit&amp;VAR:KEY=FYLUREVORG&amp;VAR:QUERY=RkZfUkRfRVhQKENBTCwzOTQ0NywsLCwp&amp;WINDOW=FIRST_POPUP&amp;HEIGHT=450&amp;WIDTH=450&amp;START_MAXIMI","ZED=FALSE&amp;VAR:CALENDAR=US&amp;VAR:SYMBOL=JNJ&amp;VAR:INDEX=0"}</definedName>
    <definedName name="_1996__FDSAUDITLINK__" hidden="1">{"fdsup://directions/FAT Viewer?action=UPDATE&amp;creator=factset&amp;DYN_ARGS=TRUE&amp;DOC_NAME=FAT:FQL_AUDITING_CLIENT_TEMPLATE.FAT&amp;display_string=Audit&amp;VAR:KEY=BUPWHWVEFO&amp;VAR:QUERY=RkZfUkRfRVhQKENBTCwzOTA4MiwsLCwp&amp;WINDOW=FIRST_POPUP&amp;HEIGHT=450&amp;WIDTH=450&amp;START_MAXIMI","ZED=FALSE&amp;VAR:CALENDAR=US&amp;VAR:SYMBOL=JNJ&amp;VAR:INDEX=0"}</definedName>
    <definedName name="_1997__FDSAUDITLINK__" hidden="1">{"fdsup://directions/FAT Viewer?action=UPDATE&amp;creator=factset&amp;DYN_ARGS=TRUE&amp;DOC_NAME=FAT:FQL_AUDITING_CLIENT_TEMPLATE.FAT&amp;display_string=Audit&amp;VAR:KEY=BIZGFAZSLE&amp;VAR:QUERY=RkZfUkRfRVhQKENBTCwzODcxNywsLCwp&amp;WINDOW=FIRST_POPUP&amp;HEIGHT=450&amp;WIDTH=450&amp;START_MAXIMI","ZED=FALSE&amp;VAR:CALENDAR=US&amp;VAR:SYMBOL=JNJ&amp;VAR:INDEX=0"}</definedName>
    <definedName name="_1998__FDSAUDITLINK__" hidden="1">{"fdsup://directions/FAT Viewer?action=UPDATE&amp;creator=factset&amp;DYN_ARGS=TRUE&amp;DOC_NAME=FAT:FQL_AUDITING_CLIENT_TEMPLATE.FAT&amp;display_string=Audit&amp;VAR:KEY=FQZEXGVUHG&amp;VAR:QUERY=RkZfUkRfRVhQKENBTCwzODM1MiwsLCwp&amp;WINDOW=FIRST_POPUP&amp;HEIGHT=450&amp;WIDTH=450&amp;START_MAXIMI","ZED=FALSE&amp;VAR:CALENDAR=US&amp;VAR:SYMBOL=JNJ&amp;VAR:INDEX=0"}</definedName>
    <definedName name="_1999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1Q_01E">"_01"</definedName>
    <definedName name="_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0.191781&amp;VAR:V=13.009558&amp;VAR:V0=13.341230&amp;VAR:V1=11.775806&amp;VAR:Y0=2011&amp;VAR:Y1=2012&amp;VAR:P=1304.281298&amp;VAR:DATE=20110311&amp;VAR:THRESH=-|-|","-|-|-|-|-"}</definedName>
    <definedName name="_20__FDSAUDITLINK__" hidden="1">{"fdsup://directions/FAT%20Viewer?VAR:TM=NTMA&amp;VAR:PCT=0.594521&amp;VAR:Y0=2010&amp;VAR:Y1=2011&amp;VAR:V0=13.201095&amp;VAR:V1=11.239305&amp;VAR:V=12.328539&amp;VAR:AUDIT_ID=00000117&amp;VAR:DATE=20100528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Aggregates&amp;VAR:MEASURE=PE_MEAN&amp;VAR:CALC_MODE=PORTFOLIO&amp;VAR:CHGPERIOD=NA&amp;VAR:FQLFORMULA=FMA_PE&amp;VAR:CURRENCY=USD&amp;VAR:P=1","089.405844&amp;VAR:THRESH=||||||&amp;VAR:null=.html"}</definedName>
    <definedName name="_200__FDSAUDITLINK__" hidden="1">{"fdsup://directions/FAT%20Viewer?VAR:TM=NTMA&amp;VAR:PCT=0.043836&amp;VAR:Y0=2006&amp;VAR:Y1=2007&amp;VAR:V0=16.338608&amp;VAR:V1=14.983665&amp;VAR:V=15.038333&amp;VAR:AUDIT_ID=00000117&amp;VAR:DATE=20061215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Aggregates&amp;VAR:MEASURE=PE_MEAN&amp;VAR:CALC_MODE=PORTFOLIO&amp;VAR:CHGPERIOD=NA&amp;VAR:FQLFORMULA=FMA_PE&amp;VAR:CURRENCY=USD&amp;VAR:P=1","427.085800&amp;VAR:THRESH=||||||&amp;VAR:null=.html"}</definedName>
    <definedName name="_2000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2001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2002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2003__FDSAUDITLINK__" hidden="1">{"fdsup://directions/FAT Viewer?action=UPDATE&amp;creator=factset&amp;DYN_ARGS=TRUE&amp;DOC_NAME=FAT:FQL_AUDITING_CLIENT_TEMPLATE.FAT&amp;display_string=Audit&amp;VAR:KEY=BAPYPCNOVG&amp;VAR:QUERY=RkZfUkRfRVhQKENBTCwzOTA4MiwsLCwp&amp;WINDOW=FIRST_POPUP&amp;HEIGHT=450&amp;WIDTH=450&amp;START_MAXIMI","ZED=FALSE&amp;VAR:CALENDAR=US&amp;VAR:SYMBOL=710306&amp;VAR:INDEX=0"}</definedName>
    <definedName name="_2004__FDSAUDITLINK__" hidden="1">{"fdsup://directions/FAT Viewer?action=UPDATE&amp;creator=factset&amp;DYN_ARGS=TRUE&amp;DOC_NAME=FAT:FQL_AUDITING_CLIENT_TEMPLATE.FAT&amp;display_string=Audit&amp;VAR:KEY=VKXURALSNK&amp;VAR:QUERY=RkZfUkRfRVhQKENBTCwzODcxNywsLCwp&amp;WINDOW=FIRST_POPUP&amp;HEIGHT=450&amp;WIDTH=450&amp;START_MAXIMI","ZED=FALSE&amp;VAR:CALENDAR=US&amp;VAR:SYMBOL=710306&amp;VAR:INDEX=0"}</definedName>
    <definedName name="_2005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2006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2007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2008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2009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201__FDSAUDITLINK__" hidden="1">{"fdsup://directions/FAT%20Viewer?VAR:TM=NTMA&amp;VAR:PCT=0.063014&amp;VAR:Y0=2006&amp;VAR:Y1=2007&amp;VAR:V0=16.144604&amp;VAR:V1=14.786696&amp;VAR:V=14.865483&amp;VAR:AUDIT_ID=00000117&amp;VAR:DATE=20061208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Aggregates&amp;VAR:MEASURE=PE_MEAN&amp;VAR:CALC_MODE=PORTFOLIO&amp;VAR:CHGPERIOD=NA&amp;VAR:FQLFORMULA=FMA_PE&amp;VAR:CURRENCY=USD&amp;VAR:P=1","409.842700&amp;VAR:THRESH=||||||&amp;VAR:null=.html"}</definedName>
    <definedName name="_2010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2011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2012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2013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2014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2015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2016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2017__FDSAUDITLINK__" hidden="1">{"fdsup://directions/FAT Viewer?action=UPDATE&amp;creator=factset&amp;DYN_ARGS=TRUE&amp;DOC_NAME=FAT:FQL_AUDITING_CLIENT_TEMPLATE.FAT&amp;display_string=Audit&amp;VAR:KEY=LSNMLEBONA&amp;VAR:QUERY=RkZfUkRfRVhQKENBTCwzOTQ0NywsLCwp&amp;WINDOW=FIRST_POPUP&amp;HEIGHT=450&amp;WIDTH=450&amp;START_MAXIMI","ZED=FALSE&amp;VAR:CALENDAR=US&amp;VAR:SYMBOL=MRK&amp;VAR:INDEX=0"}</definedName>
    <definedName name="_2018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2019__FDSAUDITLINK__" hidden="1">{"fdsup://directions/FAT Viewer?action=UPDATE&amp;creator=factset&amp;DYN_ARGS=TRUE&amp;DOC_NAME=FAT:FQL_AUDITING_CLIENT_TEMPLATE.FAT&amp;display_string=Audit&amp;VAR:KEY=NMHYXIZERM&amp;VAR:QUERY=RkZfUkRfRVhQKENBTCwzOTA4MiwsLCwp&amp;WINDOW=FIRST_POPUP&amp;HEIGHT=450&amp;WIDTH=450&amp;START_MAXIMI","ZED=FALSE&amp;VAR:CALENDAR=US&amp;VAR:SYMBOL=MRK&amp;VAR:INDEX=0"}</definedName>
    <definedName name="_202__FDSAUDITLINK__" hidden="1">{"fdsup://directions/FAT%20Viewer?VAR:TM=NTMA&amp;VAR:PCT=0.082192&amp;VAR:Y0=2006&amp;VAR:Y1=2007&amp;VAR:V0=15.996559&amp;VAR:V1=14.646145&amp;VAR:V=14.748478&amp;VAR:AUDIT_ID=00000117&amp;VAR:DATE=20061201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Aggregates&amp;VAR:MEASURE=PE_MEAN&amp;VAR:CALC_MODE=PORTFOLIO&amp;VAR:CHGPERIOD=NA&amp;VAR:FQLFORMULA=FMA_PE&amp;VAR:CURRENCY=USD&amp;VAR:P=1","396.713000&amp;VAR:THRESH=||||||&amp;VAR:null=.html"}</definedName>
    <definedName name="_2020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2021__FDSAUDITLINK__" hidden="1">{"fdsup://directions/FAT Viewer?action=UPDATE&amp;creator=factset&amp;DYN_ARGS=TRUE&amp;DOC_NAME=FAT:FQL_AUDITING_CLIENT_TEMPLATE.FAT&amp;display_string=Audit&amp;VAR:KEY=HIHQXGPWVE&amp;VAR:QUERY=RkZfUkRfRVhQKENBTCwzODcxNywsLCwp&amp;WINDOW=FIRST_POPUP&amp;HEIGHT=450&amp;WIDTH=450&amp;START_MAXIMI","ZED=FALSE&amp;VAR:CALENDAR=US&amp;VAR:SYMBOL=MRK&amp;VAR:INDEX=0"}</definedName>
    <definedName name="_2022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2023__FDSAUDITLINK__" hidden="1">{"fdsup://directions/FAT Viewer?action=UPDATE&amp;creator=factset&amp;DYN_ARGS=TRUE&amp;DOC_NAME=FAT:FQL_AUDITING_CLIENT_TEMPLATE.FAT&amp;display_string=Audit&amp;VAR:KEY=BILIDIROZO&amp;VAR:QUERY=RkZfUkRfRVhQKENBTCwzODM1MiwsLCwp&amp;WINDOW=FIRST_POPUP&amp;HEIGHT=450&amp;WIDTH=450&amp;START_MAXIMI","ZED=FALSE&amp;VAR:CALENDAR=US&amp;VAR:SYMBOL=MRK&amp;VAR:INDEX=0"}</definedName>
    <definedName name="_2024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2025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2026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2027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2028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2029__FDSAUDITLINK__" hidden="1">{"fdsup://directions/FAT Viewer?action=UPDATE&amp;creator=factset&amp;DYN_ARGS=TRUE&amp;DOC_NAME=FAT:FQL_AUDITING_CLIENT_TEMPLATE.FAT&amp;display_string=Audit&amp;VAR:KEY=TEDKTITIXA&amp;VAR:QUERY=RkZfUkRfRVhQKENBTCwzOTQ0NywsLCwp&amp;WINDOW=FIRST_POPUP&amp;HEIGHT=450&amp;WIDTH=450&amp;START_MAXIMI","ZED=FALSE&amp;VAR:CALENDAR=US&amp;VAR:SYMBOL=PFE&amp;VAR:INDEX=0"}</definedName>
    <definedName name="_203__FDSAUDITLINK__" hidden="1">{"fdsup://directions/FAT%20Viewer?VAR:TM=NTMA&amp;VAR:PCT=0.101370&amp;VAR:Y0=2006&amp;VAR:Y1=2007&amp;VAR:V0=16.053570&amp;VAR:V1=14.684053&amp;VAR:V=14.812145&amp;VAR:AUDIT_ID=00000117&amp;VAR:DATE=20061124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Aggregates&amp;VAR:MEASURE=PE_MEAN&amp;VAR:CALC_MODE=PORTFOLIO&amp;VAR:CHGPERIOD=NA&amp;VAR:FQLFORMULA=FMA_PE&amp;VAR:CURRENCY=USD&amp;VAR:P=1","400.947300&amp;VAR:THRESH=||||||&amp;VAR:null=.html"}</definedName>
    <definedName name="_2030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2031__FDSAUDITLINK__" hidden="1">{"fdsup://directions/FAT Viewer?action=UPDATE&amp;creator=factset&amp;DYN_ARGS=TRUE&amp;DOC_NAME=FAT:FQL_AUDITING_CLIENT_TEMPLATE.FAT&amp;display_string=Audit&amp;VAR:KEY=VOPUPSJQLI&amp;VAR:QUERY=RkZfUkRfRVhQKENBTCwzOTA4MiwsLCwp&amp;WINDOW=FIRST_POPUP&amp;HEIGHT=450&amp;WIDTH=450&amp;START_MAXIMI","ZED=FALSE&amp;VAR:CALENDAR=US&amp;VAR:SYMBOL=PFE&amp;VAR:INDEX=0"}</definedName>
    <definedName name="_2032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2033__FDSAUDITLINK__" hidden="1">{"fdsup://directions/FAT Viewer?action=UPDATE&amp;creator=factset&amp;DYN_ARGS=TRUE&amp;DOC_NAME=FAT:FQL_AUDITING_CLIENT_TEMPLATE.FAT&amp;display_string=Audit&amp;VAR:KEY=DUZANORCZM&amp;VAR:QUERY=RkZfUkRfRVhQKENBTCwzODcxNywsLCwp&amp;WINDOW=FIRST_POPUP&amp;HEIGHT=450&amp;WIDTH=450&amp;START_MAXIMI","ZED=FALSE&amp;VAR:CALENDAR=US&amp;VAR:SYMBOL=PFE&amp;VAR:INDEX=0"}</definedName>
    <definedName name="_2034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2035__FDSAUDITLINK__" hidden="1">{"fdsup://directions/FAT Viewer?action=UPDATE&amp;creator=factset&amp;DYN_ARGS=TRUE&amp;DOC_NAME=FAT:FQL_AUDITING_CLIENT_TEMPLATE.FAT&amp;display_string=Audit&amp;VAR:KEY=BETMVWVSBG&amp;VAR:QUERY=RkZfUkRfRVhQKENBTCwzODM1MiwsLCwp&amp;WINDOW=FIRST_POPUP&amp;HEIGHT=450&amp;WIDTH=450&amp;START_MAXIMI","ZED=FALSE&amp;VAR:CALENDAR=US&amp;VAR:SYMBOL=PFE&amp;VAR:INDEX=0"}</definedName>
    <definedName name="_2036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2037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2038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2039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204__FDSAUDITLINK__" hidden="1">{"fdsup://directions/FAT%20Viewer?VAR:TM=NTMA&amp;VAR:PCT=0.120548&amp;VAR:Y0=2006&amp;VAR:Y1=2007&amp;VAR:V0=16.058040&amp;VAR:V1=14.691836&amp;VAR:V=14.844079&amp;VAR:AUDIT_ID=00000117&amp;VAR:DATE=20061117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Aggregates&amp;VAR:MEASURE=PE_MEAN&amp;VAR:CALC_MODE=PORTFOLIO&amp;VAR:CHGPERIOD=NA&amp;VAR:FQLFORMULA=FMA_PE&amp;VAR:CURRENCY=USD&amp;VAR:P=1","401.203900&amp;VAR:THRESH=||||||&amp;VAR:null=.html"}</definedName>
    <definedName name="_2040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2041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2042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2043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2044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2045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2046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2047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2048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2049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205__FDSAUDITLINK__" hidden="1">{"fdsup://directions/FAT%20Viewer?VAR:TM=NTMA&amp;VAR:PCT=0.139726&amp;VAR:Y0=2006&amp;VAR:Y1=2007&amp;VAR:V0=15.822637&amp;VAR:V1=14.468834&amp;VAR:V=14.643904&amp;VAR:AUDIT_ID=00000117&amp;VAR:DATE=20061110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Aggregates&amp;VAR:MEASURE=PE_MEAN&amp;VAR:CALC_MODE=PORTFOLIO&amp;VAR:CHGPERIOD=NA&amp;VAR:FQLFORMULA=FMA_PE&amp;VAR:CURRENCY=USD&amp;VAR:P=1","380.897200&amp;VAR:THRESH=||||||&amp;VAR:null=.html"}</definedName>
    <definedName name="_2050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2051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2052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2053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2054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2055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2056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2057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2058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2059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206__FDSAUDITLINK__" hidden="1">{"fdsup://directions/FAT%20Viewer?VAR:TM=NTMA&amp;VAR:PCT=0.158904&amp;VAR:Y0=2006&amp;VAR:Y1=2007&amp;VAR:V0=15.621873&amp;VAR:V1=14.275741&amp;VAR:V=14.473928&amp;VAR:AUDIT_ID=00000117&amp;VAR:DATE=20061103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Aggregates&amp;VAR:MEASURE=PE_MEAN&amp;VAR:CALC_MODE=PORTFOLIO&amp;VAR:CHGPERIOD=NA&amp;VAR:FQLFORMULA=FMA_PE&amp;VAR:CURRENCY=USD&amp;VAR:P=1","364.296900&amp;VAR:THRESH=||||||&amp;VAR:null=.html"}</definedName>
    <definedName name="_2060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2061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2062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2063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2064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2065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2066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2067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2068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2069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207__FDSAUDITLINK__" hidden="1">{"fdsup://directions/FAT%20Viewer?VAR:TM=NTMA&amp;VAR:PCT=0.178082&amp;VAR:Y0=2006&amp;VAR:Y1=2007&amp;VAR:V0=15.779421&amp;VAR:V1=14.405946&amp;VAR:V=14.632763&amp;VAR:AUDIT_ID=00000117&amp;VAR:DATE=20061027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Aggregates&amp;VAR:MEASURE=PE_MEAN&amp;VAR:CALC_MODE=PORTFOLIO&amp;VAR:CHGPERIOD=NA&amp;VAR:FQLFORMULA=FMA_PE&amp;VAR:CURRENCY=USD&amp;VAR:P=1","377.339600&amp;VAR:THRESH=||||||&amp;VAR:null=.html"}</definedName>
    <definedName name="_2070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2071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2072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2073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2074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2075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2076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2077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2078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2079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208__FDSAUDITLINK__" hidden="1">{"fdsup://directions/FAT%20Viewer?VAR:TM=NTMA&amp;VAR:PCT=0.197260&amp;VAR:Y0=2006&amp;VAR:Y1=2007&amp;VAR:V0=15.740680&amp;VAR:V1=14.326075&amp;VAR:V=14.584626&amp;VAR:AUDIT_ID=00000117&amp;VAR:DATE=20061020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Aggregates&amp;VAR:MEASURE=PE_MEAN&amp;VAR:CALC_MODE=PORTFOLIO&amp;VAR:CHGPERIOD=NA&amp;VAR:FQLFORMULA=FMA_PE&amp;VAR:CURRENCY=USD&amp;VAR:P=1","368.598100&amp;VAR:THRESH=||||||&amp;VAR:null=.html"}</definedName>
    <definedName name="_2080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2081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2082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2083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2084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2085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2086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2087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2088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2089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209__FDSAUDITLINK__" hidden="1">{"fdsup://directions/FAT%20Viewer?VAR:TM=NTMA&amp;VAR:PCT=0.216438&amp;VAR:Y0=2006&amp;VAR:Y1=2007&amp;VAR:V0=15.740006&amp;VAR:V1=14.297477&amp;VAR:V=14.586821&amp;VAR:AUDIT_ID=00000117&amp;VAR:DATE=20061013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Aggregates&amp;VAR:MEASURE=PE_MEAN&amp;VAR:CALC_MODE=PORTFOLIO&amp;VAR:CHGPERIOD=NA&amp;VAR:FQLFORMULA=FMA_PE&amp;VAR:CURRENCY=USD&amp;VAR:P=1","365.615200&amp;VAR:THRESH=||||||&amp;VAR:null=.html"}</definedName>
    <definedName name="_2090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2091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2092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2093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2094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2095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2096__FDSAUDITLINK__" hidden="1">{"fdsup://directions/FAT Viewer?action=UPDATE&amp;creator=factset&amp;DYN_ARGS=TRUE&amp;DOC_NAME=FAT:FQL_AUDITING_CLIENT_TEMPLATE.FAT&amp;display_string=Audit&amp;VAR:KEY=LYPQBETAZS&amp;VAR:QUERY=RkZfU0FMRVMoQ0FMLDM5NDQ3LCwsLCk=&amp;WINDOW=FIRST_POPUP&amp;HEIGHT=450&amp;WIDTH=450&amp;START_MAXIMI","ZED=FALSE&amp;VAR:CALENDAR=US&amp;VAR:SYMBOL=BIIB&amp;VAR:INDEX=0"}</definedName>
    <definedName name="_2097__FDSAUDITLINK__" hidden="1">{"fdsup://directions/FAT Viewer?action=UPDATE&amp;creator=factset&amp;DYN_ARGS=TRUE&amp;DOC_NAME=FAT:FQL_AUDITING_CLIENT_TEMPLATE.FAT&amp;display_string=Audit&amp;VAR:KEY=ZELAFGHURE&amp;VAR:QUERY=RkZfU0FMRVMoQ0FMLDM5MDgyLCwsLCk=&amp;WINDOW=FIRST_POPUP&amp;HEIGHT=450&amp;WIDTH=450&amp;START_MAXIMI","ZED=FALSE&amp;VAR:CALENDAR=US&amp;VAR:SYMBOL=BIIB&amp;VAR:INDEX=0"}</definedName>
    <definedName name="_2098__FDSAUDITLINK__" hidden="1">{"fdsup://directions/FAT Viewer?action=UPDATE&amp;creator=factset&amp;DYN_ARGS=TRUE&amp;DOC_NAME=FAT:FQL_AUDITING_CLIENT_TEMPLATE.FAT&amp;display_string=Audit&amp;VAR:KEY=JEJEDARGZU&amp;VAR:QUERY=RkZfU0FMRVMoQ0FMLDM4NzE3LCwsLCk=&amp;WINDOW=FIRST_POPUP&amp;HEIGHT=450&amp;WIDTH=450&amp;START_MAXIMI","ZED=FALSE&amp;VAR:CALENDAR=US&amp;VAR:SYMBOL=BIIB&amp;VAR:INDEX=0"}</definedName>
    <definedName name="_2099__FDSAUDITLINK__" hidden="1">{"fdsup://directions/FAT Viewer?action=UPDATE&amp;creator=factset&amp;DYN_ARGS=TRUE&amp;DOC_NAME=FAT:FQL_AUDITING_CLIENT_TEMPLATE.FAT&amp;display_string=Audit&amp;VAR:KEY=BGRMFOVODW&amp;VAR:QUERY=RkZfU0FMRVMoQ0FMLDM4MzUyLCwsLCk=&amp;WINDOW=FIRST_POPUP&amp;HEIGHT=450&amp;WIDTH=450&amp;START_MAXIMI","ZED=FALSE&amp;VAR:CALENDAR=US&amp;VAR:SYMBOL=BIIB&amp;VAR:INDEX=0"}</definedName>
    <definedName name="_21__FDSAUDITLINK__" hidden="1">{"fdsup://directions/FAT%20Viewer?VAR:TM=NTMA&amp;VAR:PCT=0.613699&amp;VAR:Y0=2010&amp;VAR:Y1=2011&amp;VAR:V0=13.168827&amp;VAR:V1=11.217383&amp;VAR:V=12.339567&amp;VAR:AUDIT_ID=00000117&amp;VAR:DATE=20100521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Aggregates&amp;VAR:MEASURE=PE_MEAN&amp;VAR:CALC_MODE=PORTFOLIO&amp;VAR:CHGPERIOD=NA&amp;VAR:FQLFORMULA=FMA_PE&amp;VAR:CURRENCY=USD&amp;VAR:P=1","087.693251&amp;VAR:THRESH=||||||&amp;VAR:null=.html"}</definedName>
    <definedName name="_210__FDSAUDITLINK__" hidden="1">{"fdsup://directions/FAT%20Viewer?VAR:TM=NTMA&amp;VAR:PCT=0.235616&amp;VAR:Y0=2006&amp;VAR:Y1=2007&amp;VAR:V0=15.536911&amp;VAR:V1=14.099346&amp;VAR:V=14.413570&amp;VAR:AUDIT_ID=00000117&amp;VAR:DATE=20061006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Aggregates&amp;VAR:MEASURE=PE_MEAN&amp;VAR:CALC_MODE=PORTFOLIO&amp;VAR:CHGPERIOD=NA&amp;VAR:FQLFORMULA=FMA_PE&amp;VAR:CURRENCY=USD&amp;VAR:P=1","349.583500&amp;VAR:THRESH=||||||&amp;VAR:null=.html"}</definedName>
    <definedName name="_2100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2101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2102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2103__FDSAUDITLINK__" hidden="1">{"fdsup://directions/FAT Viewer?action=UPDATE&amp;creator=factset&amp;DYN_ARGS=TRUE&amp;DOC_NAME=FAT:FQL_AUDITING_CLIENT_TEMPLATE.FAT&amp;display_string=Audit&amp;VAR:KEY=VWHYNKZKRG&amp;VAR:QUERY=RkZfU0FMRVMoQ0FMLDM5NDQ3LCwsLCk=&amp;WINDOW=FIRST_POPUP&amp;HEIGHT=450&amp;WIDTH=450&amp;START_MAXIMI","ZED=FALSE&amp;VAR:CALENDAR=US&amp;VAR:SYMBOL=707752&amp;VAR:INDEX=0"}</definedName>
    <definedName name="_2104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2105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2106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2107__FDSAUDITLINK__" hidden="1">{"fdsup://directions/FAT Viewer?action=UPDATE&amp;creator=factset&amp;DYN_ARGS=TRUE&amp;DOC_NAME=FAT:FQL_AUDITING_CLIENT_TEMPLATE.FAT&amp;display_string=Audit&amp;VAR:KEY=RYPORYFIJI&amp;VAR:QUERY=RkZfU0FMRVMoQ0FMLDM5NDQ3LCwsLCk=&amp;WINDOW=FIRST_POPUP&amp;HEIGHT=450&amp;WIDTH=450&amp;START_MAXIMI","ZED=FALSE&amp;VAR:CALENDAR=US&amp;VAR:SYMBOL=630720&amp;VAR:INDEX=0"}</definedName>
    <definedName name="_2108__FDSAUDITLINK__" hidden="1">{"fdsup://directions/FAT Viewer?action=UPDATE&amp;creator=factset&amp;DYN_ARGS=TRUE&amp;DOC_NAME=FAT:FQL_AUDITING_CLIENT_TEMPLATE.FAT&amp;display_string=Audit&amp;VAR:KEY=XOXAFQPQBU&amp;VAR:QUERY=RkZfU0FMRVMoQ0FMLDM5MDgyLCwsLCk=&amp;WINDOW=FIRST_POPUP&amp;HEIGHT=450&amp;WIDTH=450&amp;START_MAXIMI","ZED=FALSE&amp;VAR:CALENDAR=US&amp;VAR:SYMBOL=630720&amp;VAR:INDEX=0"}</definedName>
    <definedName name="_2109__FDSAUDITLINK__" hidden="1">{"fdsup://directions/FAT Viewer?action=UPDATE&amp;creator=factset&amp;DYN_ARGS=TRUE&amp;DOC_NAME=FAT:FQL_AUDITING_CLIENT_TEMPLATE.FAT&amp;display_string=Audit&amp;VAR:KEY=RWPCRWLQPE&amp;VAR:QUERY=RkZfU0FMRVMoQ0FMLDM4NzE3LCwsLCk=&amp;WINDOW=FIRST_POPUP&amp;HEIGHT=450&amp;WIDTH=450&amp;START_MAXIMI","ZED=FALSE&amp;VAR:CALENDAR=US&amp;VAR:SYMBOL=630720&amp;VAR:INDEX=0"}</definedName>
    <definedName name="_211__FDSAUDITLINK__" hidden="1">{"fdsup://directions/FAT%20Viewer?VAR:TM=NTMA&amp;VAR:PCT=0.254795&amp;VAR:Y0=2006&amp;VAR:Y1=2007&amp;VAR:V0=15.377450&amp;VAR:V1=13.947254&amp;VAR:V=14.285791&amp;VAR:AUDIT_ID=00000117&amp;VAR:DATE=20060929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Aggregates&amp;VAR:MEASURE=PE_MEAN&amp;VAR:CALC_MODE=PORTFOLIO&amp;VAR:CHGPERIOD=NA&amp;VAR:FQLFORMULA=FMA_PE&amp;VAR:CURRENCY=USD&amp;VAR:P=1","335.847000&amp;VAR:THRESH=||||||&amp;VAR:null=.html"}</definedName>
    <definedName name="_2110__FDSAUDITLINK__" hidden="1">{"fdsup://directions/FAT Viewer?action=UPDATE&amp;creator=factset&amp;DYN_ARGS=TRUE&amp;DOC_NAME=FAT:FQL_AUDITING_CLIENT_TEMPLATE.FAT&amp;display_string=Audit&amp;VAR:KEY=HMVSNIBYDY&amp;VAR:QUERY=RkZfU0FMRVMoQ0FMLDM4MzUyLCwsLCk=&amp;WINDOW=FIRST_POPUP&amp;HEIGHT=450&amp;WIDTH=450&amp;START_MAXIMI","ZED=FALSE&amp;VAR:CALENDAR=US&amp;VAR:SYMBOL=630720&amp;VAR:INDEX=0"}</definedName>
    <definedName name="_2111__FDSAUDITLINK__" hidden="1">{"fdsup://directions/FAT Viewer?action=UPDATE&amp;creator=factset&amp;DYN_ARGS=TRUE&amp;DOC_NAME=FAT:FQL_AUDITING_CLIENT_TEMPLATE.FAT&amp;display_string=Audit&amp;VAR:KEY=FMVKVUFQTO&amp;VAR:QUERY=RkZfU0FMRVMoQ0FMLDM3OTg2LCwsLCk=&amp;WINDOW=FIRST_POPUP&amp;HEIGHT=450&amp;WIDTH=450&amp;START_MAXIMI","ZED=FALSE&amp;VAR:CALENDAR=US&amp;VAR:SYMBOL=630720&amp;VAR:INDEX=0"}</definedName>
    <definedName name="_2112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2113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2114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2115__FDSAUDITLINK__" hidden="1">{"fdsup://directions/FAT Viewer?action=UPDATE&amp;creator=factset&amp;DYN_ARGS=TRUE&amp;DOC_NAME=FAT:FQL_AUDITING_CLIENT_TEMPLATE.FAT&amp;display_string=Audit&amp;VAR:KEY=NGFQXAXQVY&amp;VAR:QUERY=RkZfU0FMRVMoQ0FMLDM5NDQ3LCwsLCk=&amp;WINDOW=FIRST_POPUP&amp;HEIGHT=450&amp;WIDTH=450&amp;START_MAXIMI","ZED=FALSE&amp;VAR:CALENDAR=US&amp;VAR:SYMBOL=698538&amp;VAR:INDEX=0"}</definedName>
    <definedName name="_2116__FDSAUDITLINK__" hidden="1">{"fdsup://directions/FAT Viewer?action=UPDATE&amp;creator=factset&amp;DYN_ARGS=TRUE&amp;DOC_NAME=FAT:FQL_AUDITING_CLIENT_TEMPLATE.FAT&amp;display_string=Audit&amp;VAR:KEY=RYLYJAFOJG&amp;VAR:QUERY=RkZfU0FMRVMoQ0FMLDM5MDgyLCwsLCk=&amp;WINDOW=FIRST_POPUP&amp;HEIGHT=450&amp;WIDTH=450&amp;START_MAXIMI","ZED=FALSE&amp;VAR:CALENDAR=US&amp;VAR:SYMBOL=698538&amp;VAR:INDEX=0"}</definedName>
    <definedName name="_2117__FDSAUDITLINK__" hidden="1">{"fdsup://directions/FAT Viewer?action=UPDATE&amp;creator=factset&amp;DYN_ARGS=TRUE&amp;DOC_NAME=FAT:FQL_AUDITING_CLIENT_TEMPLATE.FAT&amp;display_string=Audit&amp;VAR:KEY=VSLYLYVYLU&amp;VAR:QUERY=RkZfU0FMRVMoQ0FMLDM4NzE3LCwsLCk=&amp;WINDOW=FIRST_POPUP&amp;HEIGHT=450&amp;WIDTH=450&amp;START_MAXIMI","ZED=FALSE&amp;VAR:CALENDAR=US&amp;VAR:SYMBOL=698538&amp;VAR:INDEX=0"}</definedName>
    <definedName name="_2118__FDSAUDITLINK__" hidden="1">{"fdsup://directions/FAT Viewer?action=UPDATE&amp;creator=factset&amp;DYN_ARGS=TRUE&amp;DOC_NAME=FAT:FQL_AUDITING_CLIENT_TEMPLATE.FAT&amp;display_string=Audit&amp;VAR:KEY=ZQTYLIBWXM&amp;VAR:QUERY=RkZfU0FMRVMoQ0FMLDM4MzUyLCwsLCk=&amp;WINDOW=FIRST_POPUP&amp;HEIGHT=450&amp;WIDTH=450&amp;START_MAXIMI","ZED=FALSE&amp;VAR:CALENDAR=US&amp;VAR:SYMBOL=698538&amp;VAR:INDEX=0"}</definedName>
    <definedName name="_2119__FDSAUDITLINK__" hidden="1">{"fdsup://directions/FAT Viewer?action=UPDATE&amp;creator=factset&amp;DYN_ARGS=TRUE&amp;DOC_NAME=FAT:FQL_AUDITING_CLIENT_TEMPLATE.FAT&amp;display_string=Audit&amp;VAR:KEY=ZITUFQLYRU&amp;VAR:QUERY=RkZfU0FMRVMoQ0FMLDM3OTg2LCwsLCk=&amp;WINDOW=FIRST_POPUP&amp;HEIGHT=450&amp;WIDTH=450&amp;START_MAXIMI","ZED=FALSE&amp;VAR:CALENDAR=US&amp;VAR:SYMBOL=698538&amp;VAR:INDEX=0"}</definedName>
    <definedName name="_212__FDSAUDITLINK__" hidden="1">{"fdsup://directions/FAT%20Viewer?VAR:TM=NTMA&amp;VAR:PCT=0.273973&amp;VAR:Y0=2006&amp;VAR:Y1=2007&amp;VAR:V0=15.105684&amp;VAR:V1=13.711073&amp;VAR:V=14.066883&amp;VAR:AUDIT_ID=00000117&amp;VAR:DATE=20060922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Aggregates&amp;VAR:MEASURE=PE_MEAN&amp;VAR:CALC_MODE=PORTFOLIO&amp;VAR:CHGPERIOD=NA&amp;VAR:FQLFORMULA=FMA_PE&amp;VAR:CURRENCY=USD&amp;VAR:P=1","314.777300&amp;VAR:THRESH=||||||&amp;VAR:null=.html"}</definedName>
    <definedName name="_2120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2121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2122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2123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2124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2125__FDSAUDITLINK__" hidden="1">{"fdsup://directions/FAT Viewer?action=UPDATE&amp;creator=factset&amp;DYN_ARGS=TRUE&amp;DOC_NAME=FAT:FQL_AUDITING_CLIENT_TEMPLATE.FAT&amp;display_string=Audit&amp;VAR:KEY=RCLWNAZUVM&amp;VAR:QUERY=RkZfU0FMRVMoQ0FMLDM5NDQ3LCwsLCk=&amp;WINDOW=FIRST_POPUP&amp;HEIGHT=450&amp;WIDTH=450&amp;START_MAXIMI","ZED=FALSE&amp;VAR:CALENDAR=US&amp;VAR:SYMBOL=B0J7D9&amp;VAR:INDEX=0"}</definedName>
    <definedName name="_2126__FDSAUDITLINK__" hidden="1">{"fdsup://directions/FAT Viewer?action=UPDATE&amp;creator=factset&amp;DYN_ARGS=TRUE&amp;DOC_NAME=FAT:FQL_AUDITING_CLIENT_TEMPLATE.FAT&amp;display_string=Audit&amp;VAR:KEY=VYFIHMHMZI&amp;VAR:QUERY=RkZfU0FMRVMoQ0FMLDM5MDgyLCwsLCk=&amp;WINDOW=FIRST_POPUP&amp;HEIGHT=450&amp;WIDTH=450&amp;START_MAXIMI","ZED=FALSE&amp;VAR:CALENDAR=US&amp;VAR:SYMBOL=B0J7D9&amp;VAR:INDEX=0"}</definedName>
    <definedName name="_2127__FDSAUDITLINK__" hidden="1">{"fdsup://directions/FAT Viewer?action=UPDATE&amp;creator=factset&amp;DYN_ARGS=TRUE&amp;DOC_NAME=FAT:FQL_AUDITING_CLIENT_TEMPLATE.FAT&amp;display_string=Audit&amp;VAR:KEY=RATYXOVERC&amp;VAR:QUERY=RkZfU0FMRVMoQ0FMLDM4NzE3LCwsLCk=&amp;WINDOW=FIRST_POPUP&amp;HEIGHT=450&amp;WIDTH=450&amp;START_MAXIMI","ZED=FALSE&amp;VAR:CALENDAR=US&amp;VAR:SYMBOL=B0J7D9&amp;VAR:INDEX=0"}</definedName>
    <definedName name="_2128__FDSAUDITLINK__" hidden="1">{"fdsup://directions/FAT Viewer?action=UPDATE&amp;creator=factset&amp;DYN_ARGS=TRUE&amp;DOC_NAME=FAT:FQL_AUDITING_CLIENT_TEMPLATE.FAT&amp;display_string=Audit&amp;VAR:KEY=HEROTQBOTS&amp;VAR:QUERY=RkZfU0FMRVMoQ0FMLDM4MzUyLCwsLCk=&amp;WINDOW=FIRST_POPUP&amp;HEIGHT=450&amp;WIDTH=450&amp;START_MAXIMI","ZED=FALSE&amp;VAR:CALENDAR=US&amp;VAR:SYMBOL=B0J7D9&amp;VAR:INDEX=0"}</definedName>
    <definedName name="_2129__FDSAUDITLINK__" hidden="1">{"fdsup://directions/FAT Viewer?action=UPDATE&amp;creator=factset&amp;DYN_ARGS=TRUE&amp;DOC_NAME=FAT:FQL_AUDITING_CLIENT_TEMPLATE.FAT&amp;display_string=Audit&amp;VAR:KEY=JAZQJETKLY&amp;VAR:QUERY=RkZfU0FMRVMoQ0FMLDM3OTg2LCwsLCk=&amp;WINDOW=FIRST_POPUP&amp;HEIGHT=450&amp;WIDTH=450&amp;START_MAXIMI","ZED=FALSE&amp;VAR:CALENDAR=US&amp;VAR:SYMBOL=B0J7D9&amp;VAR:INDEX=0"}</definedName>
    <definedName name="_213__FDSAUDITLINK__" hidden="1">{"fdsup://directions/FAT%20Viewer?VAR:TM=NTMA&amp;VAR:PCT=0.293151&amp;VAR:Y0=2006&amp;VAR:Y1=2007&amp;VAR:V0=15.180948&amp;VAR:V1=13.774774&amp;VAR:V=14.159252&amp;VAR:AUDIT_ID=00000117&amp;VAR:DATE=20060915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Aggregates&amp;VAR:MEASURE=PE_MEAN&amp;VAR:CALC_MODE=PORTFOLIO&amp;VAR:CHGPERIOD=NA&amp;VAR:FQLFORMULA=FMA_PE&amp;VAR:CURRENCY=USD&amp;VAR:P=1","319.865500&amp;VAR:THRESH=||||||&amp;VAR:null=.html"}</definedName>
    <definedName name="_2130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2131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2132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2133__FDSAUDITLINK__" hidden="1">{"fdsup://directions/FAT Viewer?action=UPDATE&amp;creator=factset&amp;DYN_ARGS=TRUE&amp;DOC_NAME=FAT:FQL_AUDITING_CLIENT_TEMPLATE.FAT&amp;display_string=Audit&amp;VAR:KEY=PGJOVCLGBS&amp;VAR:QUERY=RkZfU0FMRVMoQ0FMLDM5NDQ3LCwsLCk=&amp;WINDOW=FIRST_POPUP&amp;HEIGHT=450&amp;WIDTH=450&amp;START_MAXIMI","ZED=FALSE&amp;VAR:CALENDAR=US&amp;VAR:SYMBOL=AMGN&amp;VAR:INDEX=0"}</definedName>
    <definedName name="_2134__FDSAUDITLINK__" hidden="1">{"fdsup://directions/FAT Viewer?action=UPDATE&amp;creator=factset&amp;DYN_ARGS=TRUE&amp;DOC_NAME=FAT:FQL_AUDITING_CLIENT_TEMPLATE.FAT&amp;display_string=Audit&amp;VAR:KEY=FYXGXAXURW&amp;VAR:QUERY=RkZfU0FMRVMoQ0FMLDM5MDgyLCwsLCk=&amp;WINDOW=FIRST_POPUP&amp;HEIGHT=450&amp;WIDTH=450&amp;START_MAXIMI","ZED=FALSE&amp;VAR:CALENDAR=US&amp;VAR:SYMBOL=AMGN&amp;VAR:INDEX=0"}</definedName>
    <definedName name="_2135__FDSAUDITLINK__" hidden="1">{"fdsup://directions/FAT Viewer?action=UPDATE&amp;creator=factset&amp;DYN_ARGS=TRUE&amp;DOC_NAME=FAT:FQL_AUDITING_CLIENT_TEMPLATE.FAT&amp;display_string=Audit&amp;VAR:KEY=VADUDGDYFA&amp;VAR:QUERY=RkZfU0FMRVMoQ0FMLDM4NzE3LCwsLCk=&amp;WINDOW=FIRST_POPUP&amp;HEIGHT=450&amp;WIDTH=450&amp;START_MAXIMI","ZED=FALSE&amp;VAR:CALENDAR=US&amp;VAR:SYMBOL=AMGN&amp;VAR:INDEX=0"}</definedName>
    <definedName name="_2136__FDSAUDITLINK__" hidden="1">{"fdsup://directions/FAT Viewer?action=UPDATE&amp;creator=factset&amp;DYN_ARGS=TRUE&amp;DOC_NAME=FAT:FQL_AUDITING_CLIENT_TEMPLATE.FAT&amp;display_string=Audit&amp;VAR:KEY=FKDOZAJURW&amp;VAR:QUERY=RkZfU0FMRVMoQ0FMLDM4MzUyLCwsLCk=&amp;WINDOW=FIRST_POPUP&amp;HEIGHT=450&amp;WIDTH=450&amp;START_MAXIMI","ZED=FALSE&amp;VAR:CALENDAR=US&amp;VAR:SYMBOL=AMGN&amp;VAR:INDEX=0"}</definedName>
    <definedName name="_2137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2138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2139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214__FDSAUDITLINK__" hidden="1">{"fdsup://directions/FAT%20Viewer?VAR:TM=NTMA&amp;VAR:PCT=0.312329&amp;VAR:Y0=2006&amp;VAR:Y1=2007&amp;VAR:V0=14.928219&amp;VAR:V1=13.555184&amp;VAR:V=13.956096&amp;VAR:AUDIT_ID=00000117&amp;VAR:DATE=20060908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Aggregates&amp;VAR:MEASURE=PE_MEAN&amp;VAR:CALC_MODE=PORTFOLIO&amp;VAR:CHGPERIOD=NA&amp;VAR:FQLFORMULA=FMA_PE&amp;VAR:CURRENCY=USD&amp;VAR:P=1","298.918600&amp;VAR:THRESH=||||||&amp;VAR:null=.html"}</definedName>
    <definedName name="_2140__FDSAUDITLINK__" hidden="1">{"fdsup://directions/FAT Viewer?action=UPDATE&amp;creator=factset&amp;DYN_ARGS=TRUE&amp;DOC_NAME=FAT:FQL_AUDITING_CLIENT_TEMPLATE.FAT&amp;display_string=Audit&amp;VAR:KEY=VOVAHWRMBQ&amp;VAR:QUERY=RkZfU0FMRVMoQ0FMLDM5NDQ3LCwsLCk=&amp;WINDOW=FIRST_POPUP&amp;HEIGHT=450&amp;WIDTH=450&amp;START_MAXIMI","ZED=FALSE&amp;VAR:CALENDAR=US&amp;VAR:SYMBOL=ABT&amp;VAR:INDEX=0"}</definedName>
    <definedName name="_2141__FDSAUDITLINK__" hidden="1">{"fdsup://directions/FAT Viewer?action=UPDATE&amp;creator=factset&amp;DYN_ARGS=TRUE&amp;DOC_NAME=FAT:FQL_AUDITING_CLIENT_TEMPLATE.FAT&amp;display_string=Audit&amp;VAR:KEY=JIZSHKHCLG&amp;VAR:QUERY=RkZfU0FMRVMoQ0FMLDM5MDgyLCwsLCk=&amp;WINDOW=FIRST_POPUP&amp;HEIGHT=450&amp;WIDTH=450&amp;START_MAXIMI","ZED=FALSE&amp;VAR:CALENDAR=US&amp;VAR:SYMBOL=ABT&amp;VAR:INDEX=0"}</definedName>
    <definedName name="_2142__FDSAUDITLINK__" hidden="1">{"fdsup://directions/FAT Viewer?action=UPDATE&amp;creator=factset&amp;DYN_ARGS=TRUE&amp;DOC_NAME=FAT:FQL_AUDITING_CLIENT_TEMPLATE.FAT&amp;display_string=Audit&amp;VAR:KEY=HGLONMHIHO&amp;VAR:QUERY=RkZfU0FMRVMoQ0FMLDM4NzE3LCwsLCk=&amp;WINDOW=FIRST_POPUP&amp;HEIGHT=450&amp;WIDTH=450&amp;START_MAXIMI","ZED=FALSE&amp;VAR:CALENDAR=US&amp;VAR:SYMBOL=ABT&amp;VAR:INDEX=0"}</definedName>
    <definedName name="_2143__FDSAUDITLINK__" hidden="1">{"fdsup://directions/FAT Viewer?action=UPDATE&amp;creator=factset&amp;DYN_ARGS=TRUE&amp;DOC_NAME=FAT:FQL_AUDITING_CLIENT_TEMPLATE.FAT&amp;display_string=Audit&amp;VAR:KEY=PMFYHUFOJW&amp;VAR:QUERY=RkZfU0FMRVMoQ0FMLDM4MzUyLCwsLCk=&amp;WINDOW=FIRST_POPUP&amp;HEIGHT=450&amp;WIDTH=450&amp;START_MAXIMI","ZED=FALSE&amp;VAR:CALENDAR=US&amp;VAR:SYMBOL=ABT&amp;VAR:INDEX=0"}</definedName>
    <definedName name="_2144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2145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2146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2147__FDSAUDITLINK__" hidden="1">{"fdsup://directions/FAT Viewer?action=UPDATE&amp;creator=factset&amp;DYN_ARGS=TRUE&amp;DOC_NAME=FAT:FQL_AUDITING_CLIENT_TEMPLATE.FAT&amp;display_string=Audit&amp;VAR:KEY=LANUXGTUJE&amp;VAR:QUERY=RkZfU0FMRVMoQ0FMLDM5NDQ3LCwsLCk=&amp;WINDOW=FIRST_POPUP&amp;HEIGHT=450&amp;WIDTH=450&amp;START_MAXIMI","ZED=FALSE&amp;VAR:CALENDAR=US&amp;VAR:SYMBOL=687044&amp;VAR:INDEX=0"}</definedName>
    <definedName name="_2148__FDSAUDITLINK__" hidden="1">{"fdsup://directions/FAT Viewer?action=UPDATE&amp;creator=factset&amp;DYN_ARGS=TRUE&amp;DOC_NAME=FAT:FQL_AUDITING_CLIENT_TEMPLATE.FAT&amp;display_string=Audit&amp;VAR:KEY=VMNWLAFAZG&amp;VAR:QUERY=RkZfU0FMRVMoQ0FMLDM5MDgyLCwsLCk=&amp;WINDOW=FIRST_POPUP&amp;HEIGHT=450&amp;WIDTH=450&amp;START_MAXIMI","ZED=FALSE&amp;VAR:CALENDAR=US&amp;VAR:SYMBOL=687044&amp;VAR:INDEX=0"}</definedName>
    <definedName name="_2149__FDSAUDITLINK__" hidden="1">{"fdsup://directions/FAT Viewer?action=UPDATE&amp;creator=factset&amp;DYN_ARGS=TRUE&amp;DOC_NAME=FAT:FQL_AUDITING_CLIENT_TEMPLATE.FAT&amp;display_string=Audit&amp;VAR:KEY=VUHEZEHYDS&amp;VAR:QUERY=RkZfU0FMRVMoQ0FMLDM4NzE3LCwsLCk=&amp;WINDOW=FIRST_POPUP&amp;HEIGHT=450&amp;WIDTH=450&amp;START_MAXIMI","ZED=FALSE&amp;VAR:CALENDAR=US&amp;VAR:SYMBOL=687044&amp;VAR:INDEX=0"}</definedName>
    <definedName name="_215__FDSAUDITLINK__" hidden="1">{"fdsup://directions/FAT%20Viewer?VAR:TM=NTMA&amp;VAR:PCT=0.331507&amp;VAR:Y0=2006&amp;VAR:Y1=2007&amp;VAR:V0=15.052440&amp;VAR:V1=13.684835&amp;VAR:V=14.109814&amp;VAR:AUDIT_ID=00000117&amp;VAR:DATE=20060901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Aggregates&amp;VAR:MEASURE=PE_MEAN&amp;VAR:CALC_MODE=PORTFOLIO&amp;VAR:CHGPERIOD=NA&amp;VAR:FQLFORMULA=FMA_PE&amp;VAR:CURRENCY=USD&amp;VAR:P=1","311.011000&amp;VAR:THRESH=||||||&amp;VAR:null=.html"}</definedName>
    <definedName name="_2150__FDSAUDITLINK__" hidden="1">{"fdsup://directions/FAT Viewer?action=UPDATE&amp;creator=factset&amp;DYN_ARGS=TRUE&amp;DOC_NAME=FAT:FQL_AUDITING_CLIENT_TEMPLATE.FAT&amp;display_string=Audit&amp;VAR:KEY=VEBOPIBOXG&amp;VAR:QUERY=RkZfU0FMRVMoQ0FMLDM4MzUyLCwsLCk=&amp;WINDOW=FIRST_POPUP&amp;HEIGHT=450&amp;WIDTH=450&amp;START_MAXIMI","ZED=FALSE&amp;VAR:CALENDAR=US&amp;VAR:SYMBOL=687044&amp;VAR:INDEX=0"}</definedName>
    <definedName name="_2151__FDSAUDITLINK__" hidden="1">{"fdsup://directions/FAT Viewer?action=UPDATE&amp;creator=factset&amp;DYN_ARGS=TRUE&amp;DOC_NAME=FAT:FQL_AUDITING_CLIENT_TEMPLATE.FAT&amp;display_string=Audit&amp;VAR:KEY=TWJGRYHSBC&amp;VAR:QUERY=RkZfU0FMRVMoQ0FMLDM3OTg2LCwsLCk=&amp;WINDOW=FIRST_POPUP&amp;HEIGHT=450&amp;WIDTH=450&amp;START_MAXIMI","ZED=FALSE&amp;VAR:CALENDAR=US&amp;VAR:SYMBOL=687044&amp;VAR:INDEX=0"}</definedName>
    <definedName name="_2152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2153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2154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2155__FDSAUDITLINK__" hidden="1">{"fdsup://directions/FAT Viewer?action=UPDATE&amp;creator=factset&amp;DYN_ARGS=TRUE&amp;DOC_NAME=FAT:FQL_AUDITING_CLIENT_TEMPLATE.FAT&amp;display_string=Audit&amp;VAR:KEY=FGNGDYBWJI&amp;VAR:QUERY=RkZfU0FMRVMoQ0FMLDM5NDQ3LCwsLCk=&amp;WINDOW=FIRST_POPUP&amp;HEIGHT=450&amp;WIDTH=450&amp;START_MAXIMI","ZED=FALSE&amp;VAR:CALENDAR=US&amp;VAR:SYMBOL=BMY&amp;VAR:INDEX=0"}</definedName>
    <definedName name="_2156__FDSAUDITLINK__" hidden="1">{"fdsup://directions/FAT Viewer?action=UPDATE&amp;creator=factset&amp;DYN_ARGS=TRUE&amp;DOC_NAME=FAT:FQL_AUDITING_CLIENT_TEMPLATE.FAT&amp;display_string=Audit&amp;VAR:KEY=ZEPMHOTKTQ&amp;VAR:QUERY=RkZfU0FMRVMoQ0FMLDM5MDgyLCwsLCk=&amp;WINDOW=FIRST_POPUP&amp;HEIGHT=450&amp;WIDTH=450&amp;START_MAXIMI","ZED=FALSE&amp;VAR:CALENDAR=US&amp;VAR:SYMBOL=BMY&amp;VAR:INDEX=0"}</definedName>
    <definedName name="_2157__FDSAUDITLINK__" hidden="1">{"fdsup://directions/FAT Viewer?action=UPDATE&amp;creator=factset&amp;DYN_ARGS=TRUE&amp;DOC_NAME=FAT:FQL_AUDITING_CLIENT_TEMPLATE.FAT&amp;display_string=Audit&amp;VAR:KEY=ZSRUVKHGFO&amp;VAR:QUERY=RkZfU0FMRVMoQ0FMLDM4NzE3LCwsLCk=&amp;WINDOW=FIRST_POPUP&amp;HEIGHT=450&amp;WIDTH=450&amp;START_MAXIMI","ZED=FALSE&amp;VAR:CALENDAR=US&amp;VAR:SYMBOL=BMY&amp;VAR:INDEX=0"}</definedName>
    <definedName name="_2158__FDSAUDITLINK__" hidden="1">{"fdsup://directions/FAT Viewer?action=UPDATE&amp;creator=factset&amp;DYN_ARGS=TRUE&amp;DOC_NAME=FAT:FQL_AUDITING_CLIENT_TEMPLATE.FAT&amp;display_string=Audit&amp;VAR:KEY=LWZIXAXMJY&amp;VAR:QUERY=RkZfU0FMRVMoQ0FMLDM4MzUyLCwsLCk=&amp;WINDOW=FIRST_POPUP&amp;HEIGHT=450&amp;WIDTH=450&amp;START_MAXIMI","ZED=FALSE&amp;VAR:CALENDAR=US&amp;VAR:SYMBOL=BMY&amp;VAR:INDEX=0"}</definedName>
    <definedName name="_2159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216__FDSAUDITLINK__" hidden="1">{"fdsup://directions/FAT%20Viewer?VAR:TM=NTMA&amp;VAR:PCT=0.350685&amp;VAR:Y0=2006&amp;VAR:Y1=2007&amp;VAR:V0=14.866252&amp;VAR:V1=13.518971&amp;VAR:V=13.962726&amp;VAR:AUDIT_ID=00000117&amp;VAR:DATE=20060825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Aggregates&amp;VAR:MEASURE=PE_MEAN&amp;VAR:CALC_MODE=PORTFOLIO&amp;VAR:CHGPERIOD=NA&amp;VAR:FQLFORMULA=FMA_PE&amp;VAR:CURRENCY=USD&amp;VAR:P=1","295.087600&amp;VAR:THRESH=||||||&amp;VAR:null=.html"}</definedName>
    <definedName name="_2160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2161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2162__FDSAUDITLINK__" hidden="1">{"fdsup://directions/FAT Viewer?action=UPDATE&amp;creator=factset&amp;DYN_ARGS=TRUE&amp;DOC_NAME=FAT:FQL_AUDITING_CLIENT_TEMPLATE.FAT&amp;display_string=Audit&amp;VAR:KEY=ZMZGTAHWVI&amp;VAR:QUERY=RkZfU0FMRVMoQ0FMLDM5NDQ3LCwsLCk=&amp;WINDOW=FIRST_POPUP&amp;HEIGHT=450&amp;WIDTH=450&amp;START_MAXIMI","ZED=FALSE&amp;VAR:CALENDAR=US&amp;VAR:SYMBOL=LLY&amp;VAR:INDEX=0"}</definedName>
    <definedName name="_2163__FDSAUDITLINK__" hidden="1">{"fdsup://directions/FAT Viewer?action=UPDATE&amp;creator=factset&amp;DYN_ARGS=TRUE&amp;DOC_NAME=FAT:FQL_AUDITING_CLIENT_TEMPLATE.FAT&amp;display_string=Audit&amp;VAR:KEY=VGZWFCPGLW&amp;VAR:QUERY=RkZfU0FMRVMoQ0FMLDM5MDgyLCwsLCk=&amp;WINDOW=FIRST_POPUP&amp;HEIGHT=450&amp;WIDTH=450&amp;START_MAXIMI","ZED=FALSE&amp;VAR:CALENDAR=US&amp;VAR:SYMBOL=LLY&amp;VAR:INDEX=0"}</definedName>
    <definedName name="_2164__FDSAUDITLINK__" hidden="1">{"fdsup://directions/FAT Viewer?action=UPDATE&amp;creator=factset&amp;DYN_ARGS=TRUE&amp;DOC_NAME=FAT:FQL_AUDITING_CLIENT_TEMPLATE.FAT&amp;display_string=Audit&amp;VAR:KEY=NMLWPYZODY&amp;VAR:QUERY=RkZfU0FMRVMoQ0FMLDM4NzE3LCwsLCk=&amp;WINDOW=FIRST_POPUP&amp;HEIGHT=450&amp;WIDTH=450&amp;START_MAXIMI","ZED=FALSE&amp;VAR:CALENDAR=US&amp;VAR:SYMBOL=LLY&amp;VAR:INDEX=0"}</definedName>
    <definedName name="_2165__FDSAUDITLINK__" hidden="1">{"fdsup://directions/FAT Viewer?action=UPDATE&amp;creator=factset&amp;DYN_ARGS=TRUE&amp;DOC_NAME=FAT:FQL_AUDITING_CLIENT_TEMPLATE.FAT&amp;display_string=Audit&amp;VAR:KEY=XERCTWXSFY&amp;VAR:QUERY=RkZfU0FMRVMoQ0FMLDM4MzUyLCwsLCk=&amp;WINDOW=FIRST_POPUP&amp;HEIGHT=450&amp;WIDTH=450&amp;START_MAXIMI","ZED=FALSE&amp;VAR:CALENDAR=US&amp;VAR:SYMBOL=LLY&amp;VAR:INDEX=0"}</definedName>
    <definedName name="_2166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2167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2168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2169__FDSAUDITLINK__" hidden="1">{"fdsup://directions/FAT Viewer?action=UPDATE&amp;creator=factset&amp;DYN_ARGS=TRUE&amp;DOC_NAME=FAT:FQL_AUDITING_CLIENT_TEMPLATE.FAT&amp;display_string=Audit&amp;VAR:KEY=VGFMRYZUDQ&amp;VAR:QUERY=RkZfU0FMRVMoQ0FMLDM5NDQ3LCwsLCk=&amp;WINDOW=FIRST_POPUP&amp;HEIGHT=450&amp;WIDTH=450&amp;START_MAXIMI","ZED=FALSE&amp;VAR:CALENDAR=US&amp;VAR:SYMBOL=506921&amp;VAR:INDEX=0"}</definedName>
    <definedName name="_217__FDSAUDITLINK__" hidden="1">{"fdsup://directions/FAT%20Viewer?VAR:TM=NTMA&amp;VAR:PCT=0.369863&amp;VAR:Y0=2006&amp;VAR:Y1=2007&amp;VAR:V0=14.949667&amp;VAR:V1=13.599718&amp;VAR:V=14.069622&amp;VAR:AUDIT_ID=00000117&amp;VAR:DATE=20060818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Aggregates&amp;VAR:MEASURE=PE_MEAN&amp;VAR:CALC_MODE=PORTFOLIO&amp;VAR:CHGPERIOD=NA&amp;VAR:FQLFORMULA=FMA_PE&amp;VAR:CURRENCY=USD&amp;VAR:P=1","302.304000&amp;VAR:THRESH=||||||&amp;VAR:null=.html"}</definedName>
    <definedName name="_2170__FDSAUDITLINK__" hidden="1">{"fdsup://directions/FAT Viewer?action=UPDATE&amp;creator=factset&amp;DYN_ARGS=TRUE&amp;DOC_NAME=FAT:FQL_AUDITING_CLIENT_TEMPLATE.FAT&amp;display_string=Audit&amp;VAR:KEY=PYPMDAJYFY&amp;VAR:QUERY=RkZfU0FMRVMoQ0FMLDM5MDgyLCwsLCk=&amp;WINDOW=FIRST_POPUP&amp;HEIGHT=450&amp;WIDTH=450&amp;START_MAXIMI","ZED=FALSE&amp;VAR:CALENDAR=US&amp;VAR:SYMBOL=506921&amp;VAR:INDEX=0"}</definedName>
    <definedName name="_2171__FDSAUDITLINK__" hidden="1">{"fdsup://directions/FAT Viewer?action=UPDATE&amp;creator=factset&amp;DYN_ARGS=TRUE&amp;DOC_NAME=FAT:FQL_AUDITING_CLIENT_TEMPLATE.FAT&amp;display_string=Audit&amp;VAR:KEY=FGLEFQPUNK&amp;VAR:QUERY=RkZfU0FMRVMoQ0FMLDM4NzE3LCwsLCk=&amp;WINDOW=FIRST_POPUP&amp;HEIGHT=450&amp;WIDTH=450&amp;START_MAXIMI","ZED=FALSE&amp;VAR:CALENDAR=US&amp;VAR:SYMBOL=506921&amp;VAR:INDEX=0"}</definedName>
    <definedName name="_2172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2173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2174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2175__FDSAUDITLINK__" hidden="1">{"fdsup://directions/FAT Viewer?action=UPDATE&amp;creator=factset&amp;DYN_ARGS=TRUE&amp;DOC_NAME=FAT:FQL_AUDITING_CLIENT_TEMPLATE.FAT&amp;display_string=Audit&amp;VAR:KEY=XUVOBOTILK&amp;VAR:QUERY=RkZfU0FMRVMoQ0FMLDM5NDQ3LCwsLCk=&amp;WINDOW=FIRST_POPUP&amp;HEIGHT=450&amp;WIDTH=450&amp;START_MAXIMI","ZED=FALSE&amp;VAR:CALENDAR=US&amp;VAR:SYMBOL=567173&amp;VAR:INDEX=0"}</definedName>
    <definedName name="_2176__FDSAUDITLINK__" hidden="1">{"fdsup://directions/FAT Viewer?action=UPDATE&amp;creator=factset&amp;DYN_ARGS=TRUE&amp;DOC_NAME=FAT:FQL_AUDITING_CLIENT_TEMPLATE.FAT&amp;display_string=Audit&amp;VAR:KEY=TUNGLUVQJS&amp;VAR:QUERY=RkZfU0FMRVMoQ0FMLDM5MDgyLCwsLCk=&amp;WINDOW=FIRST_POPUP&amp;HEIGHT=450&amp;WIDTH=450&amp;START_MAXIMI","ZED=FALSE&amp;VAR:CALENDAR=US&amp;VAR:SYMBOL=567173&amp;VAR:INDEX=0"}</definedName>
    <definedName name="_2177__FDSAUDITLINK__" hidden="1">{"fdsup://directions/FAT Viewer?action=UPDATE&amp;creator=factset&amp;DYN_ARGS=TRUE&amp;DOC_NAME=FAT:FQL_AUDITING_CLIENT_TEMPLATE.FAT&amp;display_string=Audit&amp;VAR:KEY=ZCZKRMREJQ&amp;VAR:QUERY=RkZfU0FMRVMoQ0FMLDM4NzE3LCwsLCk=&amp;WINDOW=FIRST_POPUP&amp;HEIGHT=450&amp;WIDTH=450&amp;START_MAXIMI","ZED=FALSE&amp;VAR:CALENDAR=US&amp;VAR:SYMBOL=567173&amp;VAR:INDEX=0"}</definedName>
    <definedName name="_2178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2179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218__FDSAUDITLINK__" hidden="1">{"fdsup://directions/FAT%20Viewer?VAR:TM=NTMA&amp;VAR:PCT=0.389041&amp;VAR:Y0=2006&amp;VAR:Y1=2007&amp;VAR:V0=14.535063&amp;VAR:V1=13.220611&amp;VAR:V=13.702703&amp;VAR:AUDIT_ID=00000117&amp;VAR:DATE=20060811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Aggregates&amp;VAR:MEASURE=PE_MEAN&amp;VAR:CALC_MODE=PORTFOLIO&amp;VAR:CHGPERIOD=NA&amp;VAR:FQLFORMULA=FMA_PE&amp;VAR:CURRENCY=USD&amp;VAR:P=1","266.743200&amp;VAR:THRESH=||||||&amp;VAR:null=.html"}</definedName>
    <definedName name="_2180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2181__FDSAUDITLINK__" hidden="1">{"fdsup://directions/FAT Viewer?action=UPDATE&amp;creator=factset&amp;DYN_ARGS=TRUE&amp;DOC_NAME=FAT:FQL_AUDITING_CLIENT_TEMPLATE.FAT&amp;display_string=Audit&amp;VAR:KEY=NSBWVCLYDE&amp;VAR:QUERY=RkZfU0FMRVMoQ0FMLDM5NDQ3LCwsLCk=&amp;WINDOW=FIRST_POPUP&amp;HEIGHT=450&amp;WIDTH=450&amp;START_MAXIMI","ZED=FALSE&amp;VAR:CALENDAR=US&amp;VAR:SYMBOL=JNJ&amp;VAR:INDEX=0"}</definedName>
    <definedName name="_2182__FDSAUDITLINK__" hidden="1">{"fdsup://directions/FAT Viewer?action=UPDATE&amp;creator=factset&amp;DYN_ARGS=TRUE&amp;DOC_NAME=FAT:FQL_AUDITING_CLIENT_TEMPLATE.FAT&amp;display_string=Audit&amp;VAR:KEY=VCFODGNGBS&amp;VAR:QUERY=RkZfU0FMRVMoQ0FMLDM5MDgyLCwsLCk=&amp;WINDOW=FIRST_POPUP&amp;HEIGHT=450&amp;WIDTH=450&amp;START_MAXIMI","ZED=FALSE&amp;VAR:CALENDAR=US&amp;VAR:SYMBOL=JNJ&amp;VAR:INDEX=0"}</definedName>
    <definedName name="_2183__FDSAUDITLINK__" hidden="1">{"fdsup://directions/FAT Viewer?action=UPDATE&amp;creator=factset&amp;DYN_ARGS=TRUE&amp;DOC_NAME=FAT:FQL_AUDITING_CLIENT_TEMPLATE.FAT&amp;display_string=Audit&amp;VAR:KEY=FMJMDKHKDK&amp;VAR:QUERY=RkZfU0FMRVMoQ0FMLDM4NzE3LCwsLCk=&amp;WINDOW=FIRST_POPUP&amp;HEIGHT=450&amp;WIDTH=450&amp;START_MAXIMI","ZED=FALSE&amp;VAR:CALENDAR=US&amp;VAR:SYMBOL=JNJ&amp;VAR:INDEX=0"}</definedName>
    <definedName name="_2184__FDSAUDITLINK__" hidden="1">{"fdsup://directions/FAT Viewer?action=UPDATE&amp;creator=factset&amp;DYN_ARGS=TRUE&amp;DOC_NAME=FAT:FQL_AUDITING_CLIENT_TEMPLATE.FAT&amp;display_string=Audit&amp;VAR:KEY=ZWTENCPKDC&amp;VAR:QUERY=RkZfU0FMRVMoQ0FMLDM4MzUyLCwsLCk=&amp;WINDOW=FIRST_POPUP&amp;HEIGHT=450&amp;WIDTH=450&amp;START_MAXIMI","ZED=FALSE&amp;VAR:CALENDAR=US&amp;VAR:SYMBOL=JNJ&amp;VAR:INDEX=0"}</definedName>
    <definedName name="_2185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2186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2187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2188__FDSAUDITLINK__" hidden="1">{"fdsup://directions/FAT Viewer?action=UPDATE&amp;creator=factset&amp;DYN_ARGS=TRUE&amp;DOC_NAME=FAT:FQL_AUDITING_CLIENT_TEMPLATE.FAT&amp;display_string=Audit&amp;VAR:KEY=LMVERYPEZG&amp;VAR:QUERY=RkZfU0FMRVMoQ0FMLDM5NDQ3LCwsLCk=&amp;WINDOW=FIRST_POPUP&amp;HEIGHT=450&amp;WIDTH=450&amp;START_MAXIMI","ZED=FALSE&amp;VAR:CALENDAR=US&amp;VAR:SYMBOL=710306&amp;VAR:INDEX=0"}</definedName>
    <definedName name="_2189__FDSAUDITLINK__" hidden="1">{"fdsup://directions/FAT Viewer?action=UPDATE&amp;creator=factset&amp;DYN_ARGS=TRUE&amp;DOC_NAME=FAT:FQL_AUDITING_CLIENT_TEMPLATE.FAT&amp;display_string=Audit&amp;VAR:KEY=XQLOLCJYLW&amp;VAR:QUERY=RkZfU0FMRVMoQ0FMLDM5MDgyLCwsLCk=&amp;WINDOW=FIRST_POPUP&amp;HEIGHT=450&amp;WIDTH=450&amp;START_MAXIMI","ZED=FALSE&amp;VAR:CALENDAR=US&amp;VAR:SYMBOL=710306&amp;VAR:INDEX=0"}</definedName>
    <definedName name="_219__FDSAUDITLINK__" hidden="1">{"fdsup://directions/FAT%20Viewer?VAR:TM=NTMA&amp;VAR:PCT=0.408219&amp;VAR:Y0=2006&amp;VAR:Y1=2007&amp;VAR:V0=14.670310&amp;VAR:V1=13.337493&amp;VAR:V=13.851196&amp;VAR:AUDIT_ID=00000117&amp;VAR:DATE=20060804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Aggregates&amp;VAR:MEASURE=PE_MEAN&amp;VAR:CALC_MODE=PORTFOLIO&amp;VAR:CHGPERIOD=NA&amp;VAR:FQLFORMULA=FMA_PE&amp;VAR:CURRENCY=USD&amp;VAR:P=1","279.362400&amp;VAR:THRESH=||||||&amp;VAR:null=.html"}</definedName>
    <definedName name="_2190__FDSAUDITLINK__" hidden="1">{"fdsup://directions/FAT Viewer?action=UPDATE&amp;creator=factset&amp;DYN_ARGS=TRUE&amp;DOC_NAME=FAT:FQL_AUDITING_CLIENT_TEMPLATE.FAT&amp;display_string=Audit&amp;VAR:KEY=JIVKRKVAXY&amp;VAR:QUERY=RkZfU0FMRVMoQ0FMLDM4NzE3LCwsLCk=&amp;WINDOW=FIRST_POPUP&amp;HEIGHT=450&amp;WIDTH=450&amp;START_MAXIMI","ZED=FALSE&amp;VAR:CALENDAR=US&amp;VAR:SYMBOL=710306&amp;VAR:INDEX=0"}</definedName>
    <definedName name="_2191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2192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2193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2194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2195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2196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2197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2198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2199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22__FDSAUDITLINK__" hidden="1">{"fdsup://directions/FAT%20Viewer?VAR:TM=NTMA&amp;VAR:PCT=0.632877&amp;VAR:Y0=2010&amp;VAR:Y1=2011&amp;VAR:V0=13.768388&amp;VAR:V1=11.729308&amp;VAR:V=12.942373&amp;VAR:AUDIT_ID=00000117&amp;VAR:DATE=20100514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Aggregates&amp;VAR:MEASURE=PE_MEAN&amp;VAR:CALC_MODE=PORTFOLIO&amp;VAR:CHGPERIOD=NA&amp;VAR:FQLFORMULA=FMA_PE&amp;VAR:CURRENCY=USD&amp;VAR:P=1","135.682343&amp;VAR:THRESH=||||||&amp;VAR:null=.html"}</definedName>
    <definedName name="_220__FDSAUDITLINK__" hidden="1">{"fdsup://directions/FAT%20Viewer?VAR:TM=NTMA&amp;VAR:PCT=0.427397&amp;VAR:Y0=2006&amp;VAR:Y1=2007&amp;VAR:V0=14.682305&amp;VAR:V1=13.332213&amp;VAR:V=13.877614&amp;VAR:AUDIT_ID=00000117&amp;VAR:DATE=20060728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Aggregates&amp;VAR:MEASURE=PE_MEAN&amp;VAR:CALC_MODE=PORTFOLIO&amp;VAR:CHGPERIOD=NA&amp;VAR:FQLFORMULA=FMA_PE&amp;VAR:CURRENCY=USD&amp;VAR:P=1","278.545300&amp;VAR:THRESH=||||||&amp;VAR:null=.html"}</definedName>
    <definedName name="_2200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2201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2202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2203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2204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2205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2206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2207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2208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2209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221__FDSAUDITLINK__" hidden="1">{"fdsup://directions/FAT%20Viewer?VAR:TM=NTMA&amp;VAR:PCT=0.446575&amp;VAR:Y0=2006&amp;VAR:Y1=2007&amp;VAR:V0=14.291901&amp;VAR:V1=12.968664&amp;VAR:V=13.528004&amp;VAR:AUDIT_ID=00000117&amp;VAR:DATE=20060721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Aggregates&amp;VAR:MEASURE=PE_MEAN&amp;VAR:CALC_MODE=PORTFOLIO&amp;VAR:CHGPERIOD=NA&amp;VAR:FQLFORMULA=FMA_PE&amp;VAR:CURRENCY=USD&amp;VAR:P=1","240.291100&amp;VAR:THRESH=||||||&amp;VAR:null=.html"}</definedName>
    <definedName name="_2210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2211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2212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2213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2214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2215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2216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2217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2218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2219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222__FDSAUDITLINK__" hidden="1">{"fdsup://directions/FAT%20Viewer?VAR:TM=NTMA&amp;VAR:PCT=0.465753&amp;VAR:Y0=2006&amp;VAR:Y1=2007&amp;VAR:V0=14.290719&amp;VAR:V1=12.913506&amp;VAR:V=13.520370&amp;VAR:AUDIT_ID=00000117&amp;VAR:DATE=20060714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Aggregates&amp;VAR:MEASURE=PE_MEAN&amp;VAR:CALC_MODE=PORTFOLIO&amp;VAR:CHGPERIOD=NA&amp;VAR:FQLFORMULA=FMA_PE&amp;VAR:CURRENCY=USD&amp;VAR:P=1","236.199100&amp;VAR:THRESH=||||||&amp;VAR:null=.html"}</definedName>
    <definedName name="_2220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2221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2222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2223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2224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2225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2226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2227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2228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2229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223__FDSAUDITLINK__" hidden="1">{"fdsup://directions/FAT%20Viewer?VAR:TM=NTMA&amp;VAR:PCT=0.484932&amp;VAR:Y0=2006&amp;VAR:Y1=2007&amp;VAR:V0=14.616905&amp;VAR:V1=13.210049&amp;VAR:V=13.856801&amp;VAR:AUDIT_ID=00000117&amp;VAR:DATE=20060707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Aggregates&amp;VAR:MEASURE=PE_MEAN&amp;VAR:CALC_MODE=PORTFOLIO&amp;VAR:CHGPERIOD=NA&amp;VAR:FQLFORMULA=FMA_PE&amp;VAR:CURRENCY=USD&amp;VAR:P=1","265.476400&amp;VAR:THRESH=||||||&amp;VAR:null=.html"}</definedName>
    <definedName name="_2230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2231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2232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2233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2234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2235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2236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2237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2238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2239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224__FDSAUDITLINK__" hidden="1">{"fdsup://directions/FAT%20Viewer?VAR:TM=NTMA&amp;VAR:PCT=0.504110&amp;VAR:Y0=2006&amp;VAR:Y1=2007&amp;VAR:V0=14.681677&amp;VAR:V1=13.262429&amp;VAR:V=13.941832&amp;VAR:AUDIT_ID=00000117&amp;VAR:DATE=20060630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Aggregates&amp;VAR:MEASURE=PE_MEAN&amp;VAR:CALC_MODE=PORTFOLIO&amp;VAR:CHGPERIOD=NA&amp;VAR:FQLFORMULA=FMA_PE&amp;VAR:CURRENCY=USD&amp;VAR:P=1","270.204300&amp;VAR:THRESH=||||||&amp;VAR:null=.html"}</definedName>
    <definedName name="_2240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2241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2242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2243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2244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2245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2246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2247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2248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2249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225__FDSAUDITLINK__" hidden="1">{"fdsup://directions/FAT%20Viewer?VAR:TM=NTMA&amp;VAR:PCT=0.523288&amp;VAR:Y0=2006&amp;VAR:Y1=2007&amp;VAR:V0=14.396005&amp;VAR:V1=13.024539&amp;VAR:V=13.707907&amp;VAR:AUDIT_ID=00000117&amp;VAR:DATE=20060623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Aggregates&amp;VAR:MEASURE=PE_MEAN&amp;VAR:CALC_MODE=PORTFOLIO&amp;VAR:CHGPERIOD=NA&amp;VAR:FQLFORMULA=FMA_PE&amp;VAR:CURRENCY=USD&amp;VAR:P=1","244.504400&amp;VAR:THRESH=||||||&amp;VAR:null=.html"}</definedName>
    <definedName name="_2250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2251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2252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2253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2254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2255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2256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2257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2258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2259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226__FDSAUDITLINK__" hidden="1">{"fdsup://directions/FAT%20Viewer?VAR:TM=NTMA&amp;VAR:PCT=0.542466&amp;VAR:Y0=2006&amp;VAR:Y1=2007&amp;VAR:V0=14.478456&amp;VAR:V1=13.104597&amp;VAR:V=13.815756&amp;VAR:AUDIT_ID=00000117&amp;VAR:DATE=20060616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Aggregates&amp;VAR:MEASURE=PE_MEAN&amp;VAR:CALC_MODE=PORTFOLIO&amp;VAR:CHGPERIOD=NA&amp;VAR:FQLFORMULA=FMA_PE&amp;VAR:CURRENCY=USD&amp;VAR:P=1","251.544300&amp;VAR:THRESH=||||||&amp;VAR:null=.html"}</definedName>
    <definedName name="_2260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2261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2262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2263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2264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2265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2266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2267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2268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2269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227__FDSAUDITLINK__" hidden="1">{"fdsup://directions/FAT%20Viewer?VAR:TM=NTMA&amp;VAR:PCT=0.561644&amp;VAR:Y0=2006&amp;VAR:Y1=2007&amp;VAR:V0=14.489644&amp;VAR:V1=13.137199&amp;VAR:V=13.863993&amp;VAR:AUDIT_ID=00000117&amp;VAR:DATE=20060609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Aggregates&amp;VAR:MEASURE=PE_MEAN&amp;VAR:CALC_MODE=PORTFOLIO&amp;VAR:CHGPERIOD=NA&amp;VAR:FQLFORMULA=FMA_PE&amp;VAR:CURRENCY=USD&amp;VAR:P=1","252.298200&amp;VAR:THRESH=||||||&amp;VAR:null=.html"}</definedName>
    <definedName name="_2270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2271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2272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2273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2274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2275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2276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2277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2278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2279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228__FDSAUDITLINK__" hidden="1">{"fdsup://directions/FAT%20Viewer?VAR:TM=NTMA&amp;VAR:PCT=0.580822&amp;VAR:Y0=2006&amp;VAR:Y1=2007&amp;VAR:V0=14.919769&amp;VAR:V1=13.540060&amp;VAR:V=14.308598&amp;VAR:AUDIT_ID=00000117&amp;VAR:DATE=20060602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Aggregates&amp;VAR:MEASURE=PE_MEAN&amp;VAR:CALC_MODE=PORTFOLIO&amp;VAR:CHGPERIOD=NA&amp;VAR:FQLFORMULA=FMA_PE&amp;VAR:CURRENCY=USD&amp;VAR:P=1","288.218300&amp;VAR:THRESH=||||||&amp;VAR:null=.html"}</definedName>
    <definedName name="_2280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2281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2282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2283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2284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2285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2286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2287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2288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2289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229__FDSAUDITLINK__" hidden="1">{"fdsup://directions/FAT%20Viewer?VAR:TM=NTMA&amp;VAR:PCT=0.600000&amp;VAR:Y0=2006&amp;VAR:Y1=2007&amp;VAR:V0=14.831814&amp;VAR:V1=13.469384&amp;VAR:V=14.255054&amp;VAR:AUDIT_ID=00000117&amp;VAR:DATE=20060526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Aggregates&amp;VAR:MEASURE=PE_MEAN&amp;VAR:CALC_MODE=PORTFOLIO&amp;VAR:CHGPERIOD=NA&amp;VAR:FQLFORMULA=FMA_PE&amp;VAR:CURRENCY=USD&amp;VAR:P=1","280.160900&amp;VAR:THRESH=||||||&amp;VAR:null=.html"}</definedName>
    <definedName name="_2290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2291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2292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2293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2294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2295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2296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2297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2298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2299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23__FDSAUDITLINK__" hidden="1">{"fdsup://directions/FAT%20Viewer?VAR:TM=NTMA&amp;VAR:PCT=0.652055&amp;VAR:Y0=2010&amp;VAR:Y1=2011&amp;VAR:V0=13.493279&amp;VAR:V1=11.496989&amp;VAR:V=12.724517&amp;VAR:AUDIT_ID=00000117&amp;VAR:DATE=20100507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Aggregates&amp;VAR:MEASURE=PE_MEAN&amp;VAR:CALC_MODE=PORTFOLIO&amp;VAR:CHGPERIOD=NA&amp;VAR:FQLFORMULA=FMA_PE&amp;VAR:CURRENCY=USD&amp;VAR:P=1","110.884684&amp;VAR:THRESH=||||||&amp;VAR:null=.html"}</definedName>
    <definedName name="_230__FDSAUDITLINK__" hidden="1">{"fdsup://directions/FAT%20Viewer?VAR:TM=NTMA&amp;VAR:PCT=0.619178&amp;VAR:Y0=2006&amp;VAR:Y1=2007&amp;VAR:V0=14.701694&amp;VAR:V1=13.326989&amp;VAR:V=14.146003&amp;VAR:AUDIT_ID=00000117&amp;VAR:DATE=20060519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Aggregates&amp;VAR:MEASURE=PE_MEAN&amp;VAR:CALC_MODE=PORTFOLIO&amp;VAR:CHGPERIOD=NA&amp;VAR:FQLFORMULA=FMA_PE&amp;VAR:CURRENCY=USD&amp;VAR:P=1","267.030400&amp;VAR:THRESH=||||||&amp;VAR:null=.html"}</definedName>
    <definedName name="_2300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2301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2302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2303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2304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2305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2306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2307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2308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2309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231__FDSAUDITLINK__" hidden="1">{"fdsup://directions/FAT%20Viewer?VAR:TM=NTMA&amp;VAR:PCT=0.638356&amp;VAR:Y0=2006&amp;VAR:Y1=2007&amp;VAR:V0=15.001476&amp;VAR:V1=13.589734&amp;VAR:V=14.458297&amp;VAR:AUDIT_ID=00000117&amp;VAR:DATE=20060512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Aggregates&amp;VAR:MEASURE=PE_MEAN&amp;VAR:CALC_MODE=PORTFOLIO&amp;VAR:CHGPERIOD=NA&amp;VAR:FQLFORMULA=FMA_PE&amp;VAR:CURRENCY=USD&amp;VAR:P=1","291.239300&amp;VAR:THRESH=||||||&amp;VAR:null=.html"}</definedName>
    <definedName name="_2310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2311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2312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2313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2314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2315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2316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2317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2318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2319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232__FDSAUDITLINK__" hidden="1">{"fdsup://directions/FAT%20Viewer?VAR:TM=NTMA&amp;VAR:PCT=0.657534&amp;VAR:Y0=2006&amp;VAR:Y1=2007&amp;VAR:V0=15.400075&amp;VAR:V1=13.942740&amp;VAR:V=14.867872&amp;VAR:AUDIT_ID=00000117&amp;VAR:DATE=20060505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Aggregates&amp;VAR:MEASURE=PE_MEAN&amp;VAR:CALC_MODE=PORTFOLIO&amp;VAR:CHGPERIOD=NA&amp;VAR:FQLFORMULA=FMA_PE&amp;VAR:CURRENCY=USD&amp;VAR:P=1","325.760900&amp;VAR:THRESH=||||||&amp;VAR:null=.html"}</definedName>
    <definedName name="_2320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2321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2322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2323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2324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2325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2326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2327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2328__FDSAUDITLINK__" hidden="1">{"fdsup://directions/FAT Viewer?action=UPDATE&amp;creator=factset&amp;DYN_ARGS=TRUE&amp;DOC_NAME=FAT:FQL_AUDITING_CLIENT_TEMPLATE.FAT&amp;display_string=Audit&amp;VAR:KEY=PODEFWZGFS&amp;VAR:QUERY=RkZfUkRfRVhQKENBTCwzOTQ0NywsLCwp&amp;WINDOW=FIRST_POPUP&amp;HEIGHT=450&amp;WIDTH=450&amp;START_MAXIMI","ZED=FALSE&amp;VAR:CALENDAR=US&amp;VAR:SYMBOL=BIIB&amp;VAR:INDEX=0"}</definedName>
    <definedName name="_2329__FDSAUDITLINK__" hidden="1">{"fdsup://directions/FAT Viewer?action=UPDATE&amp;creator=factset&amp;DYN_ARGS=TRUE&amp;DOC_NAME=FAT:FQL_AUDITING_CLIENT_TEMPLATE.FAT&amp;display_string=Audit&amp;VAR:KEY=HQFYRGDOJS&amp;VAR:QUERY=RkZfUkRfRVhQKENBTCwzOTA4MiwsLCwp&amp;WINDOW=FIRST_POPUP&amp;HEIGHT=450&amp;WIDTH=450&amp;START_MAXIMI","ZED=FALSE&amp;VAR:CALENDAR=US&amp;VAR:SYMBOL=BIIB&amp;VAR:INDEX=0"}</definedName>
    <definedName name="_233__FDSAUDITLINK__" hidden="1">{"fdsup://directions/FAT%20Viewer?VAR:TM=NTMA&amp;VAR:PCT=0.676712&amp;VAR:Y0=2006&amp;VAR:Y1=2007&amp;VAR:V0=15.239955&amp;VAR:V1=13.765885&amp;VAR:V=14.730030&amp;VAR:AUDIT_ID=00000117&amp;VAR:DATE=20060428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Aggregates&amp;VAR:MEASURE=PE_MEAN&amp;VAR:CALC_MODE=PORTFOLIO&amp;VAR:CHGPERIOD=NA&amp;VAR:FQLFORMULA=FMA_PE&amp;VAR:CURRENCY=USD&amp;VAR:P=1","310.611900&amp;VAR:THRESH=||||||&amp;VAR:null=.html"}</definedName>
    <definedName name="_2330__FDSAUDITLINK__" hidden="1">{"fdsup://directions/FAT Viewer?action=UPDATE&amp;creator=factset&amp;DYN_ARGS=TRUE&amp;DOC_NAME=FAT:FQL_AUDITING_CLIENT_TEMPLATE.FAT&amp;display_string=Audit&amp;VAR:KEY=BWLKBKRSNC&amp;VAR:QUERY=RkZfUkRfRVhQKENBTCwzODcxNywsLCwp&amp;WINDOW=FIRST_POPUP&amp;HEIGHT=450&amp;WIDTH=450&amp;START_MAXIMI","ZED=FALSE&amp;VAR:CALENDAR=US&amp;VAR:SYMBOL=BIIB&amp;VAR:INDEX=0"}</definedName>
    <definedName name="_2331__FDSAUDITLINK__" hidden="1">{"fdsup://directions/FAT Viewer?action=UPDATE&amp;creator=factset&amp;DYN_ARGS=TRUE&amp;DOC_NAME=FAT:FQL_AUDITING_CLIENT_TEMPLATE.FAT&amp;display_string=Audit&amp;VAR:KEY=NCJCPSJUJA&amp;VAR:QUERY=RkZfUkRfRVhQKENBTCwzODM1MiwsLCwp&amp;WINDOW=FIRST_POPUP&amp;HEIGHT=450&amp;WIDTH=450&amp;START_MAXIMI","ZED=FALSE&amp;VAR:CALENDAR=US&amp;VAR:SYMBOL=BIIB&amp;VAR:INDEX=0"}</definedName>
    <definedName name="_2332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2333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2334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2335__FDSAUDITLINK__" hidden="1">{"fdsup://directions/FAT Viewer?action=UPDATE&amp;creator=factset&amp;DYN_ARGS=TRUE&amp;DOC_NAME=FAT:FQL_AUDITING_CLIENT_TEMPLATE.FAT&amp;display_string=Audit&amp;VAR:KEY=BQVALCNUXY&amp;VAR:QUERY=RkZfUkRfRVhQKENBTCwzOTQ0NywsLCwp&amp;WINDOW=FIRST_POPUP&amp;HEIGHT=450&amp;WIDTH=450&amp;START_MAXIMI","ZED=FALSE&amp;VAR:CALENDAR=US&amp;VAR:SYMBOL=707752&amp;VAR:INDEX=0"}</definedName>
    <definedName name="_2336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2337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2338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2339__FDSAUDITLINK__" hidden="1">{"fdsup://directions/FAT Viewer?action=UPDATE&amp;creator=factset&amp;DYN_ARGS=TRUE&amp;DOC_NAME=FAT:FQL_AUDITING_CLIENT_TEMPLATE.FAT&amp;display_string=Audit&amp;VAR:KEY=VYJCJQLQHW&amp;VAR:QUERY=RkZfUkRfRVhQKENBTCwzOTQ0NywsLCwp&amp;WINDOW=FIRST_POPUP&amp;HEIGHT=450&amp;WIDTH=450&amp;START_MAXIMI","ZED=FALSE&amp;VAR:CALENDAR=US&amp;VAR:SYMBOL=630720&amp;VAR:INDEX=0"}</definedName>
    <definedName name="_234__FDSAUDITLINK__" hidden="1">{"fdsup://directions/FAT%20Viewer?VAR:TM=NTMA&amp;VAR:PCT=0.695890&amp;VAR:Y0=2006&amp;VAR:Y1=2007&amp;VAR:V0=15.293817&amp;VAR:V1=13.840103&amp;VAR:V=14.820415&amp;VAR:AUDIT_ID=00000117&amp;VAR:DATE=20060421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Aggregates&amp;VAR:MEASURE=PE_MEAN&amp;VAR:CALC_MODE=PORTFOLIO&amp;VAR:CHGPERIOD=NA&amp;VAR:FQLFORMULA=FMA_PE&amp;VAR:CURRENCY=USD&amp;VAR:P=1","311.283600&amp;VAR:THRESH=||||||&amp;VAR:null=.html"}</definedName>
    <definedName name="_2340__FDSAUDITLINK__" hidden="1">{"fdsup://directions/FAT Viewer?action=UPDATE&amp;creator=factset&amp;DYN_ARGS=TRUE&amp;DOC_NAME=FAT:FQL_AUDITING_CLIENT_TEMPLATE.FAT&amp;display_string=Audit&amp;VAR:KEY=TUBQTARIDK&amp;VAR:QUERY=RkZfUkRfRVhQKENBTCwzOTA4MiwsLCwp&amp;WINDOW=FIRST_POPUP&amp;HEIGHT=450&amp;WIDTH=450&amp;START_MAXIMI","ZED=FALSE&amp;VAR:CALENDAR=US&amp;VAR:SYMBOL=630720&amp;VAR:INDEX=0"}</definedName>
    <definedName name="_2341__FDSAUDITLINK__" hidden="1">{"fdsup://directions/FAT Viewer?action=UPDATE&amp;creator=factset&amp;DYN_ARGS=TRUE&amp;DOC_NAME=FAT:FQL_AUDITING_CLIENT_TEMPLATE.FAT&amp;display_string=Audit&amp;VAR:KEY=TEDCLSDYNM&amp;VAR:QUERY=RkZfUkRfRVhQKENBTCwzODcxNywsLCwp&amp;WINDOW=FIRST_POPUP&amp;HEIGHT=450&amp;WIDTH=450&amp;START_MAXIMI","ZED=FALSE&amp;VAR:CALENDAR=US&amp;VAR:SYMBOL=630720&amp;VAR:INDEX=0"}</definedName>
    <definedName name="_2342__FDSAUDITLINK__" hidden="1">{"fdsup://directions/FAT Viewer?action=UPDATE&amp;creator=factset&amp;DYN_ARGS=TRUE&amp;DOC_NAME=FAT:FQL_AUDITING_CLIENT_TEMPLATE.FAT&amp;display_string=Audit&amp;VAR:KEY=HWBSXSJUJE&amp;VAR:QUERY=RkZfUkRfRVhQKENBTCwzODM1MiwsLCwp&amp;WINDOW=FIRST_POPUP&amp;HEIGHT=450&amp;WIDTH=450&amp;START_MAXIMI","ZED=FALSE&amp;VAR:CALENDAR=US&amp;VAR:SYMBOL=630720&amp;VAR:INDEX=0"}</definedName>
    <definedName name="_2343__FDSAUDITLINK__" hidden="1">{"fdsup://directions/FAT Viewer?action=UPDATE&amp;creator=factset&amp;DYN_ARGS=TRUE&amp;DOC_NAME=FAT:FQL_AUDITING_CLIENT_TEMPLATE.FAT&amp;display_string=Audit&amp;VAR:KEY=NOFYHOLEJE&amp;VAR:QUERY=RkZfUkRfRVhQKENBTCwzNzk4NiwsLCwp&amp;WINDOW=FIRST_POPUP&amp;HEIGHT=450&amp;WIDTH=450&amp;START_MAXIMI","ZED=FALSE&amp;VAR:CALENDAR=US&amp;VAR:SYMBOL=630720&amp;VAR:INDEX=0"}</definedName>
    <definedName name="_2344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2345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2346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2347__FDSAUDITLINK__" hidden="1">{"fdsup://directions/FAT Viewer?action=UPDATE&amp;creator=factset&amp;DYN_ARGS=TRUE&amp;DOC_NAME=FAT:FQL_AUDITING_CLIENT_TEMPLATE.FAT&amp;display_string=Audit&amp;VAR:KEY=DSRAFCZODS&amp;VAR:QUERY=RkZfUkRfRVhQKENBTCwzOTQ0NywsLCwp&amp;WINDOW=FIRST_POPUP&amp;HEIGHT=450&amp;WIDTH=450&amp;START_MAXIMI","ZED=FALSE&amp;VAR:CALENDAR=US&amp;VAR:SYMBOL=698538&amp;VAR:INDEX=0"}</definedName>
    <definedName name="_2348__FDSAUDITLINK__" hidden="1">{"fdsup://directions/FAT Viewer?action=UPDATE&amp;creator=factset&amp;DYN_ARGS=TRUE&amp;DOC_NAME=FAT:FQL_AUDITING_CLIENT_TEMPLATE.FAT&amp;display_string=Audit&amp;VAR:KEY=FODYBQZGBW&amp;VAR:QUERY=RkZfUkRfRVhQKENBTCwzOTA4MiwsLCwp&amp;WINDOW=FIRST_POPUP&amp;HEIGHT=450&amp;WIDTH=450&amp;START_MAXIMI","ZED=FALSE&amp;VAR:CALENDAR=US&amp;VAR:SYMBOL=698538&amp;VAR:INDEX=0"}</definedName>
    <definedName name="_2349__FDSAUDITLINK__" hidden="1">{"fdsup://directions/FAT Viewer?action=UPDATE&amp;creator=factset&amp;DYN_ARGS=TRUE&amp;DOC_NAME=FAT:FQL_AUDITING_CLIENT_TEMPLATE.FAT&amp;display_string=Audit&amp;VAR:KEY=LMDOJUJATK&amp;VAR:QUERY=RkZfUkRfRVhQKENBTCwzODcxNywsLCwp&amp;WINDOW=FIRST_POPUP&amp;HEIGHT=450&amp;WIDTH=450&amp;START_MAXIMI","ZED=FALSE&amp;VAR:CALENDAR=US&amp;VAR:SYMBOL=698538&amp;VAR:INDEX=0"}</definedName>
    <definedName name="_235__FDSAUDITLINK__" hidden="1">{"fdsup://directions/FAT%20Viewer?VAR:TM=NTMA&amp;VAR:PCT=0.717808&amp;VAR:Y0=2006&amp;VAR:Y1=2007&amp;VAR:V0=15.075759&amp;VAR:V1=13.660263&amp;VAR:V=14.647451&amp;VAR:AUDIT_ID=00000117&amp;VAR:DATE=20060413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Aggregates&amp;VAR:MEASURE=PE_MEAN&amp;VAR:CALC_MODE=PORTFOLIO&amp;VAR:CHGPERIOD=NA&amp;VAR:FQLFORMULA=FMA_PE&amp;VAR:CURRENCY=USD&amp;VAR:P=1","289.118000&amp;VAR:THRESH=||||||&amp;VAR:null=.html"}</definedName>
    <definedName name="_2350__FDSAUDITLINK__" hidden="1">{"fdsup://directions/FAT Viewer?action=UPDATE&amp;creator=factset&amp;DYN_ARGS=TRUE&amp;DOC_NAME=FAT:FQL_AUDITING_CLIENT_TEMPLATE.FAT&amp;display_string=Audit&amp;VAR:KEY=BCDOVGLIHM&amp;VAR:QUERY=RkZfUkRfRVhQKENBTCwzODM1MiwsLCwp&amp;WINDOW=FIRST_POPUP&amp;HEIGHT=450&amp;WIDTH=450&amp;START_MAXIMI","ZED=FALSE&amp;VAR:CALENDAR=US&amp;VAR:SYMBOL=698538&amp;VAR:INDEX=0"}</definedName>
    <definedName name="_2351__FDSAUDITLINK__" hidden="1">{"fdsup://directions/FAT Viewer?action=UPDATE&amp;creator=factset&amp;DYN_ARGS=TRUE&amp;DOC_NAME=FAT:FQL_AUDITING_CLIENT_TEMPLATE.FAT&amp;display_string=Audit&amp;VAR:KEY=VAVSHGNKLS&amp;VAR:QUERY=RkZfUkRfRVhQKENBTCwzNzk4NiwsLCwp&amp;WINDOW=FIRST_POPUP&amp;HEIGHT=450&amp;WIDTH=450&amp;START_MAXIMI","ZED=FALSE&amp;VAR:CALENDAR=US&amp;VAR:SYMBOL=698538&amp;VAR:INDEX=0"}</definedName>
    <definedName name="_2352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2353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2354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2355__FDSAUDITLINK__" hidden="1">{"fdsup://directions/FAT Viewer?action=UPDATE&amp;creator=factset&amp;DYN_ARGS=TRUE&amp;DOC_NAME=FAT:FQL_AUDITING_CLIENT_TEMPLATE.FAT&amp;display_string=Audit&amp;VAR:KEY=DQXADMHEVC&amp;VAR:QUERY=RkZfUkRfRVhQKENBTCw0MDE3OCwsLCxKUFkp&amp;WINDOW=FIRST_POPUP&amp;HEIGHT=450&amp;WIDTH=450&amp;START_MA","XIMIZED=FALSE&amp;VAR:CALENDAR=US&amp;VAR:SYMBOL=B0J7D9&amp;VAR:INDEX=0"}</definedName>
    <definedName name="_2356__FDSAUDITLINK__" hidden="1">{"fdsup://directions/FAT Viewer?action=UPDATE&amp;creator=factset&amp;DYN_ARGS=TRUE&amp;DOC_NAME=FAT:FQL_AUDITING_CLIENT_TEMPLATE.FAT&amp;display_string=Audit&amp;VAR:KEY=TOLORIHYHO&amp;VAR:QUERY=RkZfUkRfRVhQKENBTCwzOTgxMywsLCxKUFkp&amp;WINDOW=FIRST_POPUP&amp;HEIGHT=450&amp;WIDTH=450&amp;START_MA","XIMIZED=FALSE&amp;VAR:CALENDAR=US&amp;VAR:SYMBOL=B0J7D9&amp;VAR:INDEX=0"}</definedName>
    <definedName name="_2357__FDSAUDITLINK__" hidden="1">{"fdsup://directions/FAT Viewer?action=UPDATE&amp;creator=factset&amp;DYN_ARGS=TRUE&amp;DOC_NAME=FAT:FQL_AUDITING_CLIENT_TEMPLATE.FAT&amp;display_string=Audit&amp;VAR:KEY=JOZMPGZMJM&amp;VAR:QUERY=RkZfUkRfRVhQKENBTCwzOTQ0NywsLCxKUFkp&amp;WINDOW=FIRST_POPUP&amp;HEIGHT=450&amp;WIDTH=450&amp;START_MA","XIMIZED=FALSE&amp;VAR:CALENDAR=US&amp;VAR:SYMBOL=B0J7D9&amp;VAR:INDEX=0"}</definedName>
    <definedName name="_2358__FDSAUDITLINK__" hidden="1">{"fdsup://directions/FAT Viewer?action=UPDATE&amp;creator=factset&amp;DYN_ARGS=TRUE&amp;DOC_NAME=FAT:FQL_AUDITING_CLIENT_TEMPLATE.FAT&amp;display_string=Audit&amp;VAR:KEY=NABIRCXULI&amp;VAR:QUERY=RkZfUkRfRVhQKENBTCwzOTA4MiwsLCxKUFkp&amp;WINDOW=FIRST_POPUP&amp;HEIGHT=450&amp;WIDTH=450&amp;START_MA","XIMIZED=FALSE&amp;VAR:CALENDAR=US&amp;VAR:SYMBOL=B0J7D9&amp;VAR:INDEX=0"}</definedName>
    <definedName name="_2359__FDSAUDITLINK__" hidden="1">{"fdsup://directions/FAT Viewer?action=UPDATE&amp;creator=factset&amp;DYN_ARGS=TRUE&amp;DOC_NAME=FAT:FQL_AUDITING_CLIENT_TEMPLATE.FAT&amp;display_string=Audit&amp;VAR:KEY=PKNSHOFKFO&amp;VAR:QUERY=RkZfUkRfRVhQKENBTCwzODcxNywsLCxKUFkp&amp;WINDOW=FIRST_POPUP&amp;HEIGHT=450&amp;WIDTH=450&amp;START_MA","XIMIZED=FALSE&amp;VAR:CALENDAR=US&amp;VAR:SYMBOL=B0J7D9&amp;VAR:INDEX=0"}</definedName>
    <definedName name="_236__FDSAUDITLINK__" hidden="1">{"fdsup://directions/FAT%20Viewer?VAR:TM=NTMA&amp;VAR:PCT=0.734247&amp;VAR:Y0=2006&amp;VAR:Y1=2007&amp;VAR:V0=15.166027&amp;VAR:V1=13.748765&amp;VAR:V=14.761638&amp;VAR:AUDIT_ID=00000117&amp;VAR:DATE=20060407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Aggregates&amp;VAR:MEASURE=PE_MEAN&amp;VAR:CALC_MODE=PORTFOLIO&amp;VAR:CHGPERIOD=NA&amp;VAR:FQLFORMULA=FMA_PE&amp;VAR:CURRENCY=USD&amp;VAR:P=1","295.498800&amp;VAR:THRESH=||||||&amp;VAR:null=.html"}</definedName>
    <definedName name="_2360__FDSAUDITLINK__" hidden="1">{"fdsup://directions/FAT Viewer?action=UPDATE&amp;creator=factset&amp;DYN_ARGS=TRUE&amp;DOC_NAME=FAT:FQL_AUDITING_CLIENT_TEMPLATE.FAT&amp;display_string=Audit&amp;VAR:KEY=TEXUHKRIJS&amp;VAR:QUERY=RkZfUkRfRVhQKENBTCwzODM1MiwsLCxKUFkp&amp;WINDOW=FIRST_POPUP&amp;HEIGHT=450&amp;WIDTH=450&amp;START_MA","XIMIZED=FALSE&amp;VAR:CALENDAR=US&amp;VAR:SYMBOL=B0J7D9&amp;VAR:INDEX=0"}</definedName>
    <definedName name="_2361__FDSAUDITLINK__" hidden="1">{"fdsup://directions/FAT Viewer?action=UPDATE&amp;creator=factset&amp;DYN_ARGS=TRUE&amp;DOC_NAME=FAT:FQL_AUDITING_CLIENT_TEMPLATE.FAT&amp;display_string=Audit&amp;VAR:KEY=BMDYTORIHY&amp;VAR:QUERY=RkZfUkRfRVhQKENBTCwzNzk4NiwsLCxKUFkp&amp;WINDOW=FIRST_POPUP&amp;HEIGHT=450&amp;WIDTH=450&amp;START_MA","XIMIZED=FALSE&amp;VAR:CALENDAR=US&amp;VAR:SYMBOL=B0J7D9&amp;VAR:INDEX=0"}</definedName>
    <definedName name="_2362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2363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2364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2365__FDSAUDITLINK__" hidden="1">{"fdsup://directions/FAT Viewer?action=UPDATE&amp;creator=factset&amp;DYN_ARGS=TRUE&amp;DOC_NAME=FAT:FQL_AUDITING_CLIENT_TEMPLATE.FAT&amp;display_string=Audit&amp;VAR:KEY=JGFKDSPYPQ&amp;VAR:QUERY=RkZfUkRfRVhQKENBTCwzOTQ0NywsLCwp&amp;WINDOW=FIRST_POPUP&amp;HEIGHT=450&amp;WIDTH=450&amp;START_MAXIMI","ZED=FALSE&amp;VAR:CALENDAR=US&amp;VAR:SYMBOL=AMGN&amp;VAR:INDEX=0"}</definedName>
    <definedName name="_2366__FDSAUDITLINK__" hidden="1">{"fdsup://directions/FAT Viewer?action=UPDATE&amp;creator=factset&amp;DYN_ARGS=TRUE&amp;DOC_NAME=FAT:FQL_AUDITING_CLIENT_TEMPLATE.FAT&amp;display_string=Audit&amp;VAR:KEY=PITSZWZGJQ&amp;VAR:QUERY=RkZfUkRfRVhQKENBTCwzOTA4MiwsLCwp&amp;WINDOW=FIRST_POPUP&amp;HEIGHT=450&amp;WIDTH=450&amp;START_MAXIMI","ZED=FALSE&amp;VAR:CALENDAR=US&amp;VAR:SYMBOL=AMGN&amp;VAR:INDEX=0"}</definedName>
    <definedName name="_2367__FDSAUDITLINK__" hidden="1">{"fdsup://directions/FAT Viewer?action=UPDATE&amp;creator=factset&amp;DYN_ARGS=TRUE&amp;DOC_NAME=FAT:FQL_AUDITING_CLIENT_TEMPLATE.FAT&amp;display_string=Audit&amp;VAR:KEY=HKBWVOJSHI&amp;VAR:QUERY=RkZfUkRfRVhQKENBTCwzODcxNywsLCwp&amp;WINDOW=FIRST_POPUP&amp;HEIGHT=450&amp;WIDTH=450&amp;START_MAXIMI","ZED=FALSE&amp;VAR:CALENDAR=US&amp;VAR:SYMBOL=AMGN&amp;VAR:INDEX=0"}</definedName>
    <definedName name="_2368__FDSAUDITLINK__" hidden="1">{"fdsup://directions/FAT Viewer?action=UPDATE&amp;creator=factset&amp;DYN_ARGS=TRUE&amp;DOC_NAME=FAT:FQL_AUDITING_CLIENT_TEMPLATE.FAT&amp;display_string=Audit&amp;VAR:KEY=TUHABOXUJS&amp;VAR:QUERY=RkZfUkRfRVhQKENBTCwzODM1MiwsLCwp&amp;WINDOW=FIRST_POPUP&amp;HEIGHT=450&amp;WIDTH=450&amp;START_MAXIMI","ZED=FALSE&amp;VAR:CALENDAR=US&amp;VAR:SYMBOL=AMGN&amp;VAR:INDEX=0"}</definedName>
    <definedName name="_2369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237__FDSAUDITLINK__" hidden="1">{"fdsup://directions/FAT%20Viewer?VAR:TM=NTMA&amp;VAR:PCT=0.753425&amp;VAR:Y0=2006&amp;VAR:Y1=2007&amp;VAR:V0=15.086844&amp;VAR:V1=13.711519&amp;VAR:V=14.722713&amp;VAR:AUDIT_ID=00000117&amp;VAR:DATE=20060331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Aggregates&amp;VAR:MEASURE=PE_MEAN&amp;VAR:CALC_MODE=PORTFOLIO&amp;VAR:CHGPERIOD=NA&amp;VAR:FQLFORMULA=FMA_PE&amp;VAR:CURRENCY=USD&amp;VAR:P=1","294.827900&amp;VAR:THRESH=||||||&amp;VAR:null=.html"}</definedName>
    <definedName name="_2370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2371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2372__FDSAUDITLINK__" hidden="1">{"fdsup://directions/FAT Viewer?action=UPDATE&amp;creator=factset&amp;DYN_ARGS=TRUE&amp;DOC_NAME=FAT:FQL_AUDITING_CLIENT_TEMPLATE.FAT&amp;display_string=Audit&amp;VAR:KEY=FSDQDMTKFI&amp;VAR:QUERY=RkZfUkRfRVhQKENBTCwzOTQ0NywsLCwp&amp;WINDOW=FIRST_POPUP&amp;HEIGHT=450&amp;WIDTH=450&amp;START_MAXIMI","ZED=FALSE&amp;VAR:CALENDAR=US&amp;VAR:SYMBOL=ABT&amp;VAR:INDEX=0"}</definedName>
    <definedName name="_2373__FDSAUDITLINK__" hidden="1">{"fdsup://directions/FAT Viewer?action=UPDATE&amp;creator=factset&amp;DYN_ARGS=TRUE&amp;DOC_NAME=FAT:FQL_AUDITING_CLIENT_TEMPLATE.FAT&amp;display_string=Audit&amp;VAR:KEY=DKXQFUXYNQ&amp;VAR:QUERY=RkZfUkRfRVhQKENBTCwzOTA4MiwsLCwp&amp;WINDOW=FIRST_POPUP&amp;HEIGHT=450&amp;WIDTH=450&amp;START_MAXIMI","ZED=FALSE&amp;VAR:CALENDAR=US&amp;VAR:SYMBOL=ABT&amp;VAR:INDEX=0"}</definedName>
    <definedName name="_2374__FDSAUDITLINK__" hidden="1">{"fdsup://directions/FAT Viewer?action=UPDATE&amp;creator=factset&amp;DYN_ARGS=TRUE&amp;DOC_NAME=FAT:FQL_AUDITING_CLIENT_TEMPLATE.FAT&amp;display_string=Audit&amp;VAR:KEY=DCTAJGPGHM&amp;VAR:QUERY=RkZfUkRfRVhQKENBTCwzODcxNywsLCwp&amp;WINDOW=FIRST_POPUP&amp;HEIGHT=450&amp;WIDTH=450&amp;START_MAXIMI","ZED=FALSE&amp;VAR:CALENDAR=US&amp;VAR:SYMBOL=ABT&amp;VAR:INDEX=0"}</definedName>
    <definedName name="_2375__FDSAUDITLINK__" hidden="1">{"fdsup://directions/FAT Viewer?action=UPDATE&amp;creator=factset&amp;DYN_ARGS=TRUE&amp;DOC_NAME=FAT:FQL_AUDITING_CLIENT_TEMPLATE.FAT&amp;display_string=Audit&amp;VAR:KEY=DWROLQJYRO&amp;VAR:QUERY=RkZfUkRfRVhQKENBTCwzODM1MiwsLCwp&amp;WINDOW=FIRST_POPUP&amp;HEIGHT=450&amp;WIDTH=450&amp;START_MAXIMI","ZED=FALSE&amp;VAR:CALENDAR=US&amp;VAR:SYMBOL=ABT&amp;VAR:INDEX=0"}</definedName>
    <definedName name="_2376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2377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2378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2379__FDSAUDITLINK__" hidden="1">{"fdsup://directions/FAT Viewer?action=UPDATE&amp;creator=factset&amp;DYN_ARGS=TRUE&amp;DOC_NAME=FAT:FQL_AUDITING_CLIENT_TEMPLATE.FAT&amp;display_string=Audit&amp;VAR:KEY=RSBIBMVATE&amp;VAR:QUERY=RkZfUkRfRVhQKENBTCwzOTQ0NywsLCwp&amp;WINDOW=FIRST_POPUP&amp;HEIGHT=450&amp;WIDTH=450&amp;START_MAXIMI","ZED=FALSE&amp;VAR:CALENDAR=US&amp;VAR:SYMBOL=687044&amp;VAR:INDEX=0"}</definedName>
    <definedName name="_238__FDSAUDITLINK__" hidden="1">{"fdsup://directions/FAT%20Viewer?VAR:TM=NTMA&amp;VAR:PCT=0.772603&amp;VAR:Y0=2006&amp;VAR:Y1=2007&amp;VAR:V0=15.194410&amp;VAR:V1=13.816544&amp;VAR:V=14.857481&amp;VAR:AUDIT_ID=00000117&amp;VAR:DATE=20060324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Aggregates&amp;VAR:MEASURE=PE_MEAN&amp;VAR:CALC_MODE=PORTFOLIO&amp;VAR:CHGPERIOD=NA&amp;VAR:FQLFORMULA=FMA_PE&amp;VAR:CURRENCY=USD&amp;VAR:P=1","302.953500&amp;VAR:THRESH=||||||&amp;VAR:null=.html"}</definedName>
    <definedName name="_2380__FDSAUDITLINK__" hidden="1">{"fdsup://directions/FAT Viewer?action=UPDATE&amp;creator=factset&amp;DYN_ARGS=TRUE&amp;DOC_NAME=FAT:FQL_AUDITING_CLIENT_TEMPLATE.FAT&amp;display_string=Audit&amp;VAR:KEY=BMBQFCROBS&amp;VAR:QUERY=RkZfUkRfRVhQKENBTCwzOTA4MiwsLCwp&amp;WINDOW=FIRST_POPUP&amp;HEIGHT=450&amp;WIDTH=450&amp;START_MAXIMI","ZED=FALSE&amp;VAR:CALENDAR=US&amp;VAR:SYMBOL=687044&amp;VAR:INDEX=0"}</definedName>
    <definedName name="_2381__FDSAUDITLINK__" hidden="1">{"fdsup://directions/FAT Viewer?action=UPDATE&amp;creator=factset&amp;DYN_ARGS=TRUE&amp;DOC_NAME=FAT:FQL_AUDITING_CLIENT_TEMPLATE.FAT&amp;display_string=Audit&amp;VAR:KEY=PSVODMRWBK&amp;VAR:QUERY=RkZfUkRfRVhQKENBTCwzODcxNywsLCwp&amp;WINDOW=FIRST_POPUP&amp;HEIGHT=450&amp;WIDTH=450&amp;START_MAXIMI","ZED=FALSE&amp;VAR:CALENDAR=US&amp;VAR:SYMBOL=687044&amp;VAR:INDEX=0"}</definedName>
    <definedName name="_2382__FDSAUDITLINK__" hidden="1">{"fdsup://directions/FAT Viewer?action=UPDATE&amp;creator=factset&amp;DYN_ARGS=TRUE&amp;DOC_NAME=FAT:FQL_AUDITING_CLIENT_TEMPLATE.FAT&amp;display_string=Audit&amp;VAR:KEY=XETOTYBIDC&amp;VAR:QUERY=RkZfUkRfRVhQKENBTCwzODM1MiwsLCwp&amp;WINDOW=FIRST_POPUP&amp;HEIGHT=450&amp;WIDTH=450&amp;START_MAXIMI","ZED=FALSE&amp;VAR:CALENDAR=US&amp;VAR:SYMBOL=687044&amp;VAR:INDEX=0"}</definedName>
    <definedName name="_2383__FDSAUDITLINK__" hidden="1">{"fdsup://directions/FAT Viewer?action=UPDATE&amp;creator=factset&amp;DYN_ARGS=TRUE&amp;DOC_NAME=FAT:FQL_AUDITING_CLIENT_TEMPLATE.FAT&amp;display_string=Audit&amp;VAR:KEY=ZYDGDSXIPY&amp;VAR:QUERY=RkZfUkRfRVhQKENBTCwzNzk4NiwsLCwp&amp;WINDOW=FIRST_POPUP&amp;HEIGHT=450&amp;WIDTH=450&amp;START_MAXIMI","ZED=FALSE&amp;VAR:CALENDAR=US&amp;VAR:SYMBOL=687044&amp;VAR:INDEX=0"}</definedName>
    <definedName name="_2384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2385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2386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2387__FDSAUDITLINK__" hidden="1">{"fdsup://directions/FAT Viewer?action=UPDATE&amp;creator=factset&amp;DYN_ARGS=TRUE&amp;DOC_NAME=FAT:FQL_AUDITING_CLIENT_TEMPLATE.FAT&amp;display_string=Audit&amp;VAR:KEY=RSXSPYNOFE&amp;VAR:QUERY=RkZfUkRfRVhQKENBTCwzOTQ0NywsLCwp&amp;WINDOW=FIRST_POPUP&amp;HEIGHT=450&amp;WIDTH=450&amp;START_MAXIMI","ZED=FALSE&amp;VAR:CALENDAR=US&amp;VAR:SYMBOL=BMY&amp;VAR:INDEX=0"}</definedName>
    <definedName name="_2388__FDSAUDITLINK__" hidden="1">{"fdsup://directions/FAT Viewer?action=UPDATE&amp;creator=factset&amp;DYN_ARGS=TRUE&amp;DOC_NAME=FAT:FQL_AUDITING_CLIENT_TEMPLATE.FAT&amp;display_string=Audit&amp;VAR:KEY=LKDOVYBADY&amp;VAR:QUERY=RkZfUkRfRVhQKENBTCwzOTA4MiwsLCwp&amp;WINDOW=FIRST_POPUP&amp;HEIGHT=450&amp;WIDTH=450&amp;START_MAXIMI","ZED=FALSE&amp;VAR:CALENDAR=US&amp;VAR:SYMBOL=BMY&amp;VAR:INDEX=0"}</definedName>
    <definedName name="_2389__FDSAUDITLINK__" hidden="1">{"fdsup://directions/FAT Viewer?action=UPDATE&amp;creator=factset&amp;DYN_ARGS=TRUE&amp;DOC_NAME=FAT:FQL_AUDITING_CLIENT_TEMPLATE.FAT&amp;display_string=Audit&amp;VAR:KEY=LQFUHMHSHG&amp;VAR:QUERY=RkZfUkRfRVhQKENBTCwzODcxNywsLCwp&amp;WINDOW=FIRST_POPUP&amp;HEIGHT=450&amp;WIDTH=450&amp;START_MAXIMI","ZED=FALSE&amp;VAR:CALENDAR=US&amp;VAR:SYMBOL=BMY&amp;VAR:INDEX=0"}</definedName>
    <definedName name="_239__FDSAUDITLINK__" hidden="1">{"fdsup://directions/FAT%20Viewer?VAR:TM=NTMA&amp;VAR:PCT=0.791781&amp;VAR:Y0=2006&amp;VAR:Y1=2007&amp;VAR:V0=15.245845&amp;VAR:V1=13.851372&amp;VAR:V=14.932819&amp;VAR:AUDIT_ID=00000117&amp;VAR:DATE=20060317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Aggregates&amp;VAR:MEASURE=PE_MEAN&amp;VAR:CALC_MODE=PORTFOLIO&amp;VAR:CHGPERIOD=NA&amp;VAR:FQLFORMULA=FMA_PE&amp;VAR:CURRENCY=USD&amp;VAR:P=1","307.250600&amp;VAR:THRESH=||||||&amp;VAR:null=.html"}</definedName>
    <definedName name="_2390__FDSAUDITLINK__" hidden="1">{"fdsup://directions/FAT Viewer?action=UPDATE&amp;creator=factset&amp;DYN_ARGS=TRUE&amp;DOC_NAME=FAT:FQL_AUDITING_CLIENT_TEMPLATE.FAT&amp;display_string=Audit&amp;VAR:KEY=FQBKHMBUDK&amp;VAR:QUERY=RkZfUkRfRVhQKENBTCwzODM1MiwsLCwp&amp;WINDOW=FIRST_POPUP&amp;HEIGHT=450&amp;WIDTH=450&amp;START_MAXIMI","ZED=FALSE&amp;VAR:CALENDAR=US&amp;VAR:SYMBOL=BMY&amp;VAR:INDEX=0"}</definedName>
    <definedName name="_2391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2392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2393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2394__FDSAUDITLINK__" hidden="1">{"fdsup://directions/FAT Viewer?action=UPDATE&amp;creator=factset&amp;DYN_ARGS=TRUE&amp;DOC_NAME=FAT:FQL_AUDITING_CLIENT_TEMPLATE.FAT&amp;display_string=Audit&amp;VAR:KEY=HEPKDCHMJW&amp;VAR:QUERY=RkZfUkRfRVhQKENBTCwzOTQ0NywsLCwp&amp;WINDOW=FIRST_POPUP&amp;HEIGHT=450&amp;WIDTH=450&amp;START_MAXIMI","ZED=FALSE&amp;VAR:CALENDAR=US&amp;VAR:SYMBOL=LLY&amp;VAR:INDEX=0"}</definedName>
    <definedName name="_2395__FDSAUDITLINK__" hidden="1">{"fdsup://directions/FAT Viewer?action=UPDATE&amp;creator=factset&amp;DYN_ARGS=TRUE&amp;DOC_NAME=FAT:FQL_AUDITING_CLIENT_TEMPLATE.FAT&amp;display_string=Audit&amp;VAR:KEY=FENANCDSZW&amp;VAR:QUERY=RkZfUkRfRVhQKENBTCwzOTA4MiwsLCwp&amp;WINDOW=FIRST_POPUP&amp;HEIGHT=450&amp;WIDTH=450&amp;START_MAXIMI","ZED=FALSE&amp;VAR:CALENDAR=US&amp;VAR:SYMBOL=LLY&amp;VAR:INDEX=0"}</definedName>
    <definedName name="_2396__FDSAUDITLINK__" hidden="1">{"fdsup://directions/FAT Viewer?action=UPDATE&amp;creator=factset&amp;DYN_ARGS=TRUE&amp;DOC_NAME=FAT:FQL_AUDITING_CLIENT_TEMPLATE.FAT&amp;display_string=Audit&amp;VAR:KEY=BUFUPIJOPY&amp;VAR:QUERY=RkZfUkRfRVhQKENBTCwzODcxNywsLCwp&amp;WINDOW=FIRST_POPUP&amp;HEIGHT=450&amp;WIDTH=450&amp;START_MAXIMI","ZED=FALSE&amp;VAR:CALENDAR=US&amp;VAR:SYMBOL=LLY&amp;VAR:INDEX=0"}</definedName>
    <definedName name="_2397__FDSAUDITLINK__" hidden="1">{"fdsup://directions/FAT Viewer?action=UPDATE&amp;creator=factset&amp;DYN_ARGS=TRUE&amp;DOC_NAME=FAT:FQL_AUDITING_CLIENT_TEMPLATE.FAT&amp;display_string=Audit&amp;VAR:KEY=FITARQDYHC&amp;VAR:QUERY=RkZfUkRfRVhQKENBTCwzODM1MiwsLCwp&amp;WINDOW=FIRST_POPUP&amp;HEIGHT=450&amp;WIDTH=450&amp;START_MAXIMI","ZED=FALSE&amp;VAR:CALENDAR=US&amp;VAR:SYMBOL=LLY&amp;VAR:INDEX=0"}</definedName>
    <definedName name="_2398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2399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24__FDSAUDITLINK__" hidden="1">{"fdsup://directions/FAT%20Viewer?VAR:TM=NTMA&amp;VAR:PCT=0.671233&amp;VAR:Y0=2010&amp;VAR:Y1=2011&amp;VAR:V0=14.461917&amp;VAR:V1=12.300384&amp;VAR:V=13.672031&amp;VAR:AUDIT_ID=00000117&amp;VAR:DATE=20100430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Aggregates&amp;VAR:MEASURE=PE_MEAN&amp;VAR:CALC_MODE=PORTFOLIO&amp;VAR:CHGPERIOD=NA&amp;VAR:FQLFORMULA=FMA_PE&amp;VAR:CURRENCY=USD&amp;VAR:P=1","186.689377&amp;VAR:THRESH=||||||&amp;VAR:null=.html"}</definedName>
    <definedName name="_240__FDSAUDITLINK__" hidden="1">{"fdsup://directions/FAT%20Viewer?VAR:TM=NTMA&amp;VAR:PCT=0.810959&amp;VAR:Y0=2006&amp;VAR:Y1=2007&amp;VAR:V0=14.961076&amp;VAR:V1=13.587155&amp;VAR:V=14.680449&amp;VAR:AUDIT_ID=00000117&amp;VAR:DATE=20060310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Aggregates&amp;VAR:MEASURE=PE_MEAN&amp;VAR:CALC_MODE=PORTFOLIO&amp;VAR:CHGPERIOD=NA&amp;VAR:FQLFORMULA=FMA_PE&amp;VAR:CURRENCY=USD&amp;VAR:P=1","281.576700&amp;VAR:THRESH=||||||&amp;VAR:null=.html"}</definedName>
    <definedName name="_2400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2401__FDSAUDITLINK__" hidden="1">{"fdsup://directions/FAT Viewer?action=UPDATE&amp;creator=factset&amp;DYN_ARGS=TRUE&amp;DOC_NAME=FAT:FQL_AUDITING_CLIENT_TEMPLATE.FAT&amp;display_string=Audit&amp;VAR:KEY=RWDWLABEJW&amp;VAR:QUERY=RkZfUkRfRVhQKENBTCwzOTQ0NywsLCwp&amp;WINDOW=FIRST_POPUP&amp;HEIGHT=450&amp;WIDTH=450&amp;START_MAXIMI","ZED=FALSE&amp;VAR:CALENDAR=US&amp;VAR:SYMBOL=506921&amp;VAR:INDEX=0"}</definedName>
    <definedName name="_2402__FDSAUDITLINK__" hidden="1">{"fdsup://directions/FAT Viewer?action=UPDATE&amp;creator=factset&amp;DYN_ARGS=TRUE&amp;DOC_NAME=FAT:FQL_AUDITING_CLIENT_TEMPLATE.FAT&amp;display_string=Audit&amp;VAR:KEY=FGJCBIHEHA&amp;VAR:QUERY=RkZfUkRfRVhQKENBTCwzOTA4MiwsLCwp&amp;WINDOW=FIRST_POPUP&amp;HEIGHT=450&amp;WIDTH=450&amp;START_MAXIMI","ZED=FALSE&amp;VAR:CALENDAR=US&amp;VAR:SYMBOL=506921&amp;VAR:INDEX=0"}</definedName>
    <definedName name="_2403__FDSAUDITLINK__" hidden="1">{"fdsup://directions/FAT Viewer?action=UPDATE&amp;creator=factset&amp;DYN_ARGS=TRUE&amp;DOC_NAME=FAT:FQL_AUDITING_CLIENT_TEMPLATE.FAT&amp;display_string=Audit&amp;VAR:KEY=BYZCRITIBW&amp;VAR:QUERY=RkZfUkRfRVhQKENBTCwzODcxNywsLCwp&amp;WINDOW=FIRST_POPUP&amp;HEIGHT=450&amp;WIDTH=450&amp;START_MAXIMI","ZED=FALSE&amp;VAR:CALENDAR=US&amp;VAR:SYMBOL=506921&amp;VAR:INDEX=0"}</definedName>
    <definedName name="_2404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2405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2406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2407__FDSAUDITLINK__" hidden="1">{"fdsup://directions/FAT Viewer?action=UPDATE&amp;creator=factset&amp;DYN_ARGS=TRUE&amp;DOC_NAME=FAT:FQL_AUDITING_CLIENT_TEMPLATE.FAT&amp;display_string=Audit&amp;VAR:KEY=RWLEDIBETI&amp;VAR:QUERY=RkZfUkRfRVhQKENBTCwzOTQ0NywsLCwp&amp;WINDOW=FIRST_POPUP&amp;HEIGHT=450&amp;WIDTH=450&amp;START_MAXIMI","ZED=FALSE&amp;VAR:CALENDAR=US&amp;VAR:SYMBOL=567173&amp;VAR:INDEX=0"}</definedName>
    <definedName name="_2408__FDSAUDITLINK__" hidden="1">{"fdsup://directions/FAT Viewer?action=UPDATE&amp;creator=factset&amp;DYN_ARGS=TRUE&amp;DOC_NAME=FAT:FQL_AUDITING_CLIENT_TEMPLATE.FAT&amp;display_string=Audit&amp;VAR:KEY=VWPMVGBIVA&amp;VAR:QUERY=RkZfUkRfRVhQKENBTCwzOTA4MiwsLCwp&amp;WINDOW=FIRST_POPUP&amp;HEIGHT=450&amp;WIDTH=450&amp;START_MAXIMI","ZED=FALSE&amp;VAR:CALENDAR=US&amp;VAR:SYMBOL=567173&amp;VAR:INDEX=0"}</definedName>
    <definedName name="_2409__FDSAUDITLINK__" hidden="1">{"fdsup://directions/FAT Viewer?action=UPDATE&amp;creator=factset&amp;DYN_ARGS=TRUE&amp;DOC_NAME=FAT:FQL_AUDITING_CLIENT_TEMPLATE.FAT&amp;display_string=Audit&amp;VAR:KEY=ZGNEJWTYPU&amp;VAR:QUERY=RkZfUkRfRVhQKENBTCwzODcxNywsLCwp&amp;WINDOW=FIRST_POPUP&amp;HEIGHT=450&amp;WIDTH=450&amp;START_MAXIMI","ZED=FALSE&amp;VAR:CALENDAR=US&amp;VAR:SYMBOL=567173&amp;VAR:INDEX=0"}</definedName>
    <definedName name="_241__FDSAUDITLINK__" hidden="1">{"fdsup://directions/FAT%20Viewer?VAR:TM=NTMA&amp;VAR:PCT=0.830137&amp;VAR:Y0=2006&amp;VAR:Y1=2007&amp;VAR:V0=15.023450&amp;VAR:V1=13.644815&amp;VAR:V=14.769961&amp;VAR:AUDIT_ID=00000117&amp;VAR:DATE=20060303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Aggregates&amp;VAR:MEASURE=PE_MEAN&amp;VAR:CALC_MODE=PORTFOLIO&amp;VAR:CHGPERIOD=NA&amp;VAR:FQLFORMULA=FMA_PE&amp;VAR:CURRENCY=USD&amp;VAR:P=1","287.231200&amp;VAR:THRESH=||||||&amp;VAR:null=.html"}</definedName>
    <definedName name="_2410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2411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2412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2413__FDSAUDITLINK__" hidden="1">{"fdsup://directions/FAT Viewer?action=UPDATE&amp;creator=factset&amp;DYN_ARGS=TRUE&amp;DOC_NAME=FAT:FQL_AUDITING_CLIENT_TEMPLATE.FAT&amp;display_string=Audit&amp;VAR:KEY=FYLUREVORG&amp;VAR:QUERY=RkZfUkRfRVhQKENBTCwzOTQ0NywsLCwp&amp;WINDOW=FIRST_POPUP&amp;HEIGHT=450&amp;WIDTH=450&amp;START_MAXIMI","ZED=FALSE&amp;VAR:CALENDAR=US&amp;VAR:SYMBOL=JNJ&amp;VAR:INDEX=0"}</definedName>
    <definedName name="_2414__FDSAUDITLINK__" hidden="1">{"fdsup://directions/FAT Viewer?action=UPDATE&amp;creator=factset&amp;DYN_ARGS=TRUE&amp;DOC_NAME=FAT:FQL_AUDITING_CLIENT_TEMPLATE.FAT&amp;display_string=Audit&amp;VAR:KEY=BUPWHWVEFO&amp;VAR:QUERY=RkZfUkRfRVhQKENBTCwzOTA4MiwsLCwp&amp;WINDOW=FIRST_POPUP&amp;HEIGHT=450&amp;WIDTH=450&amp;START_MAXIMI","ZED=FALSE&amp;VAR:CALENDAR=US&amp;VAR:SYMBOL=JNJ&amp;VAR:INDEX=0"}</definedName>
    <definedName name="_2415__FDSAUDITLINK__" hidden="1">{"fdsup://directions/FAT Viewer?action=UPDATE&amp;creator=factset&amp;DYN_ARGS=TRUE&amp;DOC_NAME=FAT:FQL_AUDITING_CLIENT_TEMPLATE.FAT&amp;display_string=Audit&amp;VAR:KEY=BIZGFAZSLE&amp;VAR:QUERY=RkZfUkRfRVhQKENBTCwzODcxNywsLCwp&amp;WINDOW=FIRST_POPUP&amp;HEIGHT=450&amp;WIDTH=450&amp;START_MAXIMI","ZED=FALSE&amp;VAR:CALENDAR=US&amp;VAR:SYMBOL=JNJ&amp;VAR:INDEX=0"}</definedName>
    <definedName name="_2416__FDSAUDITLINK__" hidden="1">{"fdsup://directions/FAT Viewer?action=UPDATE&amp;creator=factset&amp;DYN_ARGS=TRUE&amp;DOC_NAME=FAT:FQL_AUDITING_CLIENT_TEMPLATE.FAT&amp;display_string=Audit&amp;VAR:KEY=FQZEXGVUHG&amp;VAR:QUERY=RkZfUkRfRVhQKENBTCwzODM1MiwsLCwp&amp;WINDOW=FIRST_POPUP&amp;HEIGHT=450&amp;WIDTH=450&amp;START_MAXIMI","ZED=FALSE&amp;VAR:CALENDAR=US&amp;VAR:SYMBOL=JNJ&amp;VAR:INDEX=0"}</definedName>
    <definedName name="_2417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2418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2419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242__FDSAUDITLINK__" hidden="1">{"fdsup://directions/FAT%20Viewer?VAR:TM=NTMA&amp;VAR:PCT=0.849315&amp;VAR:Y0=2006&amp;VAR:Y1=2007&amp;VAR:V0=15.036519&amp;VAR:V1=13.698613&amp;VAR:V=14.818436&amp;VAR:AUDIT_ID=00000117&amp;VAR:DATE=20060224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Aggregates&amp;VAR:MEASURE=PE_MEAN&amp;VAR:CALC_MODE=PORTFOLIO&amp;VAR:CHGPERIOD=NA&amp;VAR:FQLFORMULA=FMA_PE&amp;VAR:CURRENCY=USD&amp;VAR:P=1","289.430900&amp;VAR:THRESH=||||||&amp;VAR:null=.html"}</definedName>
    <definedName name="_2420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2421__FDSAUDITLINK__" hidden="1">{"fdsup://directions/FAT Viewer?action=UPDATE&amp;creator=factset&amp;DYN_ARGS=TRUE&amp;DOC_NAME=FAT:FQL_AUDITING_CLIENT_TEMPLATE.FAT&amp;display_string=Audit&amp;VAR:KEY=BAPYPCNOVG&amp;VAR:QUERY=RkZfUkRfRVhQKENBTCwzOTA4MiwsLCwp&amp;WINDOW=FIRST_POPUP&amp;HEIGHT=450&amp;WIDTH=450&amp;START_MAXIMI","ZED=FALSE&amp;VAR:CALENDAR=US&amp;VAR:SYMBOL=710306&amp;VAR:INDEX=0"}</definedName>
    <definedName name="_2422__FDSAUDITLINK__" hidden="1">{"fdsup://directions/FAT Viewer?action=UPDATE&amp;creator=factset&amp;DYN_ARGS=TRUE&amp;DOC_NAME=FAT:FQL_AUDITING_CLIENT_TEMPLATE.FAT&amp;display_string=Audit&amp;VAR:KEY=VKXURALSNK&amp;VAR:QUERY=RkZfUkRfRVhQKENBTCwzODcxNywsLCwp&amp;WINDOW=FIRST_POPUP&amp;HEIGHT=450&amp;WIDTH=450&amp;START_MAXIMI","ZED=FALSE&amp;VAR:CALENDAR=US&amp;VAR:SYMBOL=710306&amp;VAR:INDEX=0"}</definedName>
    <definedName name="_2423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2424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2425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2426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2427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2428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2429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243__FDSAUDITLINK__" hidden="1">{"fdsup://directions/FAT%20Viewer?VAR:TM=NTMA&amp;VAR:PCT=0.868493&amp;VAR:Y0=2006&amp;VAR:Y1=2007&amp;VAR:V0=14.999657&amp;VAR:V1=13.670315&amp;VAR:V=14.810262&amp;VAR:AUDIT_ID=00000117&amp;VAR:DATE=20060217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Aggregates&amp;VAR:MEASURE=PE_MEAN&amp;VAR:CALC_MODE=PORTFOLIO&amp;VAR:CHGPERIOD=NA&amp;VAR:FQLFORMULA=FMA_PE&amp;VAR:CURRENCY=USD&amp;VAR:P=1","287.242600&amp;VAR:THRESH=||||||&amp;VAR:null=.html"}</definedName>
    <definedName name="_2430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2431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2432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2433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2434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2435__FDSAUDITLINK__" hidden="1">{"fdsup://directions/FAT Viewer?action=UPDATE&amp;creator=factset&amp;DYN_ARGS=TRUE&amp;DOC_NAME=FAT:FQL_AUDITING_CLIENT_TEMPLATE.FAT&amp;display_string=Audit&amp;VAR:KEY=LSNMLEBONA&amp;VAR:QUERY=RkZfUkRfRVhQKENBTCwzOTQ0NywsLCwp&amp;WINDOW=FIRST_POPUP&amp;HEIGHT=450&amp;WIDTH=450&amp;START_MAXIMI","ZED=FALSE&amp;VAR:CALENDAR=US&amp;VAR:SYMBOL=MRK&amp;VAR:INDEX=0"}</definedName>
    <definedName name="_2436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2437__FDSAUDITLINK__" hidden="1">{"fdsup://directions/FAT Viewer?action=UPDATE&amp;creator=factset&amp;DYN_ARGS=TRUE&amp;DOC_NAME=FAT:FQL_AUDITING_CLIENT_TEMPLATE.FAT&amp;display_string=Audit&amp;VAR:KEY=NMHYXIZERM&amp;VAR:QUERY=RkZfUkRfRVhQKENBTCwzOTA4MiwsLCwp&amp;WINDOW=FIRST_POPUP&amp;HEIGHT=450&amp;WIDTH=450&amp;START_MAXIMI","ZED=FALSE&amp;VAR:CALENDAR=US&amp;VAR:SYMBOL=MRK&amp;VAR:INDEX=0"}</definedName>
    <definedName name="_2438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2439__FDSAUDITLINK__" hidden="1">{"fdsup://directions/FAT Viewer?action=UPDATE&amp;creator=factset&amp;DYN_ARGS=TRUE&amp;DOC_NAME=FAT:FQL_AUDITING_CLIENT_TEMPLATE.FAT&amp;display_string=Audit&amp;VAR:KEY=HIHQXGPWVE&amp;VAR:QUERY=RkZfUkRfRVhQKENBTCwzODcxNywsLCwp&amp;WINDOW=FIRST_POPUP&amp;HEIGHT=450&amp;WIDTH=450&amp;START_MAXIMI","ZED=FALSE&amp;VAR:CALENDAR=US&amp;VAR:SYMBOL=MRK&amp;VAR:INDEX=0"}</definedName>
    <definedName name="_244__FDSAUDITLINK__" hidden="1">{"fdsup://directions/FAT%20Viewer?VAR:TM=NTMA&amp;VAR:PCT=0.887671&amp;VAR:Y0=2006&amp;VAR:Y1=2007&amp;VAR:V0=14.763160&amp;VAR:V1=13.477886&amp;VAR:V=14.606695&amp;VAR:AUDIT_ID=00000117&amp;VAR:DATE=20060210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Aggregates&amp;VAR:MEASURE=PE_MEAN&amp;VAR:CALC_MODE=PORTFOLIO&amp;VAR:CHGPERIOD=NA&amp;VAR:FQLFORMULA=FMA_PE&amp;VAR:CURRENCY=USD&amp;VAR:P=1","266.990100&amp;VAR:THRESH=||||||&amp;VAR:null=.html"}</definedName>
    <definedName name="_2440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2441__FDSAUDITLINK__" hidden="1">{"fdsup://directions/FAT Viewer?action=UPDATE&amp;creator=factset&amp;DYN_ARGS=TRUE&amp;DOC_NAME=FAT:FQL_AUDITING_CLIENT_TEMPLATE.FAT&amp;display_string=Audit&amp;VAR:KEY=BILIDIROZO&amp;VAR:QUERY=RkZfUkRfRVhQKENBTCwzODM1MiwsLCwp&amp;WINDOW=FIRST_POPUP&amp;HEIGHT=450&amp;WIDTH=450&amp;START_MAXIMI","ZED=FALSE&amp;VAR:CALENDAR=US&amp;VAR:SYMBOL=MRK&amp;VAR:INDEX=0"}</definedName>
    <definedName name="_2442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2443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2444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2445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2446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2447__FDSAUDITLINK__" hidden="1">{"fdsup://directions/FAT Viewer?action=UPDATE&amp;creator=factset&amp;DYN_ARGS=TRUE&amp;DOC_NAME=FAT:FQL_AUDITING_CLIENT_TEMPLATE.FAT&amp;display_string=Audit&amp;VAR:KEY=TEDKTITIXA&amp;VAR:QUERY=RkZfUkRfRVhQKENBTCwzOTQ0NywsLCwp&amp;WINDOW=FIRST_POPUP&amp;HEIGHT=450&amp;WIDTH=450&amp;START_MAXIMI","ZED=FALSE&amp;VAR:CALENDAR=US&amp;VAR:SYMBOL=PFE&amp;VAR:INDEX=0"}</definedName>
    <definedName name="_2448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2449__FDSAUDITLINK__" hidden="1">{"fdsup://directions/FAT Viewer?action=UPDATE&amp;creator=factset&amp;DYN_ARGS=TRUE&amp;DOC_NAME=FAT:FQL_AUDITING_CLIENT_TEMPLATE.FAT&amp;display_string=Audit&amp;VAR:KEY=VOPUPSJQLI&amp;VAR:QUERY=RkZfUkRfRVhQKENBTCwzOTA4MiwsLCwp&amp;WINDOW=FIRST_POPUP&amp;HEIGHT=450&amp;WIDTH=450&amp;START_MAXIMI","ZED=FALSE&amp;VAR:CALENDAR=US&amp;VAR:SYMBOL=PFE&amp;VAR:INDEX=0"}</definedName>
    <definedName name="_245__FDSAUDITLINK__" hidden="1">{"fdsup://directions/FAT%20Viewer?VAR:TM=NTMA&amp;VAR:PCT=0.906849&amp;VAR:Y0=2006&amp;VAR:Y1=2007&amp;VAR:V0=14.728274&amp;VAR:V1=13.442951&amp;VAR:V=14.598256&amp;VAR:AUDIT_ID=00000117&amp;VAR:DATE=20060203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Aggregates&amp;VAR:MEASURE=PE_MEAN&amp;VAR:CALC_MODE=PORTFOLIO&amp;VAR:CHGPERIOD=NA&amp;VAR:FQLFORMULA=FMA_PE&amp;VAR:CURRENCY=USD&amp;VAR:P=1","264.030000&amp;VAR:THRESH=||||||&amp;VAR:null=.html"}</definedName>
    <definedName name="_2450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2451__FDSAUDITLINK__" hidden="1">{"fdsup://directions/FAT Viewer?action=UPDATE&amp;creator=factset&amp;DYN_ARGS=TRUE&amp;DOC_NAME=FAT:FQL_AUDITING_CLIENT_TEMPLATE.FAT&amp;display_string=Audit&amp;VAR:KEY=DUZANORCZM&amp;VAR:QUERY=RkZfUkRfRVhQKENBTCwzODcxNywsLCwp&amp;WINDOW=FIRST_POPUP&amp;HEIGHT=450&amp;WIDTH=450&amp;START_MAXIMI","ZED=FALSE&amp;VAR:CALENDAR=US&amp;VAR:SYMBOL=PFE&amp;VAR:INDEX=0"}</definedName>
    <definedName name="_2452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2453__FDSAUDITLINK__" hidden="1">{"fdsup://directions/FAT Viewer?action=UPDATE&amp;creator=factset&amp;DYN_ARGS=TRUE&amp;DOC_NAME=FAT:FQL_AUDITING_CLIENT_TEMPLATE.FAT&amp;display_string=Audit&amp;VAR:KEY=BETMVWVSBG&amp;VAR:QUERY=RkZfUkRfRVhQKENBTCwzODM1MiwsLCwp&amp;WINDOW=FIRST_POPUP&amp;HEIGHT=450&amp;WIDTH=450&amp;START_MAXIMI","ZED=FALSE&amp;VAR:CALENDAR=US&amp;VAR:SYMBOL=PFE&amp;VAR:INDEX=0"}</definedName>
    <definedName name="_2454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2455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2456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2457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2458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2459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246__FDSAUDITLINK__" hidden="1">{"fdsup://directions/FAT%20Viewer?VAR:TM=NTMA&amp;VAR:PCT=0.926027&amp;VAR:Y0=2006&amp;VAR:Y1=2007&amp;VAR:V0=14.958775&amp;VAR:V1=13.708817&amp;VAR:V=14.858558&amp;VAR:AUDIT_ID=00000117&amp;VAR:DATE=20060127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Aggregates&amp;VAR:MEASURE=PE_MEAN&amp;VAR:CALC_MODE=PORTFOLIO&amp;VAR:CHGPERIOD=NA&amp;VAR:FQLFORMULA=FMA_PE&amp;VAR:CURRENCY=USD&amp;VAR:P=1","283.722300&amp;VAR:THRESH=||||||&amp;VAR:null=.html"}</definedName>
    <definedName name="_2460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2461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2462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2463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2464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2465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2466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2467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2468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2469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247__FDSAUDITLINK__" hidden="1">{"fdsup://directions/FAT%20Viewer?VAR:TM=NTMA&amp;VAR:PCT=0.945205&amp;VAR:Y0=2006&amp;VAR:Y1=2007&amp;VAR:V0=14.689680&amp;VAR:V1=13.494822&amp;VAR:V=14.618755&amp;VAR:AUDIT_ID=00000117&amp;VAR:DATE=20060120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Aggregates&amp;VAR:MEASURE=PE_MEAN&amp;VAR:CALC_MODE=PORTFOLIO&amp;VAR:CHGPERIOD=NA&amp;VAR:FQLFORMULA=FMA_PE&amp;VAR:CURRENCY=USD&amp;VAR:P=1","261.485400&amp;VAR:THRESH=||||||&amp;VAR:null=.html"}</definedName>
    <definedName name="_2470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2471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2472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2473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2474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2475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2476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2477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2478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2479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248__FDSAUDITLINK__" hidden="1">{"fdsup://directions/FAT%20Viewer?VAR:TM=NTMA&amp;VAR:PCT=0.964384&amp;VAR:Y0=2006&amp;VAR:Y1=2007&amp;VAR:V0=14.977968&amp;VAR:V1=13.813888&amp;VAR:V=14.933148&amp;VAR:AUDIT_ID=00000117&amp;VAR:DATE=20060113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Aggregates&amp;VAR:MEASURE=PE_MEAN&amp;VAR:CALC_MODE=PORTFOLIO&amp;VAR:CHGPERIOD=NA&amp;VAR:FQLFORMULA=FMA_PE&amp;VAR:CURRENCY=USD&amp;VAR:P=1","287.605200&amp;VAR:THRESH=||||||&amp;VAR:null=.html"}</definedName>
    <definedName name="_2480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2481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2482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2483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2484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2485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2486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2487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2488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2489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249__FDSAUDITLINK__" hidden="1">{"fdsup://directions/FAT%20Viewer?VAR:TM=NTMA&amp;VAR:PCT=0.983562&amp;VAR:Y0=2006&amp;VAR:Y1=2007&amp;VAR:V0=14.935958&amp;VAR:V1=13.787340&amp;VAR:V=14.915532&amp;VAR:AUDIT_ID=00000117&amp;VAR:DATE=20060106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Aggregates&amp;VAR:MEASURE=PE_MEAN&amp;VAR:CALC_MODE=PORTFOLIO&amp;VAR:CHGPERIOD=NA&amp;VAR:FQLFORMULA=FMA_PE&amp;VAR:CURRENCY=USD&amp;VAR:P=1","285.453900&amp;VAR:THRESH=||||||&amp;VAR:null=.html"}</definedName>
    <definedName name="_2490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2491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2492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2493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2494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2495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2496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2497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2498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2499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25__FDSAUDITLINK__" hidden="1">{"fdsup://directions/FAT%20Viewer?VAR:TM=NTMA&amp;VAR:PCT=0.690411&amp;VAR:Y0=2010&amp;VAR:Y1=2011&amp;VAR:V0=14.974249&amp;VAR:V1=12.709889&amp;VAR:V=14.191508&amp;VAR:AUDIT_ID=00000117&amp;VAR:DATE=20100423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Aggregates&amp;VAR:MEASURE=PE_MEAN&amp;VAR:CALC_MODE=PORTFOLIO&amp;VAR:CHGPERIOD=NA&amp;VAR:FQLFORMULA=FMA_PE&amp;VAR:CURRENCY=USD&amp;VAR:P=1","217.275649&amp;VAR:THRESH=||||||&amp;VAR:null=.html"}</definedName>
    <definedName name="_250__FDSAUDITLINK__" hidden="1">{"fdsup://directions/FAT%20Viewer?VAR:TM=NTMA&amp;VAR:PCT=0.002740&amp;VAR:Y0=2005&amp;VAR:Y1=2006&amp;VAR:V0=16.403140&amp;VAR:V1=14.489658&amp;VAR:V=14.494290&amp;VAR:AUDIT_ID=00000117&amp;VAR:DATE=20051230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Aggregates&amp;VAR:MEASURE=PE_MEAN&amp;VAR:CALC_MODE=PORTFOLIO&amp;VAR:CHGPERIOD=NA&amp;VAR:FQLFORMULA=FMA_PE&amp;VAR:CURRENCY=USD&amp;VAR:P=1","248.293000&amp;VAR:THRESH=||||||&amp;VAR:null=.html"}</definedName>
    <definedName name="_2500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2501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2502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2503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2504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2505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2506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2507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2508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2509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251__FDSAUDITLINK__" hidden="1">{"fdsup://directions/FAT%20Viewer?VAR:TM=NTMA&amp;VAR:PCT=0.021918&amp;VAR:Y0=2005&amp;VAR:Y1=2006&amp;VAR:V0=16.664710&amp;VAR:V1=14.727782&amp;VAR:V=14.765397&amp;VAR:AUDIT_ID=00000117&amp;VAR:DATE=20051223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Aggregates&amp;VAR:MEASURE=PE_MEAN&amp;VAR:CALC_MODE=PORTFOLIO&amp;VAR:CHGPERIOD=NA&amp;VAR:FQLFORMULA=FMA_PE&amp;VAR:CURRENCY=USD&amp;VAR:P=1","268.664300&amp;VAR:THRESH=||||||&amp;VAR:null=.html"}</definedName>
    <definedName name="_2510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2511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2512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2513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2514__FDSAUDITLINK__" hidden="1">{"fdsup://directions/FAT Viewer?action=UPDATE&amp;creator=factset&amp;DYN_ARGS=TRUE&amp;DOC_NAME=FAT:FQL_AUDITING_CLIENT_TEMPLATE.FAT&amp;display_string=Audit&amp;VAR:KEY=LYPQBETAZS&amp;VAR:QUERY=RkZfU0FMRVMoQ0FMLDM5NDQ3LCwsLCk=&amp;WINDOW=FIRST_POPUP&amp;HEIGHT=450&amp;WIDTH=450&amp;START_MAXIMI","ZED=FALSE&amp;VAR:CALENDAR=US&amp;VAR:SYMBOL=BIIB&amp;VAR:INDEX=0"}</definedName>
    <definedName name="_2515__FDSAUDITLINK__" hidden="1">{"fdsup://directions/FAT Viewer?action=UPDATE&amp;creator=factset&amp;DYN_ARGS=TRUE&amp;DOC_NAME=FAT:FQL_AUDITING_CLIENT_TEMPLATE.FAT&amp;display_string=Audit&amp;VAR:KEY=ZELAFGHURE&amp;VAR:QUERY=RkZfU0FMRVMoQ0FMLDM5MDgyLCwsLCk=&amp;WINDOW=FIRST_POPUP&amp;HEIGHT=450&amp;WIDTH=450&amp;START_MAXIMI","ZED=FALSE&amp;VAR:CALENDAR=US&amp;VAR:SYMBOL=BIIB&amp;VAR:INDEX=0"}</definedName>
    <definedName name="_2516__FDSAUDITLINK__" hidden="1">{"fdsup://directions/FAT Viewer?action=UPDATE&amp;creator=factset&amp;DYN_ARGS=TRUE&amp;DOC_NAME=FAT:FQL_AUDITING_CLIENT_TEMPLATE.FAT&amp;display_string=Audit&amp;VAR:KEY=JEJEDARGZU&amp;VAR:QUERY=RkZfU0FMRVMoQ0FMLDM4NzE3LCwsLCk=&amp;WINDOW=FIRST_POPUP&amp;HEIGHT=450&amp;WIDTH=450&amp;START_MAXIMI","ZED=FALSE&amp;VAR:CALENDAR=US&amp;VAR:SYMBOL=BIIB&amp;VAR:INDEX=0"}</definedName>
    <definedName name="_2517__FDSAUDITLINK__" hidden="1">{"fdsup://directions/FAT Viewer?action=UPDATE&amp;creator=factset&amp;DYN_ARGS=TRUE&amp;DOC_NAME=FAT:FQL_AUDITING_CLIENT_TEMPLATE.FAT&amp;display_string=Audit&amp;VAR:KEY=BGRMFOVODW&amp;VAR:QUERY=RkZfU0FMRVMoQ0FMLDM4MzUyLCwsLCk=&amp;WINDOW=FIRST_POPUP&amp;HEIGHT=450&amp;WIDTH=450&amp;START_MAXIMI","ZED=FALSE&amp;VAR:CALENDAR=US&amp;VAR:SYMBOL=BIIB&amp;VAR:INDEX=0"}</definedName>
    <definedName name="_2518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2519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252__FDSAUDITLINK__" hidden="1">{"fdsup://directions/FAT%20Viewer?VAR:TM=NTMA&amp;VAR:PCT=0.041096&amp;VAR:Y0=2005&amp;VAR:Y1=2006&amp;VAR:V0=16.637053&amp;VAR:V1=14.696881&amp;VAR:V=14.767655&amp;VAR:AUDIT_ID=00000117&amp;VAR:DATE=20051216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Aggregates&amp;VAR:MEASURE=PE_MEAN&amp;VAR:CALC_MODE=PORTFOLIO&amp;VAR:CHGPERIOD=NA&amp;VAR:FQLFORMULA=FMA_PE&amp;VAR:CURRENCY=USD&amp;VAR:P=1","267.320100&amp;VAR:THRESH=||||||&amp;VAR:null=.html"}</definedName>
    <definedName name="_2520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2521__FDSAUDITLINK__" hidden="1">{"fdsup://directions/FAT Viewer?action=UPDATE&amp;creator=factset&amp;DYN_ARGS=TRUE&amp;DOC_NAME=FAT:FQL_AUDITING_CLIENT_TEMPLATE.FAT&amp;display_string=Audit&amp;VAR:KEY=VWHYNKZKRG&amp;VAR:QUERY=RkZfU0FMRVMoQ0FMLDM5NDQ3LCwsLCk=&amp;WINDOW=FIRST_POPUP&amp;HEIGHT=450&amp;WIDTH=450&amp;START_MAXIMI","ZED=FALSE&amp;VAR:CALENDAR=US&amp;VAR:SYMBOL=707752&amp;VAR:INDEX=0"}</definedName>
    <definedName name="_2522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2523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2524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2525__FDSAUDITLINK__" hidden="1">{"fdsup://directions/FAT Viewer?action=UPDATE&amp;creator=factset&amp;DYN_ARGS=TRUE&amp;DOC_NAME=FAT:FQL_AUDITING_CLIENT_TEMPLATE.FAT&amp;display_string=Audit&amp;VAR:KEY=RYPORYFIJI&amp;VAR:QUERY=RkZfU0FMRVMoQ0FMLDM5NDQ3LCwsLCk=&amp;WINDOW=FIRST_POPUP&amp;HEIGHT=450&amp;WIDTH=450&amp;START_MAXIMI","ZED=FALSE&amp;VAR:CALENDAR=US&amp;VAR:SYMBOL=630720&amp;VAR:INDEX=0"}</definedName>
    <definedName name="_2526__FDSAUDITLINK__" hidden="1">{"fdsup://directions/FAT Viewer?action=UPDATE&amp;creator=factset&amp;DYN_ARGS=TRUE&amp;DOC_NAME=FAT:FQL_AUDITING_CLIENT_TEMPLATE.FAT&amp;display_string=Audit&amp;VAR:KEY=XOXAFQPQBU&amp;VAR:QUERY=RkZfU0FMRVMoQ0FMLDM5MDgyLCwsLCk=&amp;WINDOW=FIRST_POPUP&amp;HEIGHT=450&amp;WIDTH=450&amp;START_MAXIMI","ZED=FALSE&amp;VAR:CALENDAR=US&amp;VAR:SYMBOL=630720&amp;VAR:INDEX=0"}</definedName>
    <definedName name="_2527__FDSAUDITLINK__" hidden="1">{"fdsup://directions/FAT Viewer?action=UPDATE&amp;creator=factset&amp;DYN_ARGS=TRUE&amp;DOC_NAME=FAT:FQL_AUDITING_CLIENT_TEMPLATE.FAT&amp;display_string=Audit&amp;VAR:KEY=RWPCRWLQPE&amp;VAR:QUERY=RkZfU0FMRVMoQ0FMLDM4NzE3LCwsLCk=&amp;WINDOW=FIRST_POPUP&amp;HEIGHT=450&amp;WIDTH=450&amp;START_MAXIMI","ZED=FALSE&amp;VAR:CALENDAR=US&amp;VAR:SYMBOL=630720&amp;VAR:INDEX=0"}</definedName>
    <definedName name="_2528__FDSAUDITLINK__" hidden="1">{"fdsup://directions/FAT Viewer?action=UPDATE&amp;creator=factset&amp;DYN_ARGS=TRUE&amp;DOC_NAME=FAT:FQL_AUDITING_CLIENT_TEMPLATE.FAT&amp;display_string=Audit&amp;VAR:KEY=HMVSNIBYDY&amp;VAR:QUERY=RkZfU0FMRVMoQ0FMLDM4MzUyLCwsLCk=&amp;WINDOW=FIRST_POPUP&amp;HEIGHT=450&amp;WIDTH=450&amp;START_MAXIMI","ZED=FALSE&amp;VAR:CALENDAR=US&amp;VAR:SYMBOL=630720&amp;VAR:INDEX=0"}</definedName>
    <definedName name="_2529__FDSAUDITLINK__" hidden="1">{"fdsup://directions/FAT Viewer?action=UPDATE&amp;creator=factset&amp;DYN_ARGS=TRUE&amp;DOC_NAME=FAT:FQL_AUDITING_CLIENT_TEMPLATE.FAT&amp;display_string=Audit&amp;VAR:KEY=FMVKVUFQTO&amp;VAR:QUERY=RkZfU0FMRVMoQ0FMLDM3OTg2LCwsLCk=&amp;WINDOW=FIRST_POPUP&amp;HEIGHT=450&amp;WIDTH=450&amp;START_MAXIMI","ZED=FALSE&amp;VAR:CALENDAR=US&amp;VAR:SYMBOL=630720&amp;VAR:INDEX=0"}</definedName>
    <definedName name="_253__FDSAUDITLINK__" hidden="1">{"fdsup://directions/FAT%20Viewer?VAR:TM=NTMA&amp;VAR:PCT=0.060274&amp;VAR:Y0=2005&amp;VAR:Y1=2006&amp;VAR:V0=16.517815&amp;VAR:V1=14.607119&amp;VAR:V=14.709678&amp;VAR:AUDIT_ID=00000117&amp;VAR:DATE=20051209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Aggregates&amp;VAR:MEASURE=PE_MEAN&amp;VAR:CALC_MODE=PORTFOLIO&amp;VAR:CHGPERIOD=NA&amp;VAR:FQLFORMULA=FMA_PE&amp;VAR:CURRENCY=USD&amp;VAR:P=1","259.369100&amp;VAR:THRESH=||||||&amp;VAR:null=.html"}</definedName>
    <definedName name="_2530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2531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2532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2533__FDSAUDITLINK__" hidden="1">{"fdsup://directions/FAT Viewer?action=UPDATE&amp;creator=factset&amp;DYN_ARGS=TRUE&amp;DOC_NAME=FAT:FQL_AUDITING_CLIENT_TEMPLATE.FAT&amp;display_string=Audit&amp;VAR:KEY=NGFQXAXQVY&amp;VAR:QUERY=RkZfU0FMRVMoQ0FMLDM5NDQ3LCwsLCk=&amp;WINDOW=FIRST_POPUP&amp;HEIGHT=450&amp;WIDTH=450&amp;START_MAXIMI","ZED=FALSE&amp;VAR:CALENDAR=US&amp;VAR:SYMBOL=698538&amp;VAR:INDEX=0"}</definedName>
    <definedName name="_2534__FDSAUDITLINK__" hidden="1">{"fdsup://directions/FAT Viewer?action=UPDATE&amp;creator=factset&amp;DYN_ARGS=TRUE&amp;DOC_NAME=FAT:FQL_AUDITING_CLIENT_TEMPLATE.FAT&amp;display_string=Audit&amp;VAR:KEY=RYLYJAFOJG&amp;VAR:QUERY=RkZfU0FMRVMoQ0FMLDM5MDgyLCwsLCk=&amp;WINDOW=FIRST_POPUP&amp;HEIGHT=450&amp;WIDTH=450&amp;START_MAXIMI","ZED=FALSE&amp;VAR:CALENDAR=US&amp;VAR:SYMBOL=698538&amp;VAR:INDEX=0"}</definedName>
    <definedName name="_2535__FDSAUDITLINK__" hidden="1">{"fdsup://directions/FAT Viewer?action=UPDATE&amp;creator=factset&amp;DYN_ARGS=TRUE&amp;DOC_NAME=FAT:FQL_AUDITING_CLIENT_TEMPLATE.FAT&amp;display_string=Audit&amp;VAR:KEY=VSLYLYVYLU&amp;VAR:QUERY=RkZfU0FMRVMoQ0FMLDM4NzE3LCwsLCk=&amp;WINDOW=FIRST_POPUP&amp;HEIGHT=450&amp;WIDTH=450&amp;START_MAXIMI","ZED=FALSE&amp;VAR:CALENDAR=US&amp;VAR:SYMBOL=698538&amp;VAR:INDEX=0"}</definedName>
    <definedName name="_2536__FDSAUDITLINK__" hidden="1">{"fdsup://directions/FAT Viewer?action=UPDATE&amp;creator=factset&amp;DYN_ARGS=TRUE&amp;DOC_NAME=FAT:FQL_AUDITING_CLIENT_TEMPLATE.FAT&amp;display_string=Audit&amp;VAR:KEY=ZQTYLIBWXM&amp;VAR:QUERY=RkZfU0FMRVMoQ0FMLDM4MzUyLCwsLCk=&amp;WINDOW=FIRST_POPUP&amp;HEIGHT=450&amp;WIDTH=450&amp;START_MAXIMI","ZED=FALSE&amp;VAR:CALENDAR=US&amp;VAR:SYMBOL=698538&amp;VAR:INDEX=0"}</definedName>
    <definedName name="_2537__FDSAUDITLINK__" hidden="1">{"fdsup://directions/FAT Viewer?action=UPDATE&amp;creator=factset&amp;DYN_ARGS=TRUE&amp;DOC_NAME=FAT:FQL_AUDITING_CLIENT_TEMPLATE.FAT&amp;display_string=Audit&amp;VAR:KEY=ZITUFQLYRU&amp;VAR:QUERY=RkZfU0FMRVMoQ0FMLDM3OTg2LCwsLCk=&amp;WINDOW=FIRST_POPUP&amp;HEIGHT=450&amp;WIDTH=450&amp;START_MAXIMI","ZED=FALSE&amp;VAR:CALENDAR=US&amp;VAR:SYMBOL=698538&amp;VAR:INDEX=0"}</definedName>
    <definedName name="_2538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2539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254__FDSAUDITLINK__" hidden="1">{"fdsup://directions/FAT%20Viewer?VAR:TM=NTMA&amp;VAR:PCT=0.079452&amp;VAR:Y0=2005&amp;VAR:Y1=2006&amp;VAR:V0=16.548670&amp;VAR:V1=14.692946&amp;VAR:V=14.825030&amp;VAR:AUDIT_ID=00000117&amp;VAR:DATE=20051202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Aggregates&amp;VAR:MEASURE=PE_MEAN&amp;VAR:CALC_MODE=PORTFOLIO&amp;VAR:CHGPERIOD=NA&amp;VAR:FQLFORMULA=FMA_PE&amp;VAR:CURRENCY=USD&amp;VAR:P=1","265.080000&amp;VAR:THRESH=||||||&amp;VAR:null=.html"}</definedName>
    <definedName name="_2540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2541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2542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2543__FDSAUDITLINK__" hidden="1">{"fdsup://directions/FAT Viewer?action=UPDATE&amp;creator=factset&amp;DYN_ARGS=TRUE&amp;DOC_NAME=FAT:FQL_AUDITING_CLIENT_TEMPLATE.FAT&amp;display_string=Audit&amp;VAR:KEY=RCLWNAZUVM&amp;VAR:QUERY=RkZfU0FMRVMoQ0FMLDM5NDQ3LCwsLCk=&amp;WINDOW=FIRST_POPUP&amp;HEIGHT=450&amp;WIDTH=450&amp;START_MAXIMI","ZED=FALSE&amp;VAR:CALENDAR=US&amp;VAR:SYMBOL=B0J7D9&amp;VAR:INDEX=0"}</definedName>
    <definedName name="_2544__FDSAUDITLINK__" hidden="1">{"fdsup://directions/FAT Viewer?action=UPDATE&amp;creator=factset&amp;DYN_ARGS=TRUE&amp;DOC_NAME=FAT:FQL_AUDITING_CLIENT_TEMPLATE.FAT&amp;display_string=Audit&amp;VAR:KEY=VYFIHMHMZI&amp;VAR:QUERY=RkZfU0FMRVMoQ0FMLDM5MDgyLCwsLCk=&amp;WINDOW=FIRST_POPUP&amp;HEIGHT=450&amp;WIDTH=450&amp;START_MAXIMI","ZED=FALSE&amp;VAR:CALENDAR=US&amp;VAR:SYMBOL=B0J7D9&amp;VAR:INDEX=0"}</definedName>
    <definedName name="_2545__FDSAUDITLINK__" hidden="1">{"fdsup://directions/FAT Viewer?action=UPDATE&amp;creator=factset&amp;DYN_ARGS=TRUE&amp;DOC_NAME=FAT:FQL_AUDITING_CLIENT_TEMPLATE.FAT&amp;display_string=Audit&amp;VAR:KEY=RATYXOVERC&amp;VAR:QUERY=RkZfU0FMRVMoQ0FMLDM4NzE3LCwsLCk=&amp;WINDOW=FIRST_POPUP&amp;HEIGHT=450&amp;WIDTH=450&amp;START_MAXIMI","ZED=FALSE&amp;VAR:CALENDAR=US&amp;VAR:SYMBOL=B0J7D9&amp;VAR:INDEX=0"}</definedName>
    <definedName name="_2546__FDSAUDITLINK__" hidden="1">{"fdsup://directions/FAT Viewer?action=UPDATE&amp;creator=factset&amp;DYN_ARGS=TRUE&amp;DOC_NAME=FAT:FQL_AUDITING_CLIENT_TEMPLATE.FAT&amp;display_string=Audit&amp;VAR:KEY=HEROTQBOTS&amp;VAR:QUERY=RkZfU0FMRVMoQ0FMLDM4MzUyLCwsLCk=&amp;WINDOW=FIRST_POPUP&amp;HEIGHT=450&amp;WIDTH=450&amp;START_MAXIMI","ZED=FALSE&amp;VAR:CALENDAR=US&amp;VAR:SYMBOL=B0J7D9&amp;VAR:INDEX=0"}</definedName>
    <definedName name="_2547__FDSAUDITLINK__" hidden="1">{"fdsup://directions/FAT Viewer?action=UPDATE&amp;creator=factset&amp;DYN_ARGS=TRUE&amp;DOC_NAME=FAT:FQL_AUDITING_CLIENT_TEMPLATE.FAT&amp;display_string=Audit&amp;VAR:KEY=JAZQJETKLY&amp;VAR:QUERY=RkZfU0FMRVMoQ0FMLDM3OTg2LCwsLCk=&amp;WINDOW=FIRST_POPUP&amp;HEIGHT=450&amp;WIDTH=450&amp;START_MAXIMI","ZED=FALSE&amp;VAR:CALENDAR=US&amp;VAR:SYMBOL=B0J7D9&amp;VAR:INDEX=0"}</definedName>
    <definedName name="_2548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2549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255__FDSAUDITLINK__" hidden="1">{"fdsup://directions/FAT%20Viewer?VAR:TM=NTMA&amp;VAR:PCT=0.098630&amp;VAR:Y0=2005&amp;VAR:Y1=2006&amp;VAR:V0=16.604923&amp;VAR:V1=14.739944&amp;VAR:V=14.905056&amp;VAR:AUDIT_ID=00000117&amp;VAR:DATE=20051125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Aggregates&amp;VAR:MEASURE=PE_MEAN&amp;VAR:CALC_MODE=PORTFOLIO&amp;VAR:CHGPERIOD=NA&amp;VAR:FQLFORMULA=FMA_PE&amp;VAR:CURRENCY=USD&amp;VAR:P=1","268.249600&amp;VAR:THRESH=||||||&amp;VAR:null=.html"}</definedName>
    <definedName name="_2550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2551__FDSAUDITLINK__" hidden="1">{"fdsup://directions/FAT Viewer?action=UPDATE&amp;creator=factset&amp;DYN_ARGS=TRUE&amp;DOC_NAME=FAT:FQL_AUDITING_CLIENT_TEMPLATE.FAT&amp;display_string=Audit&amp;VAR:KEY=PGJOVCLGBS&amp;VAR:QUERY=RkZfU0FMRVMoQ0FMLDM5NDQ3LCwsLCk=&amp;WINDOW=FIRST_POPUP&amp;HEIGHT=450&amp;WIDTH=450&amp;START_MAXIMI","ZED=FALSE&amp;VAR:CALENDAR=US&amp;VAR:SYMBOL=AMGN&amp;VAR:INDEX=0"}</definedName>
    <definedName name="_2552__FDSAUDITLINK__" hidden="1">{"fdsup://directions/FAT Viewer?action=UPDATE&amp;creator=factset&amp;DYN_ARGS=TRUE&amp;DOC_NAME=FAT:FQL_AUDITING_CLIENT_TEMPLATE.FAT&amp;display_string=Audit&amp;VAR:KEY=FYXGXAXURW&amp;VAR:QUERY=RkZfU0FMRVMoQ0FMLDM5MDgyLCwsLCk=&amp;WINDOW=FIRST_POPUP&amp;HEIGHT=450&amp;WIDTH=450&amp;START_MAXIMI","ZED=FALSE&amp;VAR:CALENDAR=US&amp;VAR:SYMBOL=AMGN&amp;VAR:INDEX=0"}</definedName>
    <definedName name="_2553__FDSAUDITLINK__" hidden="1">{"fdsup://directions/FAT Viewer?action=UPDATE&amp;creator=factset&amp;DYN_ARGS=TRUE&amp;DOC_NAME=FAT:FQL_AUDITING_CLIENT_TEMPLATE.FAT&amp;display_string=Audit&amp;VAR:KEY=VADUDGDYFA&amp;VAR:QUERY=RkZfU0FMRVMoQ0FMLDM4NzE3LCwsLCk=&amp;WINDOW=FIRST_POPUP&amp;HEIGHT=450&amp;WIDTH=450&amp;START_MAXIMI","ZED=FALSE&amp;VAR:CALENDAR=US&amp;VAR:SYMBOL=AMGN&amp;VAR:INDEX=0"}</definedName>
    <definedName name="_2554__FDSAUDITLINK__" hidden="1">{"fdsup://directions/FAT Viewer?action=UPDATE&amp;creator=factset&amp;DYN_ARGS=TRUE&amp;DOC_NAME=FAT:FQL_AUDITING_CLIENT_TEMPLATE.FAT&amp;display_string=Audit&amp;VAR:KEY=FKDOZAJURW&amp;VAR:QUERY=RkZfU0FMRVMoQ0FMLDM4MzUyLCwsLCk=&amp;WINDOW=FIRST_POPUP&amp;HEIGHT=450&amp;WIDTH=450&amp;START_MAXIMI","ZED=FALSE&amp;VAR:CALENDAR=US&amp;VAR:SYMBOL=AMGN&amp;VAR:INDEX=0"}</definedName>
    <definedName name="_2555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2556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2557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2558__FDSAUDITLINK__" hidden="1">{"fdsup://directions/FAT Viewer?action=UPDATE&amp;creator=factset&amp;DYN_ARGS=TRUE&amp;DOC_NAME=FAT:FQL_AUDITING_CLIENT_TEMPLATE.FAT&amp;display_string=Audit&amp;VAR:KEY=VOVAHWRMBQ&amp;VAR:QUERY=RkZfU0FMRVMoQ0FMLDM5NDQ3LCwsLCk=&amp;WINDOW=FIRST_POPUP&amp;HEIGHT=450&amp;WIDTH=450&amp;START_MAXIMI","ZED=FALSE&amp;VAR:CALENDAR=US&amp;VAR:SYMBOL=ABT&amp;VAR:INDEX=0"}</definedName>
    <definedName name="_2559__FDSAUDITLINK__" hidden="1">{"fdsup://directions/FAT Viewer?action=UPDATE&amp;creator=factset&amp;DYN_ARGS=TRUE&amp;DOC_NAME=FAT:FQL_AUDITING_CLIENT_TEMPLATE.FAT&amp;display_string=Audit&amp;VAR:KEY=JIZSHKHCLG&amp;VAR:QUERY=RkZfU0FMRVMoQ0FMLDM5MDgyLCwsLCk=&amp;WINDOW=FIRST_POPUP&amp;HEIGHT=450&amp;WIDTH=450&amp;START_MAXIMI","ZED=FALSE&amp;VAR:CALENDAR=US&amp;VAR:SYMBOL=ABT&amp;VAR:INDEX=0"}</definedName>
    <definedName name="_256__FDSAUDITLINK__" hidden="1">{"fdsup://directions/FAT%20Viewer?VAR:TM=NTMA&amp;VAR:PCT=0.117808&amp;VAR:Y0=2005&amp;VAR:Y1=2006&amp;VAR:V0=16.269527&amp;VAR:V1=14.489858&amp;VAR:V=14.679021&amp;VAR:AUDIT_ID=00000117&amp;VAR:DATE=20051118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Aggregates&amp;VAR:MEASURE=PE_MEAN&amp;VAR:CALC_MODE=PORTFOLIO&amp;VAR:CHGPERIOD=NA&amp;VAR:FQLFORMULA=FMA_PE&amp;VAR:CURRENCY=USD&amp;VAR:P=1","248.272800&amp;VAR:THRESH=||||||&amp;VAR:null=.html"}</definedName>
    <definedName name="_2560__FDSAUDITLINK__" hidden="1">{"fdsup://directions/FAT Viewer?action=UPDATE&amp;creator=factset&amp;DYN_ARGS=TRUE&amp;DOC_NAME=FAT:FQL_AUDITING_CLIENT_TEMPLATE.FAT&amp;display_string=Audit&amp;VAR:KEY=HGLONMHIHO&amp;VAR:QUERY=RkZfU0FMRVMoQ0FMLDM4NzE3LCwsLCk=&amp;WINDOW=FIRST_POPUP&amp;HEIGHT=450&amp;WIDTH=450&amp;START_MAXIMI","ZED=FALSE&amp;VAR:CALENDAR=US&amp;VAR:SYMBOL=ABT&amp;VAR:INDEX=0"}</definedName>
    <definedName name="_2561__FDSAUDITLINK__" hidden="1">{"fdsup://directions/FAT Viewer?action=UPDATE&amp;creator=factset&amp;DYN_ARGS=TRUE&amp;DOC_NAME=FAT:FQL_AUDITING_CLIENT_TEMPLATE.FAT&amp;display_string=Audit&amp;VAR:KEY=PMFYHUFOJW&amp;VAR:QUERY=RkZfU0FMRVMoQ0FMLDM4MzUyLCwsLCk=&amp;WINDOW=FIRST_POPUP&amp;HEIGHT=450&amp;WIDTH=450&amp;START_MAXIMI","ZED=FALSE&amp;VAR:CALENDAR=US&amp;VAR:SYMBOL=ABT&amp;VAR:INDEX=0"}</definedName>
    <definedName name="_2562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2563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2564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2565__FDSAUDITLINK__" hidden="1">{"fdsup://directions/FAT Viewer?action=UPDATE&amp;creator=factset&amp;DYN_ARGS=TRUE&amp;DOC_NAME=FAT:FQL_AUDITING_CLIENT_TEMPLATE.FAT&amp;display_string=Audit&amp;VAR:KEY=LANUXGTUJE&amp;VAR:QUERY=RkZfU0FMRVMoQ0FMLDM5NDQ3LCwsLCk=&amp;WINDOW=FIRST_POPUP&amp;HEIGHT=450&amp;WIDTH=450&amp;START_MAXIMI","ZED=FALSE&amp;VAR:CALENDAR=US&amp;VAR:SYMBOL=687044&amp;VAR:INDEX=0"}</definedName>
    <definedName name="_2566__FDSAUDITLINK__" hidden="1">{"fdsup://directions/FAT Viewer?action=UPDATE&amp;creator=factset&amp;DYN_ARGS=TRUE&amp;DOC_NAME=FAT:FQL_AUDITING_CLIENT_TEMPLATE.FAT&amp;display_string=Audit&amp;VAR:KEY=VMNWLAFAZG&amp;VAR:QUERY=RkZfU0FMRVMoQ0FMLDM5MDgyLCwsLCk=&amp;WINDOW=FIRST_POPUP&amp;HEIGHT=450&amp;WIDTH=450&amp;START_MAXIMI","ZED=FALSE&amp;VAR:CALENDAR=US&amp;VAR:SYMBOL=687044&amp;VAR:INDEX=0"}</definedName>
    <definedName name="_2567__FDSAUDITLINK__" hidden="1">{"fdsup://directions/FAT Viewer?action=UPDATE&amp;creator=factset&amp;DYN_ARGS=TRUE&amp;DOC_NAME=FAT:FQL_AUDITING_CLIENT_TEMPLATE.FAT&amp;display_string=Audit&amp;VAR:KEY=VUHEZEHYDS&amp;VAR:QUERY=RkZfU0FMRVMoQ0FMLDM4NzE3LCwsLCk=&amp;WINDOW=FIRST_POPUP&amp;HEIGHT=450&amp;WIDTH=450&amp;START_MAXIMI","ZED=FALSE&amp;VAR:CALENDAR=US&amp;VAR:SYMBOL=687044&amp;VAR:INDEX=0"}</definedName>
    <definedName name="_2568__FDSAUDITLINK__" hidden="1">{"fdsup://directions/FAT Viewer?action=UPDATE&amp;creator=factset&amp;DYN_ARGS=TRUE&amp;DOC_NAME=FAT:FQL_AUDITING_CLIENT_TEMPLATE.FAT&amp;display_string=Audit&amp;VAR:KEY=VEBOPIBOXG&amp;VAR:QUERY=RkZfU0FMRVMoQ0FMLDM4MzUyLCwsLCk=&amp;WINDOW=FIRST_POPUP&amp;HEIGHT=450&amp;WIDTH=450&amp;START_MAXIMI","ZED=FALSE&amp;VAR:CALENDAR=US&amp;VAR:SYMBOL=687044&amp;VAR:INDEX=0"}</definedName>
    <definedName name="_2569__FDSAUDITLINK__" hidden="1">{"fdsup://directions/FAT Viewer?action=UPDATE&amp;creator=factset&amp;DYN_ARGS=TRUE&amp;DOC_NAME=FAT:FQL_AUDITING_CLIENT_TEMPLATE.FAT&amp;display_string=Audit&amp;VAR:KEY=TWJGRYHSBC&amp;VAR:QUERY=RkZfU0FMRVMoQ0FMLDM3OTg2LCwsLCk=&amp;WINDOW=FIRST_POPUP&amp;HEIGHT=450&amp;WIDTH=450&amp;START_MAXIMI","ZED=FALSE&amp;VAR:CALENDAR=US&amp;VAR:SYMBOL=687044&amp;VAR:INDEX=0"}</definedName>
    <definedName name="_257__FDSAUDITLINK__" hidden="1">{"fdsup://directions/FAT%20Viewer?VAR:TM=NTMA&amp;VAR:PCT=0.136986&amp;VAR:Y0=2005&amp;VAR:Y1=2006&amp;VAR:V0=16.087540&amp;VAR:V1=14.332406&amp;VAR:V=14.549855&amp;VAR:AUDIT_ID=00000117&amp;VAR:DATE=20051111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Aggregates&amp;VAR:MEASURE=PE_MEAN&amp;VAR:CALC_MODE=PORTFOLIO&amp;VAR:CHGPERIOD=NA&amp;VAR:FQLFORMULA=FMA_PE&amp;VAR:CURRENCY=USD&amp;VAR:P=1","234.715500&amp;VAR:THRESH=||||||&amp;VAR:null=.html"}</definedName>
    <definedName name="_2570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2571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2572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2573__FDSAUDITLINK__" hidden="1">{"fdsup://directions/FAT Viewer?action=UPDATE&amp;creator=factset&amp;DYN_ARGS=TRUE&amp;DOC_NAME=FAT:FQL_AUDITING_CLIENT_TEMPLATE.FAT&amp;display_string=Audit&amp;VAR:KEY=FGNGDYBWJI&amp;VAR:QUERY=RkZfU0FMRVMoQ0FMLDM5NDQ3LCwsLCk=&amp;WINDOW=FIRST_POPUP&amp;HEIGHT=450&amp;WIDTH=450&amp;START_MAXIMI","ZED=FALSE&amp;VAR:CALENDAR=US&amp;VAR:SYMBOL=BMY&amp;VAR:INDEX=0"}</definedName>
    <definedName name="_2574__FDSAUDITLINK__" hidden="1">{"fdsup://directions/FAT Viewer?action=UPDATE&amp;creator=factset&amp;DYN_ARGS=TRUE&amp;DOC_NAME=FAT:FQL_AUDITING_CLIENT_TEMPLATE.FAT&amp;display_string=Audit&amp;VAR:KEY=ZEPMHOTKTQ&amp;VAR:QUERY=RkZfU0FMRVMoQ0FMLDM5MDgyLCwsLCk=&amp;WINDOW=FIRST_POPUP&amp;HEIGHT=450&amp;WIDTH=450&amp;START_MAXIMI","ZED=FALSE&amp;VAR:CALENDAR=US&amp;VAR:SYMBOL=BMY&amp;VAR:INDEX=0"}</definedName>
    <definedName name="_2575__FDSAUDITLINK__" hidden="1">{"fdsup://directions/FAT Viewer?action=UPDATE&amp;creator=factset&amp;DYN_ARGS=TRUE&amp;DOC_NAME=FAT:FQL_AUDITING_CLIENT_TEMPLATE.FAT&amp;display_string=Audit&amp;VAR:KEY=ZSRUVKHGFO&amp;VAR:QUERY=RkZfU0FMRVMoQ0FMLDM4NzE3LCwsLCk=&amp;WINDOW=FIRST_POPUP&amp;HEIGHT=450&amp;WIDTH=450&amp;START_MAXIMI","ZED=FALSE&amp;VAR:CALENDAR=US&amp;VAR:SYMBOL=BMY&amp;VAR:INDEX=0"}</definedName>
    <definedName name="_2576__FDSAUDITLINK__" hidden="1">{"fdsup://directions/FAT Viewer?action=UPDATE&amp;creator=factset&amp;DYN_ARGS=TRUE&amp;DOC_NAME=FAT:FQL_AUDITING_CLIENT_TEMPLATE.FAT&amp;display_string=Audit&amp;VAR:KEY=LWZIXAXMJY&amp;VAR:QUERY=RkZfU0FMRVMoQ0FMLDM4MzUyLCwsLCk=&amp;WINDOW=FIRST_POPUP&amp;HEIGHT=450&amp;WIDTH=450&amp;START_MAXIMI","ZED=FALSE&amp;VAR:CALENDAR=US&amp;VAR:SYMBOL=BMY&amp;VAR:INDEX=0"}</definedName>
    <definedName name="_2577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2578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2579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258__FDSAUDITLINK__" hidden="1">{"fdsup://directions/FAT%20Viewer?VAR:TM=NTMA&amp;VAR:PCT=0.156164&amp;VAR:Y0=2005&amp;VAR:Y1=2006&amp;VAR:V0=15.865958&amp;VAR:V1=14.169449&amp;VAR:V=14.410072&amp;VAR:AUDIT_ID=00000117&amp;VAR:DATE=20051104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Aggregates&amp;VAR:MEASURE=PE_MEAN&amp;VAR:CALC_MODE=PORTFOLIO&amp;VAR:CHGPERIOD=NA&amp;VAR:FQLFORMULA=FMA_PE&amp;VAR:CURRENCY=USD&amp;VAR:P=1","220.135900&amp;VAR:THRESH=||||||&amp;VAR:null=.html"}</definedName>
    <definedName name="_2580__FDSAUDITLINK__" hidden="1">{"fdsup://directions/FAT Viewer?action=UPDATE&amp;creator=factset&amp;DYN_ARGS=TRUE&amp;DOC_NAME=FAT:FQL_AUDITING_CLIENT_TEMPLATE.FAT&amp;display_string=Audit&amp;VAR:KEY=ZMZGTAHWVI&amp;VAR:QUERY=RkZfU0FMRVMoQ0FMLDM5NDQ3LCwsLCk=&amp;WINDOW=FIRST_POPUP&amp;HEIGHT=450&amp;WIDTH=450&amp;START_MAXIMI","ZED=FALSE&amp;VAR:CALENDAR=US&amp;VAR:SYMBOL=LLY&amp;VAR:INDEX=0"}</definedName>
    <definedName name="_2581__FDSAUDITLINK__" hidden="1">{"fdsup://directions/FAT Viewer?action=UPDATE&amp;creator=factset&amp;DYN_ARGS=TRUE&amp;DOC_NAME=FAT:FQL_AUDITING_CLIENT_TEMPLATE.FAT&amp;display_string=Audit&amp;VAR:KEY=VGZWFCPGLW&amp;VAR:QUERY=RkZfU0FMRVMoQ0FMLDM5MDgyLCwsLCk=&amp;WINDOW=FIRST_POPUP&amp;HEIGHT=450&amp;WIDTH=450&amp;START_MAXIMI","ZED=FALSE&amp;VAR:CALENDAR=US&amp;VAR:SYMBOL=LLY&amp;VAR:INDEX=0"}</definedName>
    <definedName name="_2582__FDSAUDITLINK__" hidden="1">{"fdsup://directions/FAT Viewer?action=UPDATE&amp;creator=factset&amp;DYN_ARGS=TRUE&amp;DOC_NAME=FAT:FQL_AUDITING_CLIENT_TEMPLATE.FAT&amp;display_string=Audit&amp;VAR:KEY=NMLWPYZODY&amp;VAR:QUERY=RkZfU0FMRVMoQ0FMLDM4NzE3LCwsLCk=&amp;WINDOW=FIRST_POPUP&amp;HEIGHT=450&amp;WIDTH=450&amp;START_MAXIMI","ZED=FALSE&amp;VAR:CALENDAR=US&amp;VAR:SYMBOL=LLY&amp;VAR:INDEX=0"}</definedName>
    <definedName name="_2583__FDSAUDITLINK__" hidden="1">{"fdsup://directions/FAT Viewer?action=UPDATE&amp;creator=factset&amp;DYN_ARGS=TRUE&amp;DOC_NAME=FAT:FQL_AUDITING_CLIENT_TEMPLATE.FAT&amp;display_string=Audit&amp;VAR:KEY=XERCTWXSFY&amp;VAR:QUERY=RkZfU0FMRVMoQ0FMLDM4MzUyLCwsLCk=&amp;WINDOW=FIRST_POPUP&amp;HEIGHT=450&amp;WIDTH=450&amp;START_MAXIMI","ZED=FALSE&amp;VAR:CALENDAR=US&amp;VAR:SYMBOL=LLY&amp;VAR:INDEX=0"}</definedName>
    <definedName name="_2584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2585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2586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2587__FDSAUDITLINK__" hidden="1">{"fdsup://directions/FAT Viewer?action=UPDATE&amp;creator=factset&amp;DYN_ARGS=TRUE&amp;DOC_NAME=FAT:FQL_AUDITING_CLIENT_TEMPLATE.FAT&amp;display_string=Audit&amp;VAR:KEY=VGFMRYZUDQ&amp;VAR:QUERY=RkZfU0FMRVMoQ0FMLDM5NDQ3LCwsLCk=&amp;WINDOW=FIRST_POPUP&amp;HEIGHT=450&amp;WIDTH=450&amp;START_MAXIMI","ZED=FALSE&amp;VAR:CALENDAR=US&amp;VAR:SYMBOL=506921&amp;VAR:INDEX=0"}</definedName>
    <definedName name="_2588__FDSAUDITLINK__" hidden="1">{"fdsup://directions/FAT Viewer?action=UPDATE&amp;creator=factset&amp;DYN_ARGS=TRUE&amp;DOC_NAME=FAT:FQL_AUDITING_CLIENT_TEMPLATE.FAT&amp;display_string=Audit&amp;VAR:KEY=PYPMDAJYFY&amp;VAR:QUERY=RkZfU0FMRVMoQ0FMLDM5MDgyLCwsLCk=&amp;WINDOW=FIRST_POPUP&amp;HEIGHT=450&amp;WIDTH=450&amp;START_MAXIMI","ZED=FALSE&amp;VAR:CALENDAR=US&amp;VAR:SYMBOL=506921&amp;VAR:INDEX=0"}</definedName>
    <definedName name="_2589__FDSAUDITLINK__" hidden="1">{"fdsup://directions/FAT Viewer?action=UPDATE&amp;creator=factset&amp;DYN_ARGS=TRUE&amp;DOC_NAME=FAT:FQL_AUDITING_CLIENT_TEMPLATE.FAT&amp;display_string=Audit&amp;VAR:KEY=FGLEFQPUNK&amp;VAR:QUERY=RkZfU0FMRVMoQ0FMLDM4NzE3LCwsLCk=&amp;WINDOW=FIRST_POPUP&amp;HEIGHT=450&amp;WIDTH=450&amp;START_MAXIMI","ZED=FALSE&amp;VAR:CALENDAR=US&amp;VAR:SYMBOL=506921&amp;VAR:INDEX=0"}</definedName>
    <definedName name="_259__FDSAUDITLINK__" hidden="1">{"fdsup://directions/FAT%20Viewer?VAR:TM=NTMA&amp;VAR:PCT=0.175342&amp;VAR:Y0=2005&amp;VAR:Y1=2006&amp;VAR:V0=15.561038&amp;VAR:V1=13.918207&amp;VAR:V=14.180713&amp;VAR:AUDIT_ID=00000117&amp;VAR:DATE=20051028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Aggregates&amp;VAR:MEASURE=PE_MEAN&amp;VAR:CALC_MODE=PORTFOLIO&amp;VAR:CHGPERIOD=NA&amp;VAR:FQLFORMULA=FMA_PE&amp;VAR:CURRENCY=USD&amp;VAR:P=1","198.412600&amp;VAR:THRESH=||||||&amp;VAR:null=.html"}</definedName>
    <definedName name="_2590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2591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2592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2593__FDSAUDITLINK__" hidden="1">{"fdsup://directions/FAT Viewer?action=UPDATE&amp;creator=factset&amp;DYN_ARGS=TRUE&amp;DOC_NAME=FAT:FQL_AUDITING_CLIENT_TEMPLATE.FAT&amp;display_string=Audit&amp;VAR:KEY=XUVOBOTILK&amp;VAR:QUERY=RkZfU0FMRVMoQ0FMLDM5NDQ3LCwsLCk=&amp;WINDOW=FIRST_POPUP&amp;HEIGHT=450&amp;WIDTH=450&amp;START_MAXIMI","ZED=FALSE&amp;VAR:CALENDAR=US&amp;VAR:SYMBOL=567173&amp;VAR:INDEX=0"}</definedName>
    <definedName name="_2594__FDSAUDITLINK__" hidden="1">{"fdsup://directions/FAT Viewer?action=UPDATE&amp;creator=factset&amp;DYN_ARGS=TRUE&amp;DOC_NAME=FAT:FQL_AUDITING_CLIENT_TEMPLATE.FAT&amp;display_string=Audit&amp;VAR:KEY=TUNGLUVQJS&amp;VAR:QUERY=RkZfU0FMRVMoQ0FMLDM5MDgyLCwsLCk=&amp;WINDOW=FIRST_POPUP&amp;HEIGHT=450&amp;WIDTH=450&amp;START_MAXIMI","ZED=FALSE&amp;VAR:CALENDAR=US&amp;VAR:SYMBOL=567173&amp;VAR:INDEX=0"}</definedName>
    <definedName name="_2595__FDSAUDITLINK__" hidden="1">{"fdsup://directions/FAT Viewer?action=UPDATE&amp;creator=factset&amp;DYN_ARGS=TRUE&amp;DOC_NAME=FAT:FQL_AUDITING_CLIENT_TEMPLATE.FAT&amp;display_string=Audit&amp;VAR:KEY=ZCZKRMREJQ&amp;VAR:QUERY=RkZfU0FMRVMoQ0FMLDM4NzE3LCwsLCk=&amp;WINDOW=FIRST_POPUP&amp;HEIGHT=450&amp;WIDTH=450&amp;START_MAXIMI","ZED=FALSE&amp;VAR:CALENDAR=US&amp;VAR:SYMBOL=567173&amp;VAR:INDEX=0"}</definedName>
    <definedName name="_2596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2597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2598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2599__FDSAUDITLINK__" hidden="1">{"fdsup://directions/FAT Viewer?action=UPDATE&amp;creator=factset&amp;DYN_ARGS=TRUE&amp;DOC_NAME=FAT:FQL_AUDITING_CLIENT_TEMPLATE.FAT&amp;display_string=Audit&amp;VAR:KEY=NSBWVCLYDE&amp;VAR:QUERY=RkZfU0FMRVMoQ0FMLDM5NDQ3LCwsLCk=&amp;WINDOW=FIRST_POPUP&amp;HEIGHT=450&amp;WIDTH=450&amp;START_MAXIMI","ZED=FALSE&amp;VAR:CALENDAR=US&amp;VAR:SYMBOL=JNJ&amp;VAR:INDEX=0"}</definedName>
    <definedName name="_26__FDSAUDITLINK__" hidden="1">{"fdsup://directions/FAT%20Viewer?VAR:TM=NTMA&amp;VAR:PCT=0.709589&amp;VAR:Y0=2010&amp;VAR:Y1=2011&amp;VAR:V0=14.939756&amp;VAR:V1=12.533143&amp;VAR:V=14.150649&amp;VAR:AUDIT_ID=00000117&amp;VAR:DATE=20100416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Aggregates&amp;VAR:MEASURE=PE_MEAN&amp;VAR:CALC_MODE=PORTFOLIO&amp;VAR:CHGPERIOD=NA&amp;VAR:FQLFORMULA=FMA_PE&amp;VAR:CURRENCY=USD&amp;VAR:P=1","192.128836&amp;VAR:THRESH=||||||&amp;VAR:null=.html"}</definedName>
    <definedName name="_260__FDSAUDITLINK__" hidden="1">{"fdsup://directions/FAT%20Viewer?VAR:TM=NTMA&amp;VAR:PCT=0.194521&amp;VAR:Y0=2005&amp;VAR:Y1=2006&amp;VAR:V0=15.315496&amp;VAR:V1=13.711657&amp;VAR:V=13.996774&amp;VAR:AUDIT_ID=00000117&amp;VAR:DATE=20051021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Aggregates&amp;VAR:MEASURE=PE_MEAN&amp;VAR:CALC_MODE=PORTFOLIO&amp;VAR:CHGPERIOD=NA&amp;VAR:FQLFORMULA=FMA_PE&amp;VAR:CURRENCY=USD&amp;VAR:P=1","179.594100&amp;VAR:THRESH=||||||&amp;VAR:null=.html"}</definedName>
    <definedName name="_2600__FDSAUDITLINK__" hidden="1">{"fdsup://directions/FAT Viewer?action=UPDATE&amp;creator=factset&amp;DYN_ARGS=TRUE&amp;DOC_NAME=FAT:FQL_AUDITING_CLIENT_TEMPLATE.FAT&amp;display_string=Audit&amp;VAR:KEY=VCFODGNGBS&amp;VAR:QUERY=RkZfU0FMRVMoQ0FMLDM5MDgyLCwsLCk=&amp;WINDOW=FIRST_POPUP&amp;HEIGHT=450&amp;WIDTH=450&amp;START_MAXIMI","ZED=FALSE&amp;VAR:CALENDAR=US&amp;VAR:SYMBOL=JNJ&amp;VAR:INDEX=0"}</definedName>
    <definedName name="_2601__FDSAUDITLINK__" hidden="1">{"fdsup://directions/FAT Viewer?action=UPDATE&amp;creator=factset&amp;DYN_ARGS=TRUE&amp;DOC_NAME=FAT:FQL_AUDITING_CLIENT_TEMPLATE.FAT&amp;display_string=Audit&amp;VAR:KEY=FMJMDKHKDK&amp;VAR:QUERY=RkZfU0FMRVMoQ0FMLDM4NzE3LCwsLCk=&amp;WINDOW=FIRST_POPUP&amp;HEIGHT=450&amp;WIDTH=450&amp;START_MAXIMI","ZED=FALSE&amp;VAR:CALENDAR=US&amp;VAR:SYMBOL=JNJ&amp;VAR:INDEX=0"}</definedName>
    <definedName name="_2602__FDSAUDITLINK__" hidden="1">{"fdsup://directions/FAT Viewer?action=UPDATE&amp;creator=factset&amp;DYN_ARGS=TRUE&amp;DOC_NAME=FAT:FQL_AUDITING_CLIENT_TEMPLATE.FAT&amp;display_string=Audit&amp;VAR:KEY=ZWTENCPKDC&amp;VAR:QUERY=RkZfU0FMRVMoQ0FMLDM4MzUyLCwsLCk=&amp;WINDOW=FIRST_POPUP&amp;HEIGHT=450&amp;WIDTH=450&amp;START_MAXIMI","ZED=FALSE&amp;VAR:CALENDAR=US&amp;VAR:SYMBOL=JNJ&amp;VAR:INDEX=0"}</definedName>
    <definedName name="_2603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2604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2605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2606__FDSAUDITLINK__" hidden="1">{"fdsup://directions/FAT Viewer?action=UPDATE&amp;creator=factset&amp;DYN_ARGS=TRUE&amp;DOC_NAME=FAT:FQL_AUDITING_CLIENT_TEMPLATE.FAT&amp;display_string=Audit&amp;VAR:KEY=LMVERYPEZG&amp;VAR:QUERY=RkZfU0FMRVMoQ0FMLDM5NDQ3LCwsLCk=&amp;WINDOW=FIRST_POPUP&amp;HEIGHT=450&amp;WIDTH=450&amp;START_MAXIMI","ZED=FALSE&amp;VAR:CALENDAR=US&amp;VAR:SYMBOL=710306&amp;VAR:INDEX=0"}</definedName>
    <definedName name="_2607__FDSAUDITLINK__" hidden="1">{"fdsup://directions/FAT Viewer?action=UPDATE&amp;creator=factset&amp;DYN_ARGS=TRUE&amp;DOC_NAME=FAT:FQL_AUDITING_CLIENT_TEMPLATE.FAT&amp;display_string=Audit&amp;VAR:KEY=XQLOLCJYLW&amp;VAR:QUERY=RkZfU0FMRVMoQ0FMLDM5MDgyLCwsLCk=&amp;WINDOW=FIRST_POPUP&amp;HEIGHT=450&amp;WIDTH=450&amp;START_MAXIMI","ZED=FALSE&amp;VAR:CALENDAR=US&amp;VAR:SYMBOL=710306&amp;VAR:INDEX=0"}</definedName>
    <definedName name="_2608__FDSAUDITLINK__" hidden="1">{"fdsup://directions/FAT Viewer?action=UPDATE&amp;creator=factset&amp;DYN_ARGS=TRUE&amp;DOC_NAME=FAT:FQL_AUDITING_CLIENT_TEMPLATE.FAT&amp;display_string=Audit&amp;VAR:KEY=JIVKRKVAXY&amp;VAR:QUERY=RkZfU0FMRVMoQ0FMLDM4NzE3LCwsLCk=&amp;WINDOW=FIRST_POPUP&amp;HEIGHT=450&amp;WIDTH=450&amp;START_MAXIMI","ZED=FALSE&amp;VAR:CALENDAR=US&amp;VAR:SYMBOL=710306&amp;VAR:INDEX=0"}</definedName>
    <definedName name="_2609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261__FDSAUDITLINK__" hidden="1">{"fdsup://directions/FAT%20Viewer?VAR:TM=NTMA&amp;VAR:PCT=0.213699&amp;VAR:Y0=2005&amp;VAR:Y1=2006&amp;VAR:V0=15.387482&amp;VAR:V1=13.793560&amp;VAR:V=14.105808&amp;VAR:AUDIT_ID=00000117&amp;VAR:DATE=20051014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Aggregates&amp;VAR:MEASURE=PE_MEAN&amp;VAR:CALC_MODE=PORTFOLIO&amp;VAR:CHGPERIOD=NA&amp;VAR:FQLFORMULA=FMA_PE&amp;VAR:CURRENCY=USD&amp;VAR:P=1","186.568600&amp;VAR:THRESH=||||||&amp;VAR:null=.html"}</definedName>
    <definedName name="_2610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2611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2612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2613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2614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2615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2616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2617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2618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2619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262__FDSAUDITLINK__" hidden="1">{"fdsup://directions/FAT%20Viewer?VAR:TM=NTMA&amp;VAR:PCT=0.232877&amp;VAR:Y0=2005&amp;VAR:Y1=2006&amp;VAR:V0=15.554025&amp;VAR:V1=13.992793&amp;VAR:V=14.327702&amp;VAR:AUDIT_ID=00000117&amp;VAR:DATE=20051007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Aggregates&amp;VAR:MEASURE=PE_MEAN&amp;VAR:CALC_MODE=PORTFOLIO&amp;VAR:CHGPERIOD=NA&amp;VAR:FQLFORMULA=FMA_PE&amp;VAR:CURRENCY=USD&amp;VAR:P=1","195.904200&amp;VAR:THRESH=||||||&amp;VAR:null=.html"}</definedName>
    <definedName name="_2620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2621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2622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2623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2624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2625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2626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2627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2628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2629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263__FDSAUDITLINK__" hidden="1">{"fdsup://directions/FAT%20Viewer?VAR:TM=NTMA&amp;VAR:PCT=0.252055&amp;VAR:Y0=2005&amp;VAR:Y1=2006&amp;VAR:V0=15.968910&amp;VAR:V1=14.386936&amp;VAR:V=14.755378&amp;VAR:AUDIT_ID=00000117&amp;VAR:DATE=20050930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Aggregates&amp;VAR:MEASURE=PE_MEAN&amp;VAR:CALC_MODE=PORTFOLIO&amp;VAR:CHGPERIOD=NA&amp;VAR:FQLFORMULA=FMA_PE&amp;VAR:CURRENCY=USD&amp;VAR:P=1","228.811400&amp;VAR:THRESH=||||||&amp;VAR:null=.html"}</definedName>
    <definedName name="_2630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2631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2632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2633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2634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2635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2636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2637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2638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2639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264__FDSAUDITLINK__" hidden="1">{"fdsup://directions/FAT%20Viewer?VAR:TM=NTMA&amp;VAR:PCT=0.271233&amp;VAR:Y0=2005&amp;VAR:Y1=2006&amp;VAR:V0=15.777946&amp;VAR:V1=14.228935&amp;VAR:V=14.618195&amp;VAR:AUDIT_ID=00000117&amp;VAR:DATE=20050923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Aggregates&amp;VAR:MEASURE=PE_MEAN&amp;VAR:CALC_MODE=PORTFOLIO&amp;VAR:CHGPERIOD=NA&amp;VAR:FQLFORMULA=FMA_PE&amp;VAR:CURRENCY=USD&amp;VAR:P=1","215.291400&amp;VAR:THRESH=||||||&amp;VAR:null=.html"}</definedName>
    <definedName name="_2640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2641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2642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2643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2644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2645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2646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2647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2648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2649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265__FDSAUDITLINK__" hidden="1">{"fdsup://directions/FAT%20Viewer?VAR:TM=NTMA&amp;VAR:PCT=0.290411&amp;VAR:Y0=2005&amp;VAR:Y1=2006&amp;VAR:V0=16.129032&amp;VAR:V1=14.556097&amp;VAR:V=14.980363&amp;VAR:AUDIT_ID=00000117&amp;VAR:DATE=20050916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Aggregates&amp;VAR:MEASURE=PE_MEAN&amp;VAR:CALC_MODE=PORTFOLIO&amp;VAR:CHGPERIOD=NA&amp;VAR:FQLFORMULA=FMA_PE&amp;VAR:CURRENCY=USD&amp;VAR:P=1","237.913300&amp;VAR:THRESH=||||||&amp;VAR:null=.html"}</definedName>
    <definedName name="_2650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2651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2652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2653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2654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2655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2656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2657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2658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2659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266__FDSAUDITLINK__" hidden="1">{"fdsup://directions/FAT%20Viewer?VAR:TM=NTMA&amp;VAR:PCT=0.309589&amp;VAR:Y0=2005&amp;VAR:Y1=2006&amp;VAR:V0=16.203129&amp;VAR:V1=14.641106&amp;VAR:V=15.091515&amp;VAR:AUDIT_ID=00000117&amp;VAR:DATE=20050909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Aggregates&amp;VAR:MEASURE=PE_MEAN&amp;VAR:CALC_MODE=PORTFOLIO&amp;VAR:CHGPERIOD=NA&amp;VAR:FQLFORMULA=FMA_PE&amp;VAR:CURRENCY=USD&amp;VAR:P=1","241.476200&amp;VAR:THRESH=||||||&amp;VAR:null=.html"}</definedName>
    <definedName name="_2660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2661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2662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2663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2664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2665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2666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2667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2668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2669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267__FDSAUDITLINK__" hidden="1">{"fdsup://directions/FAT%20Viewer?VAR:TM=NTMA&amp;VAR:PCT=0.328767&amp;VAR:Y0=2005&amp;VAR:Y1=2006&amp;VAR:V0=15.944333&amp;VAR:V1=14.426846&amp;VAR:V=14.892845&amp;VAR:AUDIT_ID=00000117&amp;VAR:DATE=20050902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Aggregates&amp;VAR:MEASURE=PE_MEAN&amp;VAR:CALC_MODE=PORTFOLIO&amp;VAR:CHGPERIOD=NA&amp;VAR:FQLFORMULA=FMA_PE&amp;VAR:CURRENCY=USD&amp;VAR:P=1","218.021100&amp;VAR:THRESH=||||||&amp;VAR:null=.html"}</definedName>
    <definedName name="_2670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2671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2672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2673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2674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2675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2676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2677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2678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2679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268__FDSAUDITLINK__" hidden="1">{"fdsup://directions/FAT%20Viewer?VAR:TM=NTMA&amp;VAR:PCT=0.347945&amp;VAR:Y0=2005&amp;VAR:Y1=2006&amp;VAR:V0=15.786361&amp;VAR:V1=14.291246&amp;VAR:V=14.778243&amp;VAR:AUDIT_ID=00000117&amp;VAR:DATE=20050826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Aggregates&amp;VAR:MEASURE=PE_MEAN&amp;VAR:CALC_MODE=PORTFOLIO&amp;VAR:CHGPERIOD=NA&amp;VAR:FQLFORMULA=FMA_PE&amp;VAR:CURRENCY=USD&amp;VAR:P=1","205.098000&amp;VAR:THRESH=||||||&amp;VAR:null=.html"}</definedName>
    <definedName name="_2680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2681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2682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2683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2684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2685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2686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2687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2688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2689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269__FDSAUDITLINK__" hidden="1">{"fdsup://directions/FAT%20Viewer?VAR:TM=NTMA&amp;VAR:PCT=0.367123&amp;VAR:Y0=2005&amp;VAR:Y1=2006&amp;VAR:V0=16.000854&amp;VAR:V1=14.470337&amp;VAR:V=14.996973&amp;VAR:AUDIT_ID=00000117&amp;VAR:DATE=20050819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Aggregates&amp;VAR:MEASURE=PE_MEAN&amp;VAR:CALC_MODE=PORTFOLIO&amp;VAR:CHGPERIOD=NA&amp;VAR:FQLFORMULA=FMA_PE&amp;VAR:CURRENCY=USD&amp;VAR:P=1","219.712200&amp;VAR:THRESH=||||||&amp;VAR:null=.html"}</definedName>
    <definedName name="_2690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2691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2692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2693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2694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2695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2696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2697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2698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2699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27__FDSAUDITLINK__" hidden="1">{"fdsup://directions/FAT%20Viewer?VAR:TM=NTMA&amp;VAR:PCT=0.728767&amp;VAR:Y0=2010&amp;VAR:Y1=2011&amp;VAR:V0=15.089802&amp;VAR:V1=12.613433&amp;VAR:V=14.326887&amp;VAR:AUDIT_ID=00000117&amp;VAR:DATE=20100409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Aggregates&amp;VAR:MEASURE=PE_MEAN&amp;VAR:CALC_MODE=PORTFOLIO&amp;VAR:CHGPERIOD=NA&amp;VAR:FQLFORMULA=FMA_PE&amp;VAR:CURRENCY=USD&amp;VAR:P=1","194.367712&amp;VAR:THRESH=||||||&amp;VAR:null=.html"}</definedName>
    <definedName name="_270__FDSAUDITLINK__" hidden="1">{"fdsup://directions/FAT%20Viewer?VAR:TM=NTMA&amp;VAR:PCT=0.386301&amp;VAR:Y0=2005&amp;VAR:Y1=2006&amp;VAR:V0=16.207613&amp;VAR:V1=14.673311&amp;VAR:V=15.230273&amp;VAR:AUDIT_ID=00000117&amp;VAR:DATE=20050812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Aggregates&amp;VAR:MEASURE=PE_MEAN&amp;VAR:CALC_MODE=PORTFOLIO&amp;VAR:CHGPERIOD=NA&amp;VAR:FQLFORMULA=FMA_PE&amp;VAR:CURRENCY=USD&amp;VAR:P=1","230.392800&amp;VAR:THRESH=||||||&amp;VAR:null=.html"}</definedName>
    <definedName name="_2700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2701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2702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2703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2704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2705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2706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2707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2708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2709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271__FDSAUDITLINK__" hidden="1">{"fdsup://directions/FAT%20Viewer?VAR:TM=NTMA&amp;VAR:PCT=0.405479&amp;VAR:Y0=2005&amp;VAR:Y1=2006&amp;VAR:V0=16.183920&amp;VAR:V1=14.644719&amp;VAR:V=15.232129&amp;VAR:AUDIT_ID=00000117&amp;VAR:DATE=20050805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Aggregates&amp;VAR:MEASURE=PE_MEAN&amp;VAR:CALC_MODE=PORTFOLIO&amp;VAR:CHGPERIOD=NA&amp;VAR:FQLFORMULA=FMA_PE&amp;VAR:CURRENCY=USD&amp;VAR:P=1","226.420400&amp;VAR:THRESH=||||||&amp;VAR:null=.html"}</definedName>
    <definedName name="_2710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2711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2712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2713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2714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2715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2716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2717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2718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2719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272__FDSAUDITLINK__" hidden="1">{"fdsup://directions/FAT%20Viewer?VAR:TM=NTMA&amp;VAR:PCT=0.424658&amp;VAR:Y0=2005&amp;VAR:Y1=2006&amp;VAR:V0=16.314060&amp;VAR:V1=14.781290&amp;VAR:V=15.395545&amp;VAR:AUDIT_ID=00000117&amp;VAR:DATE=20050729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Aggregates&amp;VAR:MEASURE=PE_MEAN&amp;VAR:CALC_MODE=PORTFOLIO&amp;VAR:CHGPERIOD=NA&amp;VAR:FQLFORMULA=FMA_PE&amp;VAR:CURRENCY=USD&amp;VAR:P=1","234.179400&amp;VAR:THRESH=||||||&amp;VAR:null=.html"}</definedName>
    <definedName name="_2720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2721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2722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2723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2724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2725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2726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2727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2728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2729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273__FDSAUDITLINK__" hidden="1">{"fdsup://directions/FAT%20Viewer?VAR:TM=NTMA&amp;VAR:PCT=0.443836&amp;VAR:Y0=2005&amp;VAR:Y1=2006&amp;VAR:V0=16.386772&amp;VAR:V1=14.849657&amp;VAR:V=15.494746&amp;VAR:AUDIT_ID=00000117&amp;VAR:DATE=20050722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Aggregates&amp;VAR:MEASURE=PE_MEAN&amp;VAR:CALC_MODE=PORTFOLIO&amp;VAR:CHGPERIOD=NA&amp;VAR:FQLFORMULA=FMA_PE&amp;VAR:CURRENCY=USD&amp;VAR:P=1","233.675200&amp;VAR:THRESH=||||||&amp;VAR:null=.html"}</definedName>
    <definedName name="_2730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2731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2732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2733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2734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2735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2736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2737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2738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2739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274__FDSAUDITLINK__" hidden="1">{"fdsup://directions/FAT%20Viewer?VAR:TM=NTMA&amp;VAR:PCT=0.463014&amp;VAR:Y0=2005&amp;VAR:Y1=2006&amp;VAR:V0=16.340650&amp;VAR:V1=14.845875&amp;VAR:V=15.502476&amp;VAR:AUDIT_ID=00000117&amp;VAR:DATE=20050715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Aggregates&amp;VAR:MEASURE=PE_MEAN&amp;VAR:CALC_MODE=PORTFOLIO&amp;VAR:CHGPERIOD=NA&amp;VAR:FQLFORMULA=FMA_PE&amp;VAR:CURRENCY=USD&amp;VAR:P=1","227.922600&amp;VAR:THRESH=||||||&amp;VAR:null=.html"}</definedName>
    <definedName name="_2740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2741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2742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2743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2744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2745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2746__FDSAUDITLINK__" hidden="1">{"fdsup://directions/FAT Viewer?action=UPDATE&amp;creator=factset&amp;DYN_ARGS=TRUE&amp;DOC_NAME=FAT:FQL_AUDITING_CLIENT_TEMPLATE.FAT&amp;display_string=Audit&amp;VAR:KEY=PODEFWZGFS&amp;VAR:QUERY=RkZfUkRfRVhQKENBTCwzOTQ0NywsLCwp&amp;WINDOW=FIRST_POPUP&amp;HEIGHT=450&amp;WIDTH=450&amp;START_MAXIMI","ZED=FALSE&amp;VAR:CALENDAR=US&amp;VAR:SYMBOL=BIIB&amp;VAR:INDEX=0"}</definedName>
    <definedName name="_2747__FDSAUDITLINK__" hidden="1">{"fdsup://directions/FAT Viewer?action=UPDATE&amp;creator=factset&amp;DYN_ARGS=TRUE&amp;DOC_NAME=FAT:FQL_AUDITING_CLIENT_TEMPLATE.FAT&amp;display_string=Audit&amp;VAR:KEY=HQFYRGDOJS&amp;VAR:QUERY=RkZfUkRfRVhQKENBTCwzOTA4MiwsLCwp&amp;WINDOW=FIRST_POPUP&amp;HEIGHT=450&amp;WIDTH=450&amp;START_MAXIMI","ZED=FALSE&amp;VAR:CALENDAR=US&amp;VAR:SYMBOL=BIIB&amp;VAR:INDEX=0"}</definedName>
    <definedName name="_2748__FDSAUDITLINK__" hidden="1">{"fdsup://directions/FAT Viewer?action=UPDATE&amp;creator=factset&amp;DYN_ARGS=TRUE&amp;DOC_NAME=FAT:FQL_AUDITING_CLIENT_TEMPLATE.FAT&amp;display_string=Audit&amp;VAR:KEY=BWLKBKRSNC&amp;VAR:QUERY=RkZfUkRfRVhQKENBTCwzODcxNywsLCwp&amp;WINDOW=FIRST_POPUP&amp;HEIGHT=450&amp;WIDTH=450&amp;START_MAXIMI","ZED=FALSE&amp;VAR:CALENDAR=US&amp;VAR:SYMBOL=BIIB&amp;VAR:INDEX=0"}</definedName>
    <definedName name="_2749__FDSAUDITLINK__" hidden="1">{"fdsup://directions/FAT Viewer?action=UPDATE&amp;creator=factset&amp;DYN_ARGS=TRUE&amp;DOC_NAME=FAT:FQL_AUDITING_CLIENT_TEMPLATE.FAT&amp;display_string=Audit&amp;VAR:KEY=NCJCPSJUJA&amp;VAR:QUERY=RkZfUkRfRVhQKENBTCwzODM1MiwsLCwp&amp;WINDOW=FIRST_POPUP&amp;HEIGHT=450&amp;WIDTH=450&amp;START_MAXIMI","ZED=FALSE&amp;VAR:CALENDAR=US&amp;VAR:SYMBOL=BIIB&amp;VAR:INDEX=0"}</definedName>
    <definedName name="_275__FDSAUDITLINK__" hidden="1">{"fdsup://directions/FAT%20Viewer?VAR:TM=NTMA&amp;VAR:PCT=0.482192&amp;VAR:Y0=2005&amp;VAR:Y1=2006&amp;VAR:V0=16.169977&amp;VAR:V1=14.673798&amp;VAR:V=15.359063&amp;VAR:AUDIT_ID=00000117&amp;VAR:DATE=20050708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Aggregates&amp;VAR:MEASURE=PE_MEAN&amp;VAR:CALC_MODE=PORTFOLIO&amp;VAR:CHGPERIOD=NA&amp;VAR:FQLFORMULA=FMA_PE&amp;VAR:CURRENCY=USD&amp;VAR:P=1","211.861000&amp;VAR:THRESH=||||||&amp;VAR:null=.html"}</definedName>
    <definedName name="_2750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2751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2752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2753__FDSAUDITLINK__" hidden="1">{"fdsup://directions/FAT Viewer?action=UPDATE&amp;creator=factset&amp;DYN_ARGS=TRUE&amp;DOC_NAME=FAT:FQL_AUDITING_CLIENT_TEMPLATE.FAT&amp;display_string=Audit&amp;VAR:KEY=BQVALCNUXY&amp;VAR:QUERY=RkZfUkRfRVhQKENBTCwzOTQ0NywsLCwp&amp;WINDOW=FIRST_POPUP&amp;HEIGHT=450&amp;WIDTH=450&amp;START_MAXIMI","ZED=FALSE&amp;VAR:CALENDAR=US&amp;VAR:SYMBOL=707752&amp;VAR:INDEX=0"}</definedName>
    <definedName name="_2754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2755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2756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2757__FDSAUDITLINK__" hidden="1">{"fdsup://directions/FAT Viewer?action=UPDATE&amp;creator=factset&amp;DYN_ARGS=TRUE&amp;DOC_NAME=FAT:FQL_AUDITING_CLIENT_TEMPLATE.FAT&amp;display_string=Audit&amp;VAR:KEY=VYJCJQLQHW&amp;VAR:QUERY=RkZfUkRfRVhQKENBTCwzOTQ0NywsLCwp&amp;WINDOW=FIRST_POPUP&amp;HEIGHT=450&amp;WIDTH=450&amp;START_MAXIMI","ZED=FALSE&amp;VAR:CALENDAR=US&amp;VAR:SYMBOL=630720&amp;VAR:INDEX=0"}</definedName>
    <definedName name="_2758__FDSAUDITLINK__" hidden="1">{"fdsup://directions/FAT Viewer?action=UPDATE&amp;creator=factset&amp;DYN_ARGS=TRUE&amp;DOC_NAME=FAT:FQL_AUDITING_CLIENT_TEMPLATE.FAT&amp;display_string=Audit&amp;VAR:KEY=TUBQTARIDK&amp;VAR:QUERY=RkZfUkRfRVhQKENBTCwzOTA4MiwsLCwp&amp;WINDOW=FIRST_POPUP&amp;HEIGHT=450&amp;WIDTH=450&amp;START_MAXIMI","ZED=FALSE&amp;VAR:CALENDAR=US&amp;VAR:SYMBOL=630720&amp;VAR:INDEX=0"}</definedName>
    <definedName name="_2759__FDSAUDITLINK__" hidden="1">{"fdsup://directions/FAT Viewer?action=UPDATE&amp;creator=factset&amp;DYN_ARGS=TRUE&amp;DOC_NAME=FAT:FQL_AUDITING_CLIENT_TEMPLATE.FAT&amp;display_string=Audit&amp;VAR:KEY=TEDCLSDYNM&amp;VAR:QUERY=RkZfUkRfRVhQKENBTCwzODcxNywsLCwp&amp;WINDOW=FIRST_POPUP&amp;HEIGHT=450&amp;WIDTH=450&amp;START_MAXIMI","ZED=FALSE&amp;VAR:CALENDAR=US&amp;VAR:SYMBOL=630720&amp;VAR:INDEX=0"}</definedName>
    <definedName name="_276__FDSAUDITLINK__" hidden="1">{"fdsup://directions/FAT%20Viewer?VAR:TM=NTMA&amp;VAR:PCT=0.501370&amp;VAR:Y0=2005&amp;VAR:Y1=2006&amp;VAR:V0=15.966770&amp;VAR:V1=14.505054&amp;VAR:V=15.202851&amp;VAR:AUDIT_ID=00000117&amp;VAR:DATE=20050701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Aggregates&amp;VAR:MEASURE=PE_MEAN&amp;VAR:CALC_MODE=PORTFOLIO&amp;VAR:CHGPERIOD=NA&amp;VAR:FQLFORMULA=FMA_PE&amp;VAR:CURRENCY=USD&amp;VAR:P=1","194.440200&amp;VAR:THRESH=||||||&amp;VAR:null=.html"}</definedName>
    <definedName name="_2760__FDSAUDITLINK__" hidden="1">{"fdsup://directions/FAT Viewer?action=UPDATE&amp;creator=factset&amp;DYN_ARGS=TRUE&amp;DOC_NAME=FAT:FQL_AUDITING_CLIENT_TEMPLATE.FAT&amp;display_string=Audit&amp;VAR:KEY=HWBSXSJUJE&amp;VAR:QUERY=RkZfUkRfRVhQKENBTCwzODM1MiwsLCwp&amp;WINDOW=FIRST_POPUP&amp;HEIGHT=450&amp;WIDTH=450&amp;START_MAXIMI","ZED=FALSE&amp;VAR:CALENDAR=US&amp;VAR:SYMBOL=630720&amp;VAR:INDEX=0"}</definedName>
    <definedName name="_2761__FDSAUDITLINK__" hidden="1">{"fdsup://directions/FAT Viewer?action=UPDATE&amp;creator=factset&amp;DYN_ARGS=TRUE&amp;DOC_NAME=FAT:FQL_AUDITING_CLIENT_TEMPLATE.FAT&amp;display_string=Audit&amp;VAR:KEY=NOFYHOLEJE&amp;VAR:QUERY=RkZfUkRfRVhQKENBTCwzNzk4NiwsLCwp&amp;WINDOW=FIRST_POPUP&amp;HEIGHT=450&amp;WIDTH=450&amp;START_MAXIMI","ZED=FALSE&amp;VAR:CALENDAR=US&amp;VAR:SYMBOL=630720&amp;VAR:INDEX=0"}</definedName>
    <definedName name="_2762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2763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2764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2765__FDSAUDITLINK__" hidden="1">{"fdsup://directions/FAT Viewer?action=UPDATE&amp;creator=factset&amp;DYN_ARGS=TRUE&amp;DOC_NAME=FAT:FQL_AUDITING_CLIENT_TEMPLATE.FAT&amp;display_string=Audit&amp;VAR:KEY=DSRAFCZODS&amp;VAR:QUERY=RkZfUkRfRVhQKENBTCwzOTQ0NywsLCwp&amp;WINDOW=FIRST_POPUP&amp;HEIGHT=450&amp;WIDTH=450&amp;START_MAXIMI","ZED=FALSE&amp;VAR:CALENDAR=US&amp;VAR:SYMBOL=698538&amp;VAR:INDEX=0"}</definedName>
    <definedName name="_2766__FDSAUDITLINK__" hidden="1">{"fdsup://directions/FAT Viewer?action=UPDATE&amp;creator=factset&amp;DYN_ARGS=TRUE&amp;DOC_NAME=FAT:FQL_AUDITING_CLIENT_TEMPLATE.FAT&amp;display_string=Audit&amp;VAR:KEY=FODYBQZGBW&amp;VAR:QUERY=RkZfUkRfRVhQKENBTCwzOTA4MiwsLCwp&amp;WINDOW=FIRST_POPUP&amp;HEIGHT=450&amp;WIDTH=450&amp;START_MAXIMI","ZED=FALSE&amp;VAR:CALENDAR=US&amp;VAR:SYMBOL=698538&amp;VAR:INDEX=0"}</definedName>
    <definedName name="_2767__FDSAUDITLINK__" hidden="1">{"fdsup://directions/FAT Viewer?action=UPDATE&amp;creator=factset&amp;DYN_ARGS=TRUE&amp;DOC_NAME=FAT:FQL_AUDITING_CLIENT_TEMPLATE.FAT&amp;display_string=Audit&amp;VAR:KEY=LMDOJUJATK&amp;VAR:QUERY=RkZfUkRfRVhQKENBTCwzODcxNywsLCwp&amp;WINDOW=FIRST_POPUP&amp;HEIGHT=450&amp;WIDTH=450&amp;START_MAXIMI","ZED=FALSE&amp;VAR:CALENDAR=US&amp;VAR:SYMBOL=698538&amp;VAR:INDEX=0"}</definedName>
    <definedName name="_2768__FDSAUDITLINK__" hidden="1">{"fdsup://directions/FAT Viewer?action=UPDATE&amp;creator=factset&amp;DYN_ARGS=TRUE&amp;DOC_NAME=FAT:FQL_AUDITING_CLIENT_TEMPLATE.FAT&amp;display_string=Audit&amp;VAR:KEY=BCDOVGLIHM&amp;VAR:QUERY=RkZfUkRfRVhQKENBTCwzODM1MiwsLCwp&amp;WINDOW=FIRST_POPUP&amp;HEIGHT=450&amp;WIDTH=450&amp;START_MAXIMI","ZED=FALSE&amp;VAR:CALENDAR=US&amp;VAR:SYMBOL=698538&amp;VAR:INDEX=0"}</definedName>
    <definedName name="_2769__FDSAUDITLINK__" hidden="1">{"fdsup://directions/FAT Viewer?action=UPDATE&amp;creator=factset&amp;DYN_ARGS=TRUE&amp;DOC_NAME=FAT:FQL_AUDITING_CLIENT_TEMPLATE.FAT&amp;display_string=Audit&amp;VAR:KEY=VAVSHGNKLS&amp;VAR:QUERY=RkZfUkRfRVhQKENBTCwzNzk4NiwsLCwp&amp;WINDOW=FIRST_POPUP&amp;HEIGHT=450&amp;WIDTH=450&amp;START_MAXIMI","ZED=FALSE&amp;VAR:CALENDAR=US&amp;VAR:SYMBOL=698538&amp;VAR:INDEX=0"}</definedName>
    <definedName name="_277__FDSAUDITLINK__" hidden="1">{"fdsup://directions/FAT%20Viewer?VAR:TM=NTMA&amp;VAR:PCT=0.520548&amp;VAR:Y0=2005&amp;VAR:Y1=2006&amp;VAR:V0=15.928405&amp;VAR:V1=14.471316&amp;VAR:V=15.194871&amp;VAR:AUDIT_ID=00000117&amp;VAR:DATE=20050624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Aggregates&amp;VAR:MEASURE=PE_MEAN&amp;VAR:CALC_MODE=PORTFOLIO&amp;VAR:CHGPERIOD=NA&amp;VAR:FQLFORMULA=FMA_PE&amp;VAR:CURRENCY=USD&amp;VAR:P=1","191.569300&amp;VAR:THRESH=||||||&amp;VAR:null=.html"}</definedName>
    <definedName name="_2770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2771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2772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2773__FDSAUDITLINK__" hidden="1">{"fdsup://directions/FAT Viewer?action=UPDATE&amp;creator=factset&amp;DYN_ARGS=TRUE&amp;DOC_NAME=FAT:FQL_AUDITING_CLIENT_TEMPLATE.FAT&amp;display_string=Audit&amp;VAR:KEY=DQXADMHEVC&amp;VAR:QUERY=RkZfUkRfRVhQKENBTCw0MDE3OCwsLCxKUFkp&amp;WINDOW=FIRST_POPUP&amp;HEIGHT=450&amp;WIDTH=450&amp;START_MA","XIMIZED=FALSE&amp;VAR:CALENDAR=US&amp;VAR:SYMBOL=B0J7D9&amp;VAR:INDEX=0"}</definedName>
    <definedName name="_2774__FDSAUDITLINK__" hidden="1">{"fdsup://directions/FAT Viewer?action=UPDATE&amp;creator=factset&amp;DYN_ARGS=TRUE&amp;DOC_NAME=FAT:FQL_AUDITING_CLIENT_TEMPLATE.FAT&amp;display_string=Audit&amp;VAR:KEY=TOLORIHYHO&amp;VAR:QUERY=RkZfUkRfRVhQKENBTCwzOTgxMywsLCxKUFkp&amp;WINDOW=FIRST_POPUP&amp;HEIGHT=450&amp;WIDTH=450&amp;START_MA","XIMIZED=FALSE&amp;VAR:CALENDAR=US&amp;VAR:SYMBOL=B0J7D9&amp;VAR:INDEX=0"}</definedName>
    <definedName name="_2775__FDSAUDITLINK__" hidden="1">{"fdsup://directions/FAT Viewer?action=UPDATE&amp;creator=factset&amp;DYN_ARGS=TRUE&amp;DOC_NAME=FAT:FQL_AUDITING_CLIENT_TEMPLATE.FAT&amp;display_string=Audit&amp;VAR:KEY=JOZMPGZMJM&amp;VAR:QUERY=RkZfUkRfRVhQKENBTCwzOTQ0NywsLCxKUFkp&amp;WINDOW=FIRST_POPUP&amp;HEIGHT=450&amp;WIDTH=450&amp;START_MA","XIMIZED=FALSE&amp;VAR:CALENDAR=US&amp;VAR:SYMBOL=B0J7D9&amp;VAR:INDEX=0"}</definedName>
    <definedName name="_2776__FDSAUDITLINK__" hidden="1">{"fdsup://directions/FAT Viewer?action=UPDATE&amp;creator=factset&amp;DYN_ARGS=TRUE&amp;DOC_NAME=FAT:FQL_AUDITING_CLIENT_TEMPLATE.FAT&amp;display_string=Audit&amp;VAR:KEY=NABIRCXULI&amp;VAR:QUERY=RkZfUkRfRVhQKENBTCwzOTA4MiwsLCxKUFkp&amp;WINDOW=FIRST_POPUP&amp;HEIGHT=450&amp;WIDTH=450&amp;START_MA","XIMIZED=FALSE&amp;VAR:CALENDAR=US&amp;VAR:SYMBOL=B0J7D9&amp;VAR:INDEX=0"}</definedName>
    <definedName name="_2777__FDSAUDITLINK__" hidden="1">{"fdsup://directions/FAT Viewer?action=UPDATE&amp;creator=factset&amp;DYN_ARGS=TRUE&amp;DOC_NAME=FAT:FQL_AUDITING_CLIENT_TEMPLATE.FAT&amp;display_string=Audit&amp;VAR:KEY=PKNSHOFKFO&amp;VAR:QUERY=RkZfUkRfRVhQKENBTCwzODcxNywsLCxKUFkp&amp;WINDOW=FIRST_POPUP&amp;HEIGHT=450&amp;WIDTH=450&amp;START_MA","XIMIZED=FALSE&amp;VAR:CALENDAR=US&amp;VAR:SYMBOL=B0J7D9&amp;VAR:INDEX=0"}</definedName>
    <definedName name="_2778__FDSAUDITLINK__" hidden="1">{"fdsup://directions/FAT Viewer?action=UPDATE&amp;creator=factset&amp;DYN_ARGS=TRUE&amp;DOC_NAME=FAT:FQL_AUDITING_CLIENT_TEMPLATE.FAT&amp;display_string=Audit&amp;VAR:KEY=TEXUHKRIJS&amp;VAR:QUERY=RkZfUkRfRVhQKENBTCwzODM1MiwsLCxKUFkp&amp;WINDOW=FIRST_POPUP&amp;HEIGHT=450&amp;WIDTH=450&amp;START_MA","XIMIZED=FALSE&amp;VAR:CALENDAR=US&amp;VAR:SYMBOL=B0J7D9&amp;VAR:INDEX=0"}</definedName>
    <definedName name="_2779__FDSAUDITLINK__" hidden="1">{"fdsup://directions/FAT Viewer?action=UPDATE&amp;creator=factset&amp;DYN_ARGS=TRUE&amp;DOC_NAME=FAT:FQL_AUDITING_CLIENT_TEMPLATE.FAT&amp;display_string=Audit&amp;VAR:KEY=BMDYTORIHY&amp;VAR:QUERY=RkZfUkRfRVhQKENBTCwzNzk4NiwsLCxKUFkp&amp;WINDOW=FIRST_POPUP&amp;HEIGHT=450&amp;WIDTH=450&amp;START_MA","XIMIZED=FALSE&amp;VAR:CALENDAR=US&amp;VAR:SYMBOL=B0J7D9&amp;VAR:INDEX=0"}</definedName>
    <definedName name="_278__FDSAUDITLINK__" hidden="1">{"fdsup://directions/FAT%20Viewer?VAR:TM=NTMA&amp;VAR:PCT=0.539726&amp;VAR:Y0=2005&amp;VAR:Y1=2006&amp;VAR:V0=16.267902&amp;VAR:V1=14.808791&amp;VAR:V=15.562146&amp;VAR:AUDIT_ID=00000117&amp;VAR:DATE=20050617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Aggregates&amp;VAR:MEASURE=PE_MEAN&amp;VAR:CALC_MODE=PORTFOLIO&amp;VAR:CHGPERIOD=NA&amp;VAR:FQLFORMULA=FMA_PE&amp;VAR:CURRENCY=USD&amp;VAR:P=1","216.964500&amp;VAR:THRESH=||||||&amp;VAR:null=.html"}</definedName>
    <definedName name="_2780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2781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2782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2783__FDSAUDITLINK__" hidden="1">{"fdsup://directions/FAT Viewer?action=UPDATE&amp;creator=factset&amp;DYN_ARGS=TRUE&amp;DOC_NAME=FAT:FQL_AUDITING_CLIENT_TEMPLATE.FAT&amp;display_string=Audit&amp;VAR:KEY=JGFKDSPYPQ&amp;VAR:QUERY=RkZfUkRfRVhQKENBTCwzOTQ0NywsLCwp&amp;WINDOW=FIRST_POPUP&amp;HEIGHT=450&amp;WIDTH=450&amp;START_MAXIMI","ZED=FALSE&amp;VAR:CALENDAR=US&amp;VAR:SYMBOL=AMGN&amp;VAR:INDEX=0"}</definedName>
    <definedName name="_2784__FDSAUDITLINK__" hidden="1">{"fdsup://directions/FAT Viewer?action=UPDATE&amp;creator=factset&amp;DYN_ARGS=TRUE&amp;DOC_NAME=FAT:FQL_AUDITING_CLIENT_TEMPLATE.FAT&amp;display_string=Audit&amp;VAR:KEY=PITSZWZGJQ&amp;VAR:QUERY=RkZfUkRfRVhQKENBTCwzOTA4MiwsLCwp&amp;WINDOW=FIRST_POPUP&amp;HEIGHT=450&amp;WIDTH=450&amp;START_MAXIMI","ZED=FALSE&amp;VAR:CALENDAR=US&amp;VAR:SYMBOL=AMGN&amp;VAR:INDEX=0"}</definedName>
    <definedName name="_2785__FDSAUDITLINK__" hidden="1">{"fdsup://directions/FAT Viewer?action=UPDATE&amp;creator=factset&amp;DYN_ARGS=TRUE&amp;DOC_NAME=FAT:FQL_AUDITING_CLIENT_TEMPLATE.FAT&amp;display_string=Audit&amp;VAR:KEY=HKBWVOJSHI&amp;VAR:QUERY=RkZfUkRfRVhQKENBTCwzODcxNywsLCwp&amp;WINDOW=FIRST_POPUP&amp;HEIGHT=450&amp;WIDTH=450&amp;START_MAXIMI","ZED=FALSE&amp;VAR:CALENDAR=US&amp;VAR:SYMBOL=AMGN&amp;VAR:INDEX=0"}</definedName>
    <definedName name="_2786__FDSAUDITLINK__" hidden="1">{"fdsup://directions/FAT Viewer?action=UPDATE&amp;creator=factset&amp;DYN_ARGS=TRUE&amp;DOC_NAME=FAT:FQL_AUDITING_CLIENT_TEMPLATE.FAT&amp;display_string=Audit&amp;VAR:KEY=TUHABOXUJS&amp;VAR:QUERY=RkZfUkRfRVhQKENBTCwzODM1MiwsLCwp&amp;WINDOW=FIRST_POPUP&amp;HEIGHT=450&amp;WIDTH=450&amp;START_MAXIMI","ZED=FALSE&amp;VAR:CALENDAR=US&amp;VAR:SYMBOL=AMGN&amp;VAR:INDEX=0"}</definedName>
    <definedName name="_2787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2788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2789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279__FDSAUDITLINK__" hidden="1">{"fdsup://directions/FAT%20Viewer?VAR:TM=NTMA&amp;VAR:PCT=0.558904&amp;VAR:Y0=2005&amp;VAR:Y1=2006&amp;VAR:V0=15.999546&amp;VAR:V1=14.584838&amp;VAR:V=15.343082&amp;VAR:AUDIT_ID=00000117&amp;VAR:DATE=20050610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Aggregates&amp;VAR:MEASURE=PE_MEAN&amp;VAR:CALC_MODE=PORTFOLIO&amp;VAR:CHGPERIOD=NA&amp;VAR:FQLFORMULA=FMA_PE&amp;VAR:CURRENCY=USD&amp;VAR:P=1","198.108400&amp;VAR:THRESH=||||||&amp;VAR:null=.html"}</definedName>
    <definedName name="_2790__FDSAUDITLINK__" hidden="1">{"fdsup://directions/FAT Viewer?action=UPDATE&amp;creator=factset&amp;DYN_ARGS=TRUE&amp;DOC_NAME=FAT:FQL_AUDITING_CLIENT_TEMPLATE.FAT&amp;display_string=Audit&amp;VAR:KEY=FSDQDMTKFI&amp;VAR:QUERY=RkZfUkRfRVhQKENBTCwzOTQ0NywsLCwp&amp;WINDOW=FIRST_POPUP&amp;HEIGHT=450&amp;WIDTH=450&amp;START_MAXIMI","ZED=FALSE&amp;VAR:CALENDAR=US&amp;VAR:SYMBOL=ABT&amp;VAR:INDEX=0"}</definedName>
    <definedName name="_2791__FDSAUDITLINK__" hidden="1">{"fdsup://directions/FAT Viewer?action=UPDATE&amp;creator=factset&amp;DYN_ARGS=TRUE&amp;DOC_NAME=FAT:FQL_AUDITING_CLIENT_TEMPLATE.FAT&amp;display_string=Audit&amp;VAR:KEY=DKXQFUXYNQ&amp;VAR:QUERY=RkZfUkRfRVhQKENBTCwzOTA4MiwsLCwp&amp;WINDOW=FIRST_POPUP&amp;HEIGHT=450&amp;WIDTH=450&amp;START_MAXIMI","ZED=FALSE&amp;VAR:CALENDAR=US&amp;VAR:SYMBOL=ABT&amp;VAR:INDEX=0"}</definedName>
    <definedName name="_2792__FDSAUDITLINK__" hidden="1">{"fdsup://directions/FAT Viewer?action=UPDATE&amp;creator=factset&amp;DYN_ARGS=TRUE&amp;DOC_NAME=FAT:FQL_AUDITING_CLIENT_TEMPLATE.FAT&amp;display_string=Audit&amp;VAR:KEY=DCTAJGPGHM&amp;VAR:QUERY=RkZfUkRfRVhQKENBTCwzODcxNywsLCwp&amp;WINDOW=FIRST_POPUP&amp;HEIGHT=450&amp;WIDTH=450&amp;START_MAXIMI","ZED=FALSE&amp;VAR:CALENDAR=US&amp;VAR:SYMBOL=ABT&amp;VAR:INDEX=0"}</definedName>
    <definedName name="_2793__FDSAUDITLINK__" hidden="1">{"fdsup://directions/FAT Viewer?action=UPDATE&amp;creator=factset&amp;DYN_ARGS=TRUE&amp;DOC_NAME=FAT:FQL_AUDITING_CLIENT_TEMPLATE.FAT&amp;display_string=Audit&amp;VAR:KEY=DWROLQJYRO&amp;VAR:QUERY=RkZfUkRfRVhQKENBTCwzODM1MiwsLCwp&amp;WINDOW=FIRST_POPUP&amp;HEIGHT=450&amp;WIDTH=450&amp;START_MAXIMI","ZED=FALSE&amp;VAR:CALENDAR=US&amp;VAR:SYMBOL=ABT&amp;VAR:INDEX=0"}</definedName>
    <definedName name="_2794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2795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2796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2797__FDSAUDITLINK__" hidden="1">{"fdsup://directions/FAT Viewer?action=UPDATE&amp;creator=factset&amp;DYN_ARGS=TRUE&amp;DOC_NAME=FAT:FQL_AUDITING_CLIENT_TEMPLATE.FAT&amp;display_string=Audit&amp;VAR:KEY=RSBIBMVATE&amp;VAR:QUERY=RkZfUkRfRVhQKENBTCwzOTQ0NywsLCwp&amp;WINDOW=FIRST_POPUP&amp;HEIGHT=450&amp;WIDTH=450&amp;START_MAXIMI","ZED=FALSE&amp;VAR:CALENDAR=US&amp;VAR:SYMBOL=687044&amp;VAR:INDEX=0"}</definedName>
    <definedName name="_2798__FDSAUDITLINK__" hidden="1">{"fdsup://directions/FAT Viewer?action=UPDATE&amp;creator=factset&amp;DYN_ARGS=TRUE&amp;DOC_NAME=FAT:FQL_AUDITING_CLIENT_TEMPLATE.FAT&amp;display_string=Audit&amp;VAR:KEY=BMBQFCROBS&amp;VAR:QUERY=RkZfUkRfRVhQKENBTCwzOTA4MiwsLCwp&amp;WINDOW=FIRST_POPUP&amp;HEIGHT=450&amp;WIDTH=450&amp;START_MAXIMI","ZED=FALSE&amp;VAR:CALENDAR=US&amp;VAR:SYMBOL=687044&amp;VAR:INDEX=0"}</definedName>
    <definedName name="_2799__FDSAUDITLINK__" hidden="1">{"fdsup://directions/FAT Viewer?action=UPDATE&amp;creator=factset&amp;DYN_ARGS=TRUE&amp;DOC_NAME=FAT:FQL_AUDITING_CLIENT_TEMPLATE.FAT&amp;display_string=Audit&amp;VAR:KEY=PSVODMRWBK&amp;VAR:QUERY=RkZfUkRfRVhQKENBTCwzODcxNywsLCwp&amp;WINDOW=FIRST_POPUP&amp;HEIGHT=450&amp;WIDTH=450&amp;START_MAXIMI","ZED=FALSE&amp;VAR:CALENDAR=US&amp;VAR:SYMBOL=687044&amp;VAR:INDEX=0"}</definedName>
    <definedName name="_28__FDSAUDITLINK__" hidden="1">{"fdsup://directions/FAT%20Viewer?VAR:TM=NTMA&amp;VAR:PCT=0.750685&amp;VAR:Y0=2010&amp;VAR:Y1=2011&amp;VAR:V0=14.857565&amp;VAR:V1=12.419359&amp;VAR:V=14.164276&amp;VAR:AUDIT_ID=00000117&amp;VAR:DATE=20100401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Aggregates&amp;VAR:MEASURE=PE_MEAN&amp;VAR:CALC_MODE=PORTFOLIO&amp;VAR:CHGPERIOD=NA&amp;VAR:FQLFORMULA=FMA_PE&amp;VAR:CURRENCY=USD&amp;VAR:P=1","178.102625&amp;VAR:THRESH=||||||&amp;VAR:null=.html"}</definedName>
    <definedName name="_280__FDSAUDITLINK__" hidden="1">{"fdsup://directions/FAT%20Viewer?VAR:TM=NTMA&amp;VAR:PCT=0.578082&amp;VAR:Y0=2005&amp;VAR:Y1=2006&amp;VAR:V0=15.989245&amp;VAR:V1=14.577988&amp;VAR:V=15.361796&amp;VAR:AUDIT_ID=00000117&amp;VAR:DATE=20050603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Aggregates&amp;VAR:MEASURE=PE_MEAN&amp;VAR:CALC_MODE=PORTFOLIO&amp;VAR:CHGPERIOD=NA&amp;VAR:FQLFORMULA=FMA_PE&amp;VAR:CURRENCY=USD&amp;VAR:P=1","196.016000&amp;VAR:THRESH=||||||&amp;VAR:null=.html"}</definedName>
    <definedName name="_2800__FDSAUDITLINK__" hidden="1">{"fdsup://directions/FAT Viewer?action=UPDATE&amp;creator=factset&amp;DYN_ARGS=TRUE&amp;DOC_NAME=FAT:FQL_AUDITING_CLIENT_TEMPLATE.FAT&amp;display_string=Audit&amp;VAR:KEY=XETOTYBIDC&amp;VAR:QUERY=RkZfUkRfRVhQKENBTCwzODM1MiwsLCwp&amp;WINDOW=FIRST_POPUP&amp;HEIGHT=450&amp;WIDTH=450&amp;START_MAXIMI","ZED=FALSE&amp;VAR:CALENDAR=US&amp;VAR:SYMBOL=687044&amp;VAR:INDEX=0"}</definedName>
    <definedName name="_2801__FDSAUDITLINK__" hidden="1">{"fdsup://directions/FAT Viewer?action=UPDATE&amp;creator=factset&amp;DYN_ARGS=TRUE&amp;DOC_NAME=FAT:FQL_AUDITING_CLIENT_TEMPLATE.FAT&amp;display_string=Audit&amp;VAR:KEY=ZYDGDSXIPY&amp;VAR:QUERY=RkZfUkRfRVhQKENBTCwzNzk4NiwsLCwp&amp;WINDOW=FIRST_POPUP&amp;HEIGHT=450&amp;WIDTH=450&amp;START_MAXIMI","ZED=FALSE&amp;VAR:CALENDAR=US&amp;VAR:SYMBOL=687044&amp;VAR:INDEX=0"}</definedName>
    <definedName name="_2802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2803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2804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2805__FDSAUDITLINK__" hidden="1">{"fdsup://directions/FAT Viewer?action=UPDATE&amp;creator=factset&amp;DYN_ARGS=TRUE&amp;DOC_NAME=FAT:FQL_AUDITING_CLIENT_TEMPLATE.FAT&amp;display_string=Audit&amp;VAR:KEY=RSXSPYNOFE&amp;VAR:QUERY=RkZfUkRfRVhQKENBTCwzOTQ0NywsLCwp&amp;WINDOW=FIRST_POPUP&amp;HEIGHT=450&amp;WIDTH=450&amp;START_MAXIMI","ZED=FALSE&amp;VAR:CALENDAR=US&amp;VAR:SYMBOL=BMY&amp;VAR:INDEX=0"}</definedName>
    <definedName name="_2806__FDSAUDITLINK__" hidden="1">{"fdsup://directions/FAT Viewer?action=UPDATE&amp;creator=factset&amp;DYN_ARGS=TRUE&amp;DOC_NAME=FAT:FQL_AUDITING_CLIENT_TEMPLATE.FAT&amp;display_string=Audit&amp;VAR:KEY=LKDOVYBADY&amp;VAR:QUERY=RkZfUkRfRVhQKENBTCwzOTA4MiwsLCwp&amp;WINDOW=FIRST_POPUP&amp;HEIGHT=450&amp;WIDTH=450&amp;START_MAXIMI","ZED=FALSE&amp;VAR:CALENDAR=US&amp;VAR:SYMBOL=BMY&amp;VAR:INDEX=0"}</definedName>
    <definedName name="_2807__FDSAUDITLINK__" hidden="1">{"fdsup://directions/FAT Viewer?action=UPDATE&amp;creator=factset&amp;DYN_ARGS=TRUE&amp;DOC_NAME=FAT:FQL_AUDITING_CLIENT_TEMPLATE.FAT&amp;display_string=Audit&amp;VAR:KEY=LQFUHMHSHG&amp;VAR:QUERY=RkZfUkRfRVhQKENBTCwzODcxNywsLCwp&amp;WINDOW=FIRST_POPUP&amp;HEIGHT=450&amp;WIDTH=450&amp;START_MAXIMI","ZED=FALSE&amp;VAR:CALENDAR=US&amp;VAR:SYMBOL=BMY&amp;VAR:INDEX=0"}</definedName>
    <definedName name="_2808__FDSAUDITLINK__" hidden="1">{"fdsup://directions/FAT Viewer?action=UPDATE&amp;creator=factset&amp;DYN_ARGS=TRUE&amp;DOC_NAME=FAT:FQL_AUDITING_CLIENT_TEMPLATE.FAT&amp;display_string=Audit&amp;VAR:KEY=FQBKHMBUDK&amp;VAR:QUERY=RkZfUkRfRVhQKENBTCwzODM1MiwsLCwp&amp;WINDOW=FIRST_POPUP&amp;HEIGHT=450&amp;WIDTH=450&amp;START_MAXIMI","ZED=FALSE&amp;VAR:CALENDAR=US&amp;VAR:SYMBOL=BMY&amp;VAR:INDEX=0"}</definedName>
    <definedName name="_2809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281__FDSAUDITLINK__" hidden="1">{"fdsup://directions/FAT%20Viewer?VAR:TM=NTMA&amp;VAR:PCT=0.597260&amp;VAR:Y0=2005&amp;VAR:Y1=2006&amp;VAR:V0=16.008373&amp;VAR:V1=14.606574&amp;VAR:V=15.412657&amp;VAR:AUDIT_ID=00000117&amp;VAR:DATE=20050527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Aggregates&amp;VAR:MEASURE=PE_MEAN&amp;VAR:CALC_MODE=PORTFOLIO&amp;VAR:CHGPERIOD=NA&amp;VAR:FQLFORMULA=FMA_PE&amp;VAR:CURRENCY=USD&amp;VAR:P=1","198.783400&amp;VAR:THRESH=||||||&amp;VAR:null=.html"}</definedName>
    <definedName name="_2810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2811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2812__FDSAUDITLINK__" hidden="1">{"fdsup://directions/FAT Viewer?action=UPDATE&amp;creator=factset&amp;DYN_ARGS=TRUE&amp;DOC_NAME=FAT:FQL_AUDITING_CLIENT_TEMPLATE.FAT&amp;display_string=Audit&amp;VAR:KEY=HEPKDCHMJW&amp;VAR:QUERY=RkZfUkRfRVhQKENBTCwzOTQ0NywsLCwp&amp;WINDOW=FIRST_POPUP&amp;HEIGHT=450&amp;WIDTH=450&amp;START_MAXIMI","ZED=FALSE&amp;VAR:CALENDAR=US&amp;VAR:SYMBOL=LLY&amp;VAR:INDEX=0"}</definedName>
    <definedName name="_2813__FDSAUDITLINK__" hidden="1">{"fdsup://directions/FAT Viewer?action=UPDATE&amp;creator=factset&amp;DYN_ARGS=TRUE&amp;DOC_NAME=FAT:FQL_AUDITING_CLIENT_TEMPLATE.FAT&amp;display_string=Audit&amp;VAR:KEY=FENANCDSZW&amp;VAR:QUERY=RkZfUkRfRVhQKENBTCwzOTA4MiwsLCwp&amp;WINDOW=FIRST_POPUP&amp;HEIGHT=450&amp;WIDTH=450&amp;START_MAXIMI","ZED=FALSE&amp;VAR:CALENDAR=US&amp;VAR:SYMBOL=LLY&amp;VAR:INDEX=0"}</definedName>
    <definedName name="_2814__FDSAUDITLINK__" hidden="1">{"fdsup://directions/FAT Viewer?action=UPDATE&amp;creator=factset&amp;DYN_ARGS=TRUE&amp;DOC_NAME=FAT:FQL_AUDITING_CLIENT_TEMPLATE.FAT&amp;display_string=Audit&amp;VAR:KEY=BUFUPIJOPY&amp;VAR:QUERY=RkZfUkRfRVhQKENBTCwzODcxNywsLCwp&amp;WINDOW=FIRST_POPUP&amp;HEIGHT=450&amp;WIDTH=450&amp;START_MAXIMI","ZED=FALSE&amp;VAR:CALENDAR=US&amp;VAR:SYMBOL=LLY&amp;VAR:INDEX=0"}</definedName>
    <definedName name="_2815__FDSAUDITLINK__" hidden="1">{"fdsup://directions/FAT Viewer?action=UPDATE&amp;creator=factset&amp;DYN_ARGS=TRUE&amp;DOC_NAME=FAT:FQL_AUDITING_CLIENT_TEMPLATE.FAT&amp;display_string=Audit&amp;VAR:KEY=FITARQDYHC&amp;VAR:QUERY=RkZfUkRfRVhQKENBTCwzODM1MiwsLCwp&amp;WINDOW=FIRST_POPUP&amp;HEIGHT=450&amp;WIDTH=450&amp;START_MAXIMI","ZED=FALSE&amp;VAR:CALENDAR=US&amp;VAR:SYMBOL=LLY&amp;VAR:INDEX=0"}</definedName>
    <definedName name="_2816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2817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2818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2819__FDSAUDITLINK__" hidden="1">{"fdsup://directions/FAT Viewer?action=UPDATE&amp;creator=factset&amp;DYN_ARGS=TRUE&amp;DOC_NAME=FAT:FQL_AUDITING_CLIENT_TEMPLATE.FAT&amp;display_string=Audit&amp;VAR:KEY=RWDWLABEJW&amp;VAR:QUERY=RkZfUkRfRVhQKENBTCwzOTQ0NywsLCwp&amp;WINDOW=FIRST_POPUP&amp;HEIGHT=450&amp;WIDTH=450&amp;START_MAXIMI","ZED=FALSE&amp;VAR:CALENDAR=US&amp;VAR:SYMBOL=506921&amp;VAR:INDEX=0"}</definedName>
    <definedName name="_282__FDSAUDITLINK__" hidden="1">{"fdsup://directions/FAT%20Viewer?VAR:TM=NTMA&amp;VAR:PCT=0.616438&amp;VAR:Y0=2005&amp;VAR:Y1=2006&amp;VAR:V0=15.866772&amp;VAR:V1=14.477743&amp;VAR:V=15.303602&amp;VAR:AUDIT_ID=00000117&amp;VAR:DATE=20050520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Aggregates&amp;VAR:MEASURE=PE_MEAN&amp;VAR:CALC_MODE=PORTFOLIO&amp;VAR:CHGPERIOD=NA&amp;VAR:FQLFORMULA=FMA_PE&amp;VAR:CURRENCY=USD&amp;VAR:P=1","189.278000&amp;VAR:THRESH=||||||&amp;VAR:null=.html"}</definedName>
    <definedName name="_2820__FDSAUDITLINK__" hidden="1">{"fdsup://directions/FAT Viewer?action=UPDATE&amp;creator=factset&amp;DYN_ARGS=TRUE&amp;DOC_NAME=FAT:FQL_AUDITING_CLIENT_TEMPLATE.FAT&amp;display_string=Audit&amp;VAR:KEY=FGJCBIHEHA&amp;VAR:QUERY=RkZfUkRfRVhQKENBTCwzOTA4MiwsLCwp&amp;WINDOW=FIRST_POPUP&amp;HEIGHT=450&amp;WIDTH=450&amp;START_MAXIMI","ZED=FALSE&amp;VAR:CALENDAR=US&amp;VAR:SYMBOL=506921&amp;VAR:INDEX=0"}</definedName>
    <definedName name="_2821__FDSAUDITLINK__" hidden="1">{"fdsup://directions/FAT Viewer?action=UPDATE&amp;creator=factset&amp;DYN_ARGS=TRUE&amp;DOC_NAME=FAT:FQL_AUDITING_CLIENT_TEMPLATE.FAT&amp;display_string=Audit&amp;VAR:KEY=BYZCRITIBW&amp;VAR:QUERY=RkZfUkRfRVhQKENBTCwzODcxNywsLCwp&amp;WINDOW=FIRST_POPUP&amp;HEIGHT=450&amp;WIDTH=450&amp;START_MAXIMI","ZED=FALSE&amp;VAR:CALENDAR=US&amp;VAR:SYMBOL=506921&amp;VAR:INDEX=0"}</definedName>
    <definedName name="_2822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2823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2824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2825__FDSAUDITLINK__" hidden="1">{"fdsup://directions/FAT Viewer?action=UPDATE&amp;creator=factset&amp;DYN_ARGS=TRUE&amp;DOC_NAME=FAT:FQL_AUDITING_CLIENT_TEMPLATE.FAT&amp;display_string=Audit&amp;VAR:KEY=RWLEDIBETI&amp;VAR:QUERY=RkZfUkRfRVhQKENBTCwzOTQ0NywsLCwp&amp;WINDOW=FIRST_POPUP&amp;HEIGHT=450&amp;WIDTH=450&amp;START_MAXIMI","ZED=FALSE&amp;VAR:CALENDAR=US&amp;VAR:SYMBOL=567173&amp;VAR:INDEX=0"}</definedName>
    <definedName name="_2826__FDSAUDITLINK__" hidden="1">{"fdsup://directions/FAT Viewer?action=UPDATE&amp;creator=factset&amp;DYN_ARGS=TRUE&amp;DOC_NAME=FAT:FQL_AUDITING_CLIENT_TEMPLATE.FAT&amp;display_string=Audit&amp;VAR:KEY=VWPMVGBIVA&amp;VAR:QUERY=RkZfUkRfRVhQKENBTCwzOTA4MiwsLCwp&amp;WINDOW=FIRST_POPUP&amp;HEIGHT=450&amp;WIDTH=450&amp;START_MAXIMI","ZED=FALSE&amp;VAR:CALENDAR=US&amp;VAR:SYMBOL=567173&amp;VAR:INDEX=0"}</definedName>
    <definedName name="_2827__FDSAUDITLINK__" hidden="1">{"fdsup://directions/FAT Viewer?action=UPDATE&amp;creator=factset&amp;DYN_ARGS=TRUE&amp;DOC_NAME=FAT:FQL_AUDITING_CLIENT_TEMPLATE.FAT&amp;display_string=Audit&amp;VAR:KEY=ZGNEJWTYPU&amp;VAR:QUERY=RkZfUkRfRVhQKENBTCwzODcxNywsLCwp&amp;WINDOW=FIRST_POPUP&amp;HEIGHT=450&amp;WIDTH=450&amp;START_MAXIMI","ZED=FALSE&amp;VAR:CALENDAR=US&amp;VAR:SYMBOL=567173&amp;VAR:INDEX=0"}</definedName>
    <definedName name="_2828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2829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283__FDSAUDITLINK__" hidden="1">{"fdsup://directions/FAT%20Viewer?VAR:TM=NTMA&amp;VAR:PCT=0.635616&amp;VAR:Y0=2005&amp;VAR:Y1=2006&amp;VAR:V0=15.379389&amp;VAR:V1=14.052899&amp;VAR:V=14.868002&amp;VAR:AUDIT_ID=00000117&amp;VAR:DATE=20050513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Aggregates&amp;VAR:MEASURE=PE_MEAN&amp;VAR:CALC_MODE=PORTFOLIO&amp;VAR:CHGPERIOD=NA&amp;VAR:FQLFORMULA=FMA_PE&amp;VAR:CURRENCY=USD&amp;VAR:P=1","154.051300&amp;VAR:THRESH=||||||&amp;VAR:null=.html"}</definedName>
    <definedName name="_2830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2831__FDSAUDITLINK__" hidden="1">{"fdsup://directions/FAT Viewer?action=UPDATE&amp;creator=factset&amp;DYN_ARGS=TRUE&amp;DOC_NAME=FAT:FQL_AUDITING_CLIENT_TEMPLATE.FAT&amp;display_string=Audit&amp;VAR:KEY=FYLUREVORG&amp;VAR:QUERY=RkZfUkRfRVhQKENBTCwzOTQ0NywsLCwp&amp;WINDOW=FIRST_POPUP&amp;HEIGHT=450&amp;WIDTH=450&amp;START_MAXIMI","ZED=FALSE&amp;VAR:CALENDAR=US&amp;VAR:SYMBOL=JNJ&amp;VAR:INDEX=0"}</definedName>
    <definedName name="_2832__FDSAUDITLINK__" hidden="1">{"fdsup://directions/FAT Viewer?action=UPDATE&amp;creator=factset&amp;DYN_ARGS=TRUE&amp;DOC_NAME=FAT:FQL_AUDITING_CLIENT_TEMPLATE.FAT&amp;display_string=Audit&amp;VAR:KEY=BUPWHWVEFO&amp;VAR:QUERY=RkZfUkRfRVhQKENBTCwzOTA4MiwsLCwp&amp;WINDOW=FIRST_POPUP&amp;HEIGHT=450&amp;WIDTH=450&amp;START_MAXIMI","ZED=FALSE&amp;VAR:CALENDAR=US&amp;VAR:SYMBOL=JNJ&amp;VAR:INDEX=0"}</definedName>
    <definedName name="_2833__FDSAUDITLINK__" hidden="1">{"fdsup://directions/FAT Viewer?action=UPDATE&amp;creator=factset&amp;DYN_ARGS=TRUE&amp;DOC_NAME=FAT:FQL_AUDITING_CLIENT_TEMPLATE.FAT&amp;display_string=Audit&amp;VAR:KEY=BIZGFAZSLE&amp;VAR:QUERY=RkZfUkRfRVhQKENBTCwzODcxNywsLCwp&amp;WINDOW=FIRST_POPUP&amp;HEIGHT=450&amp;WIDTH=450&amp;START_MAXIMI","ZED=FALSE&amp;VAR:CALENDAR=US&amp;VAR:SYMBOL=JNJ&amp;VAR:INDEX=0"}</definedName>
    <definedName name="_2834__FDSAUDITLINK__" hidden="1">{"fdsup://directions/FAT Viewer?action=UPDATE&amp;creator=factset&amp;DYN_ARGS=TRUE&amp;DOC_NAME=FAT:FQL_AUDITING_CLIENT_TEMPLATE.FAT&amp;display_string=Audit&amp;VAR:KEY=FQZEXGVUHG&amp;VAR:QUERY=RkZfUkRfRVhQKENBTCwzODM1MiwsLCwp&amp;WINDOW=FIRST_POPUP&amp;HEIGHT=450&amp;WIDTH=450&amp;START_MAXIMI","ZED=FALSE&amp;VAR:CALENDAR=US&amp;VAR:SYMBOL=JNJ&amp;VAR:INDEX=0"}</definedName>
    <definedName name="_2835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2836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2837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2838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2839__FDSAUDITLINK__" hidden="1">{"fdsup://directions/FAT Viewer?action=UPDATE&amp;creator=factset&amp;DYN_ARGS=TRUE&amp;DOC_NAME=FAT:FQL_AUDITING_CLIENT_TEMPLATE.FAT&amp;display_string=Audit&amp;VAR:KEY=BAPYPCNOVG&amp;VAR:QUERY=RkZfUkRfRVhQKENBTCwzOTA4MiwsLCwp&amp;WINDOW=FIRST_POPUP&amp;HEIGHT=450&amp;WIDTH=450&amp;START_MAXIMI","ZED=FALSE&amp;VAR:CALENDAR=US&amp;VAR:SYMBOL=710306&amp;VAR:INDEX=0"}</definedName>
    <definedName name="_284__FDSAUDITLINK__" hidden="1">{"fdsup://directions/FAT%20Viewer?VAR:TM=NTMA&amp;VAR:PCT=0.654795&amp;VAR:Y0=2005&amp;VAR:Y1=2006&amp;VAR:V0=15.639768&amp;VAR:V1=14.282685&amp;VAR:V=15.143075&amp;VAR:AUDIT_ID=00000117&amp;VAR:DATE=20050506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Aggregates&amp;VAR:MEASURE=PE_MEAN&amp;VAR:CALC_MODE=PORTFOLIO&amp;VAR:CHGPERIOD=NA&amp;VAR:FQLFORMULA=FMA_PE&amp;VAR:CURRENCY=USD&amp;VAR:P=1","171.345300&amp;VAR:THRESH=||||||&amp;VAR:null=.html"}</definedName>
    <definedName name="_2840__FDSAUDITLINK__" hidden="1">{"fdsup://directions/FAT Viewer?action=UPDATE&amp;creator=factset&amp;DYN_ARGS=TRUE&amp;DOC_NAME=FAT:FQL_AUDITING_CLIENT_TEMPLATE.FAT&amp;display_string=Audit&amp;VAR:KEY=VKXURALSNK&amp;VAR:QUERY=RkZfUkRfRVhQKENBTCwzODcxNywsLCwp&amp;WINDOW=FIRST_POPUP&amp;HEIGHT=450&amp;WIDTH=450&amp;START_MAXIMI","ZED=FALSE&amp;VAR:CALENDAR=US&amp;VAR:SYMBOL=710306&amp;VAR:INDEX=0"}</definedName>
    <definedName name="_2841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2842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2843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2844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2845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2846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2847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2848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2849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285__FDSAUDITLINK__" hidden="1">{"fdsup://directions/FAT%20Viewer?VAR:TM=NTMA&amp;VAR:PCT=0.673973&amp;VAR:Y0=2005&amp;VAR:Y1=2006&amp;VAR:V0=15.441839&amp;VAR:V1=14.109818&amp;VAR:V=14.980758&amp;VAR:AUDIT_ID=00000117&amp;VAR:DATE=20050429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Aggregates&amp;VAR:MEASURE=PE_MEAN&amp;VAR:CALC_MODE=PORTFOLIO&amp;VAR:CHGPERIOD=NA&amp;VAR:FQLFORMULA=FMA_PE&amp;VAR:CURRENCY=USD&amp;VAR:P=1","156.847500&amp;VAR:THRESH=||||||&amp;VAR:null=.html"}</definedName>
    <definedName name="_2850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2851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2852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2853__FDSAUDITLINK__" hidden="1">{"fdsup://directions/FAT Viewer?action=UPDATE&amp;creator=factset&amp;DYN_ARGS=TRUE&amp;DOC_NAME=FAT:FQL_AUDITING_CLIENT_TEMPLATE.FAT&amp;display_string=Audit&amp;VAR:KEY=LSNMLEBONA&amp;VAR:QUERY=RkZfUkRfRVhQKENBTCwzOTQ0NywsLCwp&amp;WINDOW=FIRST_POPUP&amp;HEIGHT=450&amp;WIDTH=450&amp;START_MAXIMI","ZED=FALSE&amp;VAR:CALENDAR=US&amp;VAR:SYMBOL=MRK&amp;VAR:INDEX=0"}</definedName>
    <definedName name="_2854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2855__FDSAUDITLINK__" hidden="1">{"fdsup://directions/FAT Viewer?action=UPDATE&amp;creator=factset&amp;DYN_ARGS=TRUE&amp;DOC_NAME=FAT:FQL_AUDITING_CLIENT_TEMPLATE.FAT&amp;display_string=Audit&amp;VAR:KEY=NMHYXIZERM&amp;VAR:QUERY=RkZfUkRfRVhQKENBTCwzOTA4MiwsLCwp&amp;WINDOW=FIRST_POPUP&amp;HEIGHT=450&amp;WIDTH=450&amp;START_MAXIMI","ZED=FALSE&amp;VAR:CALENDAR=US&amp;VAR:SYMBOL=MRK&amp;VAR:INDEX=0"}</definedName>
    <definedName name="_2856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2857__FDSAUDITLINK__" hidden="1">{"fdsup://directions/FAT Viewer?action=UPDATE&amp;creator=factset&amp;DYN_ARGS=TRUE&amp;DOC_NAME=FAT:FQL_AUDITING_CLIENT_TEMPLATE.FAT&amp;display_string=Audit&amp;VAR:KEY=HIHQXGPWVE&amp;VAR:QUERY=RkZfUkRfRVhQKENBTCwzODcxNywsLCwp&amp;WINDOW=FIRST_POPUP&amp;HEIGHT=450&amp;WIDTH=450&amp;START_MAXIMI","ZED=FALSE&amp;VAR:CALENDAR=US&amp;VAR:SYMBOL=MRK&amp;VAR:INDEX=0"}</definedName>
    <definedName name="_2858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2859__FDSAUDITLINK__" hidden="1">{"fdsup://directions/FAT Viewer?action=UPDATE&amp;creator=factset&amp;DYN_ARGS=TRUE&amp;DOC_NAME=FAT:FQL_AUDITING_CLIENT_TEMPLATE.FAT&amp;display_string=Audit&amp;VAR:KEY=BILIDIROZO&amp;VAR:QUERY=RkZfUkRfRVhQKENBTCwzODM1MiwsLCwp&amp;WINDOW=FIRST_POPUP&amp;HEIGHT=450&amp;WIDTH=450&amp;START_MAXIMI","ZED=FALSE&amp;VAR:CALENDAR=US&amp;VAR:SYMBOL=MRK&amp;VAR:INDEX=0"}</definedName>
    <definedName name="_286__FDSAUDITLINK__" hidden="1">{"fdsup://directions/FAT%20Viewer?VAR:TM=NTMA&amp;VAR:PCT=0.693151&amp;VAR:Y0=2005&amp;VAR:Y1=2006&amp;VAR:V0=15.435179&amp;VAR:V1=14.081199&amp;VAR:V=14.992814&amp;VAR:AUDIT_ID=00000117&amp;VAR:DATE=20050422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Aggregates&amp;VAR:MEASURE=PE_MEAN&amp;VAR:CALC_MODE=PORTFOLIO&amp;VAR:CHGPERIOD=NA&amp;VAR:FQLFORMULA=FMA_PE&amp;VAR:CURRENCY=USD&amp;VAR:P=1","152.122100&amp;VAR:THRESH=||||||&amp;VAR:null=.html"}</definedName>
    <definedName name="_2860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2861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2862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2863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2864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2865__FDSAUDITLINK__" hidden="1">{"fdsup://directions/FAT Viewer?action=UPDATE&amp;creator=factset&amp;DYN_ARGS=TRUE&amp;DOC_NAME=FAT:FQL_AUDITING_CLIENT_TEMPLATE.FAT&amp;display_string=Audit&amp;VAR:KEY=TEDKTITIXA&amp;VAR:QUERY=RkZfUkRfRVhQKENBTCwzOTQ0NywsLCwp&amp;WINDOW=FIRST_POPUP&amp;HEIGHT=450&amp;WIDTH=450&amp;START_MAXIMI","ZED=FALSE&amp;VAR:CALENDAR=US&amp;VAR:SYMBOL=PFE&amp;VAR:INDEX=0"}</definedName>
    <definedName name="_2866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2867__FDSAUDITLINK__" hidden="1">{"fdsup://directions/FAT Viewer?action=UPDATE&amp;creator=factset&amp;DYN_ARGS=TRUE&amp;DOC_NAME=FAT:FQL_AUDITING_CLIENT_TEMPLATE.FAT&amp;display_string=Audit&amp;VAR:KEY=VOPUPSJQLI&amp;VAR:QUERY=RkZfUkRfRVhQKENBTCwzOTA4MiwsLCwp&amp;WINDOW=FIRST_POPUP&amp;HEIGHT=450&amp;WIDTH=450&amp;START_MAXIMI","ZED=FALSE&amp;VAR:CALENDAR=US&amp;VAR:SYMBOL=PFE&amp;VAR:INDEX=0"}</definedName>
    <definedName name="_2868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2869__FDSAUDITLINK__" hidden="1">{"fdsup://directions/FAT Viewer?action=UPDATE&amp;creator=factset&amp;DYN_ARGS=TRUE&amp;DOC_NAME=FAT:FQL_AUDITING_CLIENT_TEMPLATE.FAT&amp;display_string=Audit&amp;VAR:KEY=DUZANORCZM&amp;VAR:QUERY=RkZfUkRfRVhQKENBTCwzODcxNywsLCwp&amp;WINDOW=FIRST_POPUP&amp;HEIGHT=450&amp;WIDTH=450&amp;START_MAXIMI","ZED=FALSE&amp;VAR:CALENDAR=US&amp;VAR:SYMBOL=PFE&amp;VAR:INDEX=0"}</definedName>
    <definedName name="_287__FDSAUDITLINK__" hidden="1">{"fdsup://directions/FAT%20Viewer?VAR:TM=NTMA&amp;VAR:PCT=0.712329&amp;VAR:Y0=2005&amp;VAR:Y1=2006&amp;VAR:V0=15.370179&amp;VAR:V1=13.954372&amp;VAR:V=14.934291&amp;VAR:AUDIT_ID=00000117&amp;VAR:DATE=20050415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Aggregates&amp;VAR:MEASURE=PE_MEAN&amp;VAR:CALC_MODE=PORTFOLIO&amp;VAR:CHGPERIOD=NA&amp;VAR:FQLFORMULA=FMA_PE&amp;VAR:CURRENCY=USD&amp;VAR:P=1","142.624400&amp;VAR:THRESH=||||||&amp;VAR:null=.html"}</definedName>
    <definedName name="_2870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2871__FDSAUDITLINK__" hidden="1">{"fdsup://directions/FAT Viewer?action=UPDATE&amp;creator=factset&amp;DYN_ARGS=TRUE&amp;DOC_NAME=FAT:FQL_AUDITING_CLIENT_TEMPLATE.FAT&amp;display_string=Audit&amp;VAR:KEY=BETMVWVSBG&amp;VAR:QUERY=RkZfUkRfRVhQKENBTCwzODM1MiwsLCwp&amp;WINDOW=FIRST_POPUP&amp;HEIGHT=450&amp;WIDTH=450&amp;START_MAXIMI","ZED=FALSE&amp;VAR:CALENDAR=US&amp;VAR:SYMBOL=PFE&amp;VAR:INDEX=0"}</definedName>
    <definedName name="_2872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2873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2874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2875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2876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2877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2878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2879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288__FDSAUDITLINK__" hidden="1">{"fdsup://directions/FAT%20Viewer?VAR:TM=NTMA&amp;VAR:PCT=0.731507&amp;VAR:Y0=2005&amp;VAR:Y1=2006&amp;VAR:V0=15.863975&amp;VAR:V1=14.407636&amp;VAR:V=15.444810&amp;VAR:AUDIT_ID=00000117&amp;VAR:DATE=20050408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Aggregates&amp;VAR:MEASURE=PE_MEAN&amp;VAR:CALC_MODE=PORTFOLIO&amp;VAR:CHGPERIOD=NA&amp;VAR:FQLFORMULA=FMA_PE&amp;VAR:CURRENCY=USD&amp;VAR:P=1","181.197300&amp;VAR:THRESH=||||||&amp;VAR:null=.html"}</definedName>
    <definedName name="_2880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2881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2882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2883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2884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2885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2886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2887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2888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2889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289__FDSAUDITLINK__" hidden="1">{"fdsup://directions/FAT%20Viewer?VAR:TM=NTMA&amp;VAR:PCT=0.750685&amp;VAR:Y0=2005&amp;VAR:Y1=2006&amp;VAR:V0=15.740828&amp;VAR:V1=14.270354&amp;VAR:V=15.346569&amp;VAR:AUDIT_ID=00000117&amp;VAR:DATE=20050401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Aggregates&amp;VAR:MEASURE=PE_MEAN&amp;VAR:CALC_MODE=PORTFOLIO&amp;VAR:CHGPERIOD=NA&amp;VAR:FQLFORMULA=FMA_PE&amp;VAR:CURRENCY=USD&amp;VAR:P=1","172.920900&amp;VAR:THRESH=||||||&amp;VAR:null=.html"}</definedName>
    <definedName name="_2890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2891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2892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2893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2894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2895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2896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2897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2898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2899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29__FDSAUDITLINK__" hidden="1">{"fdsup://directions/FAT%20Viewer?VAR:TM=NTMA&amp;VAR:PCT=0.767123&amp;VAR:Y0=2010&amp;VAR:Y1=2011&amp;VAR:V0=14.729502&amp;VAR:V1=12.309947&amp;VAR:V=14.084804&amp;VAR:AUDIT_ID=00000117&amp;VAR:DATE=20100326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Aggregates&amp;VAR:MEASURE=PE_MEAN&amp;VAR:CALC_MODE=PORTFOLIO&amp;VAR:CHGPERIOD=NA&amp;VAR:FQLFORMULA=FMA_PE&amp;VAR:CURRENCY=USD&amp;VAR:P=1","166.588592&amp;VAR:THRESH=||||||&amp;VAR:null=.html"}</definedName>
    <definedName name="_290__FDSAUDITLINK__" hidden="1">{"fdsup://directions/FAT%20Viewer?VAR:TM=NTMA&amp;VAR:PCT=0.772603&amp;VAR:Y0=2005&amp;VAR:Y1=2006&amp;VAR:V0=15.778418&amp;VAR:V1=14.293414&amp;VAR:V=15.414252&amp;VAR:AUDIT_ID=00000117&amp;VAR:DATE=20050324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Aggregates&amp;VAR:MEASURE=PE_MEAN&amp;VAR:CALC_MODE=PORTFOLIO&amp;VAR:CHGPERIOD=NA&amp;VAR:FQLFORMULA=FMA_PE&amp;VAR:CURRENCY=USD&amp;VAR:P=1","171.418300&amp;VAR:THRESH=||||||&amp;VAR:null=.html"}</definedName>
    <definedName name="_2900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2901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2902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2903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2904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2905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2906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2907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2908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2909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291__FDSAUDITLINK__" hidden="1">{"fdsup://directions/FAT%20Viewer?VAR:TM=NTMA&amp;VAR:PCT=0.789041&amp;VAR:Y0=2005&amp;VAR:Y1=2006&amp;VAR:V0=16.018589&amp;VAR:V1=14.527441&amp;VAR:V=15.679081&amp;VAR:AUDIT_ID=00000117&amp;VAR:DATE=20050318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Aggregates&amp;VAR:MEASURE=PE_MEAN&amp;VAR:CALC_MODE=PORTFOLIO&amp;VAR:CHGPERIOD=NA&amp;VAR:FQLFORMULA=FMA_PE&amp;VAR:CURRENCY=USD&amp;VAR:P=1","189.645400&amp;VAR:THRESH=||||||&amp;VAR:null=.html"}</definedName>
    <definedName name="_2910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2911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2912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2913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2914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2915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2916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2917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2918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2919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292__FDSAUDITLINK__" hidden="1">{"fdsup://directions/FAT%20Viewer?VAR:TM=NTMA&amp;VAR:PCT=0.808219&amp;VAR:Y0=2005&amp;VAR:Y1=2006&amp;VAR:V0=16.172634&amp;VAR:V1=14.655284&amp;VAR:V=15.857759&amp;VAR:AUDIT_ID=00000117&amp;VAR:DATE=20050311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Aggregates&amp;VAR:MEASURE=PE_MEAN&amp;VAR:CALC_MODE=PORTFOLIO&amp;VAR:CHGPERIOD=NA&amp;VAR:FQLFORMULA=FMA_PE&amp;VAR:CURRENCY=USD&amp;VAR:P=1","200.075200&amp;VAR:THRESH=||||||&amp;VAR:null=.html"}</definedName>
    <definedName name="_2920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2921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2922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2923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2924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2925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2926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2927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2928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2929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293__FDSAUDITLINK__" hidden="1">{"fdsup://directions/FAT%20Viewer?VAR:TM=NTMA&amp;VAR:PCT=0.827397&amp;VAR:Y0=2005&amp;VAR:Y1=2006&amp;VAR:V0=16.486818&amp;VAR:V1=14.950463&amp;VAR:V=16.199485&amp;VAR:AUDIT_ID=00000117&amp;VAR:DATE=20050304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Aggregates&amp;VAR:MEASURE=PE_MEAN&amp;VAR:CALC_MODE=PORTFOLIO&amp;VAR:CHGPERIOD=NA&amp;VAR:FQLFORMULA=FMA_PE&amp;VAR:CURRENCY=USD&amp;VAR:P=1","222.124500&amp;VAR:THRESH=||||||&amp;VAR:null=.html"}</definedName>
    <definedName name="_2930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2931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2932__FDSAUDITLINK__" hidden="1">{"fdsup://directions/FAT Viewer?action=UPDATE&amp;creator=factset&amp;DYN_ARGS=TRUE&amp;DOC_NAME=FAT:FQL_AUDITING_CLIENT_TEMPLATE.FAT&amp;display_string=Audit&amp;VAR:KEY=LYPQBETAZS&amp;VAR:QUERY=RkZfU0FMRVMoQ0FMLDM5NDQ3LCwsLCk=&amp;WINDOW=FIRST_POPUP&amp;HEIGHT=450&amp;WIDTH=450&amp;START_MAXIMI","ZED=FALSE&amp;VAR:CALENDAR=US&amp;VAR:SYMBOL=BIIB&amp;VAR:INDEX=0"}</definedName>
    <definedName name="_2933__FDSAUDITLINK__" hidden="1">{"fdsup://directions/FAT Viewer?action=UPDATE&amp;creator=factset&amp;DYN_ARGS=TRUE&amp;DOC_NAME=FAT:FQL_AUDITING_CLIENT_TEMPLATE.FAT&amp;display_string=Audit&amp;VAR:KEY=ZELAFGHURE&amp;VAR:QUERY=RkZfU0FMRVMoQ0FMLDM5MDgyLCwsLCk=&amp;WINDOW=FIRST_POPUP&amp;HEIGHT=450&amp;WIDTH=450&amp;START_MAXIMI","ZED=FALSE&amp;VAR:CALENDAR=US&amp;VAR:SYMBOL=BIIB&amp;VAR:INDEX=0"}</definedName>
    <definedName name="_2934__FDSAUDITLINK__" hidden="1">{"fdsup://directions/FAT Viewer?action=UPDATE&amp;creator=factset&amp;DYN_ARGS=TRUE&amp;DOC_NAME=FAT:FQL_AUDITING_CLIENT_TEMPLATE.FAT&amp;display_string=Audit&amp;VAR:KEY=JEJEDARGZU&amp;VAR:QUERY=RkZfU0FMRVMoQ0FMLDM4NzE3LCwsLCk=&amp;WINDOW=FIRST_POPUP&amp;HEIGHT=450&amp;WIDTH=450&amp;START_MAXIMI","ZED=FALSE&amp;VAR:CALENDAR=US&amp;VAR:SYMBOL=BIIB&amp;VAR:INDEX=0"}</definedName>
    <definedName name="_2935__FDSAUDITLINK__" hidden="1">{"fdsup://directions/FAT Viewer?action=UPDATE&amp;creator=factset&amp;DYN_ARGS=TRUE&amp;DOC_NAME=FAT:FQL_AUDITING_CLIENT_TEMPLATE.FAT&amp;display_string=Audit&amp;VAR:KEY=BGRMFOVODW&amp;VAR:QUERY=RkZfU0FMRVMoQ0FMLDM4MzUyLCwsLCk=&amp;WINDOW=FIRST_POPUP&amp;HEIGHT=450&amp;WIDTH=450&amp;START_MAXIMI","ZED=FALSE&amp;VAR:CALENDAR=US&amp;VAR:SYMBOL=BIIB&amp;VAR:INDEX=0"}</definedName>
    <definedName name="_2936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2937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2938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2939__FDSAUDITLINK__" hidden="1">{"fdsup://directions/FAT Viewer?action=UPDATE&amp;creator=factset&amp;DYN_ARGS=TRUE&amp;DOC_NAME=FAT:FQL_AUDITING_CLIENT_TEMPLATE.FAT&amp;display_string=Audit&amp;VAR:KEY=VWHYNKZKRG&amp;VAR:QUERY=RkZfU0FMRVMoQ0FMLDM5NDQ3LCwsLCk=&amp;WINDOW=FIRST_POPUP&amp;HEIGHT=450&amp;WIDTH=450&amp;START_MAXIMI","ZED=FALSE&amp;VAR:CALENDAR=US&amp;VAR:SYMBOL=707752&amp;VAR:INDEX=0"}</definedName>
    <definedName name="_294__FDSAUDITLINK__" hidden="1">{"fdsup://directions/FAT%20Viewer?VAR:TM=NTMA&amp;VAR:PCT=0.846575&amp;VAR:Y0=2005&amp;VAR:Y1=2006&amp;VAR:V0=16.344890&amp;VAR:V1=14.838213&amp;VAR:V=16.094162&amp;VAR:AUDIT_ID=00000117&amp;VAR:DATE=20050225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Aggregates&amp;VAR:MEASURE=PE_MEAN&amp;VAR:CALC_MODE=PORTFOLIO&amp;VAR:CHGPERIOD=NA&amp;VAR:FQLFORMULA=FMA_PE&amp;VAR:CURRENCY=USD&amp;VAR:P=1","211.365800&amp;VAR:THRESH=||||||&amp;VAR:null=.html"}</definedName>
    <definedName name="_2940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2941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2942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2943__FDSAUDITLINK__" hidden="1">{"fdsup://directions/FAT Viewer?action=UPDATE&amp;creator=factset&amp;DYN_ARGS=TRUE&amp;DOC_NAME=FAT:FQL_AUDITING_CLIENT_TEMPLATE.FAT&amp;display_string=Audit&amp;VAR:KEY=RYPORYFIJI&amp;VAR:QUERY=RkZfU0FMRVMoQ0FMLDM5NDQ3LCwsLCk=&amp;WINDOW=FIRST_POPUP&amp;HEIGHT=450&amp;WIDTH=450&amp;START_MAXIMI","ZED=FALSE&amp;VAR:CALENDAR=US&amp;VAR:SYMBOL=630720&amp;VAR:INDEX=0"}</definedName>
    <definedName name="_2944__FDSAUDITLINK__" hidden="1">{"fdsup://directions/FAT Viewer?action=UPDATE&amp;creator=factset&amp;DYN_ARGS=TRUE&amp;DOC_NAME=FAT:FQL_AUDITING_CLIENT_TEMPLATE.FAT&amp;display_string=Audit&amp;VAR:KEY=XOXAFQPQBU&amp;VAR:QUERY=RkZfU0FMRVMoQ0FMLDM5MDgyLCwsLCk=&amp;WINDOW=FIRST_POPUP&amp;HEIGHT=450&amp;WIDTH=450&amp;START_MAXIMI","ZED=FALSE&amp;VAR:CALENDAR=US&amp;VAR:SYMBOL=630720&amp;VAR:INDEX=0"}</definedName>
    <definedName name="_2945__FDSAUDITLINK__" hidden="1">{"fdsup://directions/FAT Viewer?action=UPDATE&amp;creator=factset&amp;DYN_ARGS=TRUE&amp;DOC_NAME=FAT:FQL_AUDITING_CLIENT_TEMPLATE.FAT&amp;display_string=Audit&amp;VAR:KEY=RWPCRWLQPE&amp;VAR:QUERY=RkZfU0FMRVMoQ0FMLDM4NzE3LCwsLCk=&amp;WINDOW=FIRST_POPUP&amp;HEIGHT=450&amp;WIDTH=450&amp;START_MAXIMI","ZED=FALSE&amp;VAR:CALENDAR=US&amp;VAR:SYMBOL=630720&amp;VAR:INDEX=0"}</definedName>
    <definedName name="_2946__FDSAUDITLINK__" hidden="1">{"fdsup://directions/FAT Viewer?action=UPDATE&amp;creator=factset&amp;DYN_ARGS=TRUE&amp;DOC_NAME=FAT:FQL_AUDITING_CLIENT_TEMPLATE.FAT&amp;display_string=Audit&amp;VAR:KEY=HMVSNIBYDY&amp;VAR:QUERY=RkZfU0FMRVMoQ0FMLDM4MzUyLCwsLCk=&amp;WINDOW=FIRST_POPUP&amp;HEIGHT=450&amp;WIDTH=450&amp;START_MAXIMI","ZED=FALSE&amp;VAR:CALENDAR=US&amp;VAR:SYMBOL=630720&amp;VAR:INDEX=0"}</definedName>
    <definedName name="_2947__FDSAUDITLINK__" hidden="1">{"fdsup://directions/FAT Viewer?action=UPDATE&amp;creator=factset&amp;DYN_ARGS=TRUE&amp;DOC_NAME=FAT:FQL_AUDITING_CLIENT_TEMPLATE.FAT&amp;display_string=Audit&amp;VAR:KEY=FMVKVUFQTO&amp;VAR:QUERY=RkZfU0FMRVMoQ0FMLDM3OTg2LCwsLCk=&amp;WINDOW=FIRST_POPUP&amp;HEIGHT=450&amp;WIDTH=450&amp;START_MAXIMI","ZED=FALSE&amp;VAR:CALENDAR=US&amp;VAR:SYMBOL=630720&amp;VAR:INDEX=0"}</definedName>
    <definedName name="_2948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2949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295__FDSAUDITLINK__" hidden="1">{"fdsup://directions/FAT%20Viewer?VAR:TM=NTMA&amp;VAR:PCT=0.865753&amp;VAR:Y0=2005&amp;VAR:Y1=2006&amp;VAR:V0=16.222590&amp;VAR:V1=14.765517&amp;VAR:V=16.010490&amp;VAR:AUDIT_ID=00000117&amp;VAR:DATE=20050218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Aggregates&amp;VAR:MEASURE=PE_MEAN&amp;VAR:CALC_MODE=PORTFOLIO&amp;VAR:CHGPERIOD=NA&amp;VAR:FQLFORMULA=FMA_PE&amp;VAR:CURRENCY=USD&amp;VAR:P=1","201.585700&amp;VAR:THRESH=||||||&amp;VAR:null=.html"}</definedName>
    <definedName name="_2950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2951__FDSAUDITLINK__" hidden="1">{"fdsup://directions/FAT Viewer?action=UPDATE&amp;creator=factset&amp;DYN_ARGS=TRUE&amp;DOC_NAME=FAT:FQL_AUDITING_CLIENT_TEMPLATE.FAT&amp;display_string=Audit&amp;VAR:KEY=NGFQXAXQVY&amp;VAR:QUERY=RkZfU0FMRVMoQ0FMLDM5NDQ3LCwsLCk=&amp;WINDOW=FIRST_POPUP&amp;HEIGHT=450&amp;WIDTH=450&amp;START_MAXIMI","ZED=FALSE&amp;VAR:CALENDAR=US&amp;VAR:SYMBOL=698538&amp;VAR:INDEX=0"}</definedName>
    <definedName name="_2952__FDSAUDITLINK__" hidden="1">{"fdsup://directions/FAT Viewer?action=UPDATE&amp;creator=factset&amp;DYN_ARGS=TRUE&amp;DOC_NAME=FAT:FQL_AUDITING_CLIENT_TEMPLATE.FAT&amp;display_string=Audit&amp;VAR:KEY=RYLYJAFOJG&amp;VAR:QUERY=RkZfU0FMRVMoQ0FMLDM5MDgyLCwsLCk=&amp;WINDOW=FIRST_POPUP&amp;HEIGHT=450&amp;WIDTH=450&amp;START_MAXIMI","ZED=FALSE&amp;VAR:CALENDAR=US&amp;VAR:SYMBOL=698538&amp;VAR:INDEX=0"}</definedName>
    <definedName name="_2953__FDSAUDITLINK__" hidden="1">{"fdsup://directions/FAT Viewer?action=UPDATE&amp;creator=factset&amp;DYN_ARGS=TRUE&amp;DOC_NAME=FAT:FQL_AUDITING_CLIENT_TEMPLATE.FAT&amp;display_string=Audit&amp;VAR:KEY=VSLYLYVYLU&amp;VAR:QUERY=RkZfU0FMRVMoQ0FMLDM4NzE3LCwsLCk=&amp;WINDOW=FIRST_POPUP&amp;HEIGHT=450&amp;WIDTH=450&amp;START_MAXIMI","ZED=FALSE&amp;VAR:CALENDAR=US&amp;VAR:SYMBOL=698538&amp;VAR:INDEX=0"}</definedName>
    <definedName name="_2954__FDSAUDITLINK__" hidden="1">{"fdsup://directions/FAT Viewer?action=UPDATE&amp;creator=factset&amp;DYN_ARGS=TRUE&amp;DOC_NAME=FAT:FQL_AUDITING_CLIENT_TEMPLATE.FAT&amp;display_string=Audit&amp;VAR:KEY=ZQTYLIBWXM&amp;VAR:QUERY=RkZfU0FMRVMoQ0FMLDM4MzUyLCwsLCk=&amp;WINDOW=FIRST_POPUP&amp;HEIGHT=450&amp;WIDTH=450&amp;START_MAXIMI","ZED=FALSE&amp;VAR:CALENDAR=US&amp;VAR:SYMBOL=698538&amp;VAR:INDEX=0"}</definedName>
    <definedName name="_2955__FDSAUDITLINK__" hidden="1">{"fdsup://directions/FAT Viewer?action=UPDATE&amp;creator=factset&amp;DYN_ARGS=TRUE&amp;DOC_NAME=FAT:FQL_AUDITING_CLIENT_TEMPLATE.FAT&amp;display_string=Audit&amp;VAR:KEY=ZITUFQLYRU&amp;VAR:QUERY=RkZfU0FMRVMoQ0FMLDM3OTg2LCwsLCk=&amp;WINDOW=FIRST_POPUP&amp;HEIGHT=450&amp;WIDTH=450&amp;START_MAXIMI","ZED=FALSE&amp;VAR:CALENDAR=US&amp;VAR:SYMBOL=698538&amp;VAR:INDEX=0"}</definedName>
    <definedName name="_2956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2957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2958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2959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296__FDSAUDITLINK__" hidden="1">{"fdsup://directions/FAT%20Viewer?VAR:TM=NTMA&amp;VAR:PCT=0.884932&amp;VAR:Y0=2005&amp;VAR:Y1=2006&amp;VAR:V0=16.302505&amp;VAR:V1=14.865569&amp;VAR:V=16.123171&amp;VAR:AUDIT_ID=00000117&amp;VAR:DATE=20050211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Aggregates&amp;VAR:MEASURE=PE_MEAN&amp;VAR:CALC_MODE=PORTFOLIO&amp;VAR:CHGPERIOD=NA&amp;VAR:FQLFORMULA=FMA_PE&amp;VAR:CURRENCY=USD&amp;VAR:P=1","205.304200&amp;VAR:THRESH=||||||&amp;VAR:null=.html"}</definedName>
    <definedName name="_2960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2961__FDSAUDITLINK__" hidden="1">{"fdsup://directions/FAT Viewer?action=UPDATE&amp;creator=factset&amp;DYN_ARGS=TRUE&amp;DOC_NAME=FAT:FQL_AUDITING_CLIENT_TEMPLATE.FAT&amp;display_string=Audit&amp;VAR:KEY=RCLWNAZUVM&amp;VAR:QUERY=RkZfU0FMRVMoQ0FMLDM5NDQ3LCwsLCk=&amp;WINDOW=FIRST_POPUP&amp;HEIGHT=450&amp;WIDTH=450&amp;START_MAXIMI","ZED=FALSE&amp;VAR:CALENDAR=US&amp;VAR:SYMBOL=B0J7D9&amp;VAR:INDEX=0"}</definedName>
    <definedName name="_2962__FDSAUDITLINK__" hidden="1">{"fdsup://directions/FAT Viewer?action=UPDATE&amp;creator=factset&amp;DYN_ARGS=TRUE&amp;DOC_NAME=FAT:FQL_AUDITING_CLIENT_TEMPLATE.FAT&amp;display_string=Audit&amp;VAR:KEY=VYFIHMHMZI&amp;VAR:QUERY=RkZfU0FMRVMoQ0FMLDM5MDgyLCwsLCk=&amp;WINDOW=FIRST_POPUP&amp;HEIGHT=450&amp;WIDTH=450&amp;START_MAXIMI","ZED=FALSE&amp;VAR:CALENDAR=US&amp;VAR:SYMBOL=B0J7D9&amp;VAR:INDEX=0"}</definedName>
    <definedName name="_2963__FDSAUDITLINK__" hidden="1">{"fdsup://directions/FAT Viewer?action=UPDATE&amp;creator=factset&amp;DYN_ARGS=TRUE&amp;DOC_NAME=FAT:FQL_AUDITING_CLIENT_TEMPLATE.FAT&amp;display_string=Audit&amp;VAR:KEY=RATYXOVERC&amp;VAR:QUERY=RkZfU0FMRVMoQ0FMLDM4NzE3LCwsLCk=&amp;WINDOW=FIRST_POPUP&amp;HEIGHT=450&amp;WIDTH=450&amp;START_MAXIMI","ZED=FALSE&amp;VAR:CALENDAR=US&amp;VAR:SYMBOL=B0J7D9&amp;VAR:INDEX=0"}</definedName>
    <definedName name="_2964__FDSAUDITLINK__" hidden="1">{"fdsup://directions/FAT Viewer?action=UPDATE&amp;creator=factset&amp;DYN_ARGS=TRUE&amp;DOC_NAME=FAT:FQL_AUDITING_CLIENT_TEMPLATE.FAT&amp;display_string=Audit&amp;VAR:KEY=HEROTQBOTS&amp;VAR:QUERY=RkZfU0FMRVMoQ0FMLDM4MzUyLCwsLCk=&amp;WINDOW=FIRST_POPUP&amp;HEIGHT=450&amp;WIDTH=450&amp;START_MAXIMI","ZED=FALSE&amp;VAR:CALENDAR=US&amp;VAR:SYMBOL=B0J7D9&amp;VAR:INDEX=0"}</definedName>
    <definedName name="_2965__FDSAUDITLINK__" hidden="1">{"fdsup://directions/FAT Viewer?action=UPDATE&amp;creator=factset&amp;DYN_ARGS=TRUE&amp;DOC_NAME=FAT:FQL_AUDITING_CLIENT_TEMPLATE.FAT&amp;display_string=Audit&amp;VAR:KEY=JAZQJETKLY&amp;VAR:QUERY=RkZfU0FMRVMoQ0FMLDM3OTg2LCwsLCk=&amp;WINDOW=FIRST_POPUP&amp;HEIGHT=450&amp;WIDTH=450&amp;START_MAXIMI","ZED=FALSE&amp;VAR:CALENDAR=US&amp;VAR:SYMBOL=B0J7D9&amp;VAR:INDEX=0"}</definedName>
    <definedName name="_2966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2967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2968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2969__FDSAUDITLINK__" hidden="1">{"fdsup://directions/FAT Viewer?action=UPDATE&amp;creator=factset&amp;DYN_ARGS=TRUE&amp;DOC_NAME=FAT:FQL_AUDITING_CLIENT_TEMPLATE.FAT&amp;display_string=Audit&amp;VAR:KEY=PGJOVCLGBS&amp;VAR:QUERY=RkZfU0FMRVMoQ0FMLDM5NDQ3LCwsLCk=&amp;WINDOW=FIRST_POPUP&amp;HEIGHT=450&amp;WIDTH=450&amp;START_MAXIMI","ZED=FALSE&amp;VAR:CALENDAR=US&amp;VAR:SYMBOL=AMGN&amp;VAR:INDEX=0"}</definedName>
    <definedName name="_297__FDSAUDITLINK__" hidden="1">{"fdsup://directions/FAT%20Viewer?VAR:TM=NTMA&amp;VAR:PCT=0.904110&amp;VAR:Y0=2005&amp;VAR:Y1=2006&amp;VAR:V0=16.294634&amp;VAR:V1=14.838149&amp;VAR:V=16.142692&amp;VAR:AUDIT_ID=00000117&amp;VAR:DATE=20050204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Aggregates&amp;VAR:MEASURE=PE_MEAN&amp;VAR:CALC_MODE=PORTFOLIO&amp;VAR:CHGPERIOD=NA&amp;VAR:FQLFORMULA=FMA_PE&amp;VAR:CURRENCY=USD&amp;VAR:P=1","203.030400&amp;VAR:THRESH=||||||&amp;VAR:null=.html"}</definedName>
    <definedName name="_2970__FDSAUDITLINK__" hidden="1">{"fdsup://directions/FAT Viewer?action=UPDATE&amp;creator=factset&amp;DYN_ARGS=TRUE&amp;DOC_NAME=FAT:FQL_AUDITING_CLIENT_TEMPLATE.FAT&amp;display_string=Audit&amp;VAR:KEY=FYXGXAXURW&amp;VAR:QUERY=RkZfU0FMRVMoQ0FMLDM5MDgyLCwsLCk=&amp;WINDOW=FIRST_POPUP&amp;HEIGHT=450&amp;WIDTH=450&amp;START_MAXIMI","ZED=FALSE&amp;VAR:CALENDAR=US&amp;VAR:SYMBOL=AMGN&amp;VAR:INDEX=0"}</definedName>
    <definedName name="_2971__FDSAUDITLINK__" hidden="1">{"fdsup://directions/FAT Viewer?action=UPDATE&amp;creator=factset&amp;DYN_ARGS=TRUE&amp;DOC_NAME=FAT:FQL_AUDITING_CLIENT_TEMPLATE.FAT&amp;display_string=Audit&amp;VAR:KEY=VADUDGDYFA&amp;VAR:QUERY=RkZfU0FMRVMoQ0FMLDM4NzE3LCwsLCk=&amp;WINDOW=FIRST_POPUP&amp;HEIGHT=450&amp;WIDTH=450&amp;START_MAXIMI","ZED=FALSE&amp;VAR:CALENDAR=US&amp;VAR:SYMBOL=AMGN&amp;VAR:INDEX=0"}</definedName>
    <definedName name="_2972__FDSAUDITLINK__" hidden="1">{"fdsup://directions/FAT Viewer?action=UPDATE&amp;creator=factset&amp;DYN_ARGS=TRUE&amp;DOC_NAME=FAT:FQL_AUDITING_CLIENT_TEMPLATE.FAT&amp;display_string=Audit&amp;VAR:KEY=FKDOZAJURW&amp;VAR:QUERY=RkZfU0FMRVMoQ0FMLDM4MzUyLCwsLCk=&amp;WINDOW=FIRST_POPUP&amp;HEIGHT=450&amp;WIDTH=450&amp;START_MAXIMI","ZED=FALSE&amp;VAR:CALENDAR=US&amp;VAR:SYMBOL=AMGN&amp;VAR:INDEX=0"}</definedName>
    <definedName name="_2973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2974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2975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2976__FDSAUDITLINK__" hidden="1">{"fdsup://directions/FAT Viewer?action=UPDATE&amp;creator=factset&amp;DYN_ARGS=TRUE&amp;DOC_NAME=FAT:FQL_AUDITING_CLIENT_TEMPLATE.FAT&amp;display_string=Audit&amp;VAR:KEY=VOVAHWRMBQ&amp;VAR:QUERY=RkZfU0FMRVMoQ0FMLDM5NDQ3LCwsLCk=&amp;WINDOW=FIRST_POPUP&amp;HEIGHT=450&amp;WIDTH=450&amp;START_MAXIMI","ZED=FALSE&amp;VAR:CALENDAR=US&amp;VAR:SYMBOL=ABT&amp;VAR:INDEX=0"}</definedName>
    <definedName name="_2977__FDSAUDITLINK__" hidden="1">{"fdsup://directions/FAT Viewer?action=UPDATE&amp;creator=factset&amp;DYN_ARGS=TRUE&amp;DOC_NAME=FAT:FQL_AUDITING_CLIENT_TEMPLATE.FAT&amp;display_string=Audit&amp;VAR:KEY=JIZSHKHCLG&amp;VAR:QUERY=RkZfU0FMRVMoQ0FMLDM5MDgyLCwsLCk=&amp;WINDOW=FIRST_POPUP&amp;HEIGHT=450&amp;WIDTH=450&amp;START_MAXIMI","ZED=FALSE&amp;VAR:CALENDAR=US&amp;VAR:SYMBOL=ABT&amp;VAR:INDEX=0"}</definedName>
    <definedName name="_2978__FDSAUDITLINK__" hidden="1">{"fdsup://directions/FAT Viewer?action=UPDATE&amp;creator=factset&amp;DYN_ARGS=TRUE&amp;DOC_NAME=FAT:FQL_AUDITING_CLIENT_TEMPLATE.FAT&amp;display_string=Audit&amp;VAR:KEY=HGLONMHIHO&amp;VAR:QUERY=RkZfU0FMRVMoQ0FMLDM4NzE3LCwsLCk=&amp;WINDOW=FIRST_POPUP&amp;HEIGHT=450&amp;WIDTH=450&amp;START_MAXIMI","ZED=FALSE&amp;VAR:CALENDAR=US&amp;VAR:SYMBOL=ABT&amp;VAR:INDEX=0"}</definedName>
    <definedName name="_2979__FDSAUDITLINK__" hidden="1">{"fdsup://directions/FAT Viewer?action=UPDATE&amp;creator=factset&amp;DYN_ARGS=TRUE&amp;DOC_NAME=FAT:FQL_AUDITING_CLIENT_TEMPLATE.FAT&amp;display_string=Audit&amp;VAR:KEY=PMFYHUFOJW&amp;VAR:QUERY=RkZfU0FMRVMoQ0FMLDM4MzUyLCwsLCk=&amp;WINDOW=FIRST_POPUP&amp;HEIGHT=450&amp;WIDTH=450&amp;START_MAXIMI","ZED=FALSE&amp;VAR:CALENDAR=US&amp;VAR:SYMBOL=ABT&amp;VAR:INDEX=0"}</definedName>
    <definedName name="_298__FDSAUDITLINK__" hidden="1">{"fdsup://directions/FAT%20Viewer?VAR:TM=NTMA&amp;VAR:PCT=0.923288&amp;VAR:Y0=2005&amp;VAR:Y1=2006&amp;VAR:V0=15.887408&amp;VAR:V1=14.589561&amp;VAR:V=15.779725&amp;VAR:AUDIT_ID=00000117&amp;VAR:DATE=20050128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Aggregates&amp;VAR:MEASURE=PE_MEAN&amp;VAR:CALC_MODE=PORTFOLIO&amp;VAR:CHGPERIOD=NA&amp;VAR:FQLFORMULA=FMA_PE&amp;VAR:CURRENCY=USD&amp;VAR:P=1","171.363300&amp;VAR:THRESH=||||||&amp;VAR:null=.html"}</definedName>
    <definedName name="_2980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2981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2982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2983__FDSAUDITLINK__" hidden="1">{"fdsup://directions/FAT Viewer?action=UPDATE&amp;creator=factset&amp;DYN_ARGS=TRUE&amp;DOC_NAME=FAT:FQL_AUDITING_CLIENT_TEMPLATE.FAT&amp;display_string=Audit&amp;VAR:KEY=LANUXGTUJE&amp;VAR:QUERY=RkZfU0FMRVMoQ0FMLDM5NDQ3LCwsLCk=&amp;WINDOW=FIRST_POPUP&amp;HEIGHT=450&amp;WIDTH=450&amp;START_MAXIMI","ZED=FALSE&amp;VAR:CALENDAR=US&amp;VAR:SYMBOL=687044&amp;VAR:INDEX=0"}</definedName>
    <definedName name="_2984__FDSAUDITLINK__" hidden="1">{"fdsup://directions/FAT Viewer?action=UPDATE&amp;creator=factset&amp;DYN_ARGS=TRUE&amp;DOC_NAME=FAT:FQL_AUDITING_CLIENT_TEMPLATE.FAT&amp;display_string=Audit&amp;VAR:KEY=VMNWLAFAZG&amp;VAR:QUERY=RkZfU0FMRVMoQ0FMLDM5MDgyLCwsLCk=&amp;WINDOW=FIRST_POPUP&amp;HEIGHT=450&amp;WIDTH=450&amp;START_MAXIMI","ZED=FALSE&amp;VAR:CALENDAR=US&amp;VAR:SYMBOL=687044&amp;VAR:INDEX=0"}</definedName>
    <definedName name="_2985__FDSAUDITLINK__" hidden="1">{"fdsup://directions/FAT Viewer?action=UPDATE&amp;creator=factset&amp;DYN_ARGS=TRUE&amp;DOC_NAME=FAT:FQL_AUDITING_CLIENT_TEMPLATE.FAT&amp;display_string=Audit&amp;VAR:KEY=VUHEZEHYDS&amp;VAR:QUERY=RkZfU0FMRVMoQ0FMLDM4NzE3LCwsLCk=&amp;WINDOW=FIRST_POPUP&amp;HEIGHT=450&amp;WIDTH=450&amp;START_MAXIMI","ZED=FALSE&amp;VAR:CALENDAR=US&amp;VAR:SYMBOL=687044&amp;VAR:INDEX=0"}</definedName>
    <definedName name="_2986__FDSAUDITLINK__" hidden="1">{"fdsup://directions/FAT Viewer?action=UPDATE&amp;creator=factset&amp;DYN_ARGS=TRUE&amp;DOC_NAME=FAT:FQL_AUDITING_CLIENT_TEMPLATE.FAT&amp;display_string=Audit&amp;VAR:KEY=VEBOPIBOXG&amp;VAR:QUERY=RkZfU0FMRVMoQ0FMLDM4MzUyLCwsLCk=&amp;WINDOW=FIRST_POPUP&amp;HEIGHT=450&amp;WIDTH=450&amp;START_MAXIMI","ZED=FALSE&amp;VAR:CALENDAR=US&amp;VAR:SYMBOL=687044&amp;VAR:INDEX=0"}</definedName>
    <definedName name="_2987__FDSAUDITLINK__" hidden="1">{"fdsup://directions/FAT Viewer?action=UPDATE&amp;creator=factset&amp;DYN_ARGS=TRUE&amp;DOC_NAME=FAT:FQL_AUDITING_CLIENT_TEMPLATE.FAT&amp;display_string=Audit&amp;VAR:KEY=TWJGRYHSBC&amp;VAR:QUERY=RkZfU0FMRVMoQ0FMLDM3OTg2LCwsLCk=&amp;WINDOW=FIRST_POPUP&amp;HEIGHT=450&amp;WIDTH=450&amp;START_MAXIMI","ZED=FALSE&amp;VAR:CALENDAR=US&amp;VAR:SYMBOL=687044&amp;VAR:INDEX=0"}</definedName>
    <definedName name="_2988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2989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299__FDSAUDITLINK__" hidden="1">{"fdsup://directions/FAT%20Viewer?VAR:TM=NTMA&amp;VAR:PCT=0.942466&amp;VAR:Y0=2005&amp;VAR:Y1=2006&amp;VAR:V0=15.871529&amp;VAR:V1=14.608252&amp;VAR:V=15.792953&amp;VAR:AUDIT_ID=00000117&amp;VAR:DATE=20050121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Aggregates&amp;VAR:MEASURE=PE_MEAN&amp;VAR:CALC_MODE=PORTFOLIO&amp;VAR:CHGPERIOD=NA&amp;VAR:FQLFORMULA=FMA_PE&amp;VAR:CURRENCY=USD&amp;VAR:P=1","167.867300&amp;VAR:THRESH=||||||&amp;VAR:null=.html"}</definedName>
    <definedName name="_2990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2991__FDSAUDITLINK__" hidden="1">{"fdsup://directions/FAT Viewer?action=UPDATE&amp;creator=factset&amp;DYN_ARGS=TRUE&amp;DOC_NAME=FAT:FQL_AUDITING_CLIENT_TEMPLATE.FAT&amp;display_string=Audit&amp;VAR:KEY=FGNGDYBWJI&amp;VAR:QUERY=RkZfU0FMRVMoQ0FMLDM5NDQ3LCwsLCk=&amp;WINDOW=FIRST_POPUP&amp;HEIGHT=450&amp;WIDTH=450&amp;START_MAXIMI","ZED=FALSE&amp;VAR:CALENDAR=US&amp;VAR:SYMBOL=BMY&amp;VAR:INDEX=0"}</definedName>
    <definedName name="_2992__FDSAUDITLINK__" hidden="1">{"fdsup://directions/FAT Viewer?action=UPDATE&amp;creator=factset&amp;DYN_ARGS=TRUE&amp;DOC_NAME=FAT:FQL_AUDITING_CLIENT_TEMPLATE.FAT&amp;display_string=Audit&amp;VAR:KEY=ZEPMHOTKTQ&amp;VAR:QUERY=RkZfU0FMRVMoQ0FMLDM5MDgyLCwsLCk=&amp;WINDOW=FIRST_POPUP&amp;HEIGHT=450&amp;WIDTH=450&amp;START_MAXIMI","ZED=FALSE&amp;VAR:CALENDAR=US&amp;VAR:SYMBOL=BMY&amp;VAR:INDEX=0"}</definedName>
    <definedName name="_2993__FDSAUDITLINK__" hidden="1">{"fdsup://directions/FAT Viewer?action=UPDATE&amp;creator=factset&amp;DYN_ARGS=TRUE&amp;DOC_NAME=FAT:FQL_AUDITING_CLIENT_TEMPLATE.FAT&amp;display_string=Audit&amp;VAR:KEY=ZSRUVKHGFO&amp;VAR:QUERY=RkZfU0FMRVMoQ0FMLDM4NzE3LCwsLCk=&amp;WINDOW=FIRST_POPUP&amp;HEIGHT=450&amp;WIDTH=450&amp;START_MAXIMI","ZED=FALSE&amp;VAR:CALENDAR=US&amp;VAR:SYMBOL=BMY&amp;VAR:INDEX=0"}</definedName>
    <definedName name="_2994__FDSAUDITLINK__" hidden="1">{"fdsup://directions/FAT Viewer?action=UPDATE&amp;creator=factset&amp;DYN_ARGS=TRUE&amp;DOC_NAME=FAT:FQL_AUDITING_CLIENT_TEMPLATE.FAT&amp;display_string=Audit&amp;VAR:KEY=LWZIXAXMJY&amp;VAR:QUERY=RkZfU0FMRVMoQ0FMLDM4MzUyLCwsLCk=&amp;WINDOW=FIRST_POPUP&amp;HEIGHT=450&amp;WIDTH=450&amp;START_MAXIMI","ZED=FALSE&amp;VAR:CALENDAR=US&amp;VAR:SYMBOL=BMY&amp;VAR:INDEX=0"}</definedName>
    <definedName name="_2995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2996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2997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2998__FDSAUDITLINK__" hidden="1">{"fdsup://directions/FAT Viewer?action=UPDATE&amp;creator=factset&amp;DYN_ARGS=TRUE&amp;DOC_NAME=FAT:FQL_AUDITING_CLIENT_TEMPLATE.FAT&amp;display_string=Audit&amp;VAR:KEY=ZMZGTAHWVI&amp;VAR:QUERY=RkZfU0FMRVMoQ0FMLDM5NDQ3LCwsLCk=&amp;WINDOW=FIRST_POPUP&amp;HEIGHT=450&amp;WIDTH=450&amp;START_MAXIMI","ZED=FALSE&amp;VAR:CALENDAR=US&amp;VAR:SYMBOL=LLY&amp;VAR:INDEX=0"}</definedName>
    <definedName name="_2999__FDSAUDITLINK__" hidden="1">{"fdsup://directions/FAT Viewer?action=UPDATE&amp;creator=factset&amp;DYN_ARGS=TRUE&amp;DOC_NAME=FAT:FQL_AUDITING_CLIENT_TEMPLATE.FAT&amp;display_string=Audit&amp;VAR:KEY=VGZWFCPGLW&amp;VAR:QUERY=RkZfU0FMRVMoQ0FMLDM5MDgyLCwsLCk=&amp;WINDOW=FIRST_POPUP&amp;HEIGHT=450&amp;WIDTH=450&amp;START_MAXIMI","ZED=FALSE&amp;VAR:CALENDAR=US&amp;VAR:SYMBOL=LLY&amp;VAR:INDEX=0"}</definedName>
    <definedName name="_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0.172603&amp;VAR:V=13.230394&amp;VAR:V0=13.537394&amp;VAR:V1=11.933140&amp;VAR:Y0=2011&amp;VAR:Y1=2012&amp;VAR:P=1321.152939&amp;VAR:DATE=20110304&amp;VAR:THRESH=-|-|","-|-|-|-|-"}</definedName>
    <definedName name="_30__FDSAUDITLINK__" hidden="1">{"fdsup://directions/FAT%20Viewer?VAR:TM=NTMA&amp;VAR:PCT=0.786301&amp;VAR:Y0=2010&amp;VAR:Y1=2011&amp;VAR:V0=14.645947&amp;VAR:V1=12.229397&amp;VAR:V=14.052547&amp;VAR:AUDIT_ID=00000117&amp;VAR:DATE=20100319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Aggregates&amp;VAR:MEASURE=PE_MEAN&amp;VAR:CALC_MODE=PORTFOLIO&amp;VAR:CHGPERIOD=NA&amp;VAR:FQLFORMULA=FMA_PE&amp;VAR:CURRENCY=USD&amp;VAR:P=1","159.897351&amp;VAR:THRESH=||||||&amp;VAR:null=.html"}</definedName>
    <definedName name="_300__FDSAUDITLINK__" hidden="1">{"fdsup://directions/FAT%20Viewer?VAR:TM=NTMA&amp;VAR:PCT=0.961644&amp;VAR:Y0=2005&amp;VAR:Y1=2006&amp;VAR:V0=16.060806&amp;VAR:V1=14.826113&amp;VAR:V=16.009667&amp;VAR:AUDIT_ID=00000117&amp;VAR:DATE=20050114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Aggregates&amp;VAR:MEASURE=PE_MEAN&amp;VAR:CALC_MODE=PORTFOLIO&amp;VAR:CHGPERIOD=NA&amp;VAR:FQLFORMULA=FMA_PE&amp;VAR:CURRENCY=USD&amp;VAR:P=1","184.516500&amp;VAR:THRESH=||||||&amp;VAR:null=.html"}</definedName>
    <definedName name="_3000__FDSAUDITLINK__" hidden="1">{"fdsup://directions/FAT Viewer?action=UPDATE&amp;creator=factset&amp;DYN_ARGS=TRUE&amp;DOC_NAME=FAT:FQL_AUDITING_CLIENT_TEMPLATE.FAT&amp;display_string=Audit&amp;VAR:KEY=NMLWPYZODY&amp;VAR:QUERY=RkZfU0FMRVMoQ0FMLDM4NzE3LCwsLCk=&amp;WINDOW=FIRST_POPUP&amp;HEIGHT=450&amp;WIDTH=450&amp;START_MAXIMI","ZED=FALSE&amp;VAR:CALENDAR=US&amp;VAR:SYMBOL=LLY&amp;VAR:INDEX=0"}</definedName>
    <definedName name="_3001__FDSAUDITLINK__" hidden="1">{"fdsup://directions/FAT Viewer?action=UPDATE&amp;creator=factset&amp;DYN_ARGS=TRUE&amp;DOC_NAME=FAT:FQL_AUDITING_CLIENT_TEMPLATE.FAT&amp;display_string=Audit&amp;VAR:KEY=XERCTWXSFY&amp;VAR:QUERY=RkZfU0FMRVMoQ0FMLDM4MzUyLCwsLCk=&amp;WINDOW=FIRST_POPUP&amp;HEIGHT=450&amp;WIDTH=450&amp;START_MAXIMI","ZED=FALSE&amp;VAR:CALENDAR=US&amp;VAR:SYMBOL=LLY&amp;VAR:INDEX=0"}</definedName>
    <definedName name="_3002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3003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3004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3005__FDSAUDITLINK__" hidden="1">{"fdsup://directions/FAT Viewer?action=UPDATE&amp;creator=factset&amp;DYN_ARGS=TRUE&amp;DOC_NAME=FAT:FQL_AUDITING_CLIENT_TEMPLATE.FAT&amp;display_string=Audit&amp;VAR:KEY=VGFMRYZUDQ&amp;VAR:QUERY=RkZfU0FMRVMoQ0FMLDM5NDQ3LCwsLCk=&amp;WINDOW=FIRST_POPUP&amp;HEIGHT=450&amp;WIDTH=450&amp;START_MAXIMI","ZED=FALSE&amp;VAR:CALENDAR=US&amp;VAR:SYMBOL=506921&amp;VAR:INDEX=0"}</definedName>
    <definedName name="_3006__FDSAUDITLINK__" hidden="1">{"fdsup://directions/FAT Viewer?action=UPDATE&amp;creator=factset&amp;DYN_ARGS=TRUE&amp;DOC_NAME=FAT:FQL_AUDITING_CLIENT_TEMPLATE.FAT&amp;display_string=Audit&amp;VAR:KEY=PYPMDAJYFY&amp;VAR:QUERY=RkZfU0FMRVMoQ0FMLDM5MDgyLCwsLCk=&amp;WINDOW=FIRST_POPUP&amp;HEIGHT=450&amp;WIDTH=450&amp;START_MAXIMI","ZED=FALSE&amp;VAR:CALENDAR=US&amp;VAR:SYMBOL=506921&amp;VAR:INDEX=0"}</definedName>
    <definedName name="_3007__FDSAUDITLINK__" hidden="1">{"fdsup://directions/FAT Viewer?action=UPDATE&amp;creator=factset&amp;DYN_ARGS=TRUE&amp;DOC_NAME=FAT:FQL_AUDITING_CLIENT_TEMPLATE.FAT&amp;display_string=Audit&amp;VAR:KEY=FGLEFQPUNK&amp;VAR:QUERY=RkZfU0FMRVMoQ0FMLDM4NzE3LCwsLCk=&amp;WINDOW=FIRST_POPUP&amp;HEIGHT=450&amp;WIDTH=450&amp;START_MAXIMI","ZED=FALSE&amp;VAR:CALENDAR=US&amp;VAR:SYMBOL=506921&amp;VAR:INDEX=0"}</definedName>
    <definedName name="_3008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3009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301__FDSAUDITLINK__" hidden="1">{"fdsup://directions/FAT%20Viewer?VAR:TM=NTMA&amp;VAR:PCT=0.980822&amp;VAR:Y0=2005&amp;VAR:Y1=2006&amp;VAR:V0=16.098402&amp;VAR:V1=14.812987&amp;VAR:V=16.071656&amp;VAR:AUDIT_ID=00000117&amp;VAR:DATE=20050107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Aggregates&amp;VAR:MEASURE=PE_MEAN&amp;VAR:CALC_MODE=PORTFOLIO&amp;VAR:CHGPERIOD=NA&amp;VAR:FQLFORMULA=FMA_PE&amp;VAR:CURRENCY=USD&amp;VAR:P=1","186.192700&amp;VAR:THRESH=||||||&amp;VAR:null=.html"}</definedName>
    <definedName name="_3010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3011__FDSAUDITLINK__" hidden="1">{"fdsup://directions/FAT Viewer?action=UPDATE&amp;creator=factset&amp;DYN_ARGS=TRUE&amp;DOC_NAME=FAT:FQL_AUDITING_CLIENT_TEMPLATE.FAT&amp;display_string=Audit&amp;VAR:KEY=XUVOBOTILK&amp;VAR:QUERY=RkZfU0FMRVMoQ0FMLDM5NDQ3LCwsLCk=&amp;WINDOW=FIRST_POPUP&amp;HEIGHT=450&amp;WIDTH=450&amp;START_MAXIMI","ZED=FALSE&amp;VAR:CALENDAR=US&amp;VAR:SYMBOL=567173&amp;VAR:INDEX=0"}</definedName>
    <definedName name="_3012__FDSAUDITLINK__" hidden="1">{"fdsup://directions/FAT Viewer?action=UPDATE&amp;creator=factset&amp;DYN_ARGS=TRUE&amp;DOC_NAME=FAT:FQL_AUDITING_CLIENT_TEMPLATE.FAT&amp;display_string=Audit&amp;VAR:KEY=TUNGLUVQJS&amp;VAR:QUERY=RkZfU0FMRVMoQ0FMLDM5MDgyLCwsLCk=&amp;WINDOW=FIRST_POPUP&amp;HEIGHT=450&amp;WIDTH=450&amp;START_MAXIMI","ZED=FALSE&amp;VAR:CALENDAR=US&amp;VAR:SYMBOL=567173&amp;VAR:INDEX=0"}</definedName>
    <definedName name="_3013__FDSAUDITLINK__" hidden="1">{"fdsup://directions/FAT Viewer?action=UPDATE&amp;creator=factset&amp;DYN_ARGS=TRUE&amp;DOC_NAME=FAT:FQL_AUDITING_CLIENT_TEMPLATE.FAT&amp;display_string=Audit&amp;VAR:KEY=ZCZKRMREJQ&amp;VAR:QUERY=RkZfU0FMRVMoQ0FMLDM4NzE3LCwsLCk=&amp;WINDOW=FIRST_POPUP&amp;HEIGHT=450&amp;WIDTH=450&amp;START_MAXIMI","ZED=FALSE&amp;VAR:CALENDAR=US&amp;VAR:SYMBOL=567173&amp;VAR:INDEX=0"}</definedName>
    <definedName name="_3014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3015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3016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3017__FDSAUDITLINK__" hidden="1">{"fdsup://directions/FAT Viewer?action=UPDATE&amp;creator=factset&amp;DYN_ARGS=TRUE&amp;DOC_NAME=FAT:FQL_AUDITING_CLIENT_TEMPLATE.FAT&amp;display_string=Audit&amp;VAR:KEY=NSBWVCLYDE&amp;VAR:QUERY=RkZfU0FMRVMoQ0FMLDM5NDQ3LCwsLCk=&amp;WINDOW=FIRST_POPUP&amp;HEIGHT=450&amp;WIDTH=450&amp;START_MAXIMI","ZED=FALSE&amp;VAR:CALENDAR=US&amp;VAR:SYMBOL=JNJ&amp;VAR:INDEX=0"}</definedName>
    <definedName name="_3018__FDSAUDITLINK__" hidden="1">{"fdsup://directions/FAT Viewer?action=UPDATE&amp;creator=factset&amp;DYN_ARGS=TRUE&amp;DOC_NAME=FAT:FQL_AUDITING_CLIENT_TEMPLATE.FAT&amp;display_string=Audit&amp;VAR:KEY=VCFODGNGBS&amp;VAR:QUERY=RkZfU0FMRVMoQ0FMLDM5MDgyLCwsLCk=&amp;WINDOW=FIRST_POPUP&amp;HEIGHT=450&amp;WIDTH=450&amp;START_MAXIMI","ZED=FALSE&amp;VAR:CALENDAR=US&amp;VAR:SYMBOL=JNJ&amp;VAR:INDEX=0"}</definedName>
    <definedName name="_3019__FDSAUDITLINK__" hidden="1">{"fdsup://directions/FAT Viewer?action=UPDATE&amp;creator=factset&amp;DYN_ARGS=TRUE&amp;DOC_NAME=FAT:FQL_AUDITING_CLIENT_TEMPLATE.FAT&amp;display_string=Audit&amp;VAR:KEY=FMJMDKHKDK&amp;VAR:QUERY=RkZfU0FMRVMoQ0FMLDM4NzE3LCwsLCk=&amp;WINDOW=FIRST_POPUP&amp;HEIGHT=450&amp;WIDTH=450&amp;START_MAXIMI","ZED=FALSE&amp;VAR:CALENDAR=US&amp;VAR:SYMBOL=JNJ&amp;VAR:INDEX=0"}</definedName>
    <definedName name="_302__FDSAUDITLINK__" hidden="1">{"fdsup://directions/FAT%20Viewer?VAR:TM=NTMA&amp;VAR:PCT=0.000000&amp;VAR:Y0=2004&amp;VAR:Y1=2005&amp;VAR:V0=18.239687&amp;VAR:V1=16.449188&amp;VAR:V=16.449188&amp;VAR:AUDIT_ID=00000117&amp;VAR:DATE=20041231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Aggregates&amp;VAR:MEASURE=PE_MEAN&amp;VAR:CALC_MODE=PORTFOLIO&amp;VAR:CHGPERIOD=NA&amp;VAR:FQLFORMULA=FMA_PE&amp;VAR:CURRENCY=USD&amp;VAR:P=1","211.916300&amp;VAR:THRESH=||||||&amp;VAR:null=.html"}</definedName>
    <definedName name="_3020__FDSAUDITLINK__" hidden="1">{"fdsup://directions/FAT Viewer?action=UPDATE&amp;creator=factset&amp;DYN_ARGS=TRUE&amp;DOC_NAME=FAT:FQL_AUDITING_CLIENT_TEMPLATE.FAT&amp;display_string=Audit&amp;VAR:KEY=ZWTENCPKDC&amp;VAR:QUERY=RkZfU0FMRVMoQ0FMLDM4MzUyLCwsLCk=&amp;WINDOW=FIRST_POPUP&amp;HEIGHT=450&amp;WIDTH=450&amp;START_MAXIMI","ZED=FALSE&amp;VAR:CALENDAR=US&amp;VAR:SYMBOL=JNJ&amp;VAR:INDEX=0"}</definedName>
    <definedName name="_3021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3022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3023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3024__FDSAUDITLINK__" hidden="1">{"fdsup://directions/FAT Viewer?action=UPDATE&amp;creator=factset&amp;DYN_ARGS=TRUE&amp;DOC_NAME=FAT:FQL_AUDITING_CLIENT_TEMPLATE.FAT&amp;display_string=Audit&amp;VAR:KEY=LMVERYPEZG&amp;VAR:QUERY=RkZfU0FMRVMoQ0FMLDM5NDQ3LCwsLCk=&amp;WINDOW=FIRST_POPUP&amp;HEIGHT=450&amp;WIDTH=450&amp;START_MAXIMI","ZED=FALSE&amp;VAR:CALENDAR=US&amp;VAR:SYMBOL=710306&amp;VAR:INDEX=0"}</definedName>
    <definedName name="_3025__FDSAUDITLINK__" hidden="1">{"fdsup://directions/FAT Viewer?action=UPDATE&amp;creator=factset&amp;DYN_ARGS=TRUE&amp;DOC_NAME=FAT:FQL_AUDITING_CLIENT_TEMPLATE.FAT&amp;display_string=Audit&amp;VAR:KEY=XQLOLCJYLW&amp;VAR:QUERY=RkZfU0FMRVMoQ0FMLDM5MDgyLCwsLCk=&amp;WINDOW=FIRST_POPUP&amp;HEIGHT=450&amp;WIDTH=450&amp;START_MAXIMI","ZED=FALSE&amp;VAR:CALENDAR=US&amp;VAR:SYMBOL=710306&amp;VAR:INDEX=0"}</definedName>
    <definedName name="_3026__FDSAUDITLINK__" hidden="1">{"fdsup://directions/FAT Viewer?action=UPDATE&amp;creator=factset&amp;DYN_ARGS=TRUE&amp;DOC_NAME=FAT:FQL_AUDITING_CLIENT_TEMPLATE.FAT&amp;display_string=Audit&amp;VAR:KEY=JIVKRKVAXY&amp;VAR:QUERY=RkZfU0FMRVMoQ0FMLDM4NzE3LCwsLCk=&amp;WINDOW=FIRST_POPUP&amp;HEIGHT=450&amp;WIDTH=450&amp;START_MAXIMI","ZED=FALSE&amp;VAR:CALENDAR=US&amp;VAR:SYMBOL=710306&amp;VAR:INDEX=0"}</definedName>
    <definedName name="_3027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3028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3029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303__FDSAUDITLINK__" hidden="1">{"fdsup://directions/FAT%20Viewer?VAR:TM=NTMA&amp;VAR:PCT=0.021858&amp;VAR:Y0=2004&amp;VAR:Y1=2005&amp;VAR:V0=18.226088&amp;VAR:V1=16.426668&amp;VAR:V=16.462193&amp;VAR:AUDIT_ID=00000117&amp;VAR:DATE=20041223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Aggregates&amp;VAR:MEASURE=PE_MEAN&amp;VAR:CALC_MODE=PORTFOLIO&amp;VAR:CHGPERIOD=NA&amp;VAR:FQLFORMULA=FMA_PE&amp;VAR:CURRENCY=USD&amp;VAR:P=1","210.127600&amp;VAR:THRESH=||||||&amp;VAR:null=.html"}</definedName>
    <definedName name="_3030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3031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3032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3033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3034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3035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3036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3037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3038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3039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304__FDSAUDITLINK__" hidden="1">{"fdsup://directions/FAT%20Viewer?VAR:TM=NTMA&amp;VAR:PCT=0.038251&amp;VAR:Y0=2004&amp;VAR:Y1=2005&amp;VAR:V0=17.962141&amp;VAR:V1=16.185635&amp;VAR:V=16.247100&amp;VAR:AUDIT_ID=00000117&amp;VAR:DATE=20041217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Aggregates&amp;VAR:MEASURE=PE_MEAN&amp;VAR:CALC_MODE=PORTFOLIO&amp;VAR:CHGPERIOD=NA&amp;VAR:FQLFORMULA=FMA_PE&amp;VAR:CURRENCY=USD&amp;VAR:P=1","194.220000&amp;VAR:THRESH=||||||&amp;VAR:null=.html"}</definedName>
    <definedName name="_3040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3041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3042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3043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3044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3045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3046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3047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3048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3049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305__FDSAUDITLINK__" hidden="1">{"fdsup://directions/FAT%20Viewer?VAR:TM=NTMA&amp;VAR:PCT=0.057377&amp;VAR:Y0=2004&amp;VAR:Y1=2005&amp;VAR:V0=17.876713&amp;VAR:V1=16.102962&amp;VAR:V=16.195161&amp;VAR:AUDIT_ID=00000117&amp;VAR:DATE=20041210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Aggregates&amp;VAR:MEASURE=PE_MEAN&amp;VAR:CALC_MODE=PORTFOLIO&amp;VAR:CHGPERIOD=NA&amp;VAR:FQLFORMULA=FMA_PE&amp;VAR:CURRENCY=USD&amp;VAR:P=1","188.000000&amp;VAR:THRESH=||||||&amp;VAR:null=.html"}</definedName>
    <definedName name="_3050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3051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3052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3053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3054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3055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3056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3057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3058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3059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306__FDSAUDITLINK__" hidden="1">{"fdsup://directions/FAT%20Viewer?VAR:TM=NTMA&amp;VAR:PCT=0.076503&amp;VAR:Y0=2004&amp;VAR:Y1=2005&amp;VAR:V0=17.919119&amp;VAR:V1=16.148615&amp;VAR:V=16.271610&amp;VAR:AUDIT_ID=00000117&amp;VAR:DATE=20041203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Aggregates&amp;VAR:MEASURE=PE_MEAN&amp;VAR:CALC_MODE=PORTFOLIO&amp;VAR:CHGPERIOD=NA&amp;VAR:FQLFORMULA=FMA_PE&amp;VAR:CURRENCY=USD&amp;VAR:P=1","191.167100&amp;VAR:THRESH=||||||&amp;VAR:null=.html"}</definedName>
    <definedName name="_3060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3061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3062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3063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3064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3065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3066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3067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3068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3069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307__FDSAUDITLINK__" hidden="1">{"fdsup://directions/FAT%20Viewer?VAR:TM=NTMA&amp;VAR:PCT=0.095628&amp;VAR:Y0=2004&amp;VAR:Y1=2005&amp;VAR:V0=17.797620&amp;VAR:V1=16.134272&amp;VAR:V=16.279770&amp;VAR:AUDIT_ID=00000117&amp;VAR:DATE=20041126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Aggregates&amp;VAR:MEASURE=PE_MEAN&amp;VAR:CALC_MODE=PORTFOLIO&amp;VAR:CHGPERIOD=NA&amp;VAR:FQLFORMULA=FMA_PE&amp;VAR:CURRENCY=USD&amp;VAR:P=1","182.648800&amp;VAR:THRESH=||||||&amp;VAR:null=.html"}</definedName>
    <definedName name="_3070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3071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3072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3073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3074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3075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3076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3077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3078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3079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308__FDSAUDITLINK__" hidden="1">{"fdsup://directions/FAT%20Viewer?VAR:TM=NTMA&amp;VAR:PCT=0.114754&amp;VAR:Y0=2004&amp;VAR:Y1=2005&amp;VAR:V0=17.615038&amp;VAR:V1=15.983636&amp;VAR:V=16.155333&amp;VAR:AUDIT_ID=00000117&amp;VAR:DATE=20041119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Aggregates&amp;VAR:MEASURE=PE_MEAN&amp;VAR:CALC_MODE=PORTFOLIO&amp;VAR:CHGPERIOD=NA&amp;VAR:FQLFORMULA=FMA_PE&amp;VAR:CURRENCY=USD&amp;VAR:P=1","170.339000&amp;VAR:THRESH=||||||&amp;VAR:null=.html"}</definedName>
    <definedName name="_3080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3081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3082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3083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3084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3085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3086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3087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3088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3089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309__FDSAUDITLINK__" hidden="1">{"fdsup://directions/FAT%20Viewer?VAR:TM=NTMA&amp;VAR:PCT=0.133880&amp;VAR:Y0=2004&amp;VAR:Y1=2005&amp;VAR:V0=17.888233&amp;VAR:V1=16.223710&amp;VAR:V=16.428369&amp;VAR:AUDIT_ID=00000117&amp;VAR:DATE=20041112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Aggregates&amp;VAR:MEASURE=PE_MEAN&amp;VAR:CALC_MODE=PORTFOLIO&amp;VAR:CHGPERIOD=NA&amp;VAR:FQLFORMULA=FMA_PE&amp;VAR:CURRENCY=USD&amp;VAR:P=1","184.173700&amp;VAR:THRESH=||||||&amp;VAR:null=.html"}</definedName>
    <definedName name="_3090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3091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3092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3093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3094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3095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3096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3097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3098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3099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31__FDSAUDITLINK__" hidden="1">{"fdsup://directions/FAT%20Viewer?VAR:TM=NTMA&amp;VAR:PCT=0.805479&amp;VAR:Y0=2010&amp;VAR:Y1=2011&amp;VAR:V0=14.505203&amp;VAR:V1=12.141312&amp;VAR:V=13.975897&amp;VAR:AUDIT_ID=00000117&amp;VAR:DATE=20100312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Aggregates&amp;VAR:MEASURE=PE_MEAN&amp;VAR:CALC_MODE=PORTFOLIO&amp;VAR:CHGPERIOD=NA&amp;VAR:FQLFORMULA=FMA_PE&amp;VAR:CURRENCY=USD&amp;VAR:P=1","149.991906&amp;VAR:THRESH=||||||&amp;VAR:null=.html"}</definedName>
    <definedName name="_310__FDSAUDITLINK__" hidden="1">{"fdsup://directions/FAT%20Viewer?VAR:TM=NTMA&amp;VAR:PCT=0.153005&amp;VAR:Y0=2004&amp;VAR:Y1=2005&amp;VAR:V0=17.613657&amp;VAR:V1=15.989143&amp;VAR:V=16.218007&amp;VAR:AUDIT_ID=00000117&amp;VAR:DATE=20041105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Aggregates&amp;VAR:MEASURE=PE_MEAN&amp;VAR:CALC_MODE=PORTFOLIO&amp;VAR:CHGPERIOD=NA&amp;VAR:FQLFORMULA=FMA_PE&amp;VAR:CURRENCY=USD&amp;VAR:P=1","166.171400&amp;VAR:THRESH=||||||&amp;VAR:null=.html"}</definedName>
    <definedName name="_3100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3101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3102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3103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3104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3105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3106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3107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3108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3109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311__FDSAUDITLINK__" hidden="1">{"fdsup://directions/FAT%20Viewer?VAR:TM=NTMA&amp;VAR:PCT=0.172131&amp;VAR:Y0=2004&amp;VAR:Y1=2005&amp;VAR:V0=17.116337&amp;VAR:V1=15.533914&amp;VAR:V=15.785114&amp;VAR:AUDIT_ID=00000117&amp;VAR:DATE=20041029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Aggregates&amp;VAR:MEASURE=PE_MEAN&amp;VAR:CALC_MODE=PORTFOLIO&amp;VAR:CHGPERIOD=NA&amp;VAR:FQLFORMULA=FMA_PE&amp;VAR:CURRENCY=USD&amp;VAR:P=1","130.199100&amp;VAR:THRESH=||||||&amp;VAR:null=.html"}</definedName>
    <definedName name="_3110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3111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3112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3113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3114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3115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3116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3117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3118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3119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312__FDSAUDITLINK__" hidden="1">{"fdsup://directions/FAT%20Viewer?VAR:TM=NTMA&amp;VAR:PCT=0.191257&amp;VAR:Y0=2004&amp;VAR:Y1=2005&amp;VAR:V0=16.723452&amp;VAR:V1=15.135553&amp;VAR:V=15.415497&amp;VAR:AUDIT_ID=00000117&amp;VAR:DATE=20041022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Aggregates&amp;VAR:MEASURE=PE_MEAN&amp;VAR:CALC_MODE=PORTFOLIO&amp;VAR:CHGPERIOD=NA&amp;VAR:FQLFORMULA=FMA_PE&amp;VAR:CURRENCY=USD&amp;VAR:P=1","095.735400&amp;VAR:THRESH=||||||&amp;VAR:null=.html"}</definedName>
    <definedName name="_3120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3121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3122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3123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3124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3125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3126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3127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3128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3129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313__FDSAUDITLINK__" hidden="1">{"fdsup://directions/FAT%20Viewer?VAR:TM=NTMA&amp;VAR:PCT=0.210383&amp;VAR:Y0=2004&amp;VAR:Y1=2005&amp;VAR:V0=16.917564&amp;VAR:V1=15.297055&amp;VAR:V=15.611665&amp;VAR:AUDIT_ID=00000117&amp;VAR:DATE=20041015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Aggregates&amp;VAR:MEASURE=PE_MEAN&amp;VAR:CALC_MODE=PORTFOLIO&amp;VAR:CHGPERIOD=NA&amp;VAR:FQLFORMULA=FMA_PE&amp;VAR:CURRENCY=USD&amp;VAR:P=1","108.197000&amp;VAR:THRESH=||||||&amp;VAR:null=.html"}</definedName>
    <definedName name="_3130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3131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3132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3133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3134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3135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3136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3137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3138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3139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314__FDSAUDITLINK__" hidden="1">{"fdsup://directions/FAT%20Viewer?VAR:TM=NTMA&amp;VAR:PCT=0.229508&amp;VAR:Y0=2004&amp;VAR:Y1=2005&amp;VAR:V0=17.100240&amp;VAR:V1=15.518226&amp;VAR:V=15.854869&amp;VAR:AUDIT_ID=00000117&amp;VAR:DATE=20041008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Aggregates&amp;VAR:MEASURE=PE_MEAN&amp;VAR:CALC_MODE=PORTFOLIO&amp;VAR:CHGPERIOD=NA&amp;VAR:FQLFORMULA=FMA_PE&amp;VAR:CURRENCY=USD&amp;VAR:P=1","122.138800&amp;VAR:THRESH=||||||&amp;VAR:null=.html"}</definedName>
    <definedName name="_3140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3141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3142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3143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3144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3145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3146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3147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3148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3149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315__FDSAUDITLINK__" hidden="1">{"fdsup://directions/FAT%20Viewer?VAR:TM=NTMA&amp;VAR:PCT=0.248634&amp;VAR:Y0=2004&amp;VAR:Y1=2005&amp;VAR:V0=17.207054&amp;VAR:V1=15.667401&amp;VAR:V=16.023889&amp;VAR:AUDIT_ID=00000117&amp;VAR:DATE=20041001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Aggregates&amp;VAR:MEASURE=PE_MEAN&amp;VAR:CALC_MODE=PORTFOLIO&amp;VAR:CHGPERIOD=NA&amp;VAR:FQLFORMULA=FMA_PE&amp;VAR:CURRENCY=USD&amp;VAR:P=1","131.500900&amp;VAR:THRESH=||||||&amp;VAR:null=.html"}</definedName>
    <definedName name="_3150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3151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3152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3153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3154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3155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3156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3157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3158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3159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316__FDSAUDITLINK__" hidden="1">{"fdsup://directions/FAT%20Viewer?VAR:TM=NTMA&amp;VAR:PCT=0.267760&amp;VAR:Y0=2004&amp;VAR:Y1=2005&amp;VAR:V0=16.910341&amp;VAR:V1=15.354053&amp;VAR:V=15.741973&amp;VAR:AUDIT_ID=00000117&amp;VAR:DATE=20040924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Aggregates&amp;VAR:MEASURE=PE_MEAN&amp;VAR:CALC_MODE=PORTFOLIO&amp;VAR:CHGPERIOD=NA&amp;VAR:FQLFORMULA=FMA_PE&amp;VAR:CURRENCY=USD&amp;VAR:P=1","110.106300&amp;VAR:THRESH=||||||&amp;VAR:null=.html"}</definedName>
    <definedName name="_3160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3161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3162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3163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3164__FDSAUDITLINK__" hidden="1">{"fdsup://directions/FAT Viewer?action=UPDATE&amp;creator=factset&amp;DYN_ARGS=TRUE&amp;DOC_NAME=FAT:FQL_AUDITING_CLIENT_TEMPLATE.FAT&amp;display_string=Audit&amp;VAR:KEY=PODEFWZGFS&amp;VAR:QUERY=RkZfUkRfRVhQKENBTCwzOTQ0NywsLCwp&amp;WINDOW=FIRST_POPUP&amp;HEIGHT=450&amp;WIDTH=450&amp;START_MAXIMI","ZED=FALSE&amp;VAR:CALENDAR=US&amp;VAR:SYMBOL=BIIB&amp;VAR:INDEX=0"}</definedName>
    <definedName name="_3165__FDSAUDITLINK__" hidden="1">{"fdsup://directions/FAT Viewer?action=UPDATE&amp;creator=factset&amp;DYN_ARGS=TRUE&amp;DOC_NAME=FAT:FQL_AUDITING_CLIENT_TEMPLATE.FAT&amp;display_string=Audit&amp;VAR:KEY=HQFYRGDOJS&amp;VAR:QUERY=RkZfUkRfRVhQKENBTCwzOTA4MiwsLCwp&amp;WINDOW=FIRST_POPUP&amp;HEIGHT=450&amp;WIDTH=450&amp;START_MAXIMI","ZED=FALSE&amp;VAR:CALENDAR=US&amp;VAR:SYMBOL=BIIB&amp;VAR:INDEX=0"}</definedName>
    <definedName name="_3166__FDSAUDITLINK__" hidden="1">{"fdsup://directions/FAT Viewer?action=UPDATE&amp;creator=factset&amp;DYN_ARGS=TRUE&amp;DOC_NAME=FAT:FQL_AUDITING_CLIENT_TEMPLATE.FAT&amp;display_string=Audit&amp;VAR:KEY=BWLKBKRSNC&amp;VAR:QUERY=RkZfUkRfRVhQKENBTCwzODcxNywsLCwp&amp;WINDOW=FIRST_POPUP&amp;HEIGHT=450&amp;WIDTH=450&amp;START_MAXIMI","ZED=FALSE&amp;VAR:CALENDAR=US&amp;VAR:SYMBOL=BIIB&amp;VAR:INDEX=0"}</definedName>
    <definedName name="_3167__FDSAUDITLINK__" hidden="1">{"fdsup://directions/FAT Viewer?action=UPDATE&amp;creator=factset&amp;DYN_ARGS=TRUE&amp;DOC_NAME=FAT:FQL_AUDITING_CLIENT_TEMPLATE.FAT&amp;display_string=Audit&amp;VAR:KEY=NCJCPSJUJA&amp;VAR:QUERY=RkZfUkRfRVhQKENBTCwzODM1MiwsLCwp&amp;WINDOW=FIRST_POPUP&amp;HEIGHT=450&amp;WIDTH=450&amp;START_MAXIMI","ZED=FALSE&amp;VAR:CALENDAR=US&amp;VAR:SYMBOL=BIIB&amp;VAR:INDEX=0"}</definedName>
    <definedName name="_3168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3169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317__FDSAUDITLINK__" hidden="1">{"fdsup://directions/FAT%20Viewer?VAR:TM=NTMA&amp;VAR:PCT=0.286885&amp;VAR:Y0=2004&amp;VAR:Y1=2005&amp;VAR:V0=17.172993&amp;VAR:V1=15.613946&amp;VAR:V=16.031483&amp;VAR:AUDIT_ID=00000117&amp;VAR:DATE=20040917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Aggregates&amp;VAR:MEASURE=PE_MEAN&amp;VAR:CALC_MODE=PORTFOLIO&amp;VAR:CHGPERIOD=NA&amp;VAR:FQLFORMULA=FMA_PE&amp;VAR:CURRENCY=USD&amp;VAR:P=1","128.548000&amp;VAR:THRESH=||||||&amp;VAR:null=.html"}</definedName>
    <definedName name="_3170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3171__FDSAUDITLINK__" hidden="1">{"fdsup://directions/FAT Viewer?action=UPDATE&amp;creator=factset&amp;DYN_ARGS=TRUE&amp;DOC_NAME=FAT:FQL_AUDITING_CLIENT_TEMPLATE.FAT&amp;display_string=Audit&amp;VAR:KEY=BQVALCNUXY&amp;VAR:QUERY=RkZfUkRfRVhQKENBTCwzOTQ0NywsLCwp&amp;WINDOW=FIRST_POPUP&amp;HEIGHT=450&amp;WIDTH=450&amp;START_MAXIMI","ZED=FALSE&amp;VAR:CALENDAR=US&amp;VAR:SYMBOL=707752&amp;VAR:INDEX=0"}</definedName>
    <definedName name="_3172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3173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3174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3175__FDSAUDITLINK__" hidden="1">{"fdsup://directions/FAT Viewer?action=UPDATE&amp;creator=factset&amp;DYN_ARGS=TRUE&amp;DOC_NAME=FAT:FQL_AUDITING_CLIENT_TEMPLATE.FAT&amp;display_string=Audit&amp;VAR:KEY=VYJCJQLQHW&amp;VAR:QUERY=RkZfUkRfRVhQKENBTCwzOTQ0NywsLCwp&amp;WINDOW=FIRST_POPUP&amp;HEIGHT=450&amp;WIDTH=450&amp;START_MAXIMI","ZED=FALSE&amp;VAR:CALENDAR=US&amp;VAR:SYMBOL=630720&amp;VAR:INDEX=0"}</definedName>
    <definedName name="_3176__FDSAUDITLINK__" hidden="1">{"fdsup://directions/FAT Viewer?action=UPDATE&amp;creator=factset&amp;DYN_ARGS=TRUE&amp;DOC_NAME=FAT:FQL_AUDITING_CLIENT_TEMPLATE.FAT&amp;display_string=Audit&amp;VAR:KEY=TUBQTARIDK&amp;VAR:QUERY=RkZfUkRfRVhQKENBTCwzOTA4MiwsLCwp&amp;WINDOW=FIRST_POPUP&amp;HEIGHT=450&amp;WIDTH=450&amp;START_MAXIMI","ZED=FALSE&amp;VAR:CALENDAR=US&amp;VAR:SYMBOL=630720&amp;VAR:INDEX=0"}</definedName>
    <definedName name="_3177__FDSAUDITLINK__" hidden="1">{"fdsup://directions/FAT Viewer?action=UPDATE&amp;creator=factset&amp;DYN_ARGS=TRUE&amp;DOC_NAME=FAT:FQL_AUDITING_CLIENT_TEMPLATE.FAT&amp;display_string=Audit&amp;VAR:KEY=TEDCLSDYNM&amp;VAR:QUERY=RkZfUkRfRVhQKENBTCwzODcxNywsLCwp&amp;WINDOW=FIRST_POPUP&amp;HEIGHT=450&amp;WIDTH=450&amp;START_MAXIMI","ZED=FALSE&amp;VAR:CALENDAR=US&amp;VAR:SYMBOL=630720&amp;VAR:INDEX=0"}</definedName>
    <definedName name="_3178__FDSAUDITLINK__" hidden="1">{"fdsup://directions/FAT Viewer?action=UPDATE&amp;creator=factset&amp;DYN_ARGS=TRUE&amp;DOC_NAME=FAT:FQL_AUDITING_CLIENT_TEMPLATE.FAT&amp;display_string=Audit&amp;VAR:KEY=HWBSXSJUJE&amp;VAR:QUERY=RkZfUkRfRVhQKENBTCwzODM1MiwsLCwp&amp;WINDOW=FIRST_POPUP&amp;HEIGHT=450&amp;WIDTH=450&amp;START_MAXIMI","ZED=FALSE&amp;VAR:CALENDAR=US&amp;VAR:SYMBOL=630720&amp;VAR:INDEX=0"}</definedName>
    <definedName name="_3179__FDSAUDITLINK__" hidden="1">{"fdsup://directions/FAT Viewer?action=UPDATE&amp;creator=factset&amp;DYN_ARGS=TRUE&amp;DOC_NAME=FAT:FQL_AUDITING_CLIENT_TEMPLATE.FAT&amp;display_string=Audit&amp;VAR:KEY=NOFYHOLEJE&amp;VAR:QUERY=RkZfUkRfRVhQKENBTCwzNzk4NiwsLCwp&amp;WINDOW=FIRST_POPUP&amp;HEIGHT=450&amp;WIDTH=450&amp;START_MAXIMI","ZED=FALSE&amp;VAR:CALENDAR=US&amp;VAR:SYMBOL=630720&amp;VAR:INDEX=0"}</definedName>
    <definedName name="_318__FDSAUDITLINK__" hidden="1">{"fdsup://directions/FAT%20Viewer?VAR:TM=NTMA&amp;VAR:PCT=0.306011&amp;VAR:Y0=2004&amp;VAR:Y1=2005&amp;VAR:V0=17.085815&amp;VAR:V1=15.526444&amp;VAR:V=15.972536&amp;VAR:AUDIT_ID=00000117&amp;VAR:DATE=20040910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Aggregates&amp;VAR:MEASURE=PE_MEAN&amp;VAR:CALC_MODE=PORTFOLIO&amp;VAR:CHGPERIOD=NA&amp;VAR:FQLFORMULA=FMA_PE&amp;VAR:CURRENCY=USD&amp;VAR:P=1","123.915600&amp;VAR:THRESH=||||||&amp;VAR:null=.html"}</definedName>
    <definedName name="_3180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3181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3182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3183__FDSAUDITLINK__" hidden="1">{"fdsup://directions/FAT Viewer?action=UPDATE&amp;creator=factset&amp;DYN_ARGS=TRUE&amp;DOC_NAME=FAT:FQL_AUDITING_CLIENT_TEMPLATE.FAT&amp;display_string=Audit&amp;VAR:KEY=DSRAFCZODS&amp;VAR:QUERY=RkZfUkRfRVhQKENBTCwzOTQ0NywsLCwp&amp;WINDOW=FIRST_POPUP&amp;HEIGHT=450&amp;WIDTH=450&amp;START_MAXIMI","ZED=FALSE&amp;VAR:CALENDAR=US&amp;VAR:SYMBOL=698538&amp;VAR:INDEX=0"}</definedName>
    <definedName name="_3184__FDSAUDITLINK__" hidden="1">{"fdsup://directions/FAT Viewer?action=UPDATE&amp;creator=factset&amp;DYN_ARGS=TRUE&amp;DOC_NAME=FAT:FQL_AUDITING_CLIENT_TEMPLATE.FAT&amp;display_string=Audit&amp;VAR:KEY=FODYBQZGBW&amp;VAR:QUERY=RkZfUkRfRVhQKENBTCwzOTA4MiwsLCwp&amp;WINDOW=FIRST_POPUP&amp;HEIGHT=450&amp;WIDTH=450&amp;START_MAXIMI","ZED=FALSE&amp;VAR:CALENDAR=US&amp;VAR:SYMBOL=698538&amp;VAR:INDEX=0"}</definedName>
    <definedName name="_3185__FDSAUDITLINK__" hidden="1">{"fdsup://directions/FAT Viewer?action=UPDATE&amp;creator=factset&amp;DYN_ARGS=TRUE&amp;DOC_NAME=FAT:FQL_AUDITING_CLIENT_TEMPLATE.FAT&amp;display_string=Audit&amp;VAR:KEY=LMDOJUJATK&amp;VAR:QUERY=RkZfUkRfRVhQKENBTCwzODcxNywsLCwp&amp;WINDOW=FIRST_POPUP&amp;HEIGHT=450&amp;WIDTH=450&amp;START_MAXIMI","ZED=FALSE&amp;VAR:CALENDAR=US&amp;VAR:SYMBOL=698538&amp;VAR:INDEX=0"}</definedName>
    <definedName name="_3186__FDSAUDITLINK__" hidden="1">{"fdsup://directions/FAT Viewer?action=UPDATE&amp;creator=factset&amp;DYN_ARGS=TRUE&amp;DOC_NAME=FAT:FQL_AUDITING_CLIENT_TEMPLATE.FAT&amp;display_string=Audit&amp;VAR:KEY=BCDOVGLIHM&amp;VAR:QUERY=RkZfUkRfRVhQKENBTCwzODM1MiwsLCwp&amp;WINDOW=FIRST_POPUP&amp;HEIGHT=450&amp;WIDTH=450&amp;START_MAXIMI","ZED=FALSE&amp;VAR:CALENDAR=US&amp;VAR:SYMBOL=698538&amp;VAR:INDEX=0"}</definedName>
    <definedName name="_3187__FDSAUDITLINK__" hidden="1">{"fdsup://directions/FAT Viewer?action=UPDATE&amp;creator=factset&amp;DYN_ARGS=TRUE&amp;DOC_NAME=FAT:FQL_AUDITING_CLIENT_TEMPLATE.FAT&amp;display_string=Audit&amp;VAR:KEY=VAVSHGNKLS&amp;VAR:QUERY=RkZfUkRfRVhQKENBTCwzNzk4NiwsLCwp&amp;WINDOW=FIRST_POPUP&amp;HEIGHT=450&amp;WIDTH=450&amp;START_MAXIMI","ZED=FALSE&amp;VAR:CALENDAR=US&amp;VAR:SYMBOL=698538&amp;VAR:INDEX=0"}</definedName>
    <definedName name="_3188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3189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319__FDSAUDITLINK__" hidden="1">{"fdsup://directions/FAT%20Viewer?VAR:TM=NTMA&amp;VAR:PCT=0.325137&amp;VAR:Y0=2004&amp;VAR:Y1=2005&amp;VAR:V0=16.948303&amp;VAR:V1=15.386287&amp;VAR:V=15.861591&amp;VAR:AUDIT_ID=00000117&amp;VAR:DATE=20040903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Aggregates&amp;VAR:MEASURE=PE_MEAN&amp;VAR:CALC_MODE=PORTFOLIO&amp;VAR:CHGPERIOD=NA&amp;VAR:FQLFORMULA=FMA_PE&amp;VAR:CURRENCY=USD&amp;VAR:P=1","113.630500&amp;VAR:THRESH=||||||&amp;VAR:null=.html"}</definedName>
    <definedName name="_3190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3191__FDSAUDITLINK__" hidden="1">{"fdsup://directions/FAT Viewer?action=UPDATE&amp;creator=factset&amp;DYN_ARGS=TRUE&amp;DOC_NAME=FAT:FQL_AUDITING_CLIENT_TEMPLATE.FAT&amp;display_string=Audit&amp;VAR:KEY=DQXADMHEVC&amp;VAR:QUERY=RkZfUkRfRVhQKENBTCw0MDE3OCwsLCxKUFkp&amp;WINDOW=FIRST_POPUP&amp;HEIGHT=450&amp;WIDTH=450&amp;START_MA","XIMIZED=FALSE&amp;VAR:CALENDAR=US&amp;VAR:SYMBOL=B0J7D9&amp;VAR:INDEX=0"}</definedName>
    <definedName name="_3192__FDSAUDITLINK__" hidden="1">{"fdsup://directions/FAT Viewer?action=UPDATE&amp;creator=factset&amp;DYN_ARGS=TRUE&amp;DOC_NAME=FAT:FQL_AUDITING_CLIENT_TEMPLATE.FAT&amp;display_string=Audit&amp;VAR:KEY=TOLORIHYHO&amp;VAR:QUERY=RkZfUkRfRVhQKENBTCwzOTgxMywsLCxKUFkp&amp;WINDOW=FIRST_POPUP&amp;HEIGHT=450&amp;WIDTH=450&amp;START_MA","XIMIZED=FALSE&amp;VAR:CALENDAR=US&amp;VAR:SYMBOL=B0J7D9&amp;VAR:INDEX=0"}</definedName>
    <definedName name="_3193__FDSAUDITLINK__" hidden="1">{"fdsup://directions/FAT Viewer?action=UPDATE&amp;creator=factset&amp;DYN_ARGS=TRUE&amp;DOC_NAME=FAT:FQL_AUDITING_CLIENT_TEMPLATE.FAT&amp;display_string=Audit&amp;VAR:KEY=JOZMPGZMJM&amp;VAR:QUERY=RkZfUkRfRVhQKENBTCwzOTQ0NywsLCxKUFkp&amp;WINDOW=FIRST_POPUP&amp;HEIGHT=450&amp;WIDTH=450&amp;START_MA","XIMIZED=FALSE&amp;VAR:CALENDAR=US&amp;VAR:SYMBOL=B0J7D9&amp;VAR:INDEX=0"}</definedName>
    <definedName name="_3194__FDSAUDITLINK__" hidden="1">{"fdsup://directions/FAT Viewer?action=UPDATE&amp;creator=factset&amp;DYN_ARGS=TRUE&amp;DOC_NAME=FAT:FQL_AUDITING_CLIENT_TEMPLATE.FAT&amp;display_string=Audit&amp;VAR:KEY=NABIRCXULI&amp;VAR:QUERY=RkZfUkRfRVhQKENBTCwzOTA4MiwsLCxKUFkp&amp;WINDOW=FIRST_POPUP&amp;HEIGHT=450&amp;WIDTH=450&amp;START_MA","XIMIZED=FALSE&amp;VAR:CALENDAR=US&amp;VAR:SYMBOL=B0J7D9&amp;VAR:INDEX=0"}</definedName>
    <definedName name="_3195__FDSAUDITLINK__" hidden="1">{"fdsup://directions/FAT Viewer?action=UPDATE&amp;creator=factset&amp;DYN_ARGS=TRUE&amp;DOC_NAME=FAT:FQL_AUDITING_CLIENT_TEMPLATE.FAT&amp;display_string=Audit&amp;VAR:KEY=PKNSHOFKFO&amp;VAR:QUERY=RkZfUkRfRVhQKENBTCwzODcxNywsLCxKUFkp&amp;WINDOW=FIRST_POPUP&amp;HEIGHT=450&amp;WIDTH=450&amp;START_MA","XIMIZED=FALSE&amp;VAR:CALENDAR=US&amp;VAR:SYMBOL=B0J7D9&amp;VAR:INDEX=0"}</definedName>
    <definedName name="_3196__FDSAUDITLINK__" hidden="1">{"fdsup://directions/FAT Viewer?action=UPDATE&amp;creator=factset&amp;DYN_ARGS=TRUE&amp;DOC_NAME=FAT:FQL_AUDITING_CLIENT_TEMPLATE.FAT&amp;display_string=Audit&amp;VAR:KEY=TEXUHKRIJS&amp;VAR:QUERY=RkZfUkRfRVhQKENBTCwzODM1MiwsLCxKUFkp&amp;WINDOW=FIRST_POPUP&amp;HEIGHT=450&amp;WIDTH=450&amp;START_MA","XIMIZED=FALSE&amp;VAR:CALENDAR=US&amp;VAR:SYMBOL=B0J7D9&amp;VAR:INDEX=0"}</definedName>
    <definedName name="_3197__FDSAUDITLINK__" hidden="1">{"fdsup://directions/FAT Viewer?action=UPDATE&amp;creator=factset&amp;DYN_ARGS=TRUE&amp;DOC_NAME=FAT:FQL_AUDITING_CLIENT_TEMPLATE.FAT&amp;display_string=Audit&amp;VAR:KEY=BMDYTORIHY&amp;VAR:QUERY=RkZfUkRfRVhQKENBTCwzNzk4NiwsLCxKUFkp&amp;WINDOW=FIRST_POPUP&amp;HEIGHT=450&amp;WIDTH=450&amp;START_MA","XIMIZED=FALSE&amp;VAR:CALENDAR=US&amp;VAR:SYMBOL=B0J7D9&amp;VAR:INDEX=0"}</definedName>
    <definedName name="_3198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3199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32__FDSAUDITLINK__" hidden="1">{"fdsup://directions/FAT%20Viewer?VAR:TM=NTMA&amp;VAR:PCT=0.824658&amp;VAR:Y0=2010&amp;VAR:Y1=2011&amp;VAR:V0=14.356710&amp;VAR:V1=12.023884&amp;VAR:V=13.884374&amp;VAR:AUDIT_ID=00000117&amp;VAR:DATE=20100305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Aggregates&amp;VAR:MEASURE=PE_MEAN&amp;VAR:CALC_MODE=PORTFOLIO&amp;VAR:CHGPERIOD=NA&amp;VAR:FQLFORMULA=FMA_PE&amp;VAR:CURRENCY=USD&amp;VAR:P=1","138.698076&amp;VAR:THRESH=||||||&amp;VAR:null=.html"}</definedName>
    <definedName name="_320__FDSAUDITLINK__" hidden="1">{"fdsup://directions/FAT%20Viewer?VAR:TM=NTMA&amp;VAR:PCT=0.344262&amp;VAR:Y0=2004&amp;VAR:Y1=2005&amp;VAR:V0=16.861742&amp;VAR:V1=15.310281&amp;VAR:V=15.811111&amp;VAR:AUDIT_ID=00000117&amp;VAR:DATE=20040827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Aggregates&amp;VAR:MEASURE=PE_MEAN&amp;VAR:CALC_MODE=PORTFOLIO&amp;VAR:CHGPERIOD=NA&amp;VAR:FQLFORMULA=FMA_PE&amp;VAR:CURRENCY=USD&amp;VAR:P=1","107.767800&amp;VAR:THRESH=||||||&amp;VAR:null=.html"}</definedName>
    <definedName name="_3200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3201__FDSAUDITLINK__" hidden="1">{"fdsup://directions/FAT Viewer?action=UPDATE&amp;creator=factset&amp;DYN_ARGS=TRUE&amp;DOC_NAME=FAT:FQL_AUDITING_CLIENT_TEMPLATE.FAT&amp;display_string=Audit&amp;VAR:KEY=JGFKDSPYPQ&amp;VAR:QUERY=RkZfUkRfRVhQKENBTCwzOTQ0NywsLCwp&amp;WINDOW=FIRST_POPUP&amp;HEIGHT=450&amp;WIDTH=450&amp;START_MAXIMI","ZED=FALSE&amp;VAR:CALENDAR=US&amp;VAR:SYMBOL=AMGN&amp;VAR:INDEX=0"}</definedName>
    <definedName name="_3202__FDSAUDITLINK__" hidden="1">{"fdsup://directions/FAT Viewer?action=UPDATE&amp;creator=factset&amp;DYN_ARGS=TRUE&amp;DOC_NAME=FAT:FQL_AUDITING_CLIENT_TEMPLATE.FAT&amp;display_string=Audit&amp;VAR:KEY=PITSZWZGJQ&amp;VAR:QUERY=RkZfUkRfRVhQKENBTCwzOTA4MiwsLCwp&amp;WINDOW=FIRST_POPUP&amp;HEIGHT=450&amp;WIDTH=450&amp;START_MAXIMI","ZED=FALSE&amp;VAR:CALENDAR=US&amp;VAR:SYMBOL=AMGN&amp;VAR:INDEX=0"}</definedName>
    <definedName name="_3203__FDSAUDITLINK__" hidden="1">{"fdsup://directions/FAT Viewer?action=UPDATE&amp;creator=factset&amp;DYN_ARGS=TRUE&amp;DOC_NAME=FAT:FQL_AUDITING_CLIENT_TEMPLATE.FAT&amp;display_string=Audit&amp;VAR:KEY=HKBWVOJSHI&amp;VAR:QUERY=RkZfUkRfRVhQKENBTCwzODcxNywsLCwp&amp;WINDOW=FIRST_POPUP&amp;HEIGHT=450&amp;WIDTH=450&amp;START_MAXIMI","ZED=FALSE&amp;VAR:CALENDAR=US&amp;VAR:SYMBOL=AMGN&amp;VAR:INDEX=0"}</definedName>
    <definedName name="_3204__FDSAUDITLINK__" hidden="1">{"fdsup://directions/FAT Viewer?action=UPDATE&amp;creator=factset&amp;DYN_ARGS=TRUE&amp;DOC_NAME=FAT:FQL_AUDITING_CLIENT_TEMPLATE.FAT&amp;display_string=Audit&amp;VAR:KEY=TUHABOXUJS&amp;VAR:QUERY=RkZfUkRfRVhQKENBTCwzODM1MiwsLCwp&amp;WINDOW=FIRST_POPUP&amp;HEIGHT=450&amp;WIDTH=450&amp;START_MAXIMI","ZED=FALSE&amp;VAR:CALENDAR=US&amp;VAR:SYMBOL=AMGN&amp;VAR:INDEX=0"}</definedName>
    <definedName name="_3205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3206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3207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3208__FDSAUDITLINK__" hidden="1">{"fdsup://directions/FAT Viewer?action=UPDATE&amp;creator=factset&amp;DYN_ARGS=TRUE&amp;DOC_NAME=FAT:FQL_AUDITING_CLIENT_TEMPLATE.FAT&amp;display_string=Audit&amp;VAR:KEY=FSDQDMTKFI&amp;VAR:QUERY=RkZfUkRfRVhQKENBTCwzOTQ0NywsLCwp&amp;WINDOW=FIRST_POPUP&amp;HEIGHT=450&amp;WIDTH=450&amp;START_MAXIMI","ZED=FALSE&amp;VAR:CALENDAR=US&amp;VAR:SYMBOL=ABT&amp;VAR:INDEX=0"}</definedName>
    <definedName name="_3209__FDSAUDITLINK__" hidden="1">{"fdsup://directions/FAT Viewer?action=UPDATE&amp;creator=factset&amp;DYN_ARGS=TRUE&amp;DOC_NAME=FAT:FQL_AUDITING_CLIENT_TEMPLATE.FAT&amp;display_string=Audit&amp;VAR:KEY=DKXQFUXYNQ&amp;VAR:QUERY=RkZfUkRfRVhQKENBTCwzOTA4MiwsLCwp&amp;WINDOW=FIRST_POPUP&amp;HEIGHT=450&amp;WIDTH=450&amp;START_MAXIMI","ZED=FALSE&amp;VAR:CALENDAR=US&amp;VAR:SYMBOL=ABT&amp;VAR:INDEX=0"}</definedName>
    <definedName name="_321__FDSAUDITLINK__" hidden="1">{"fdsup://directions/FAT%20Viewer?VAR:TM=NTMA&amp;VAR:PCT=0.363388&amp;VAR:Y0=2004&amp;VAR:Y1=2005&amp;VAR:V0=16.735010&amp;VAR:V1=15.200394&amp;VAR:V=15.724378&amp;VAR:AUDIT_ID=00000117&amp;VAR:DATE=20040820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Aggregates&amp;VAR:MEASURE=PE_MEAN&amp;VAR:CALC_MODE=PORTFOLIO&amp;VAR:CHGPERIOD=NA&amp;VAR:FQLFORMULA=FMA_PE&amp;VAR:CURRENCY=USD&amp;VAR:P=1","098.352300&amp;VAR:THRESH=||||||&amp;VAR:null=.html"}</definedName>
    <definedName name="_3210__FDSAUDITLINK__" hidden="1">{"fdsup://directions/FAT Viewer?action=UPDATE&amp;creator=factset&amp;DYN_ARGS=TRUE&amp;DOC_NAME=FAT:FQL_AUDITING_CLIENT_TEMPLATE.FAT&amp;display_string=Audit&amp;VAR:KEY=DCTAJGPGHM&amp;VAR:QUERY=RkZfUkRfRVhQKENBTCwzODcxNywsLCwp&amp;WINDOW=FIRST_POPUP&amp;HEIGHT=450&amp;WIDTH=450&amp;START_MAXIMI","ZED=FALSE&amp;VAR:CALENDAR=US&amp;VAR:SYMBOL=ABT&amp;VAR:INDEX=0"}</definedName>
    <definedName name="_3211__FDSAUDITLINK__" hidden="1">{"fdsup://directions/FAT Viewer?action=UPDATE&amp;creator=factset&amp;DYN_ARGS=TRUE&amp;DOC_NAME=FAT:FQL_AUDITING_CLIENT_TEMPLATE.FAT&amp;display_string=Audit&amp;VAR:KEY=DWROLQJYRO&amp;VAR:QUERY=RkZfUkRfRVhQKENBTCwzODM1MiwsLCwp&amp;WINDOW=FIRST_POPUP&amp;HEIGHT=450&amp;WIDTH=450&amp;START_MAXIMI","ZED=FALSE&amp;VAR:CALENDAR=US&amp;VAR:SYMBOL=ABT&amp;VAR:INDEX=0"}</definedName>
    <definedName name="_3212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3213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3214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3215__FDSAUDITLINK__" hidden="1">{"fdsup://directions/FAT Viewer?action=UPDATE&amp;creator=factset&amp;DYN_ARGS=TRUE&amp;DOC_NAME=FAT:FQL_AUDITING_CLIENT_TEMPLATE.FAT&amp;display_string=Audit&amp;VAR:KEY=RSBIBMVATE&amp;VAR:QUERY=RkZfUkRfRVhQKENBTCwzOTQ0NywsLCwp&amp;WINDOW=FIRST_POPUP&amp;HEIGHT=450&amp;WIDTH=450&amp;START_MAXIMI","ZED=FALSE&amp;VAR:CALENDAR=US&amp;VAR:SYMBOL=687044&amp;VAR:INDEX=0"}</definedName>
    <definedName name="_3216__FDSAUDITLINK__" hidden="1">{"fdsup://directions/FAT Viewer?action=UPDATE&amp;creator=factset&amp;DYN_ARGS=TRUE&amp;DOC_NAME=FAT:FQL_AUDITING_CLIENT_TEMPLATE.FAT&amp;display_string=Audit&amp;VAR:KEY=BMBQFCROBS&amp;VAR:QUERY=RkZfUkRfRVhQKENBTCwzOTA4MiwsLCwp&amp;WINDOW=FIRST_POPUP&amp;HEIGHT=450&amp;WIDTH=450&amp;START_MAXIMI","ZED=FALSE&amp;VAR:CALENDAR=US&amp;VAR:SYMBOL=687044&amp;VAR:INDEX=0"}</definedName>
    <definedName name="_3217__FDSAUDITLINK__" hidden="1">{"fdsup://directions/FAT Viewer?action=UPDATE&amp;creator=factset&amp;DYN_ARGS=TRUE&amp;DOC_NAME=FAT:FQL_AUDITING_CLIENT_TEMPLATE.FAT&amp;display_string=Audit&amp;VAR:KEY=PSVODMRWBK&amp;VAR:QUERY=RkZfUkRfRVhQKENBTCwzODcxNywsLCwp&amp;WINDOW=FIRST_POPUP&amp;HEIGHT=450&amp;WIDTH=450&amp;START_MAXIMI","ZED=FALSE&amp;VAR:CALENDAR=US&amp;VAR:SYMBOL=687044&amp;VAR:INDEX=0"}</definedName>
    <definedName name="_3218__FDSAUDITLINK__" hidden="1">{"fdsup://directions/FAT Viewer?action=UPDATE&amp;creator=factset&amp;DYN_ARGS=TRUE&amp;DOC_NAME=FAT:FQL_AUDITING_CLIENT_TEMPLATE.FAT&amp;display_string=Audit&amp;VAR:KEY=XETOTYBIDC&amp;VAR:QUERY=RkZfUkRfRVhQKENBTCwzODM1MiwsLCwp&amp;WINDOW=FIRST_POPUP&amp;HEIGHT=450&amp;WIDTH=450&amp;START_MAXIMI","ZED=FALSE&amp;VAR:CALENDAR=US&amp;VAR:SYMBOL=687044&amp;VAR:INDEX=0"}</definedName>
    <definedName name="_3219__FDSAUDITLINK__" hidden="1">{"fdsup://directions/FAT Viewer?action=UPDATE&amp;creator=factset&amp;DYN_ARGS=TRUE&amp;DOC_NAME=FAT:FQL_AUDITING_CLIENT_TEMPLATE.FAT&amp;display_string=Audit&amp;VAR:KEY=ZYDGDSXIPY&amp;VAR:QUERY=RkZfUkRfRVhQKENBTCwzNzk4NiwsLCwp&amp;WINDOW=FIRST_POPUP&amp;HEIGHT=450&amp;WIDTH=450&amp;START_MAXIMI","ZED=FALSE&amp;VAR:CALENDAR=US&amp;VAR:SYMBOL=687044&amp;VAR:INDEX=0"}</definedName>
    <definedName name="_322__FDSAUDITLINK__" hidden="1">{"fdsup://directions/FAT%20Viewer?VAR:TM=NTMA&amp;VAR:PCT=0.382514&amp;VAR:Y0=2004&amp;VAR:Y1=2005&amp;VAR:V0=16.243265&amp;VAR:V1=14.753015&amp;VAR:V=15.289588&amp;VAR:AUDIT_ID=00000117&amp;VAR:DATE=20040813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Aggregates&amp;VAR:MEASURE=PE_MEAN&amp;VAR:CALC_MODE=PORTFOLIO&amp;VAR:CHGPERIOD=NA&amp;VAR:FQLFORMULA=FMA_PE&amp;VAR:CURRENCY=USD&amp;VAR:P=1","064.803500&amp;VAR:THRESH=||||||&amp;VAR:null=.html"}</definedName>
    <definedName name="_3220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3221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3222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3223__FDSAUDITLINK__" hidden="1">{"fdsup://directions/FAT Viewer?action=UPDATE&amp;creator=factset&amp;DYN_ARGS=TRUE&amp;DOC_NAME=FAT:FQL_AUDITING_CLIENT_TEMPLATE.FAT&amp;display_string=Audit&amp;VAR:KEY=RSXSPYNOFE&amp;VAR:QUERY=RkZfUkRfRVhQKENBTCwzOTQ0NywsLCwp&amp;WINDOW=FIRST_POPUP&amp;HEIGHT=450&amp;WIDTH=450&amp;START_MAXIMI","ZED=FALSE&amp;VAR:CALENDAR=US&amp;VAR:SYMBOL=BMY&amp;VAR:INDEX=0"}</definedName>
    <definedName name="_3224__FDSAUDITLINK__" hidden="1">{"fdsup://directions/FAT Viewer?action=UPDATE&amp;creator=factset&amp;DYN_ARGS=TRUE&amp;DOC_NAME=FAT:FQL_AUDITING_CLIENT_TEMPLATE.FAT&amp;display_string=Audit&amp;VAR:KEY=LKDOVYBADY&amp;VAR:QUERY=RkZfUkRfRVhQKENBTCwzOTA4MiwsLCwp&amp;WINDOW=FIRST_POPUP&amp;HEIGHT=450&amp;WIDTH=450&amp;START_MAXIMI","ZED=FALSE&amp;VAR:CALENDAR=US&amp;VAR:SYMBOL=BMY&amp;VAR:INDEX=0"}</definedName>
    <definedName name="_3225__FDSAUDITLINK__" hidden="1">{"fdsup://directions/FAT Viewer?action=UPDATE&amp;creator=factset&amp;DYN_ARGS=TRUE&amp;DOC_NAME=FAT:FQL_AUDITING_CLIENT_TEMPLATE.FAT&amp;display_string=Audit&amp;VAR:KEY=LQFUHMHSHG&amp;VAR:QUERY=RkZfUkRfRVhQKENBTCwzODcxNywsLCwp&amp;WINDOW=FIRST_POPUP&amp;HEIGHT=450&amp;WIDTH=450&amp;START_MAXIMI","ZED=FALSE&amp;VAR:CALENDAR=US&amp;VAR:SYMBOL=BMY&amp;VAR:INDEX=0"}</definedName>
    <definedName name="_3226__FDSAUDITLINK__" hidden="1">{"fdsup://directions/FAT Viewer?action=UPDATE&amp;creator=factset&amp;DYN_ARGS=TRUE&amp;DOC_NAME=FAT:FQL_AUDITING_CLIENT_TEMPLATE.FAT&amp;display_string=Audit&amp;VAR:KEY=FQBKHMBUDK&amp;VAR:QUERY=RkZfUkRfRVhQKENBTCwzODM1MiwsLCwp&amp;WINDOW=FIRST_POPUP&amp;HEIGHT=450&amp;WIDTH=450&amp;START_MAXIMI","ZED=FALSE&amp;VAR:CALENDAR=US&amp;VAR:SYMBOL=BMY&amp;VAR:INDEX=0"}</definedName>
    <definedName name="_3227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3228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3229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323__FDSAUDITLINK__" hidden="1">{"fdsup://directions/FAT%20Viewer?VAR:TM=NTMA&amp;VAR:PCT=0.401639&amp;VAR:Y0=2004&amp;VAR:Y1=2005&amp;VAR:V0=16.221619&amp;VAR:V1=14.738093&amp;VAR:V=15.300086&amp;VAR:AUDIT_ID=00000117&amp;VAR:DATE=20040806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Aggregates&amp;VAR:MEASURE=PE_MEAN&amp;VAR:CALC_MODE=PORTFOLIO&amp;VAR:CHGPERIOD=NA&amp;VAR:FQLFORMULA=FMA_PE&amp;VAR:CURRENCY=USD&amp;VAR:P=1","063.972500&amp;VAR:THRESH=||||||&amp;VAR:null=.html"}</definedName>
    <definedName name="_3230__FDSAUDITLINK__" hidden="1">{"fdsup://directions/FAT Viewer?action=UPDATE&amp;creator=factset&amp;DYN_ARGS=TRUE&amp;DOC_NAME=FAT:FQL_AUDITING_CLIENT_TEMPLATE.FAT&amp;display_string=Audit&amp;VAR:KEY=HEPKDCHMJW&amp;VAR:QUERY=RkZfUkRfRVhQKENBTCwzOTQ0NywsLCwp&amp;WINDOW=FIRST_POPUP&amp;HEIGHT=450&amp;WIDTH=450&amp;START_MAXIMI","ZED=FALSE&amp;VAR:CALENDAR=US&amp;VAR:SYMBOL=LLY&amp;VAR:INDEX=0"}</definedName>
    <definedName name="_3231__FDSAUDITLINK__" hidden="1">{"fdsup://directions/FAT Viewer?action=UPDATE&amp;creator=factset&amp;DYN_ARGS=TRUE&amp;DOC_NAME=FAT:FQL_AUDITING_CLIENT_TEMPLATE.FAT&amp;display_string=Audit&amp;VAR:KEY=FENANCDSZW&amp;VAR:QUERY=RkZfUkRfRVhQKENBTCwzOTA4MiwsLCwp&amp;WINDOW=FIRST_POPUP&amp;HEIGHT=450&amp;WIDTH=450&amp;START_MAXIMI","ZED=FALSE&amp;VAR:CALENDAR=US&amp;VAR:SYMBOL=LLY&amp;VAR:INDEX=0"}</definedName>
    <definedName name="_3232__FDSAUDITLINK__" hidden="1">{"fdsup://directions/FAT Viewer?action=UPDATE&amp;creator=factset&amp;DYN_ARGS=TRUE&amp;DOC_NAME=FAT:FQL_AUDITING_CLIENT_TEMPLATE.FAT&amp;display_string=Audit&amp;VAR:KEY=BUFUPIJOPY&amp;VAR:QUERY=RkZfUkRfRVhQKENBTCwzODcxNywsLCwp&amp;WINDOW=FIRST_POPUP&amp;HEIGHT=450&amp;WIDTH=450&amp;START_MAXIMI","ZED=FALSE&amp;VAR:CALENDAR=US&amp;VAR:SYMBOL=LLY&amp;VAR:INDEX=0"}</definedName>
    <definedName name="_3233__FDSAUDITLINK__" hidden="1">{"fdsup://directions/FAT Viewer?action=UPDATE&amp;creator=factset&amp;DYN_ARGS=TRUE&amp;DOC_NAME=FAT:FQL_AUDITING_CLIENT_TEMPLATE.FAT&amp;display_string=Audit&amp;VAR:KEY=FITARQDYHC&amp;VAR:QUERY=RkZfUkRfRVhQKENBTCwzODM1MiwsLCwp&amp;WINDOW=FIRST_POPUP&amp;HEIGHT=450&amp;WIDTH=450&amp;START_MAXIMI","ZED=FALSE&amp;VAR:CALENDAR=US&amp;VAR:SYMBOL=LLY&amp;VAR:INDEX=0"}</definedName>
    <definedName name="_3234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3235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3236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3237__FDSAUDITLINK__" hidden="1">{"fdsup://directions/FAT Viewer?action=UPDATE&amp;creator=factset&amp;DYN_ARGS=TRUE&amp;DOC_NAME=FAT:FQL_AUDITING_CLIENT_TEMPLATE.FAT&amp;display_string=Audit&amp;VAR:KEY=RWDWLABEJW&amp;VAR:QUERY=RkZfUkRfRVhQKENBTCwzOTQ0NywsLCwp&amp;WINDOW=FIRST_POPUP&amp;HEIGHT=450&amp;WIDTH=450&amp;START_MAXIMI","ZED=FALSE&amp;VAR:CALENDAR=US&amp;VAR:SYMBOL=506921&amp;VAR:INDEX=0"}</definedName>
    <definedName name="_3238__FDSAUDITLINK__" hidden="1">{"fdsup://directions/FAT Viewer?action=UPDATE&amp;creator=factset&amp;DYN_ARGS=TRUE&amp;DOC_NAME=FAT:FQL_AUDITING_CLIENT_TEMPLATE.FAT&amp;display_string=Audit&amp;VAR:KEY=FGJCBIHEHA&amp;VAR:QUERY=RkZfUkRfRVhQKENBTCwzOTA4MiwsLCwp&amp;WINDOW=FIRST_POPUP&amp;HEIGHT=450&amp;WIDTH=450&amp;START_MAXIMI","ZED=FALSE&amp;VAR:CALENDAR=US&amp;VAR:SYMBOL=506921&amp;VAR:INDEX=0"}</definedName>
    <definedName name="_3239__FDSAUDITLINK__" hidden="1">{"fdsup://directions/FAT Viewer?action=UPDATE&amp;creator=factset&amp;DYN_ARGS=TRUE&amp;DOC_NAME=FAT:FQL_AUDITING_CLIENT_TEMPLATE.FAT&amp;display_string=Audit&amp;VAR:KEY=BYZCRITIBW&amp;VAR:QUERY=RkZfUkRfRVhQKENBTCwzODcxNywsLCwp&amp;WINDOW=FIRST_POPUP&amp;HEIGHT=450&amp;WIDTH=450&amp;START_MAXIMI","ZED=FALSE&amp;VAR:CALENDAR=US&amp;VAR:SYMBOL=506921&amp;VAR:INDEX=0"}</definedName>
    <definedName name="_324__FDSAUDITLINK__" hidden="1">{"fdsup://directions/FAT%20Viewer?VAR:TM=NTMA&amp;VAR:PCT=0.420765&amp;VAR:Y0=2004&amp;VAR:Y1=2005&amp;VAR:V0=16.766523&amp;VAR:V1=15.262527&amp;VAR:V=15.861185&amp;VAR:AUDIT_ID=00000117&amp;VAR:DATE=20040730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Aggregates&amp;VAR:MEASURE=PE_MEAN&amp;VAR:CALC_MODE=PORTFOLIO&amp;VAR:CHGPERIOD=NA&amp;VAR:FQLFORMULA=FMA_PE&amp;VAR:CURRENCY=USD&amp;VAR:P=1","101.719500&amp;VAR:THRESH=||||||&amp;VAR:null=.html"}</definedName>
    <definedName name="_3240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3241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3242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3243__FDSAUDITLINK__" hidden="1">{"fdsup://directions/FAT Viewer?action=UPDATE&amp;creator=factset&amp;DYN_ARGS=TRUE&amp;DOC_NAME=FAT:FQL_AUDITING_CLIENT_TEMPLATE.FAT&amp;display_string=Audit&amp;VAR:KEY=RWLEDIBETI&amp;VAR:QUERY=RkZfUkRfRVhQKENBTCwzOTQ0NywsLCwp&amp;WINDOW=FIRST_POPUP&amp;HEIGHT=450&amp;WIDTH=450&amp;START_MAXIMI","ZED=FALSE&amp;VAR:CALENDAR=US&amp;VAR:SYMBOL=567173&amp;VAR:INDEX=0"}</definedName>
    <definedName name="_3244__FDSAUDITLINK__" hidden="1">{"fdsup://directions/FAT Viewer?action=UPDATE&amp;creator=factset&amp;DYN_ARGS=TRUE&amp;DOC_NAME=FAT:FQL_AUDITING_CLIENT_TEMPLATE.FAT&amp;display_string=Audit&amp;VAR:KEY=VWPMVGBIVA&amp;VAR:QUERY=RkZfUkRfRVhQKENBTCwzOTA4MiwsLCwp&amp;WINDOW=FIRST_POPUP&amp;HEIGHT=450&amp;WIDTH=450&amp;START_MAXIMI","ZED=FALSE&amp;VAR:CALENDAR=US&amp;VAR:SYMBOL=567173&amp;VAR:INDEX=0"}</definedName>
    <definedName name="_3245__FDSAUDITLINK__" hidden="1">{"fdsup://directions/FAT Viewer?action=UPDATE&amp;creator=factset&amp;DYN_ARGS=TRUE&amp;DOC_NAME=FAT:FQL_AUDITING_CLIENT_TEMPLATE.FAT&amp;display_string=Audit&amp;VAR:KEY=ZGNEJWTYPU&amp;VAR:QUERY=RkZfUkRfRVhQKENBTCwzODcxNywsLCwp&amp;WINDOW=FIRST_POPUP&amp;HEIGHT=450&amp;WIDTH=450&amp;START_MAXIMI","ZED=FALSE&amp;VAR:CALENDAR=US&amp;VAR:SYMBOL=567173&amp;VAR:INDEX=0"}</definedName>
    <definedName name="_3246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3247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3248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3249__FDSAUDITLINK__" hidden="1">{"fdsup://directions/FAT Viewer?action=UPDATE&amp;creator=factset&amp;DYN_ARGS=TRUE&amp;DOC_NAME=FAT:FQL_AUDITING_CLIENT_TEMPLATE.FAT&amp;display_string=Audit&amp;VAR:KEY=FYLUREVORG&amp;VAR:QUERY=RkZfUkRfRVhQKENBTCwzOTQ0NywsLCwp&amp;WINDOW=FIRST_POPUP&amp;HEIGHT=450&amp;WIDTH=450&amp;START_MAXIMI","ZED=FALSE&amp;VAR:CALENDAR=US&amp;VAR:SYMBOL=JNJ&amp;VAR:INDEX=0"}</definedName>
    <definedName name="_325__FDSAUDITLINK__" hidden="1">{"fdsup://directions/FAT%20Viewer?VAR:TM=NTMA&amp;VAR:PCT=0.439891&amp;VAR:Y0=2004&amp;VAR:Y1=2005&amp;VAR:V0=16.585855&amp;VAR:V1=15.072460&amp;VAR:V=15.702742&amp;VAR:AUDIT_ID=00000117&amp;VAR:DATE=20040723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Aggregates&amp;VAR:MEASURE=PE_MEAN&amp;VAR:CALC_MODE=PORTFOLIO&amp;VAR:CHGPERIOD=NA&amp;VAR:FQLFORMULA=FMA_PE&amp;VAR:CURRENCY=USD&amp;VAR:P=1","086.202800&amp;VAR:THRESH=||||||&amp;VAR:null=.html"}</definedName>
    <definedName name="_3250__FDSAUDITLINK__" hidden="1">{"fdsup://directions/FAT Viewer?action=UPDATE&amp;creator=factset&amp;DYN_ARGS=TRUE&amp;DOC_NAME=FAT:FQL_AUDITING_CLIENT_TEMPLATE.FAT&amp;display_string=Audit&amp;VAR:KEY=BUPWHWVEFO&amp;VAR:QUERY=RkZfUkRfRVhQKENBTCwzOTA4MiwsLCwp&amp;WINDOW=FIRST_POPUP&amp;HEIGHT=450&amp;WIDTH=450&amp;START_MAXIMI","ZED=FALSE&amp;VAR:CALENDAR=US&amp;VAR:SYMBOL=JNJ&amp;VAR:INDEX=0"}</definedName>
    <definedName name="_3251__FDSAUDITLINK__" hidden="1">{"fdsup://directions/FAT Viewer?action=UPDATE&amp;creator=factset&amp;DYN_ARGS=TRUE&amp;DOC_NAME=FAT:FQL_AUDITING_CLIENT_TEMPLATE.FAT&amp;display_string=Audit&amp;VAR:KEY=BIZGFAZSLE&amp;VAR:QUERY=RkZfUkRfRVhQKENBTCwzODcxNywsLCwp&amp;WINDOW=FIRST_POPUP&amp;HEIGHT=450&amp;WIDTH=450&amp;START_MAXIMI","ZED=FALSE&amp;VAR:CALENDAR=US&amp;VAR:SYMBOL=JNJ&amp;VAR:INDEX=0"}</definedName>
    <definedName name="_3252__FDSAUDITLINK__" hidden="1">{"fdsup://directions/FAT Viewer?action=UPDATE&amp;creator=factset&amp;DYN_ARGS=TRUE&amp;DOC_NAME=FAT:FQL_AUDITING_CLIENT_TEMPLATE.FAT&amp;display_string=Audit&amp;VAR:KEY=FQZEXGVUHG&amp;VAR:QUERY=RkZfUkRfRVhQKENBTCwzODM1MiwsLCwp&amp;WINDOW=FIRST_POPUP&amp;HEIGHT=450&amp;WIDTH=450&amp;START_MAXIMI","ZED=FALSE&amp;VAR:CALENDAR=US&amp;VAR:SYMBOL=JNJ&amp;VAR:INDEX=0"}</definedName>
    <definedName name="_3253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3254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3255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3256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3257__FDSAUDITLINK__" hidden="1">{"fdsup://directions/FAT Viewer?action=UPDATE&amp;creator=factset&amp;DYN_ARGS=TRUE&amp;DOC_NAME=FAT:FQL_AUDITING_CLIENT_TEMPLATE.FAT&amp;display_string=Audit&amp;VAR:KEY=BAPYPCNOVG&amp;VAR:QUERY=RkZfUkRfRVhQKENBTCwzOTA4MiwsLCwp&amp;WINDOW=FIRST_POPUP&amp;HEIGHT=450&amp;WIDTH=450&amp;START_MAXIMI","ZED=FALSE&amp;VAR:CALENDAR=US&amp;VAR:SYMBOL=710306&amp;VAR:INDEX=0"}</definedName>
    <definedName name="_3258__FDSAUDITLINK__" hidden="1">{"fdsup://directions/FAT Viewer?action=UPDATE&amp;creator=factset&amp;DYN_ARGS=TRUE&amp;DOC_NAME=FAT:FQL_AUDITING_CLIENT_TEMPLATE.FAT&amp;display_string=Audit&amp;VAR:KEY=VKXURALSNK&amp;VAR:QUERY=RkZfUkRfRVhQKENBTCwzODcxNywsLCwp&amp;WINDOW=FIRST_POPUP&amp;HEIGHT=450&amp;WIDTH=450&amp;START_MAXIMI","ZED=FALSE&amp;VAR:CALENDAR=US&amp;VAR:SYMBOL=710306&amp;VAR:INDEX=0"}</definedName>
    <definedName name="_3259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326__FDSAUDITLINK__" hidden="1">{"fdsup://directions/FAT%20Viewer?VAR:TM=NTMA&amp;VAR:PCT=0.459016&amp;VAR:Y0=2004&amp;VAR:Y1=2005&amp;VAR:V0=16.834140&amp;VAR:V1=15.309876&amp;VAR:V=15.973779&amp;VAR:AUDIT_ID=00000117&amp;VAR:DATE=20040716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Aggregates&amp;VAR:MEASURE=PE_MEAN&amp;VAR:CALC_MODE=PORTFOLIO&amp;VAR:CHGPERIOD=NA&amp;VAR:FQLFORMULA=FMA_PE&amp;VAR:CURRENCY=USD&amp;VAR:P=1","101.394700&amp;VAR:THRESH=||||||&amp;VAR:null=.html"}</definedName>
    <definedName name="_3260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3261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3262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3263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3264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3265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3266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3267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3268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3269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327__FDSAUDITLINK__" hidden="1">{"fdsup://directions/FAT%20Viewer?VAR:TM=NTMA&amp;VAR:PCT=0.478142&amp;VAR:Y0=2004&amp;VAR:Y1=2005&amp;VAR:V0=17.006266&amp;VAR:V1=15.433491&amp;VAR:V=16.147528&amp;VAR:AUDIT_ID=00000117&amp;VAR:DATE=20040709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Aggregates&amp;VAR:MEASURE=PE_MEAN&amp;VAR:CALC_MODE=PORTFOLIO&amp;VAR:CHGPERIOD=NA&amp;VAR:FQLFORMULA=FMA_PE&amp;VAR:CURRENCY=USD&amp;VAR:P=1","112.811600&amp;VAR:THRESH=||||||&amp;VAR:null=.html"}</definedName>
    <definedName name="_3270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3271__FDSAUDITLINK__" hidden="1">{"fdsup://directions/FAT Viewer?action=UPDATE&amp;creator=factset&amp;DYN_ARGS=TRUE&amp;DOC_NAME=FAT:FQL_AUDITING_CLIENT_TEMPLATE.FAT&amp;display_string=Audit&amp;VAR:KEY=LSNMLEBONA&amp;VAR:QUERY=RkZfUkRfRVhQKENBTCwzOTQ0NywsLCwp&amp;WINDOW=FIRST_POPUP&amp;HEIGHT=450&amp;WIDTH=450&amp;START_MAXIMI","ZED=FALSE&amp;VAR:CALENDAR=US&amp;VAR:SYMBOL=MRK&amp;VAR:INDEX=0"}</definedName>
    <definedName name="_3272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3273__FDSAUDITLINK__" hidden="1">{"fdsup://directions/FAT Viewer?action=UPDATE&amp;creator=factset&amp;DYN_ARGS=TRUE&amp;DOC_NAME=FAT:FQL_AUDITING_CLIENT_TEMPLATE.FAT&amp;display_string=Audit&amp;VAR:KEY=NMHYXIZERM&amp;VAR:QUERY=RkZfUkRfRVhQKENBTCwzOTA4MiwsLCwp&amp;WINDOW=FIRST_POPUP&amp;HEIGHT=450&amp;WIDTH=450&amp;START_MAXIMI","ZED=FALSE&amp;VAR:CALENDAR=US&amp;VAR:SYMBOL=MRK&amp;VAR:INDEX=0"}</definedName>
    <definedName name="_3274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3275__FDSAUDITLINK__" hidden="1">{"fdsup://directions/FAT Viewer?action=UPDATE&amp;creator=factset&amp;DYN_ARGS=TRUE&amp;DOC_NAME=FAT:FQL_AUDITING_CLIENT_TEMPLATE.FAT&amp;display_string=Audit&amp;VAR:KEY=HIHQXGPWVE&amp;VAR:QUERY=RkZfUkRfRVhQKENBTCwzODcxNywsLCwp&amp;WINDOW=FIRST_POPUP&amp;HEIGHT=450&amp;WIDTH=450&amp;START_MAXIMI","ZED=FALSE&amp;VAR:CALENDAR=US&amp;VAR:SYMBOL=MRK&amp;VAR:INDEX=0"}</definedName>
    <definedName name="_3276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3277__FDSAUDITLINK__" hidden="1">{"fdsup://directions/FAT Viewer?action=UPDATE&amp;creator=factset&amp;DYN_ARGS=TRUE&amp;DOC_NAME=FAT:FQL_AUDITING_CLIENT_TEMPLATE.FAT&amp;display_string=Audit&amp;VAR:KEY=BILIDIROZO&amp;VAR:QUERY=RkZfUkRfRVhQKENBTCwzODM1MiwsLCwp&amp;WINDOW=FIRST_POPUP&amp;HEIGHT=450&amp;WIDTH=450&amp;START_MAXIMI","ZED=FALSE&amp;VAR:CALENDAR=US&amp;VAR:SYMBOL=MRK&amp;VAR:INDEX=0"}</definedName>
    <definedName name="_3278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3279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328__FDSAUDITLINK__" hidden="1">{"fdsup://directions/FAT%20Viewer?VAR:TM=NTMA&amp;VAR:PCT=0.497268&amp;VAR:Y0=2004&amp;VAR:Y1=2005&amp;VAR:V0=17.204645&amp;VAR:V1=15.595645&amp;VAR:V=16.356296&amp;VAR:AUDIT_ID=00000117&amp;VAR:DATE=20040702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Aggregates&amp;VAR:MEASURE=PE_MEAN&amp;VAR:CALC_MODE=PORTFOLIO&amp;VAR:CHGPERIOD=NA&amp;VAR:FQLFORMULA=FMA_PE&amp;VAR:CURRENCY=USD&amp;VAR:P=1","125.379900&amp;VAR:THRESH=||||||&amp;VAR:null=.html"}</definedName>
    <definedName name="_3280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3281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3282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3283__FDSAUDITLINK__" hidden="1">{"fdsup://directions/FAT Viewer?action=UPDATE&amp;creator=factset&amp;DYN_ARGS=TRUE&amp;DOC_NAME=FAT:FQL_AUDITING_CLIENT_TEMPLATE.FAT&amp;display_string=Audit&amp;VAR:KEY=TEDKTITIXA&amp;VAR:QUERY=RkZfUkRfRVhQKENBTCwzOTQ0NywsLCwp&amp;WINDOW=FIRST_POPUP&amp;HEIGHT=450&amp;WIDTH=450&amp;START_MAXIMI","ZED=FALSE&amp;VAR:CALENDAR=US&amp;VAR:SYMBOL=PFE&amp;VAR:INDEX=0"}</definedName>
    <definedName name="_3284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3285__FDSAUDITLINK__" hidden="1">{"fdsup://directions/FAT Viewer?action=UPDATE&amp;creator=factset&amp;DYN_ARGS=TRUE&amp;DOC_NAME=FAT:FQL_AUDITING_CLIENT_TEMPLATE.FAT&amp;display_string=Audit&amp;VAR:KEY=VOPUPSJQLI&amp;VAR:QUERY=RkZfUkRfRVhQKENBTCwzOTA4MiwsLCwp&amp;WINDOW=FIRST_POPUP&amp;HEIGHT=450&amp;WIDTH=450&amp;START_MAXIMI","ZED=FALSE&amp;VAR:CALENDAR=US&amp;VAR:SYMBOL=PFE&amp;VAR:INDEX=0"}</definedName>
    <definedName name="_3286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3287__FDSAUDITLINK__" hidden="1">{"fdsup://directions/FAT Viewer?action=UPDATE&amp;creator=factset&amp;DYN_ARGS=TRUE&amp;DOC_NAME=FAT:FQL_AUDITING_CLIENT_TEMPLATE.FAT&amp;display_string=Audit&amp;VAR:KEY=DUZANORCZM&amp;VAR:QUERY=RkZfUkRfRVhQKENBTCwzODcxNywsLCwp&amp;WINDOW=FIRST_POPUP&amp;HEIGHT=450&amp;WIDTH=450&amp;START_MAXIMI","ZED=FALSE&amp;VAR:CALENDAR=US&amp;VAR:SYMBOL=PFE&amp;VAR:INDEX=0"}</definedName>
    <definedName name="_3288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3289__FDSAUDITLINK__" hidden="1">{"fdsup://directions/FAT Viewer?action=UPDATE&amp;creator=factset&amp;DYN_ARGS=TRUE&amp;DOC_NAME=FAT:FQL_AUDITING_CLIENT_TEMPLATE.FAT&amp;display_string=Audit&amp;VAR:KEY=BETMVWVSBG&amp;VAR:QUERY=RkZfUkRfRVhQKENBTCwzODM1MiwsLCwp&amp;WINDOW=FIRST_POPUP&amp;HEIGHT=450&amp;WIDTH=450&amp;START_MAXIMI","ZED=FALSE&amp;VAR:CALENDAR=US&amp;VAR:SYMBOL=PFE&amp;VAR:INDEX=0"}</definedName>
    <definedName name="_329__FDSAUDITLINK__" hidden="1">{"fdsup://directions/FAT%20Viewer?VAR:TM=NTMA&amp;VAR:PCT=0.516393&amp;VAR:Y0=2004&amp;VAR:Y1=2005&amp;VAR:V0=17.420645&amp;VAR:V1=15.765551&amp;VAR:V=16.578935&amp;VAR:AUDIT_ID=00000117&amp;VAR:DATE=20040625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Aggregates&amp;VAR:MEASURE=PE_MEAN&amp;VAR:CALC_MODE=PORTFOLIO&amp;VAR:CHGPERIOD=NA&amp;VAR:FQLFORMULA=FMA_PE&amp;VAR:CURRENCY=USD&amp;VAR:P=1","134.432400&amp;VAR:THRESH=||||||&amp;VAR:null=.html"}</definedName>
    <definedName name="_3290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3291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3292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3293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3294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3295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3296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3297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3298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3299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33__FDSAUDITLINK__" hidden="1">{"fdsup://directions/FAT%20Viewer?VAR:TM=NTMA&amp;VAR:PCT=0.843836&amp;VAR:Y0=2010&amp;VAR:Y1=2011&amp;VAR:V0=13.927014&amp;VAR:V1=11.658680&amp;VAR:V=13.516339&amp;VAR:AUDIT_ID=00000117&amp;VAR:DATE=20100226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Aggregates&amp;VAR:MEASURE=PE_MEAN&amp;VAR:CALC_MODE=PORTFOLIO&amp;VAR:CHGPERIOD=NA&amp;VAR:FQLFORMULA=FMA_PE&amp;VAR:CURRENCY=USD&amp;VAR:P=1","104.493370&amp;VAR:THRESH=||||||&amp;VAR:null=.html"}</definedName>
    <definedName name="_330__FDSAUDITLINK__" hidden="1">{"fdsup://directions/FAT%20Viewer?VAR:TM=NTMA&amp;VAR:PCT=0.535519&amp;VAR:Y0=2004&amp;VAR:Y1=2005&amp;VAR:V0=17.412346&amp;VAR:V1=15.741886&amp;VAR:V=16.594429&amp;VAR:AUDIT_ID=00000117&amp;VAR:DATE=20040618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Aggregates&amp;VAR:MEASURE=PE_MEAN&amp;VAR:CALC_MODE=PORTFOLIO&amp;VAR:CHGPERIOD=NA&amp;VAR:FQLFORMULA=FMA_PE&amp;VAR:CURRENCY=USD&amp;VAR:P=1","135.015400&amp;VAR:THRESH=||||||&amp;VAR:null=.html"}</definedName>
    <definedName name="_3300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3301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3302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3303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3304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3305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3306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3307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3308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3309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331__FDSAUDITLINK__" hidden="1">{"fdsup://directions/FAT%20Viewer?VAR:TM=NTMA&amp;VAR:PCT=0.557377&amp;VAR:Y0=2004&amp;VAR:Y1=2005&amp;VAR:V0=17.445902&amp;VAR:V1=15.760808&amp;VAR:V=16.657601&amp;VAR:AUDIT_ID=00000117&amp;VAR:DATE=20040610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Aggregates&amp;VAR:MEASURE=PE_MEAN&amp;VAR:CALC_MODE=PORTFOLIO&amp;VAR:CHGPERIOD=NA&amp;VAR:FQLFORMULA=FMA_PE&amp;VAR:CURRENCY=USD&amp;VAR:P=1","136.472500&amp;VAR:THRESH=||||||&amp;VAR:null=.html"}</definedName>
    <definedName name="_3310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3311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3312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3313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3314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3315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3316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3317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3318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3319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332__FDSAUDITLINK__" hidden="1">{"fdsup://directions/FAT%20Viewer?VAR:TM=NTMA&amp;VAR:PCT=0.573770&amp;VAR:Y0=2004&amp;VAR:Y1=2005&amp;VAR:V0=17.288855&amp;VAR:V1=15.571107&amp;VAR:V=16.512439&amp;VAR:AUDIT_ID=00000117&amp;VAR:DATE=20040604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Aggregates&amp;VAR:MEASURE=PE_MEAN&amp;VAR:CALC_MODE=PORTFOLIO&amp;VAR:CHGPERIOD=NA&amp;VAR:FQLFORMULA=FMA_PE&amp;VAR:CURRENCY=USD&amp;VAR:P=1","122.504200&amp;VAR:THRESH=||||||&amp;VAR:null=.html"}</definedName>
    <definedName name="_3320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3321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3322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3323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3324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3325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3326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3327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3328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3329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333__FDSAUDITLINK__" hidden="1">{"fdsup://directions/FAT%20Viewer?VAR:TM=NTMA&amp;VAR:PCT=0.592896&amp;VAR:Y0=2004&amp;VAR:Y1=2005&amp;VAR:V0=17.324043&amp;VAR:V1=15.641068&amp;VAR:V=16.597022&amp;VAR:AUDIT_ID=00000117&amp;VAR:DATE=20040528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Aggregates&amp;VAR:MEASURE=PE_MEAN&amp;VAR:CALC_MODE=PORTFOLIO&amp;VAR:CHGPERIOD=NA&amp;VAR:FQLFORMULA=FMA_PE&amp;VAR:CURRENCY=USD&amp;VAR:P=1","120.683100&amp;VAR:THRESH=||||||&amp;VAR:null=.html"}</definedName>
    <definedName name="_3330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3331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3332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3333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3334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3335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3336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3337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3338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3339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334__FDSAUDITLINK__" hidden="1">{"fdsup://directions/FAT%20Viewer?VAR:TM=NTMA&amp;VAR:PCT=0.612022&amp;VAR:Y0=2004&amp;VAR:Y1=2005&amp;VAR:V0=16.920012&amp;VAR:V1=15.278290&amp;VAR:V=16.242847&amp;VAR:AUDIT_ID=00000117&amp;VAR:DATE=20040521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Aggregates&amp;VAR:MEASURE=PE_MEAN&amp;VAR:CALC_MODE=PORTFOLIO&amp;VAR:CHGPERIOD=NA&amp;VAR:FQLFORMULA=FMA_PE&amp;VAR:CURRENCY=USD&amp;VAR:P=1","093.555500&amp;VAR:THRESH=||||||&amp;VAR:null=.html"}</definedName>
    <definedName name="_3340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3341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3342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3343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3344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3345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3346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3347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3348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3349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335__FDSAUDITLINK__" hidden="1">{"fdsup://directions/FAT%20Viewer?VAR:TM=NTMA&amp;VAR:PCT=0.631148&amp;VAR:Y0=2004&amp;VAR:Y1=2005&amp;VAR:V0=16.986519&amp;VAR:V1=15.323806&amp;VAR:V=16.332839&amp;VAR:AUDIT_ID=00000117&amp;VAR:DATE=20040514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Aggregates&amp;VAR:MEASURE=PE_MEAN&amp;VAR:CALC_MODE=PORTFOLIO&amp;VAR:CHGPERIOD=NA&amp;VAR:FQLFORMULA=FMA_PE&amp;VAR:CURRENCY=USD&amp;VAR:P=1","095.695800&amp;VAR:THRESH=||||||&amp;VAR:null=.html"}</definedName>
    <definedName name="_3350__FDSAUDITLINK__" hidden="1">{"fdsup://directions/FAT Viewer?action=UPDATE&amp;creator=factset&amp;DYN_ARGS=TRUE&amp;DOC_NAME=FAT:FQL_AUDITING_CLIENT_TEMPLATE.FAT&amp;display_string=Audit&amp;VAR:KEY=LYPQBETAZS&amp;VAR:QUERY=RkZfU0FMRVMoQ0FMLDM5NDQ3LCwsLCk=&amp;WINDOW=FIRST_POPUP&amp;HEIGHT=450&amp;WIDTH=450&amp;START_MAXIMI","ZED=FALSE&amp;VAR:CALENDAR=US&amp;VAR:SYMBOL=BIIB&amp;VAR:INDEX=0"}</definedName>
    <definedName name="_3351__FDSAUDITLINK__" hidden="1">{"fdsup://directions/FAT Viewer?action=UPDATE&amp;creator=factset&amp;DYN_ARGS=TRUE&amp;DOC_NAME=FAT:FQL_AUDITING_CLIENT_TEMPLATE.FAT&amp;display_string=Audit&amp;VAR:KEY=ZELAFGHURE&amp;VAR:QUERY=RkZfU0FMRVMoQ0FMLDM5MDgyLCwsLCk=&amp;WINDOW=FIRST_POPUP&amp;HEIGHT=450&amp;WIDTH=450&amp;START_MAXIMI","ZED=FALSE&amp;VAR:CALENDAR=US&amp;VAR:SYMBOL=BIIB&amp;VAR:INDEX=0"}</definedName>
    <definedName name="_3352__FDSAUDITLINK__" hidden="1">{"fdsup://directions/FAT Viewer?action=UPDATE&amp;creator=factset&amp;DYN_ARGS=TRUE&amp;DOC_NAME=FAT:FQL_AUDITING_CLIENT_TEMPLATE.FAT&amp;display_string=Audit&amp;VAR:KEY=JEJEDARGZU&amp;VAR:QUERY=RkZfU0FMRVMoQ0FMLDM4NzE3LCwsLCk=&amp;WINDOW=FIRST_POPUP&amp;HEIGHT=450&amp;WIDTH=450&amp;START_MAXIMI","ZED=FALSE&amp;VAR:CALENDAR=US&amp;VAR:SYMBOL=BIIB&amp;VAR:INDEX=0"}</definedName>
    <definedName name="_3353__FDSAUDITLINK__" hidden="1">{"fdsup://directions/FAT Viewer?action=UPDATE&amp;creator=factset&amp;DYN_ARGS=TRUE&amp;DOC_NAME=FAT:FQL_AUDITING_CLIENT_TEMPLATE.FAT&amp;display_string=Audit&amp;VAR:KEY=BGRMFOVODW&amp;VAR:QUERY=RkZfU0FMRVMoQ0FMLDM4MzUyLCwsLCk=&amp;WINDOW=FIRST_POPUP&amp;HEIGHT=450&amp;WIDTH=450&amp;START_MAXIMI","ZED=FALSE&amp;VAR:CALENDAR=US&amp;VAR:SYMBOL=BIIB&amp;VAR:INDEX=0"}</definedName>
    <definedName name="_3354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3355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3356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3357__FDSAUDITLINK__" hidden="1">{"fdsup://directions/FAT Viewer?action=UPDATE&amp;creator=factset&amp;DYN_ARGS=TRUE&amp;DOC_NAME=FAT:FQL_AUDITING_CLIENT_TEMPLATE.FAT&amp;display_string=Audit&amp;VAR:KEY=VWHYNKZKRG&amp;VAR:QUERY=RkZfU0FMRVMoQ0FMLDM5NDQ3LCwsLCk=&amp;WINDOW=FIRST_POPUP&amp;HEIGHT=450&amp;WIDTH=450&amp;START_MAXIMI","ZED=FALSE&amp;VAR:CALENDAR=US&amp;VAR:SYMBOL=707752&amp;VAR:INDEX=0"}</definedName>
    <definedName name="_3358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3359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336__FDSAUDITLINK__" hidden="1">{"fdsup://directions/FAT%20Viewer?VAR:TM=NTMA&amp;VAR:PCT=0.650273&amp;VAR:Y0=2004&amp;VAR:Y1=2005&amp;VAR:V0=17.054590&amp;VAR:V1=15.382455&amp;VAR:V=16.429976&amp;VAR:AUDIT_ID=00000117&amp;VAR:DATE=20040507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Aggregates&amp;VAR:MEASURE=PE_MEAN&amp;VAR:CALC_MODE=PORTFOLIO&amp;VAR:CHGPERIOD=NA&amp;VAR:FQLFORMULA=FMA_PE&amp;VAR:CURRENCY=USD&amp;VAR:P=1","098.699700&amp;VAR:THRESH=||||||&amp;VAR:null=.html"}</definedName>
    <definedName name="_3360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3361__FDSAUDITLINK__" hidden="1">{"fdsup://directions/FAT Viewer?action=UPDATE&amp;creator=factset&amp;DYN_ARGS=TRUE&amp;DOC_NAME=FAT:FQL_AUDITING_CLIENT_TEMPLATE.FAT&amp;display_string=Audit&amp;VAR:KEY=RYPORYFIJI&amp;VAR:QUERY=RkZfU0FMRVMoQ0FMLDM5NDQ3LCwsLCk=&amp;WINDOW=FIRST_POPUP&amp;HEIGHT=450&amp;WIDTH=450&amp;START_MAXIMI","ZED=FALSE&amp;VAR:CALENDAR=US&amp;VAR:SYMBOL=630720&amp;VAR:INDEX=0"}</definedName>
    <definedName name="_3362__FDSAUDITLINK__" hidden="1">{"fdsup://directions/FAT Viewer?action=UPDATE&amp;creator=factset&amp;DYN_ARGS=TRUE&amp;DOC_NAME=FAT:FQL_AUDITING_CLIENT_TEMPLATE.FAT&amp;display_string=Audit&amp;VAR:KEY=XOXAFQPQBU&amp;VAR:QUERY=RkZfU0FMRVMoQ0FMLDM5MDgyLCwsLCk=&amp;WINDOW=FIRST_POPUP&amp;HEIGHT=450&amp;WIDTH=450&amp;START_MAXIMI","ZED=FALSE&amp;VAR:CALENDAR=US&amp;VAR:SYMBOL=630720&amp;VAR:INDEX=0"}</definedName>
    <definedName name="_3363__FDSAUDITLINK__" hidden="1">{"fdsup://directions/FAT Viewer?action=UPDATE&amp;creator=factset&amp;DYN_ARGS=TRUE&amp;DOC_NAME=FAT:FQL_AUDITING_CLIENT_TEMPLATE.FAT&amp;display_string=Audit&amp;VAR:KEY=RWPCRWLQPE&amp;VAR:QUERY=RkZfU0FMRVMoQ0FMLDM4NzE3LCwsLCk=&amp;WINDOW=FIRST_POPUP&amp;HEIGHT=450&amp;WIDTH=450&amp;START_MAXIMI","ZED=FALSE&amp;VAR:CALENDAR=US&amp;VAR:SYMBOL=630720&amp;VAR:INDEX=0"}</definedName>
    <definedName name="_3364__FDSAUDITLINK__" hidden="1">{"fdsup://directions/FAT Viewer?action=UPDATE&amp;creator=factset&amp;DYN_ARGS=TRUE&amp;DOC_NAME=FAT:FQL_AUDITING_CLIENT_TEMPLATE.FAT&amp;display_string=Audit&amp;VAR:KEY=HMVSNIBYDY&amp;VAR:QUERY=RkZfU0FMRVMoQ0FMLDM4MzUyLCwsLCk=&amp;WINDOW=FIRST_POPUP&amp;HEIGHT=450&amp;WIDTH=450&amp;START_MAXIMI","ZED=FALSE&amp;VAR:CALENDAR=US&amp;VAR:SYMBOL=630720&amp;VAR:INDEX=0"}</definedName>
    <definedName name="_3365__FDSAUDITLINK__" hidden="1">{"fdsup://directions/FAT Viewer?action=UPDATE&amp;creator=factset&amp;DYN_ARGS=TRUE&amp;DOC_NAME=FAT:FQL_AUDITING_CLIENT_TEMPLATE.FAT&amp;display_string=Audit&amp;VAR:KEY=FMVKVUFQTO&amp;VAR:QUERY=RkZfU0FMRVMoQ0FMLDM3OTg2LCwsLCk=&amp;WINDOW=FIRST_POPUP&amp;HEIGHT=450&amp;WIDTH=450&amp;START_MAXIMI","ZED=FALSE&amp;VAR:CALENDAR=US&amp;VAR:SYMBOL=630720&amp;VAR:INDEX=0"}</definedName>
    <definedName name="_3366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3367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3368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3369__FDSAUDITLINK__" hidden="1">{"fdsup://directions/FAT Viewer?action=UPDATE&amp;creator=factset&amp;DYN_ARGS=TRUE&amp;DOC_NAME=FAT:FQL_AUDITING_CLIENT_TEMPLATE.FAT&amp;display_string=Audit&amp;VAR:KEY=NGFQXAXQVY&amp;VAR:QUERY=RkZfU0FMRVMoQ0FMLDM5NDQ3LCwsLCk=&amp;WINDOW=FIRST_POPUP&amp;HEIGHT=450&amp;WIDTH=450&amp;START_MAXIMI","ZED=FALSE&amp;VAR:CALENDAR=US&amp;VAR:SYMBOL=698538&amp;VAR:INDEX=0"}</definedName>
    <definedName name="_337__FDSAUDITLINK__" hidden="1">{"fdsup://directions/FAT%20Viewer?VAR:TM=NTMA&amp;VAR:PCT=0.669399&amp;VAR:Y0=2004&amp;VAR:Y1=2005&amp;VAR:V0=17.246552&amp;VAR:V1=15.555100&amp;VAR:V=16.648065&amp;VAR:AUDIT_ID=00000117&amp;VAR:DATE=20040430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Aggregates&amp;VAR:MEASURE=PE_MEAN&amp;VAR:CALC_MODE=PORTFOLIO&amp;VAR:CHGPERIOD=NA&amp;VAR:FQLFORMULA=FMA_PE&amp;VAR:CURRENCY=USD&amp;VAR:P=1","107.304800&amp;VAR:THRESH=||||||&amp;VAR:null=.html"}</definedName>
    <definedName name="_3370__FDSAUDITLINK__" hidden="1">{"fdsup://directions/FAT Viewer?action=UPDATE&amp;creator=factset&amp;DYN_ARGS=TRUE&amp;DOC_NAME=FAT:FQL_AUDITING_CLIENT_TEMPLATE.FAT&amp;display_string=Audit&amp;VAR:KEY=RYLYJAFOJG&amp;VAR:QUERY=RkZfU0FMRVMoQ0FMLDM5MDgyLCwsLCk=&amp;WINDOW=FIRST_POPUP&amp;HEIGHT=450&amp;WIDTH=450&amp;START_MAXIMI","ZED=FALSE&amp;VAR:CALENDAR=US&amp;VAR:SYMBOL=698538&amp;VAR:INDEX=0"}</definedName>
    <definedName name="_3371__FDSAUDITLINK__" hidden="1">{"fdsup://directions/FAT Viewer?action=UPDATE&amp;creator=factset&amp;DYN_ARGS=TRUE&amp;DOC_NAME=FAT:FQL_AUDITING_CLIENT_TEMPLATE.FAT&amp;display_string=Audit&amp;VAR:KEY=VSLYLYVYLU&amp;VAR:QUERY=RkZfU0FMRVMoQ0FMLDM4NzE3LCwsLCk=&amp;WINDOW=FIRST_POPUP&amp;HEIGHT=450&amp;WIDTH=450&amp;START_MAXIMI","ZED=FALSE&amp;VAR:CALENDAR=US&amp;VAR:SYMBOL=698538&amp;VAR:INDEX=0"}</definedName>
    <definedName name="_3372__FDSAUDITLINK__" hidden="1">{"fdsup://directions/FAT Viewer?action=UPDATE&amp;creator=factset&amp;DYN_ARGS=TRUE&amp;DOC_NAME=FAT:FQL_AUDITING_CLIENT_TEMPLATE.FAT&amp;display_string=Audit&amp;VAR:KEY=ZQTYLIBWXM&amp;VAR:QUERY=RkZfU0FMRVMoQ0FMLDM4MzUyLCwsLCk=&amp;WINDOW=FIRST_POPUP&amp;HEIGHT=450&amp;WIDTH=450&amp;START_MAXIMI","ZED=FALSE&amp;VAR:CALENDAR=US&amp;VAR:SYMBOL=698538&amp;VAR:INDEX=0"}</definedName>
    <definedName name="_3373__FDSAUDITLINK__" hidden="1">{"fdsup://directions/FAT Viewer?action=UPDATE&amp;creator=factset&amp;DYN_ARGS=TRUE&amp;DOC_NAME=FAT:FQL_AUDITING_CLIENT_TEMPLATE.FAT&amp;display_string=Audit&amp;VAR:KEY=ZITUFQLYRU&amp;VAR:QUERY=RkZfU0FMRVMoQ0FMLDM3OTg2LCwsLCk=&amp;WINDOW=FIRST_POPUP&amp;HEIGHT=450&amp;WIDTH=450&amp;START_MAXIMI","ZED=FALSE&amp;VAR:CALENDAR=US&amp;VAR:SYMBOL=698538&amp;VAR:INDEX=0"}</definedName>
    <definedName name="_3374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3375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3376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3377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3378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3379__FDSAUDITLINK__" hidden="1">{"fdsup://directions/FAT Viewer?action=UPDATE&amp;creator=factset&amp;DYN_ARGS=TRUE&amp;DOC_NAME=FAT:FQL_AUDITING_CLIENT_TEMPLATE.FAT&amp;display_string=Audit&amp;VAR:KEY=RCLWNAZUVM&amp;VAR:QUERY=RkZfU0FMRVMoQ0FMLDM5NDQ3LCwsLCk=&amp;WINDOW=FIRST_POPUP&amp;HEIGHT=450&amp;WIDTH=450&amp;START_MAXIMI","ZED=FALSE&amp;VAR:CALENDAR=US&amp;VAR:SYMBOL=B0J7D9&amp;VAR:INDEX=0"}</definedName>
    <definedName name="_338__FDSAUDITLINK__" hidden="1">{"fdsup://directions/FAT%20Viewer?VAR:TM=NTMA&amp;VAR:PCT=0.688525&amp;VAR:Y0=2004&amp;VAR:Y1=2005&amp;VAR:V0=17.889992&amp;VAR:V1=16.049978&amp;VAR:V=17.273194&amp;VAR:AUDIT_ID=00000117&amp;VAR:DATE=20040423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Aggregates&amp;VAR:MEASURE=PE_MEAN&amp;VAR:CALC_MODE=PORTFOLIO&amp;VAR:CHGPERIOD=NA&amp;VAR:FQLFORMULA=FMA_PE&amp;VAR:CURRENCY=USD&amp;VAR:P=1","140.600200&amp;VAR:THRESH=||||||&amp;VAR:null=.html"}</definedName>
    <definedName name="_3380__FDSAUDITLINK__" hidden="1">{"fdsup://directions/FAT Viewer?action=UPDATE&amp;creator=factset&amp;DYN_ARGS=TRUE&amp;DOC_NAME=FAT:FQL_AUDITING_CLIENT_TEMPLATE.FAT&amp;display_string=Audit&amp;VAR:KEY=VYFIHMHMZI&amp;VAR:QUERY=RkZfU0FMRVMoQ0FMLDM5MDgyLCwsLCk=&amp;WINDOW=FIRST_POPUP&amp;HEIGHT=450&amp;WIDTH=450&amp;START_MAXIMI","ZED=FALSE&amp;VAR:CALENDAR=US&amp;VAR:SYMBOL=B0J7D9&amp;VAR:INDEX=0"}</definedName>
    <definedName name="_3381__FDSAUDITLINK__" hidden="1">{"fdsup://directions/FAT Viewer?action=UPDATE&amp;creator=factset&amp;DYN_ARGS=TRUE&amp;DOC_NAME=FAT:FQL_AUDITING_CLIENT_TEMPLATE.FAT&amp;display_string=Audit&amp;VAR:KEY=RATYXOVERC&amp;VAR:QUERY=RkZfU0FMRVMoQ0FMLDM4NzE3LCwsLCk=&amp;WINDOW=FIRST_POPUP&amp;HEIGHT=450&amp;WIDTH=450&amp;START_MAXIMI","ZED=FALSE&amp;VAR:CALENDAR=US&amp;VAR:SYMBOL=B0J7D9&amp;VAR:INDEX=0"}</definedName>
    <definedName name="_3382__FDSAUDITLINK__" hidden="1">{"fdsup://directions/FAT Viewer?action=UPDATE&amp;creator=factset&amp;DYN_ARGS=TRUE&amp;DOC_NAME=FAT:FQL_AUDITING_CLIENT_TEMPLATE.FAT&amp;display_string=Audit&amp;VAR:KEY=HEROTQBOTS&amp;VAR:QUERY=RkZfU0FMRVMoQ0FMLDM4MzUyLCwsLCk=&amp;WINDOW=FIRST_POPUP&amp;HEIGHT=450&amp;WIDTH=450&amp;START_MAXIMI","ZED=FALSE&amp;VAR:CALENDAR=US&amp;VAR:SYMBOL=B0J7D9&amp;VAR:INDEX=0"}</definedName>
    <definedName name="_3383__FDSAUDITLINK__" hidden="1">{"fdsup://directions/FAT Viewer?action=UPDATE&amp;creator=factset&amp;DYN_ARGS=TRUE&amp;DOC_NAME=FAT:FQL_AUDITING_CLIENT_TEMPLATE.FAT&amp;display_string=Audit&amp;VAR:KEY=JAZQJETKLY&amp;VAR:QUERY=RkZfU0FMRVMoQ0FMLDM3OTg2LCwsLCk=&amp;WINDOW=FIRST_POPUP&amp;HEIGHT=450&amp;WIDTH=450&amp;START_MAXIMI","ZED=FALSE&amp;VAR:CALENDAR=US&amp;VAR:SYMBOL=B0J7D9&amp;VAR:INDEX=0"}</definedName>
    <definedName name="_3384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3385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3386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3387__FDSAUDITLINK__" hidden="1">{"fdsup://directions/FAT Viewer?action=UPDATE&amp;creator=factset&amp;DYN_ARGS=TRUE&amp;DOC_NAME=FAT:FQL_AUDITING_CLIENT_TEMPLATE.FAT&amp;display_string=Audit&amp;VAR:KEY=PGJOVCLGBS&amp;VAR:QUERY=RkZfU0FMRVMoQ0FMLDM5NDQ3LCwsLCk=&amp;WINDOW=FIRST_POPUP&amp;HEIGHT=450&amp;WIDTH=450&amp;START_MAXIMI","ZED=FALSE&amp;VAR:CALENDAR=US&amp;VAR:SYMBOL=AMGN&amp;VAR:INDEX=0"}</definedName>
    <definedName name="_3388__FDSAUDITLINK__" hidden="1">{"fdsup://directions/FAT Viewer?action=UPDATE&amp;creator=factset&amp;DYN_ARGS=TRUE&amp;DOC_NAME=FAT:FQL_AUDITING_CLIENT_TEMPLATE.FAT&amp;display_string=Audit&amp;VAR:KEY=FYXGXAXURW&amp;VAR:QUERY=RkZfU0FMRVMoQ0FMLDM5MDgyLCwsLCk=&amp;WINDOW=FIRST_POPUP&amp;HEIGHT=450&amp;WIDTH=450&amp;START_MAXIMI","ZED=FALSE&amp;VAR:CALENDAR=US&amp;VAR:SYMBOL=AMGN&amp;VAR:INDEX=0"}</definedName>
    <definedName name="_3389__FDSAUDITLINK__" hidden="1">{"fdsup://directions/FAT Viewer?action=UPDATE&amp;creator=factset&amp;DYN_ARGS=TRUE&amp;DOC_NAME=FAT:FQL_AUDITING_CLIENT_TEMPLATE.FAT&amp;display_string=Audit&amp;VAR:KEY=VADUDGDYFA&amp;VAR:QUERY=RkZfU0FMRVMoQ0FMLDM4NzE3LCwsLCk=&amp;WINDOW=FIRST_POPUP&amp;HEIGHT=450&amp;WIDTH=450&amp;START_MAXIMI","ZED=FALSE&amp;VAR:CALENDAR=US&amp;VAR:SYMBOL=AMGN&amp;VAR:INDEX=0"}</definedName>
    <definedName name="_339__FDSAUDITLINK__" hidden="1">{"fdsup://directions/FAT%20Viewer?VAR:TM=NTMA&amp;VAR:PCT=0.707650&amp;VAR:Y0=2004&amp;VAR:Y1=2005&amp;VAR:V0=17.940153&amp;VAR:V1=16.069324&amp;VAR:V=17.349640&amp;VAR:AUDIT_ID=00000117&amp;VAR:DATE=20040416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Aggregates&amp;VAR:MEASURE=PE_MEAN&amp;VAR:CALC_MODE=PORTFOLIO&amp;VAR:CHGPERIOD=NA&amp;VAR:FQLFORMULA=FMA_PE&amp;VAR:CURRENCY=USD&amp;VAR:P=1","134.612700&amp;VAR:THRESH=||||||&amp;VAR:null=.html"}</definedName>
    <definedName name="_3390__FDSAUDITLINK__" hidden="1">{"fdsup://directions/FAT Viewer?action=UPDATE&amp;creator=factset&amp;DYN_ARGS=TRUE&amp;DOC_NAME=FAT:FQL_AUDITING_CLIENT_TEMPLATE.FAT&amp;display_string=Audit&amp;VAR:KEY=FKDOZAJURW&amp;VAR:QUERY=RkZfU0FMRVMoQ0FMLDM4MzUyLCwsLCk=&amp;WINDOW=FIRST_POPUP&amp;HEIGHT=450&amp;WIDTH=450&amp;START_MAXIMI","ZED=FALSE&amp;VAR:CALENDAR=US&amp;VAR:SYMBOL=AMGN&amp;VAR:INDEX=0"}</definedName>
    <definedName name="_3391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3392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3393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3394__FDSAUDITLINK__" hidden="1">{"fdsup://directions/FAT Viewer?action=UPDATE&amp;creator=factset&amp;DYN_ARGS=TRUE&amp;DOC_NAME=FAT:FQL_AUDITING_CLIENT_TEMPLATE.FAT&amp;display_string=Audit&amp;VAR:KEY=VOVAHWRMBQ&amp;VAR:QUERY=RkZfU0FMRVMoQ0FMLDM5NDQ3LCwsLCk=&amp;WINDOW=FIRST_POPUP&amp;HEIGHT=450&amp;WIDTH=450&amp;START_MAXIMI","ZED=FALSE&amp;VAR:CALENDAR=US&amp;VAR:SYMBOL=ABT&amp;VAR:INDEX=0"}</definedName>
    <definedName name="_3395__FDSAUDITLINK__" hidden="1">{"fdsup://directions/FAT Viewer?action=UPDATE&amp;creator=factset&amp;DYN_ARGS=TRUE&amp;DOC_NAME=FAT:FQL_AUDITING_CLIENT_TEMPLATE.FAT&amp;display_string=Audit&amp;VAR:KEY=JIZSHKHCLG&amp;VAR:QUERY=RkZfU0FMRVMoQ0FMLDM5MDgyLCwsLCk=&amp;WINDOW=FIRST_POPUP&amp;HEIGHT=450&amp;WIDTH=450&amp;START_MAXIMI","ZED=FALSE&amp;VAR:CALENDAR=US&amp;VAR:SYMBOL=ABT&amp;VAR:INDEX=0"}</definedName>
    <definedName name="_3396__FDSAUDITLINK__" hidden="1">{"fdsup://directions/FAT Viewer?action=UPDATE&amp;creator=factset&amp;DYN_ARGS=TRUE&amp;DOC_NAME=FAT:FQL_AUDITING_CLIENT_TEMPLATE.FAT&amp;display_string=Audit&amp;VAR:KEY=HGLONMHIHO&amp;VAR:QUERY=RkZfU0FMRVMoQ0FMLDM4NzE3LCwsLCk=&amp;WINDOW=FIRST_POPUP&amp;HEIGHT=450&amp;WIDTH=450&amp;START_MAXIMI","ZED=FALSE&amp;VAR:CALENDAR=US&amp;VAR:SYMBOL=ABT&amp;VAR:INDEX=0"}</definedName>
    <definedName name="_3397__FDSAUDITLINK__" hidden="1">{"fdsup://directions/FAT Viewer?action=UPDATE&amp;creator=factset&amp;DYN_ARGS=TRUE&amp;DOC_NAME=FAT:FQL_AUDITING_CLIENT_TEMPLATE.FAT&amp;display_string=Audit&amp;VAR:KEY=PMFYHUFOJW&amp;VAR:QUERY=RkZfU0FMRVMoQ0FMLDM4MzUyLCwsLCk=&amp;WINDOW=FIRST_POPUP&amp;HEIGHT=450&amp;WIDTH=450&amp;START_MAXIMI","ZED=FALSE&amp;VAR:CALENDAR=US&amp;VAR:SYMBOL=ABT&amp;VAR:INDEX=0"}</definedName>
    <definedName name="_3398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3399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34__FDSAUDITLINK__" hidden="1">{"fdsup://directions/FAT%20Viewer?VAR:TM=NTMA&amp;VAR:PCT=0.863014&amp;VAR:Y0=2010&amp;VAR:Y1=2011&amp;VAR:V0=13.998882&amp;VAR:V1=11.714396&amp;VAR:V=13.634640&amp;VAR:AUDIT_ID=00000117&amp;VAR:DATE=20100219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Aggregates&amp;VAR:MEASURE=PE_MEAN&amp;VAR:CALC_MODE=PORTFOLIO&amp;VAR:CHGPERIOD=NA&amp;VAR:FQLFORMULA=FMA_PE&amp;VAR:CURRENCY=USD&amp;VAR:P=1","109.172983&amp;VAR:THRESH=||||||&amp;VAR:null=.html"}</definedName>
    <definedName name="_340__FDSAUDITLINK__" hidden="1">{"fdsup://directions/FAT%20Viewer?VAR:TM=NTMA&amp;VAR:PCT=0.729508&amp;VAR:Y0=2004&amp;VAR:Y1=2005&amp;VAR:V0=18.075245&amp;VAR:V1=16.144215&amp;VAR:V=17.508769&amp;VAR:AUDIT_ID=00000117&amp;VAR:DATE=20040408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Aggregates&amp;VAR:MEASURE=PE_MEAN&amp;VAR:CALC_MODE=PORTFOLIO&amp;VAR:CHGPERIOD=NA&amp;VAR:FQLFORMULA=FMA_PE&amp;VAR:CURRENCY=USD&amp;VAR:P=1","139.315900&amp;VAR:THRESH=||||||&amp;VAR:null=.html"}</definedName>
    <definedName name="_3400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3401__FDSAUDITLINK__" hidden="1">{"fdsup://directions/FAT Viewer?action=UPDATE&amp;creator=factset&amp;DYN_ARGS=TRUE&amp;DOC_NAME=FAT:FQL_AUDITING_CLIENT_TEMPLATE.FAT&amp;display_string=Audit&amp;VAR:KEY=LANUXGTUJE&amp;VAR:QUERY=RkZfU0FMRVMoQ0FMLDM5NDQ3LCwsLCk=&amp;WINDOW=FIRST_POPUP&amp;HEIGHT=450&amp;WIDTH=450&amp;START_MAXIMI","ZED=FALSE&amp;VAR:CALENDAR=US&amp;VAR:SYMBOL=687044&amp;VAR:INDEX=0"}</definedName>
    <definedName name="_3402__FDSAUDITLINK__" hidden="1">{"fdsup://directions/FAT Viewer?action=UPDATE&amp;creator=factset&amp;DYN_ARGS=TRUE&amp;DOC_NAME=FAT:FQL_AUDITING_CLIENT_TEMPLATE.FAT&amp;display_string=Audit&amp;VAR:KEY=VMNWLAFAZG&amp;VAR:QUERY=RkZfU0FMRVMoQ0FMLDM5MDgyLCwsLCk=&amp;WINDOW=FIRST_POPUP&amp;HEIGHT=450&amp;WIDTH=450&amp;START_MAXIMI","ZED=FALSE&amp;VAR:CALENDAR=US&amp;VAR:SYMBOL=687044&amp;VAR:INDEX=0"}</definedName>
    <definedName name="_3403__FDSAUDITLINK__" hidden="1">{"fdsup://directions/FAT Viewer?action=UPDATE&amp;creator=factset&amp;DYN_ARGS=TRUE&amp;DOC_NAME=FAT:FQL_AUDITING_CLIENT_TEMPLATE.FAT&amp;display_string=Audit&amp;VAR:KEY=VUHEZEHYDS&amp;VAR:QUERY=RkZfU0FMRVMoQ0FMLDM4NzE3LCwsLCk=&amp;WINDOW=FIRST_POPUP&amp;HEIGHT=450&amp;WIDTH=450&amp;START_MAXIMI","ZED=FALSE&amp;VAR:CALENDAR=US&amp;VAR:SYMBOL=687044&amp;VAR:INDEX=0"}</definedName>
    <definedName name="_3404__FDSAUDITLINK__" hidden="1">{"fdsup://directions/FAT Viewer?action=UPDATE&amp;creator=factset&amp;DYN_ARGS=TRUE&amp;DOC_NAME=FAT:FQL_AUDITING_CLIENT_TEMPLATE.FAT&amp;display_string=Audit&amp;VAR:KEY=VEBOPIBOXG&amp;VAR:QUERY=RkZfU0FMRVMoQ0FMLDM4MzUyLCwsLCk=&amp;WINDOW=FIRST_POPUP&amp;HEIGHT=450&amp;WIDTH=450&amp;START_MAXIMI","ZED=FALSE&amp;VAR:CALENDAR=US&amp;VAR:SYMBOL=687044&amp;VAR:INDEX=0"}</definedName>
    <definedName name="_3405__FDSAUDITLINK__" hidden="1">{"fdsup://directions/FAT Viewer?action=UPDATE&amp;creator=factset&amp;DYN_ARGS=TRUE&amp;DOC_NAME=FAT:FQL_AUDITING_CLIENT_TEMPLATE.FAT&amp;display_string=Audit&amp;VAR:KEY=TWJGRYHSBC&amp;VAR:QUERY=RkZfU0FMRVMoQ0FMLDM3OTg2LCwsLCk=&amp;WINDOW=FIRST_POPUP&amp;HEIGHT=450&amp;WIDTH=450&amp;START_MAXIMI","ZED=FALSE&amp;VAR:CALENDAR=US&amp;VAR:SYMBOL=687044&amp;VAR:INDEX=0"}</definedName>
    <definedName name="_3406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3407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3408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3409__FDSAUDITLINK__" hidden="1">{"fdsup://directions/FAT Viewer?action=UPDATE&amp;creator=factset&amp;DYN_ARGS=TRUE&amp;DOC_NAME=FAT:FQL_AUDITING_CLIENT_TEMPLATE.FAT&amp;display_string=Audit&amp;VAR:KEY=FGNGDYBWJI&amp;VAR:QUERY=RkZfU0FMRVMoQ0FMLDM5NDQ3LCwsLCk=&amp;WINDOW=FIRST_POPUP&amp;HEIGHT=450&amp;WIDTH=450&amp;START_MAXIMI","ZED=FALSE&amp;VAR:CALENDAR=US&amp;VAR:SYMBOL=BMY&amp;VAR:INDEX=0"}</definedName>
    <definedName name="_341__FDSAUDITLINK__" hidden="1">{"fdsup://directions/FAT%20Viewer?VAR:TM=NTMA&amp;VAR:PCT=0.745902&amp;VAR:Y0=2004&amp;VAR:Y1=2005&amp;VAR:V0=18.142601&amp;VAR:V1=16.197313&amp;VAR:V=17.605338&amp;VAR:AUDIT_ID=00000117&amp;VAR:DATE=20040402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Aggregates&amp;VAR:MEASURE=PE_MEAN&amp;VAR:CALC_MODE=PORTFOLIO&amp;VAR:CHGPERIOD=NA&amp;VAR:FQLFORMULA=FMA_PE&amp;VAR:CURRENCY=USD&amp;VAR:P=1","141.809800&amp;VAR:THRESH=||||||&amp;VAR:null=.html"}</definedName>
    <definedName name="_3410__FDSAUDITLINK__" hidden="1">{"fdsup://directions/FAT Viewer?action=UPDATE&amp;creator=factset&amp;DYN_ARGS=TRUE&amp;DOC_NAME=FAT:FQL_AUDITING_CLIENT_TEMPLATE.FAT&amp;display_string=Audit&amp;VAR:KEY=ZEPMHOTKTQ&amp;VAR:QUERY=RkZfU0FMRVMoQ0FMLDM5MDgyLCwsLCk=&amp;WINDOW=FIRST_POPUP&amp;HEIGHT=450&amp;WIDTH=450&amp;START_MAXIMI","ZED=FALSE&amp;VAR:CALENDAR=US&amp;VAR:SYMBOL=BMY&amp;VAR:INDEX=0"}</definedName>
    <definedName name="_3411__FDSAUDITLINK__" hidden="1">{"fdsup://directions/FAT Viewer?action=UPDATE&amp;creator=factset&amp;DYN_ARGS=TRUE&amp;DOC_NAME=FAT:FQL_AUDITING_CLIENT_TEMPLATE.FAT&amp;display_string=Audit&amp;VAR:KEY=ZSRUVKHGFO&amp;VAR:QUERY=RkZfU0FMRVMoQ0FMLDM4NzE3LCwsLCk=&amp;WINDOW=FIRST_POPUP&amp;HEIGHT=450&amp;WIDTH=450&amp;START_MAXIMI","ZED=FALSE&amp;VAR:CALENDAR=US&amp;VAR:SYMBOL=BMY&amp;VAR:INDEX=0"}</definedName>
    <definedName name="_3412__FDSAUDITLINK__" hidden="1">{"fdsup://directions/FAT Viewer?action=UPDATE&amp;creator=factset&amp;DYN_ARGS=TRUE&amp;DOC_NAME=FAT:FQL_AUDITING_CLIENT_TEMPLATE.FAT&amp;display_string=Audit&amp;VAR:KEY=LWZIXAXMJY&amp;VAR:QUERY=RkZfU0FMRVMoQ0FMLDM4MzUyLCwsLCk=&amp;WINDOW=FIRST_POPUP&amp;HEIGHT=450&amp;WIDTH=450&amp;START_MAXIMI","ZED=FALSE&amp;VAR:CALENDAR=US&amp;VAR:SYMBOL=BMY&amp;VAR:INDEX=0"}</definedName>
    <definedName name="_3413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3414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3415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3416__FDSAUDITLINK__" hidden="1">{"fdsup://directions/FAT Viewer?action=UPDATE&amp;creator=factset&amp;DYN_ARGS=TRUE&amp;DOC_NAME=FAT:FQL_AUDITING_CLIENT_TEMPLATE.FAT&amp;display_string=Audit&amp;VAR:KEY=ZMZGTAHWVI&amp;VAR:QUERY=RkZfU0FMRVMoQ0FMLDM5NDQ3LCwsLCk=&amp;WINDOW=FIRST_POPUP&amp;HEIGHT=450&amp;WIDTH=450&amp;START_MAXIMI","ZED=FALSE&amp;VAR:CALENDAR=US&amp;VAR:SYMBOL=LLY&amp;VAR:INDEX=0"}</definedName>
    <definedName name="_3417__FDSAUDITLINK__" hidden="1">{"fdsup://directions/FAT Viewer?action=UPDATE&amp;creator=factset&amp;DYN_ARGS=TRUE&amp;DOC_NAME=FAT:FQL_AUDITING_CLIENT_TEMPLATE.FAT&amp;display_string=Audit&amp;VAR:KEY=VGZWFCPGLW&amp;VAR:QUERY=RkZfU0FMRVMoQ0FMLDM5MDgyLCwsLCk=&amp;WINDOW=FIRST_POPUP&amp;HEIGHT=450&amp;WIDTH=450&amp;START_MAXIMI","ZED=FALSE&amp;VAR:CALENDAR=US&amp;VAR:SYMBOL=LLY&amp;VAR:INDEX=0"}</definedName>
    <definedName name="_3418__FDSAUDITLINK__" hidden="1">{"fdsup://directions/FAT Viewer?action=UPDATE&amp;creator=factset&amp;DYN_ARGS=TRUE&amp;DOC_NAME=FAT:FQL_AUDITING_CLIENT_TEMPLATE.FAT&amp;display_string=Audit&amp;VAR:KEY=NMLWPYZODY&amp;VAR:QUERY=RkZfU0FMRVMoQ0FMLDM4NzE3LCwsLCk=&amp;WINDOW=FIRST_POPUP&amp;HEIGHT=450&amp;WIDTH=450&amp;START_MAXIMI","ZED=FALSE&amp;VAR:CALENDAR=US&amp;VAR:SYMBOL=LLY&amp;VAR:INDEX=0"}</definedName>
    <definedName name="_3419__FDSAUDITLINK__" hidden="1">{"fdsup://directions/FAT Viewer?action=UPDATE&amp;creator=factset&amp;DYN_ARGS=TRUE&amp;DOC_NAME=FAT:FQL_AUDITING_CLIENT_TEMPLATE.FAT&amp;display_string=Audit&amp;VAR:KEY=XERCTWXSFY&amp;VAR:QUERY=RkZfU0FMRVMoQ0FMLDM4MzUyLCwsLCk=&amp;WINDOW=FIRST_POPUP&amp;HEIGHT=450&amp;WIDTH=450&amp;START_MAXIMI","ZED=FALSE&amp;VAR:CALENDAR=US&amp;VAR:SYMBOL=LLY&amp;VAR:INDEX=0"}</definedName>
    <definedName name="_342__FDSAUDITLINK__" hidden="1">{"fdsup://directions/FAT%20Viewer?VAR:TM=NTMA&amp;VAR:PCT=0.765027&amp;VAR:Y0=2004&amp;VAR:Y1=2005&amp;VAR:V0=17.700436&amp;VAR:V1=15.759854&amp;VAR:V=17.202706&amp;VAR:AUDIT_ID=00000117&amp;VAR:DATE=20040326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Aggregates&amp;VAR:MEASURE=PE_MEAN&amp;VAR:CALC_MODE=PORTFOLIO&amp;VAR:CHGPERIOD=NA&amp;VAR:FQLFORMULA=FMA_PE&amp;VAR:CURRENCY=USD&amp;VAR:P=1","108.062500&amp;VAR:THRESH=||||||&amp;VAR:null=.html"}</definedName>
    <definedName name="_3420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3421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3422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3423__FDSAUDITLINK__" hidden="1">{"fdsup://directions/FAT Viewer?action=UPDATE&amp;creator=factset&amp;DYN_ARGS=TRUE&amp;DOC_NAME=FAT:FQL_AUDITING_CLIENT_TEMPLATE.FAT&amp;display_string=Audit&amp;VAR:KEY=VGFMRYZUDQ&amp;VAR:QUERY=RkZfU0FMRVMoQ0FMLDM5NDQ3LCwsLCk=&amp;WINDOW=FIRST_POPUP&amp;HEIGHT=450&amp;WIDTH=450&amp;START_MAXIMI","ZED=FALSE&amp;VAR:CALENDAR=US&amp;VAR:SYMBOL=506921&amp;VAR:INDEX=0"}</definedName>
    <definedName name="_3424__FDSAUDITLINK__" hidden="1">{"fdsup://directions/FAT Viewer?action=UPDATE&amp;creator=factset&amp;DYN_ARGS=TRUE&amp;DOC_NAME=FAT:FQL_AUDITING_CLIENT_TEMPLATE.FAT&amp;display_string=Audit&amp;VAR:KEY=PYPMDAJYFY&amp;VAR:QUERY=RkZfU0FMRVMoQ0FMLDM5MDgyLCwsLCk=&amp;WINDOW=FIRST_POPUP&amp;HEIGHT=450&amp;WIDTH=450&amp;START_MAXIMI","ZED=FALSE&amp;VAR:CALENDAR=US&amp;VAR:SYMBOL=506921&amp;VAR:INDEX=0"}</definedName>
    <definedName name="_3425__FDSAUDITLINK__" hidden="1">{"fdsup://directions/FAT Viewer?action=UPDATE&amp;creator=factset&amp;DYN_ARGS=TRUE&amp;DOC_NAME=FAT:FQL_AUDITING_CLIENT_TEMPLATE.FAT&amp;display_string=Audit&amp;VAR:KEY=FGLEFQPUNK&amp;VAR:QUERY=RkZfU0FMRVMoQ0FMLDM4NzE3LCwsLCk=&amp;WINDOW=FIRST_POPUP&amp;HEIGHT=450&amp;WIDTH=450&amp;START_MAXIMI","ZED=FALSE&amp;VAR:CALENDAR=US&amp;VAR:SYMBOL=506921&amp;VAR:INDEX=0"}</definedName>
    <definedName name="_3426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3427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3428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3429__FDSAUDITLINK__" hidden="1">{"fdsup://directions/FAT Viewer?action=UPDATE&amp;creator=factset&amp;DYN_ARGS=TRUE&amp;DOC_NAME=FAT:FQL_AUDITING_CLIENT_TEMPLATE.FAT&amp;display_string=Audit&amp;VAR:KEY=XUVOBOTILK&amp;VAR:QUERY=RkZfU0FMRVMoQ0FMLDM5NDQ3LCwsLCk=&amp;WINDOW=FIRST_POPUP&amp;HEIGHT=450&amp;WIDTH=450&amp;START_MAXIMI","ZED=FALSE&amp;VAR:CALENDAR=US&amp;VAR:SYMBOL=567173&amp;VAR:INDEX=0"}</definedName>
    <definedName name="_343__FDSAUDITLINK__" hidden="1">{"fdsup://directions/FAT%20Viewer?VAR:TM=NTMA&amp;VAR:PCT=0.784153&amp;VAR:Y0=2004&amp;VAR:Y1=2005&amp;VAR:V0=17.727110&amp;VAR:V1=15.772494&amp;VAR:V=17.265281&amp;VAR:AUDIT_ID=00000117&amp;VAR:DATE=20040319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Aggregates&amp;VAR:MEASURE=PE_MEAN&amp;VAR:CALC_MODE=PORTFOLIO&amp;VAR:CHGPERIOD=NA&amp;VAR:FQLFORMULA=FMA_PE&amp;VAR:CURRENCY=USD&amp;VAR:P=1","109.776000&amp;VAR:THRESH=||||||&amp;VAR:null=.html"}</definedName>
    <definedName name="_3430__FDSAUDITLINK__" hidden="1">{"fdsup://directions/FAT Viewer?action=UPDATE&amp;creator=factset&amp;DYN_ARGS=TRUE&amp;DOC_NAME=FAT:FQL_AUDITING_CLIENT_TEMPLATE.FAT&amp;display_string=Audit&amp;VAR:KEY=TUNGLUVQJS&amp;VAR:QUERY=RkZfU0FMRVMoQ0FMLDM5MDgyLCwsLCk=&amp;WINDOW=FIRST_POPUP&amp;HEIGHT=450&amp;WIDTH=450&amp;START_MAXIMI","ZED=FALSE&amp;VAR:CALENDAR=US&amp;VAR:SYMBOL=567173&amp;VAR:INDEX=0"}</definedName>
    <definedName name="_3431__FDSAUDITLINK__" hidden="1">{"fdsup://directions/FAT Viewer?action=UPDATE&amp;creator=factset&amp;DYN_ARGS=TRUE&amp;DOC_NAME=FAT:FQL_AUDITING_CLIENT_TEMPLATE.FAT&amp;display_string=Audit&amp;VAR:KEY=ZCZKRMREJQ&amp;VAR:QUERY=RkZfU0FMRVMoQ0FMLDM4NzE3LCwsLCk=&amp;WINDOW=FIRST_POPUP&amp;HEIGHT=450&amp;WIDTH=450&amp;START_MAXIMI","ZED=FALSE&amp;VAR:CALENDAR=US&amp;VAR:SYMBOL=567173&amp;VAR:INDEX=0"}</definedName>
    <definedName name="_3432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3433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3434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3435__FDSAUDITLINK__" hidden="1">{"fdsup://directions/FAT Viewer?action=UPDATE&amp;creator=factset&amp;DYN_ARGS=TRUE&amp;DOC_NAME=FAT:FQL_AUDITING_CLIENT_TEMPLATE.FAT&amp;display_string=Audit&amp;VAR:KEY=NSBWVCLYDE&amp;VAR:QUERY=RkZfU0FMRVMoQ0FMLDM5NDQ3LCwsLCk=&amp;WINDOW=FIRST_POPUP&amp;HEIGHT=450&amp;WIDTH=450&amp;START_MAXIMI","ZED=FALSE&amp;VAR:CALENDAR=US&amp;VAR:SYMBOL=JNJ&amp;VAR:INDEX=0"}</definedName>
    <definedName name="_3436__FDSAUDITLINK__" hidden="1">{"fdsup://directions/FAT Viewer?action=UPDATE&amp;creator=factset&amp;DYN_ARGS=TRUE&amp;DOC_NAME=FAT:FQL_AUDITING_CLIENT_TEMPLATE.FAT&amp;display_string=Audit&amp;VAR:KEY=VCFODGNGBS&amp;VAR:QUERY=RkZfU0FMRVMoQ0FMLDM5MDgyLCwsLCk=&amp;WINDOW=FIRST_POPUP&amp;HEIGHT=450&amp;WIDTH=450&amp;START_MAXIMI","ZED=FALSE&amp;VAR:CALENDAR=US&amp;VAR:SYMBOL=JNJ&amp;VAR:INDEX=0"}</definedName>
    <definedName name="_3437__FDSAUDITLINK__" hidden="1">{"fdsup://directions/FAT Viewer?action=UPDATE&amp;creator=factset&amp;DYN_ARGS=TRUE&amp;DOC_NAME=FAT:FQL_AUDITING_CLIENT_TEMPLATE.FAT&amp;display_string=Audit&amp;VAR:KEY=FMJMDKHKDK&amp;VAR:QUERY=RkZfU0FMRVMoQ0FMLDM4NzE3LCwsLCk=&amp;WINDOW=FIRST_POPUP&amp;HEIGHT=450&amp;WIDTH=450&amp;START_MAXIMI","ZED=FALSE&amp;VAR:CALENDAR=US&amp;VAR:SYMBOL=JNJ&amp;VAR:INDEX=0"}</definedName>
    <definedName name="_3438__FDSAUDITLINK__" hidden="1">{"fdsup://directions/FAT Viewer?action=UPDATE&amp;creator=factset&amp;DYN_ARGS=TRUE&amp;DOC_NAME=FAT:FQL_AUDITING_CLIENT_TEMPLATE.FAT&amp;display_string=Audit&amp;VAR:KEY=ZWTENCPKDC&amp;VAR:QUERY=RkZfU0FMRVMoQ0FMLDM4MzUyLCwsLCk=&amp;WINDOW=FIRST_POPUP&amp;HEIGHT=450&amp;WIDTH=450&amp;START_MAXIMI","ZED=FALSE&amp;VAR:CALENDAR=US&amp;VAR:SYMBOL=JNJ&amp;VAR:INDEX=0"}</definedName>
    <definedName name="_3439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344__FDSAUDITLINK__" hidden="1">{"fdsup://directions/FAT%20Viewer?VAR:TM=NTMA&amp;VAR:PCT=0.803279&amp;VAR:Y0=2004&amp;VAR:Y1=2005&amp;VAR:V0=17.981650&amp;VAR:V1=15.937214&amp;VAR:V=17.539043&amp;VAR:AUDIT_ID=00000117&amp;VAR:DATE=20040312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Aggregates&amp;VAR:MEASURE=PE_MEAN&amp;VAR:CALC_MODE=PORTFOLIO&amp;VAR:CHGPERIOD=NA&amp;VAR:FQLFORMULA=FMA_PE&amp;VAR:CURRENCY=USD&amp;VAR:P=1","120.573000&amp;VAR:THRESH=||||||&amp;VAR:null=.html"}</definedName>
    <definedName name="_3440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3441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3442__FDSAUDITLINK__" hidden="1">{"fdsup://directions/FAT Viewer?action=UPDATE&amp;creator=factset&amp;DYN_ARGS=TRUE&amp;DOC_NAME=FAT:FQL_AUDITING_CLIENT_TEMPLATE.FAT&amp;display_string=Audit&amp;VAR:KEY=LMVERYPEZG&amp;VAR:QUERY=RkZfU0FMRVMoQ0FMLDM5NDQ3LCwsLCk=&amp;WINDOW=FIRST_POPUP&amp;HEIGHT=450&amp;WIDTH=450&amp;START_MAXIMI","ZED=FALSE&amp;VAR:CALENDAR=US&amp;VAR:SYMBOL=710306&amp;VAR:INDEX=0"}</definedName>
    <definedName name="_3443__FDSAUDITLINK__" hidden="1">{"fdsup://directions/FAT Viewer?action=UPDATE&amp;creator=factset&amp;DYN_ARGS=TRUE&amp;DOC_NAME=FAT:FQL_AUDITING_CLIENT_TEMPLATE.FAT&amp;display_string=Audit&amp;VAR:KEY=XQLOLCJYLW&amp;VAR:QUERY=RkZfU0FMRVMoQ0FMLDM5MDgyLCwsLCk=&amp;WINDOW=FIRST_POPUP&amp;HEIGHT=450&amp;WIDTH=450&amp;START_MAXIMI","ZED=FALSE&amp;VAR:CALENDAR=US&amp;VAR:SYMBOL=710306&amp;VAR:INDEX=0"}</definedName>
    <definedName name="_3444__FDSAUDITLINK__" hidden="1">{"fdsup://directions/FAT Viewer?action=UPDATE&amp;creator=factset&amp;DYN_ARGS=TRUE&amp;DOC_NAME=FAT:FQL_AUDITING_CLIENT_TEMPLATE.FAT&amp;display_string=Audit&amp;VAR:KEY=JIVKRKVAXY&amp;VAR:QUERY=RkZfU0FMRVMoQ0FMLDM4NzE3LCwsLCk=&amp;WINDOW=FIRST_POPUP&amp;HEIGHT=450&amp;WIDTH=450&amp;START_MAXIMI","ZED=FALSE&amp;VAR:CALENDAR=US&amp;VAR:SYMBOL=710306&amp;VAR:INDEX=0"}</definedName>
    <definedName name="_3445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3446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3447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3448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3449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345__FDSAUDITLINK__" hidden="1">{"fdsup://directions/FAT%20Viewer?VAR:TM=NTMA&amp;VAR:PCT=0.822404&amp;VAR:Y0=2004&amp;VAR:Y1=2005&amp;VAR:V0=18.599434&amp;VAR:V1=16.476847&amp;VAR:V=18.183428&amp;VAR:AUDIT_ID=00000117&amp;VAR:DATE=20040305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Aggregates&amp;VAR:MEASURE=PE_MEAN&amp;VAR:CALC_MODE=PORTFOLIO&amp;VAR:CHGPERIOD=NA&amp;VAR:FQLFORMULA=FMA_PE&amp;VAR:CURRENCY=USD&amp;VAR:P=1","156.873300&amp;VAR:THRESH=||||||&amp;VAR:null=.html"}</definedName>
    <definedName name="_3450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3451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3452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3453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3454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3455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3456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3457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3458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3459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346__FDSAUDITLINK__" hidden="1">{"fdsup://directions/FAT%20Viewer?VAR:TM=NTMA&amp;VAR:PCT=0.841530&amp;VAR:Y0=2004&amp;VAR:Y1=2005&amp;VAR:V0=18.448930&amp;VAR:V1=16.342750&amp;VAR:V=18.079690&amp;VAR:AUDIT_ID=00000117&amp;VAR:DATE=20040227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Aggregates&amp;VAR:MEASURE=PE_MEAN&amp;VAR:CALC_MODE=PORTFOLIO&amp;VAR:CHGPERIOD=NA&amp;VAR:FQLFORMULA=FMA_PE&amp;VAR:CURRENCY=USD&amp;VAR:P=1","144.942100&amp;VAR:THRESH=||||||&amp;VAR:null=.html"}</definedName>
    <definedName name="_3460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3461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3462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3463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3464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3465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3466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3467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3468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3469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347__FDSAUDITLINK__" hidden="1">{"fdsup://directions/FAT%20Viewer?VAR:TM=NTMA&amp;VAR:PCT=0.860656&amp;VAR:Y0=2004&amp;VAR:Y1=2005&amp;VAR:V0=18.474500&amp;VAR:V1=16.371052&amp;VAR:V=18.149555&amp;VAR:AUDIT_ID=00000117&amp;VAR:DATE=20040220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Aggregates&amp;VAR:MEASURE=PE_MEAN&amp;VAR:CALC_MODE=PORTFOLIO&amp;VAR:CHGPERIOD=NA&amp;VAR:FQLFORMULA=FMA_PE&amp;VAR:CURRENCY=USD&amp;VAR:P=1","144.108400&amp;VAR:THRESH=||||||&amp;VAR:null=.html"}</definedName>
    <definedName name="_3470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3471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3472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3473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3474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3475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3476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3477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3478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3479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348__FDSAUDITLINK__" hidden="1">{"fdsup://directions/FAT%20Viewer?VAR:TM=NTMA&amp;VAR:PCT=0.879781&amp;VAR:Y0=2004&amp;VAR:Y1=2005&amp;VAR:V0=18.516546&amp;VAR:V1=16.391268&amp;VAR:V=18.232350&amp;VAR:AUDIT_ID=00000117&amp;VAR:DATE=20040213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Aggregates&amp;VAR:MEASURE=PE_MEAN&amp;VAR:CALC_MODE=PORTFOLIO&amp;VAR:CHGPERIOD=NA&amp;VAR:FQLFORMULA=FMA_PE&amp;VAR:CURRENCY=USD&amp;VAR:P=1","145.809700&amp;VAR:THRESH=||||||&amp;VAR:null=.html"}</definedName>
    <definedName name="_3480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3481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3482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3483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3484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3485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3486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3487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3488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3489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349__FDSAUDITLINK__" hidden="1">{"fdsup://directions/FAT%20Viewer?VAR:TM=NTMA&amp;VAR:PCT=0.898907&amp;VAR:Y0=2004&amp;VAR:Y1=2005&amp;VAR:V0=18.463764&amp;VAR:V1=16.361908&amp;VAR:V=18.227060&amp;VAR:AUDIT_ID=00000117&amp;VAR:DATE=20040206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Aggregates&amp;VAR:MEASURE=PE_MEAN&amp;VAR:CALC_MODE=PORTFOLIO&amp;VAR:CHGPERIOD=NA&amp;VAR:FQLFORMULA=FMA_PE&amp;VAR:CURRENCY=USD&amp;VAR:P=1","142.755100&amp;VAR:THRESH=||||||&amp;VAR:null=.html"}</definedName>
    <definedName name="_3490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3491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3492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3493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3494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3495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3496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3497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3498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3499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35__FDSAUDITLINK__" hidden="1">{"fdsup://directions/FAT%20Viewer?VAR:TM=NTMA&amp;VAR:PCT=0.882192&amp;VAR:Y0=2010&amp;VAR:Y1=2011&amp;VAR:V0=13.534136&amp;VAR:V1=11.314774&amp;VAR:V=13.228456&amp;VAR:AUDIT_ID=00000117&amp;VAR:DATE=20100212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Aggregates&amp;VAR:MEASURE=PE_MEAN&amp;VAR:CALC_MODE=PORTFOLIO&amp;VAR:CHGPERIOD=NA&amp;VAR:FQLFORMULA=FMA_PE&amp;VAR:CURRENCY=USD&amp;VAR:P=1","075.513263&amp;VAR:THRESH=||||||&amp;VAR:null=.html"}</definedName>
    <definedName name="_350__FDSAUDITLINK__" hidden="1">{"fdsup://directions/FAT%20Viewer?VAR:TM=NTMA&amp;VAR:PCT=0.918033&amp;VAR:Y0=2004&amp;VAR:Y1=2005&amp;VAR:V0=18.283650&amp;VAR:V1=16.222887&amp;VAR:V=18.095240&amp;VAR:AUDIT_ID=00000117&amp;VAR:DATE=20040130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Aggregates&amp;VAR:MEASURE=PE_MEAN&amp;VAR:CALC_MODE=PORTFOLIO&amp;VAR:CHGPERIOD=NA&amp;VAR:FQLFORMULA=FMA_PE&amp;VAR:CURRENCY=USD&amp;VAR:P=1","131.127200&amp;VAR:THRESH=||||||&amp;VAR:null=.html"}</definedName>
    <definedName name="_3500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3501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3502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3503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3504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3505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3506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3507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3508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3509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351__FDSAUDITLINK__" hidden="1">{"fdsup://directions/FAT%20Viewer?VAR:TM=NTMA&amp;VAR:PCT=0.937158&amp;VAR:Y0=2004&amp;VAR:Y1=2005&amp;VAR:V0=18.519703&amp;VAR:V1=16.434940&amp;VAR:V=18.373242&amp;VAR:AUDIT_ID=00000117&amp;VAR:DATE=20040123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Aggregates&amp;VAR:MEASURE=PE_MEAN&amp;VAR:CALC_MODE=PORTFOLIO&amp;VAR:CHGPERIOD=NA&amp;VAR:FQLFORMULA=FMA_PE&amp;VAR:CURRENCY=USD&amp;VAR:P=1","141.552500&amp;VAR:THRESH=||||||&amp;VAR:null=.html"}</definedName>
    <definedName name="_3510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3511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3512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3513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3514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3515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3516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3517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3518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3519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352__FDSAUDITLINK__" hidden="1">{"fdsup://directions/FAT%20Viewer?VAR:TM=NTMA&amp;VAR:PCT=0.956284&amp;VAR:Y0=2004&amp;VAR:Y1=2005&amp;VAR:V0=18.531036&amp;VAR:V1=16.446476&amp;VAR:V=18.428923&amp;VAR:AUDIT_ID=00000117&amp;VAR:DATE=20040116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Aggregates&amp;VAR:MEASURE=PE_MEAN&amp;VAR:CALC_MODE=PORTFOLIO&amp;VAR:CHGPERIOD=NA&amp;VAR:FQLFORMULA=FMA_PE&amp;VAR:CURRENCY=USD&amp;VAR:P=1","139.825400&amp;VAR:THRESH=||||||&amp;VAR:null=.html"}</definedName>
    <definedName name="_3520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3521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3522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3523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3524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3525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3526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3527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3528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3529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353__FDSAUDITLINK__" hidden="1">{"fdsup://directions/FAT%20Viewer?VAR:TM=NTMA&amp;VAR:PCT=0.975410&amp;VAR:Y0=2004&amp;VAR:Y1=2005&amp;VAR:V0=18.257502&amp;VAR:V1=16.389246&amp;VAR:V=18.206467&amp;VAR:AUDIT_ID=00000117&amp;VAR:DATE=20040109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Aggregates&amp;VAR:MEASURE=PE_MEAN&amp;VAR:CALC_MODE=PORTFOLIO&amp;VAR:CHGPERIOD=NA&amp;VAR:FQLFORMULA=FMA_PE&amp;VAR:CURRENCY=USD&amp;VAR:P=1","121.855200&amp;VAR:THRESH=||||||&amp;VAR:null=.html"}</definedName>
    <definedName name="_3530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3531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3532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3533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3534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3535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3536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3537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3538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3539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354__FDSAUDITLINK__" hidden="1">{"fdsup://directions/FAT%20Viewer?VAR:TM=NTMA&amp;VAR:PCT=0.994536&amp;VAR:Y0=2004&amp;VAR:Y1=2005&amp;VAR:V0=18.053550&amp;VAR:V1=16.340425&amp;VAR:V=18.043213&amp;VAR:AUDIT_ID=00000117&amp;VAR:DATE=20040102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Aggregates&amp;VAR:MEASURE=PE_MEAN&amp;VAR:CALC_MODE=PORTFOLIO&amp;VAR:CHGPERIOD=NA&amp;VAR:FQLFORMULA=FMA_PE&amp;VAR:CURRENCY=USD&amp;VAR:P=1","108.484600&amp;VAR:THRESH=||||||&amp;VAR:null=.html"}</definedName>
    <definedName name="_3540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3541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3542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3543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3544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3545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3546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3547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3548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3549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355__FDSAUDITLINK__" hidden="1">{"fdsup://directions/FAT%20Viewer?VAR:TM=NTMA&amp;VAR:PCT=0.013699&amp;VAR:Y0=2003&amp;VAR:Y1=2004&amp;VAR:V0=20.269835&amp;VAR:V1=17.866282&amp;VAR:V=17.895350&amp;VAR:AUDIT_ID=00000117&amp;VAR:DATE=20031226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Aggregates&amp;VAR:MEASURE=PE_MEAN&amp;VAR:CALC_MODE=PORTFOLIO&amp;VAR:CHGPERIOD=NA&amp;VAR:FQLFORMULA=FMA_PE&amp;VAR:CURRENCY=USD&amp;VAR:P=1","095.888500&amp;VAR:THRESH=||||||&amp;VAR:null=.html"}</definedName>
    <definedName name="_3550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3551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3552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3553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3554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3555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3556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3557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3558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3559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356__FDSAUDITLINK__" hidden="1">{"fdsup://directions/FAT%20Viewer?VAR:TM=NTMA&amp;VAR:PCT=0.032877&amp;VAR:Y0=2003&amp;VAR:Y1=2004&amp;VAR:V0=20.121119&amp;VAR:V1=17.760336&amp;VAR:V=17.829110&amp;VAR:AUDIT_ID=00000117&amp;VAR:DATE=20031219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Aggregates&amp;VAR:MEASURE=PE_MEAN&amp;VAR:CALC_MODE=PORTFOLIO&amp;VAR:CHGPERIOD=NA&amp;VAR:FQLFORMULA=FMA_PE&amp;VAR:CURRENCY=USD&amp;VAR:P=1","088.665300&amp;VAR:THRESH=||||||&amp;VAR:null=.html"}</definedName>
    <definedName name="_3560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3561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3562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3563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3564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3565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3566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3567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3568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3569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357__FDSAUDITLINK__" hidden="1">{"fdsup://directions/FAT%20Viewer?VAR:TM=NTMA&amp;VAR:PCT=0.052055&amp;VAR:Y0=2003&amp;VAR:Y1=2004&amp;VAR:V0=19.865564&amp;VAR:V1=17.561058&amp;VAR:V=17.667747&amp;VAR:AUDIT_ID=00000117&amp;VAR:DATE=20031212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Aggregates&amp;VAR:MEASURE=PE_MEAN&amp;VAR:CALC_MODE=PORTFOLIO&amp;VAR:CHGPERIOD=NA&amp;VAR:FQLFORMULA=FMA_PE&amp;VAR:CURRENCY=USD&amp;VAR:P=1","074.135900&amp;VAR:THRESH=||||||&amp;VAR:null=.html"}</definedName>
    <definedName name="_3570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3571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3572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3573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3574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3575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3576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3577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3578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3579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358__FDSAUDITLINK__" hidden="1">{"fdsup://directions/FAT%20Viewer?VAR:TM=NTMA&amp;VAR:PCT=0.071233&amp;VAR:Y0=2003&amp;VAR:Y1=2004&amp;VAR:V0=19.647450&amp;VAR:V1=17.384531&amp;VAR:V=17.528339&amp;VAR:AUDIT_ID=00000117&amp;VAR:DATE=20031205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Aggregates&amp;VAR:MEASURE=PE_MEAN&amp;VAR:CALC_MODE=PORTFOLIO&amp;VAR:CHGPERIOD=NA&amp;VAR:FQLFORMULA=FMA_PE&amp;VAR:CURRENCY=USD&amp;VAR:P=1","061.503300&amp;VAR:THRESH=||||||&amp;VAR:null=.html"}</definedName>
    <definedName name="_3580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3581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3582__FDSAUDITLINK__" hidden="1">{"fdsup://directions/FAT Viewer?action=UPDATE&amp;creator=factset&amp;DYN_ARGS=TRUE&amp;DOC_NAME=FAT:FQL_AUDITING_CLIENT_TEMPLATE.FAT&amp;display_string=Audit&amp;VAR:KEY=PODEFWZGFS&amp;VAR:QUERY=RkZfUkRfRVhQKENBTCwzOTQ0NywsLCwp&amp;WINDOW=FIRST_POPUP&amp;HEIGHT=450&amp;WIDTH=450&amp;START_MAXIMI","ZED=FALSE&amp;VAR:CALENDAR=US&amp;VAR:SYMBOL=BIIB&amp;VAR:INDEX=0"}</definedName>
    <definedName name="_3583__FDSAUDITLINK__" hidden="1">{"fdsup://directions/FAT Viewer?action=UPDATE&amp;creator=factset&amp;DYN_ARGS=TRUE&amp;DOC_NAME=FAT:FQL_AUDITING_CLIENT_TEMPLATE.FAT&amp;display_string=Audit&amp;VAR:KEY=HQFYRGDOJS&amp;VAR:QUERY=RkZfUkRfRVhQKENBTCwzOTA4MiwsLCwp&amp;WINDOW=FIRST_POPUP&amp;HEIGHT=450&amp;WIDTH=450&amp;START_MAXIMI","ZED=FALSE&amp;VAR:CALENDAR=US&amp;VAR:SYMBOL=BIIB&amp;VAR:INDEX=0"}</definedName>
    <definedName name="_3584__FDSAUDITLINK__" hidden="1">{"fdsup://directions/FAT Viewer?action=UPDATE&amp;creator=factset&amp;DYN_ARGS=TRUE&amp;DOC_NAME=FAT:FQL_AUDITING_CLIENT_TEMPLATE.FAT&amp;display_string=Audit&amp;VAR:KEY=BWLKBKRSNC&amp;VAR:QUERY=RkZfUkRfRVhQKENBTCwzODcxNywsLCwp&amp;WINDOW=FIRST_POPUP&amp;HEIGHT=450&amp;WIDTH=450&amp;START_MAXIMI","ZED=FALSE&amp;VAR:CALENDAR=US&amp;VAR:SYMBOL=BIIB&amp;VAR:INDEX=0"}</definedName>
    <definedName name="_3585__FDSAUDITLINK__" hidden="1">{"fdsup://directions/FAT Viewer?action=UPDATE&amp;creator=factset&amp;DYN_ARGS=TRUE&amp;DOC_NAME=FAT:FQL_AUDITING_CLIENT_TEMPLATE.FAT&amp;display_string=Audit&amp;VAR:KEY=NCJCPSJUJA&amp;VAR:QUERY=RkZfUkRfRVhQKENBTCwzODM1MiwsLCwp&amp;WINDOW=FIRST_POPUP&amp;HEIGHT=450&amp;WIDTH=450&amp;START_MAXIMI","ZED=FALSE&amp;VAR:CALENDAR=US&amp;VAR:SYMBOL=BIIB&amp;VAR:INDEX=0"}</definedName>
    <definedName name="_3586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3587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3588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3589__FDSAUDITLINK__" hidden="1">{"fdsup://directions/FAT Viewer?action=UPDATE&amp;creator=factset&amp;DYN_ARGS=TRUE&amp;DOC_NAME=FAT:FQL_AUDITING_CLIENT_TEMPLATE.FAT&amp;display_string=Audit&amp;VAR:KEY=BQVALCNUXY&amp;VAR:QUERY=RkZfUkRfRVhQKENBTCwzOTQ0NywsLCwp&amp;WINDOW=FIRST_POPUP&amp;HEIGHT=450&amp;WIDTH=450&amp;START_MAXIMI","ZED=FALSE&amp;VAR:CALENDAR=US&amp;VAR:SYMBOL=707752&amp;VAR:INDEX=0"}</definedName>
    <definedName name="_359__FDSAUDITLINK__" hidden="1">{"fdsup://directions/FAT%20Viewer?VAR:TM=NTMA&amp;VAR:PCT=0.090411&amp;VAR:Y0=2003&amp;VAR:Y1=2004&amp;VAR:V0=19.580978&amp;VAR:V1=17.336681&amp;VAR:V=17.518215&amp;VAR:AUDIT_ID=00000117&amp;VAR:DATE=20031128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Aggregates&amp;VAR:MEASURE=PE_MEAN&amp;VAR:CALC_MODE=PORTFOLIO&amp;VAR:CHGPERIOD=NA&amp;VAR:FQLFORMULA=FMA_PE&amp;VAR:CURRENCY=USD&amp;VAR:P=1","058.204500&amp;VAR:THRESH=||||||&amp;VAR:null=.html"}</definedName>
    <definedName name="_3590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3591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3592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3593__FDSAUDITLINK__" hidden="1">{"fdsup://directions/FAT Viewer?action=UPDATE&amp;creator=factset&amp;DYN_ARGS=TRUE&amp;DOC_NAME=FAT:FQL_AUDITING_CLIENT_TEMPLATE.FAT&amp;display_string=Audit&amp;VAR:KEY=VYJCJQLQHW&amp;VAR:QUERY=RkZfUkRfRVhQKENBTCwzOTQ0NywsLCwp&amp;WINDOW=FIRST_POPUP&amp;HEIGHT=450&amp;WIDTH=450&amp;START_MAXIMI","ZED=FALSE&amp;VAR:CALENDAR=US&amp;VAR:SYMBOL=630720&amp;VAR:INDEX=0"}</definedName>
    <definedName name="_3594__FDSAUDITLINK__" hidden="1">{"fdsup://directions/FAT Viewer?action=UPDATE&amp;creator=factset&amp;DYN_ARGS=TRUE&amp;DOC_NAME=FAT:FQL_AUDITING_CLIENT_TEMPLATE.FAT&amp;display_string=Audit&amp;VAR:KEY=TUBQTARIDK&amp;VAR:QUERY=RkZfUkRfRVhQKENBTCwzOTA4MiwsLCwp&amp;WINDOW=FIRST_POPUP&amp;HEIGHT=450&amp;WIDTH=450&amp;START_MAXIMI","ZED=FALSE&amp;VAR:CALENDAR=US&amp;VAR:SYMBOL=630720&amp;VAR:INDEX=0"}</definedName>
    <definedName name="_3595__FDSAUDITLINK__" hidden="1">{"fdsup://directions/FAT Viewer?action=UPDATE&amp;creator=factset&amp;DYN_ARGS=TRUE&amp;DOC_NAME=FAT:FQL_AUDITING_CLIENT_TEMPLATE.FAT&amp;display_string=Audit&amp;VAR:KEY=TEDCLSDYNM&amp;VAR:QUERY=RkZfUkRfRVhQKENBTCwzODcxNywsLCwp&amp;WINDOW=FIRST_POPUP&amp;HEIGHT=450&amp;WIDTH=450&amp;START_MAXIMI","ZED=FALSE&amp;VAR:CALENDAR=US&amp;VAR:SYMBOL=630720&amp;VAR:INDEX=0"}</definedName>
    <definedName name="_3596__FDSAUDITLINK__" hidden="1">{"fdsup://directions/FAT Viewer?action=UPDATE&amp;creator=factset&amp;DYN_ARGS=TRUE&amp;DOC_NAME=FAT:FQL_AUDITING_CLIENT_TEMPLATE.FAT&amp;display_string=Audit&amp;VAR:KEY=HWBSXSJUJE&amp;VAR:QUERY=RkZfUkRfRVhQKENBTCwzODM1MiwsLCwp&amp;WINDOW=FIRST_POPUP&amp;HEIGHT=450&amp;WIDTH=450&amp;START_MAXIMI","ZED=FALSE&amp;VAR:CALENDAR=US&amp;VAR:SYMBOL=630720&amp;VAR:INDEX=0"}</definedName>
    <definedName name="_3597__FDSAUDITLINK__" hidden="1">{"fdsup://directions/FAT Viewer?action=UPDATE&amp;creator=factset&amp;DYN_ARGS=TRUE&amp;DOC_NAME=FAT:FQL_AUDITING_CLIENT_TEMPLATE.FAT&amp;display_string=Audit&amp;VAR:KEY=NOFYHOLEJE&amp;VAR:QUERY=RkZfUkRfRVhQKENBTCwzNzk4NiwsLCwp&amp;WINDOW=FIRST_POPUP&amp;HEIGHT=450&amp;WIDTH=450&amp;START_MAXIMI","ZED=FALSE&amp;VAR:CALENDAR=US&amp;VAR:SYMBOL=630720&amp;VAR:INDEX=0"}</definedName>
    <definedName name="_3598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3599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36__FDSAUDITLINK__" hidden="1">{"fdsup://directions/FAT%20Viewer?VAR:TM=NTMA&amp;VAR:PCT=0.901370&amp;VAR:Y0=2010&amp;VAR:Y1=2011&amp;VAR:V0=13.404745&amp;VAR:V1=11.209808&amp;VAR:V=13.150774&amp;VAR:AUDIT_ID=00000117&amp;VAR:DATE=20100205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Aggregates&amp;VAR:MEASURE=PE_MEAN&amp;VAR:CALC_MODE=PORTFOLIO&amp;VAR:CHGPERIOD=NA&amp;VAR:FQLFORMULA=FMA_PE&amp;VAR:CURRENCY=USD&amp;VAR:P=1","066.186827&amp;VAR:THRESH=||||||&amp;VAR:null=.html"}</definedName>
    <definedName name="_360__FDSAUDITLINK__" hidden="1">{"fdsup://directions/FAT%20Viewer?VAR:TM=NTMA&amp;VAR:PCT=0.109589&amp;VAR:Y0=2003&amp;VAR:Y1=2004&amp;VAR:V0=19.153385&amp;VAR:V1=16.961900&amp;VAR:V=17.177285&amp;VAR:AUDIT_ID=00000117&amp;VAR:DATE=20031121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Aggregates&amp;VAR:MEASURE=PE_MEAN&amp;VAR:CALC_MODE=PORTFOLIO&amp;VAR:CHGPERIOD=NA&amp;VAR:FQLFORMULA=FMA_PE&amp;VAR:CURRENCY=USD&amp;VAR:P=1","035.283300&amp;VAR:THRESH=||||||&amp;VAR:null=.html"}</definedName>
    <definedName name="_3600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3601__FDSAUDITLINK__" hidden="1">{"fdsup://directions/FAT Viewer?action=UPDATE&amp;creator=factset&amp;DYN_ARGS=TRUE&amp;DOC_NAME=FAT:FQL_AUDITING_CLIENT_TEMPLATE.FAT&amp;display_string=Audit&amp;VAR:KEY=DSRAFCZODS&amp;VAR:QUERY=RkZfUkRfRVhQKENBTCwzOTQ0NywsLCwp&amp;WINDOW=FIRST_POPUP&amp;HEIGHT=450&amp;WIDTH=450&amp;START_MAXIMI","ZED=FALSE&amp;VAR:CALENDAR=US&amp;VAR:SYMBOL=698538&amp;VAR:INDEX=0"}</definedName>
    <definedName name="_3602__FDSAUDITLINK__" hidden="1">{"fdsup://directions/FAT Viewer?action=UPDATE&amp;creator=factset&amp;DYN_ARGS=TRUE&amp;DOC_NAME=FAT:FQL_AUDITING_CLIENT_TEMPLATE.FAT&amp;display_string=Audit&amp;VAR:KEY=FODYBQZGBW&amp;VAR:QUERY=RkZfUkRfRVhQKENBTCwzOTA4MiwsLCwp&amp;WINDOW=FIRST_POPUP&amp;HEIGHT=450&amp;WIDTH=450&amp;START_MAXIMI","ZED=FALSE&amp;VAR:CALENDAR=US&amp;VAR:SYMBOL=698538&amp;VAR:INDEX=0"}</definedName>
    <definedName name="_3603__FDSAUDITLINK__" hidden="1">{"fdsup://directions/FAT Viewer?action=UPDATE&amp;creator=factset&amp;DYN_ARGS=TRUE&amp;DOC_NAME=FAT:FQL_AUDITING_CLIENT_TEMPLATE.FAT&amp;display_string=Audit&amp;VAR:KEY=LMDOJUJATK&amp;VAR:QUERY=RkZfUkRfRVhQKENBTCwzODcxNywsLCwp&amp;WINDOW=FIRST_POPUP&amp;HEIGHT=450&amp;WIDTH=450&amp;START_MAXIMI","ZED=FALSE&amp;VAR:CALENDAR=US&amp;VAR:SYMBOL=698538&amp;VAR:INDEX=0"}</definedName>
    <definedName name="_3604__FDSAUDITLINK__" hidden="1">{"fdsup://directions/FAT Viewer?action=UPDATE&amp;creator=factset&amp;DYN_ARGS=TRUE&amp;DOC_NAME=FAT:FQL_AUDITING_CLIENT_TEMPLATE.FAT&amp;display_string=Audit&amp;VAR:KEY=BCDOVGLIHM&amp;VAR:QUERY=RkZfUkRfRVhQKENBTCwzODM1MiwsLCwp&amp;WINDOW=FIRST_POPUP&amp;HEIGHT=450&amp;WIDTH=450&amp;START_MAXIMI","ZED=FALSE&amp;VAR:CALENDAR=US&amp;VAR:SYMBOL=698538&amp;VAR:INDEX=0"}</definedName>
    <definedName name="_3605__FDSAUDITLINK__" hidden="1">{"fdsup://directions/FAT Viewer?action=UPDATE&amp;creator=factset&amp;DYN_ARGS=TRUE&amp;DOC_NAME=FAT:FQL_AUDITING_CLIENT_TEMPLATE.FAT&amp;display_string=Audit&amp;VAR:KEY=VAVSHGNKLS&amp;VAR:QUERY=RkZfUkRfRVhQKENBTCwzNzk4NiwsLCwp&amp;WINDOW=FIRST_POPUP&amp;HEIGHT=450&amp;WIDTH=450&amp;START_MAXIMI","ZED=FALSE&amp;VAR:CALENDAR=US&amp;VAR:SYMBOL=698538&amp;VAR:INDEX=0"}</definedName>
    <definedName name="_3606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3607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3608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3609__FDSAUDITLINK__" hidden="1">{"fdsup://directions/FAT Viewer?action=UPDATE&amp;creator=factset&amp;DYN_ARGS=TRUE&amp;DOC_NAME=FAT:FQL_AUDITING_CLIENT_TEMPLATE.FAT&amp;display_string=Audit&amp;VAR:KEY=DQXADMHEVC&amp;VAR:QUERY=RkZfUkRfRVhQKENBTCw0MDE3OCwsLCxKUFkp&amp;WINDOW=FIRST_POPUP&amp;HEIGHT=450&amp;WIDTH=450&amp;START_MA","XIMIZED=FALSE&amp;VAR:CALENDAR=US&amp;VAR:SYMBOL=B0J7D9&amp;VAR:INDEX=0"}</definedName>
    <definedName name="_361__FDSAUDITLINK__" hidden="1">{"fdsup://directions/FAT%20Viewer?VAR:TM=NTMA&amp;VAR:PCT=0.128767&amp;VAR:Y0=2003&amp;VAR:Y1=2004&amp;VAR:V0=19.438450&amp;VAR:V1=17.204054&amp;VAR:V=17.462524&amp;VAR:AUDIT_ID=00000117&amp;VAR:DATE=20031114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Aggregates&amp;VAR:MEASURE=PE_MEAN&amp;VAR:CALC_MODE=PORTFOLIO&amp;VAR:CHGPERIOD=NA&amp;VAR:FQLFORMULA=FMA_PE&amp;VAR:CURRENCY=USD&amp;VAR:P=1","050.347800&amp;VAR:THRESH=||||||&amp;VAR:null=.html"}</definedName>
    <definedName name="_3610__FDSAUDITLINK__" hidden="1">{"fdsup://directions/FAT Viewer?action=UPDATE&amp;creator=factset&amp;DYN_ARGS=TRUE&amp;DOC_NAME=FAT:FQL_AUDITING_CLIENT_TEMPLATE.FAT&amp;display_string=Audit&amp;VAR:KEY=TOLORIHYHO&amp;VAR:QUERY=RkZfUkRfRVhQKENBTCwzOTgxMywsLCxKUFkp&amp;WINDOW=FIRST_POPUP&amp;HEIGHT=450&amp;WIDTH=450&amp;START_MA","XIMIZED=FALSE&amp;VAR:CALENDAR=US&amp;VAR:SYMBOL=B0J7D9&amp;VAR:INDEX=0"}</definedName>
    <definedName name="_3611__FDSAUDITLINK__" hidden="1">{"fdsup://directions/FAT Viewer?action=UPDATE&amp;creator=factset&amp;DYN_ARGS=TRUE&amp;DOC_NAME=FAT:FQL_AUDITING_CLIENT_TEMPLATE.FAT&amp;display_string=Audit&amp;VAR:KEY=JOZMPGZMJM&amp;VAR:QUERY=RkZfUkRfRVhQKENBTCwzOTQ0NywsLCxKUFkp&amp;WINDOW=FIRST_POPUP&amp;HEIGHT=450&amp;WIDTH=450&amp;START_MA","XIMIZED=FALSE&amp;VAR:CALENDAR=US&amp;VAR:SYMBOL=B0J7D9&amp;VAR:INDEX=0"}</definedName>
    <definedName name="_3612__FDSAUDITLINK__" hidden="1">{"fdsup://directions/FAT Viewer?action=UPDATE&amp;creator=factset&amp;DYN_ARGS=TRUE&amp;DOC_NAME=FAT:FQL_AUDITING_CLIENT_TEMPLATE.FAT&amp;display_string=Audit&amp;VAR:KEY=NABIRCXULI&amp;VAR:QUERY=RkZfUkRfRVhQKENBTCwzOTA4MiwsLCxKUFkp&amp;WINDOW=FIRST_POPUP&amp;HEIGHT=450&amp;WIDTH=450&amp;START_MA","XIMIZED=FALSE&amp;VAR:CALENDAR=US&amp;VAR:SYMBOL=B0J7D9&amp;VAR:INDEX=0"}</definedName>
    <definedName name="_3613__FDSAUDITLINK__" hidden="1">{"fdsup://directions/FAT Viewer?action=UPDATE&amp;creator=factset&amp;DYN_ARGS=TRUE&amp;DOC_NAME=FAT:FQL_AUDITING_CLIENT_TEMPLATE.FAT&amp;display_string=Audit&amp;VAR:KEY=PKNSHOFKFO&amp;VAR:QUERY=RkZfUkRfRVhQKENBTCwzODcxNywsLCxKUFkp&amp;WINDOW=FIRST_POPUP&amp;HEIGHT=450&amp;WIDTH=450&amp;START_MA","XIMIZED=FALSE&amp;VAR:CALENDAR=US&amp;VAR:SYMBOL=B0J7D9&amp;VAR:INDEX=0"}</definedName>
    <definedName name="_3614__FDSAUDITLINK__" hidden="1">{"fdsup://directions/FAT Viewer?action=UPDATE&amp;creator=factset&amp;DYN_ARGS=TRUE&amp;DOC_NAME=FAT:FQL_AUDITING_CLIENT_TEMPLATE.FAT&amp;display_string=Audit&amp;VAR:KEY=TEXUHKRIJS&amp;VAR:QUERY=RkZfUkRfRVhQKENBTCwzODM1MiwsLCxKUFkp&amp;WINDOW=FIRST_POPUP&amp;HEIGHT=450&amp;WIDTH=450&amp;START_MA","XIMIZED=FALSE&amp;VAR:CALENDAR=US&amp;VAR:SYMBOL=B0J7D9&amp;VAR:INDEX=0"}</definedName>
    <definedName name="_3615__FDSAUDITLINK__" hidden="1">{"fdsup://directions/FAT Viewer?action=UPDATE&amp;creator=factset&amp;DYN_ARGS=TRUE&amp;DOC_NAME=FAT:FQL_AUDITING_CLIENT_TEMPLATE.FAT&amp;display_string=Audit&amp;VAR:KEY=BMDYTORIHY&amp;VAR:QUERY=RkZfUkRfRVhQKENBTCwzNzk4NiwsLCxKUFkp&amp;WINDOW=FIRST_POPUP&amp;HEIGHT=450&amp;WIDTH=450&amp;START_MA","XIMIZED=FALSE&amp;VAR:CALENDAR=US&amp;VAR:SYMBOL=B0J7D9&amp;VAR:INDEX=0"}</definedName>
    <definedName name="_3616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3617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3618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3619__FDSAUDITLINK__" hidden="1">{"fdsup://directions/FAT Viewer?action=UPDATE&amp;creator=factset&amp;DYN_ARGS=TRUE&amp;DOC_NAME=FAT:FQL_AUDITING_CLIENT_TEMPLATE.FAT&amp;display_string=Audit&amp;VAR:KEY=JGFKDSPYPQ&amp;VAR:QUERY=RkZfUkRfRVhQKENBTCwzOTQ0NywsLCwp&amp;WINDOW=FIRST_POPUP&amp;HEIGHT=450&amp;WIDTH=450&amp;START_MAXIMI","ZED=FALSE&amp;VAR:CALENDAR=US&amp;VAR:SYMBOL=AMGN&amp;VAR:INDEX=0"}</definedName>
    <definedName name="_362__FDSAUDITLINK__" hidden="1">{"fdsup://directions/FAT%20Viewer?VAR:TM=NTMA&amp;VAR:PCT=0.147945&amp;VAR:Y0=2003&amp;VAR:Y1=2004&amp;VAR:V0=19.428470&amp;VAR:V1=17.241865&amp;VAR:V=17.533815&amp;VAR:AUDIT_ID=00000117&amp;VAR:DATE=20031107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Aggregates&amp;VAR:MEASURE=PE_MEAN&amp;VAR:CALC_MODE=PORTFOLIO&amp;VAR:CHGPERIOD=NA&amp;VAR:FQLFORMULA=FMA_PE&amp;VAR:CURRENCY=USD&amp;VAR:P=1","053.205900&amp;VAR:THRESH=||||||&amp;VAR:null=.html"}</definedName>
    <definedName name="_3620__FDSAUDITLINK__" hidden="1">{"fdsup://directions/FAT Viewer?action=UPDATE&amp;creator=factset&amp;DYN_ARGS=TRUE&amp;DOC_NAME=FAT:FQL_AUDITING_CLIENT_TEMPLATE.FAT&amp;display_string=Audit&amp;VAR:KEY=PITSZWZGJQ&amp;VAR:QUERY=RkZfUkRfRVhQKENBTCwzOTA4MiwsLCwp&amp;WINDOW=FIRST_POPUP&amp;HEIGHT=450&amp;WIDTH=450&amp;START_MAXIMI","ZED=FALSE&amp;VAR:CALENDAR=US&amp;VAR:SYMBOL=AMGN&amp;VAR:INDEX=0"}</definedName>
    <definedName name="_3621__FDSAUDITLINK__" hidden="1">{"fdsup://directions/FAT Viewer?action=UPDATE&amp;creator=factset&amp;DYN_ARGS=TRUE&amp;DOC_NAME=FAT:FQL_AUDITING_CLIENT_TEMPLATE.FAT&amp;display_string=Audit&amp;VAR:KEY=HKBWVOJSHI&amp;VAR:QUERY=RkZfUkRfRVhQKENBTCwzODcxNywsLCwp&amp;WINDOW=FIRST_POPUP&amp;HEIGHT=450&amp;WIDTH=450&amp;START_MAXIMI","ZED=FALSE&amp;VAR:CALENDAR=US&amp;VAR:SYMBOL=AMGN&amp;VAR:INDEX=0"}</definedName>
    <definedName name="_3622__FDSAUDITLINK__" hidden="1">{"fdsup://directions/FAT Viewer?action=UPDATE&amp;creator=factset&amp;DYN_ARGS=TRUE&amp;DOC_NAME=FAT:FQL_AUDITING_CLIENT_TEMPLATE.FAT&amp;display_string=Audit&amp;VAR:KEY=TUHABOXUJS&amp;VAR:QUERY=RkZfUkRfRVhQKENBTCwzODM1MiwsLCwp&amp;WINDOW=FIRST_POPUP&amp;HEIGHT=450&amp;WIDTH=450&amp;START_MAXIMI","ZED=FALSE&amp;VAR:CALENDAR=US&amp;VAR:SYMBOL=AMGN&amp;VAR:INDEX=0"}</definedName>
    <definedName name="_3623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3624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3625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3626__FDSAUDITLINK__" hidden="1">{"fdsup://directions/FAT Viewer?action=UPDATE&amp;creator=factset&amp;DYN_ARGS=TRUE&amp;DOC_NAME=FAT:FQL_AUDITING_CLIENT_TEMPLATE.FAT&amp;display_string=Audit&amp;VAR:KEY=FSDQDMTKFI&amp;VAR:QUERY=RkZfUkRfRVhQKENBTCwzOTQ0NywsLCwp&amp;WINDOW=FIRST_POPUP&amp;HEIGHT=450&amp;WIDTH=450&amp;START_MAXIMI","ZED=FALSE&amp;VAR:CALENDAR=US&amp;VAR:SYMBOL=ABT&amp;VAR:INDEX=0"}</definedName>
    <definedName name="_3627__FDSAUDITLINK__" hidden="1">{"fdsup://directions/FAT Viewer?action=UPDATE&amp;creator=factset&amp;DYN_ARGS=TRUE&amp;DOC_NAME=FAT:FQL_AUDITING_CLIENT_TEMPLATE.FAT&amp;display_string=Audit&amp;VAR:KEY=DKXQFUXYNQ&amp;VAR:QUERY=RkZfUkRfRVhQKENBTCwzOTA4MiwsLCwp&amp;WINDOW=FIRST_POPUP&amp;HEIGHT=450&amp;WIDTH=450&amp;START_MAXIMI","ZED=FALSE&amp;VAR:CALENDAR=US&amp;VAR:SYMBOL=ABT&amp;VAR:INDEX=0"}</definedName>
    <definedName name="_3628__FDSAUDITLINK__" hidden="1">{"fdsup://directions/FAT Viewer?action=UPDATE&amp;creator=factset&amp;DYN_ARGS=TRUE&amp;DOC_NAME=FAT:FQL_AUDITING_CLIENT_TEMPLATE.FAT&amp;display_string=Audit&amp;VAR:KEY=DCTAJGPGHM&amp;VAR:QUERY=RkZfUkRfRVhQKENBTCwzODcxNywsLCwp&amp;WINDOW=FIRST_POPUP&amp;HEIGHT=450&amp;WIDTH=450&amp;START_MAXIMI","ZED=FALSE&amp;VAR:CALENDAR=US&amp;VAR:SYMBOL=ABT&amp;VAR:INDEX=0"}</definedName>
    <definedName name="_3629__FDSAUDITLINK__" hidden="1">{"fdsup://directions/FAT Viewer?action=UPDATE&amp;creator=factset&amp;DYN_ARGS=TRUE&amp;DOC_NAME=FAT:FQL_AUDITING_CLIENT_TEMPLATE.FAT&amp;display_string=Audit&amp;VAR:KEY=DWROLQJYRO&amp;VAR:QUERY=RkZfUkRfRVhQKENBTCwzODM1MiwsLCwp&amp;WINDOW=FIRST_POPUP&amp;HEIGHT=450&amp;WIDTH=450&amp;START_MAXIMI","ZED=FALSE&amp;VAR:CALENDAR=US&amp;VAR:SYMBOL=ABT&amp;VAR:INDEX=0"}</definedName>
    <definedName name="_363__FDSAUDITLINK__" hidden="1">{"fdsup://directions/FAT%20Viewer?VAR:TM=NTMA&amp;VAR:PCT=0.167123&amp;VAR:Y0=2003&amp;VAR:Y1=2004&amp;VAR:V0=19.374952&amp;VAR:V1=17.249900&amp;VAR:V=17.571997&amp;VAR:AUDIT_ID=00000117&amp;VAR:DATE=20031031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Aggregates&amp;VAR:MEASURE=PE_MEAN&amp;VAR:CALC_MODE=PORTFOLIO&amp;VAR:CHGPERIOD=NA&amp;VAR:FQLFORMULA=FMA_PE&amp;VAR:CURRENCY=USD&amp;VAR:P=1","050.714400&amp;VAR:THRESH=||||||&amp;VAR:null=.html"}</definedName>
    <definedName name="_3630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3631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3632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3633__FDSAUDITLINK__" hidden="1">{"fdsup://directions/FAT Viewer?action=UPDATE&amp;creator=factset&amp;DYN_ARGS=TRUE&amp;DOC_NAME=FAT:FQL_AUDITING_CLIENT_TEMPLATE.FAT&amp;display_string=Audit&amp;VAR:KEY=RSBIBMVATE&amp;VAR:QUERY=RkZfUkRfRVhQKENBTCwzOTQ0NywsLCwp&amp;WINDOW=FIRST_POPUP&amp;HEIGHT=450&amp;WIDTH=450&amp;START_MAXIMI","ZED=FALSE&amp;VAR:CALENDAR=US&amp;VAR:SYMBOL=687044&amp;VAR:INDEX=0"}</definedName>
    <definedName name="_3634__FDSAUDITLINK__" hidden="1">{"fdsup://directions/FAT Viewer?action=UPDATE&amp;creator=factset&amp;DYN_ARGS=TRUE&amp;DOC_NAME=FAT:FQL_AUDITING_CLIENT_TEMPLATE.FAT&amp;display_string=Audit&amp;VAR:KEY=BMBQFCROBS&amp;VAR:QUERY=RkZfUkRfRVhQKENBTCwzOTA4MiwsLCwp&amp;WINDOW=FIRST_POPUP&amp;HEIGHT=450&amp;WIDTH=450&amp;START_MAXIMI","ZED=FALSE&amp;VAR:CALENDAR=US&amp;VAR:SYMBOL=687044&amp;VAR:INDEX=0"}</definedName>
    <definedName name="_3635__FDSAUDITLINK__" hidden="1">{"fdsup://directions/FAT Viewer?action=UPDATE&amp;creator=factset&amp;DYN_ARGS=TRUE&amp;DOC_NAME=FAT:FQL_AUDITING_CLIENT_TEMPLATE.FAT&amp;display_string=Audit&amp;VAR:KEY=PSVODMRWBK&amp;VAR:QUERY=RkZfUkRfRVhQKENBTCwzODcxNywsLCwp&amp;WINDOW=FIRST_POPUP&amp;HEIGHT=450&amp;WIDTH=450&amp;START_MAXIMI","ZED=FALSE&amp;VAR:CALENDAR=US&amp;VAR:SYMBOL=687044&amp;VAR:INDEX=0"}</definedName>
    <definedName name="_3636__FDSAUDITLINK__" hidden="1">{"fdsup://directions/FAT Viewer?action=UPDATE&amp;creator=factset&amp;DYN_ARGS=TRUE&amp;DOC_NAME=FAT:FQL_AUDITING_CLIENT_TEMPLATE.FAT&amp;display_string=Audit&amp;VAR:KEY=XETOTYBIDC&amp;VAR:QUERY=RkZfUkRfRVhQKENBTCwzODM1MiwsLCwp&amp;WINDOW=FIRST_POPUP&amp;HEIGHT=450&amp;WIDTH=450&amp;START_MAXIMI","ZED=FALSE&amp;VAR:CALENDAR=US&amp;VAR:SYMBOL=687044&amp;VAR:INDEX=0"}</definedName>
    <definedName name="_3637__FDSAUDITLINK__" hidden="1">{"fdsup://directions/FAT Viewer?action=UPDATE&amp;creator=factset&amp;DYN_ARGS=TRUE&amp;DOC_NAME=FAT:FQL_AUDITING_CLIENT_TEMPLATE.FAT&amp;display_string=Audit&amp;VAR:KEY=ZYDGDSXIPY&amp;VAR:QUERY=RkZfUkRfRVhQKENBTCwzNzk4NiwsLCwp&amp;WINDOW=FIRST_POPUP&amp;HEIGHT=450&amp;WIDTH=450&amp;START_MAXIMI","ZED=FALSE&amp;VAR:CALENDAR=US&amp;VAR:SYMBOL=687044&amp;VAR:INDEX=0"}</definedName>
    <definedName name="_3638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3639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364__FDSAUDITLINK__" hidden="1">{"fdsup://directions/FAT%20Viewer?VAR:TM=NTMA&amp;VAR:PCT=0.186301&amp;VAR:Y0=2003&amp;VAR:Y1=2004&amp;VAR:V0=19.008698&amp;VAR:V1=16.888632&amp;VAR:V=17.246998&amp;VAR:AUDIT_ID=00000117&amp;VAR:DATE=20031024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Aggregates&amp;VAR:MEASURE=PE_MEAN&amp;VAR:CALC_MODE=PORTFOLIO&amp;VAR:CHGPERIOD=NA&amp;VAR:FQLFORMULA=FMA_PE&amp;VAR:CURRENCY=USD&amp;VAR:P=1","028.905400&amp;VAR:THRESH=||||||&amp;VAR:null=.html"}</definedName>
    <definedName name="_3640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3641__FDSAUDITLINK__" hidden="1">{"fdsup://directions/FAT Viewer?action=UPDATE&amp;creator=factset&amp;DYN_ARGS=TRUE&amp;DOC_NAME=FAT:FQL_AUDITING_CLIENT_TEMPLATE.FAT&amp;display_string=Audit&amp;VAR:KEY=RSXSPYNOFE&amp;VAR:QUERY=RkZfUkRfRVhQKENBTCwzOTQ0NywsLCwp&amp;WINDOW=FIRST_POPUP&amp;HEIGHT=450&amp;WIDTH=450&amp;START_MAXIMI","ZED=FALSE&amp;VAR:CALENDAR=US&amp;VAR:SYMBOL=BMY&amp;VAR:INDEX=0"}</definedName>
    <definedName name="_3642__FDSAUDITLINK__" hidden="1">{"fdsup://directions/FAT Viewer?action=UPDATE&amp;creator=factset&amp;DYN_ARGS=TRUE&amp;DOC_NAME=FAT:FQL_AUDITING_CLIENT_TEMPLATE.FAT&amp;display_string=Audit&amp;VAR:KEY=LKDOVYBADY&amp;VAR:QUERY=RkZfUkRfRVhQKENBTCwzOTA4MiwsLCwp&amp;WINDOW=FIRST_POPUP&amp;HEIGHT=450&amp;WIDTH=450&amp;START_MAXIMI","ZED=FALSE&amp;VAR:CALENDAR=US&amp;VAR:SYMBOL=BMY&amp;VAR:INDEX=0"}</definedName>
    <definedName name="_3643__FDSAUDITLINK__" hidden="1">{"fdsup://directions/FAT Viewer?action=UPDATE&amp;creator=factset&amp;DYN_ARGS=TRUE&amp;DOC_NAME=FAT:FQL_AUDITING_CLIENT_TEMPLATE.FAT&amp;display_string=Audit&amp;VAR:KEY=LQFUHMHSHG&amp;VAR:QUERY=RkZfUkRfRVhQKENBTCwzODcxNywsLCwp&amp;WINDOW=FIRST_POPUP&amp;HEIGHT=450&amp;WIDTH=450&amp;START_MAXIMI","ZED=FALSE&amp;VAR:CALENDAR=US&amp;VAR:SYMBOL=BMY&amp;VAR:INDEX=0"}</definedName>
    <definedName name="_3644__FDSAUDITLINK__" hidden="1">{"fdsup://directions/FAT Viewer?action=UPDATE&amp;creator=factset&amp;DYN_ARGS=TRUE&amp;DOC_NAME=FAT:FQL_AUDITING_CLIENT_TEMPLATE.FAT&amp;display_string=Audit&amp;VAR:KEY=FQBKHMBUDK&amp;VAR:QUERY=RkZfUkRfRVhQKENBTCwzODM1MiwsLCwp&amp;WINDOW=FIRST_POPUP&amp;HEIGHT=450&amp;WIDTH=450&amp;START_MAXIMI","ZED=FALSE&amp;VAR:CALENDAR=US&amp;VAR:SYMBOL=BMY&amp;VAR:INDEX=0"}</definedName>
    <definedName name="_3645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3646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3647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3648__FDSAUDITLINK__" hidden="1">{"fdsup://directions/FAT Viewer?action=UPDATE&amp;creator=factset&amp;DYN_ARGS=TRUE&amp;DOC_NAME=FAT:FQL_AUDITING_CLIENT_TEMPLATE.FAT&amp;display_string=Audit&amp;VAR:KEY=HEPKDCHMJW&amp;VAR:QUERY=RkZfUkRfRVhQKENBTCwzOTQ0NywsLCwp&amp;WINDOW=FIRST_POPUP&amp;HEIGHT=450&amp;WIDTH=450&amp;START_MAXIMI","ZED=FALSE&amp;VAR:CALENDAR=US&amp;VAR:SYMBOL=LLY&amp;VAR:INDEX=0"}</definedName>
    <definedName name="_3649__FDSAUDITLINK__" hidden="1">{"fdsup://directions/FAT Viewer?action=UPDATE&amp;creator=factset&amp;DYN_ARGS=TRUE&amp;DOC_NAME=FAT:FQL_AUDITING_CLIENT_TEMPLATE.FAT&amp;display_string=Audit&amp;VAR:KEY=FENANCDSZW&amp;VAR:QUERY=RkZfUkRfRVhQKENBTCwzOTA4MiwsLCwp&amp;WINDOW=FIRST_POPUP&amp;HEIGHT=450&amp;WIDTH=450&amp;START_MAXIMI","ZED=FALSE&amp;VAR:CALENDAR=US&amp;VAR:SYMBOL=LLY&amp;VAR:INDEX=0"}</definedName>
    <definedName name="_365__FDSAUDITLINK__" hidden="1">{"fdsup://directions/FAT%20Viewer?VAR:TM=NTMA&amp;VAR:PCT=0.205479&amp;VAR:Y0=2003&amp;VAR:Y1=2004&amp;VAR:V0=19.236897&amp;VAR:V1=17.099514&amp;VAR:V=17.499026&amp;VAR:AUDIT_ID=00000117&amp;VAR:DATE=20031017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Aggregates&amp;VAR:MEASURE=PE_MEAN&amp;VAR:CALC_MODE=PORTFOLIO&amp;VAR:CHGPERIOD=NA&amp;VAR:FQLFORMULA=FMA_PE&amp;VAR:CURRENCY=USD&amp;VAR:P=1","039.322800&amp;VAR:THRESH=||||||&amp;VAR:null=.html"}</definedName>
    <definedName name="_3650__FDSAUDITLINK__" hidden="1">{"fdsup://directions/FAT Viewer?action=UPDATE&amp;creator=factset&amp;DYN_ARGS=TRUE&amp;DOC_NAME=FAT:FQL_AUDITING_CLIENT_TEMPLATE.FAT&amp;display_string=Audit&amp;VAR:KEY=BUFUPIJOPY&amp;VAR:QUERY=RkZfUkRfRVhQKENBTCwzODcxNywsLCwp&amp;WINDOW=FIRST_POPUP&amp;HEIGHT=450&amp;WIDTH=450&amp;START_MAXIMI","ZED=FALSE&amp;VAR:CALENDAR=US&amp;VAR:SYMBOL=LLY&amp;VAR:INDEX=0"}</definedName>
    <definedName name="_3651__FDSAUDITLINK__" hidden="1">{"fdsup://directions/FAT Viewer?action=UPDATE&amp;creator=factset&amp;DYN_ARGS=TRUE&amp;DOC_NAME=FAT:FQL_AUDITING_CLIENT_TEMPLATE.FAT&amp;display_string=Audit&amp;VAR:KEY=FITARQDYHC&amp;VAR:QUERY=RkZfUkRfRVhQKENBTCwzODM1MiwsLCwp&amp;WINDOW=FIRST_POPUP&amp;HEIGHT=450&amp;WIDTH=450&amp;START_MAXIMI","ZED=FALSE&amp;VAR:CALENDAR=US&amp;VAR:SYMBOL=LLY&amp;VAR:INDEX=0"}</definedName>
    <definedName name="_3652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3653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3654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3655__FDSAUDITLINK__" hidden="1">{"fdsup://directions/FAT Viewer?action=UPDATE&amp;creator=factset&amp;DYN_ARGS=TRUE&amp;DOC_NAME=FAT:FQL_AUDITING_CLIENT_TEMPLATE.FAT&amp;display_string=Audit&amp;VAR:KEY=RWDWLABEJW&amp;VAR:QUERY=RkZfUkRfRVhQKENBTCwzOTQ0NywsLCwp&amp;WINDOW=FIRST_POPUP&amp;HEIGHT=450&amp;WIDTH=450&amp;START_MAXIMI","ZED=FALSE&amp;VAR:CALENDAR=US&amp;VAR:SYMBOL=506921&amp;VAR:INDEX=0"}</definedName>
    <definedName name="_3656__FDSAUDITLINK__" hidden="1">{"fdsup://directions/FAT Viewer?action=UPDATE&amp;creator=factset&amp;DYN_ARGS=TRUE&amp;DOC_NAME=FAT:FQL_AUDITING_CLIENT_TEMPLATE.FAT&amp;display_string=Audit&amp;VAR:KEY=FGJCBIHEHA&amp;VAR:QUERY=RkZfUkRfRVhQKENBTCwzOTA4MiwsLCwp&amp;WINDOW=FIRST_POPUP&amp;HEIGHT=450&amp;WIDTH=450&amp;START_MAXIMI","ZED=FALSE&amp;VAR:CALENDAR=US&amp;VAR:SYMBOL=506921&amp;VAR:INDEX=0"}</definedName>
    <definedName name="_3657__FDSAUDITLINK__" hidden="1">{"fdsup://directions/FAT Viewer?action=UPDATE&amp;creator=factset&amp;DYN_ARGS=TRUE&amp;DOC_NAME=FAT:FQL_AUDITING_CLIENT_TEMPLATE.FAT&amp;display_string=Audit&amp;VAR:KEY=BYZCRITIBW&amp;VAR:QUERY=RkZfUkRfRVhQKENBTCwzODcxNywsLCwp&amp;WINDOW=FIRST_POPUP&amp;HEIGHT=450&amp;WIDTH=450&amp;START_MAXIMI","ZED=FALSE&amp;VAR:CALENDAR=US&amp;VAR:SYMBOL=506921&amp;VAR:INDEX=0"}</definedName>
    <definedName name="_3658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3659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366__FDSAUDITLINK__" hidden="1">{"fdsup://directions/FAT%20Viewer?VAR:TM=NTMA&amp;VAR:PCT=0.224658&amp;VAR:Y0=2003&amp;VAR:Y1=2004&amp;VAR:V0=19.300297&amp;VAR:V1=17.129147&amp;VAR:V=17.573266&amp;VAR:AUDIT_ID=00000117&amp;VAR:DATE=20031010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Aggregates&amp;VAR:MEASURE=PE_MEAN&amp;VAR:CALC_MODE=PORTFOLIO&amp;VAR:CHGPERIOD=NA&amp;VAR:FQLFORMULA=FMA_PE&amp;VAR:CURRENCY=USD&amp;VAR:P=1","038.060200&amp;VAR:THRESH=||||||&amp;VAR:null=.html"}</definedName>
    <definedName name="_3660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3661__FDSAUDITLINK__" hidden="1">{"fdsup://directions/FAT Viewer?action=UPDATE&amp;creator=factset&amp;DYN_ARGS=TRUE&amp;DOC_NAME=FAT:FQL_AUDITING_CLIENT_TEMPLATE.FAT&amp;display_string=Audit&amp;VAR:KEY=RWLEDIBETI&amp;VAR:QUERY=RkZfUkRfRVhQKENBTCwzOTQ0NywsLCwp&amp;WINDOW=FIRST_POPUP&amp;HEIGHT=450&amp;WIDTH=450&amp;START_MAXIMI","ZED=FALSE&amp;VAR:CALENDAR=US&amp;VAR:SYMBOL=567173&amp;VAR:INDEX=0"}</definedName>
    <definedName name="_3662__FDSAUDITLINK__" hidden="1">{"fdsup://directions/FAT Viewer?action=UPDATE&amp;creator=factset&amp;DYN_ARGS=TRUE&amp;DOC_NAME=FAT:FQL_AUDITING_CLIENT_TEMPLATE.FAT&amp;display_string=Audit&amp;VAR:KEY=VWPMVGBIVA&amp;VAR:QUERY=RkZfUkRfRVhQKENBTCwzOTA4MiwsLCwp&amp;WINDOW=FIRST_POPUP&amp;HEIGHT=450&amp;WIDTH=450&amp;START_MAXIMI","ZED=FALSE&amp;VAR:CALENDAR=US&amp;VAR:SYMBOL=567173&amp;VAR:INDEX=0"}</definedName>
    <definedName name="_3663__FDSAUDITLINK__" hidden="1">{"fdsup://directions/FAT Viewer?action=UPDATE&amp;creator=factset&amp;DYN_ARGS=TRUE&amp;DOC_NAME=FAT:FQL_AUDITING_CLIENT_TEMPLATE.FAT&amp;display_string=Audit&amp;VAR:KEY=ZGNEJWTYPU&amp;VAR:QUERY=RkZfUkRfRVhQKENBTCwzODcxNywsLCwp&amp;WINDOW=FIRST_POPUP&amp;HEIGHT=450&amp;WIDTH=450&amp;START_MAXIMI","ZED=FALSE&amp;VAR:CALENDAR=US&amp;VAR:SYMBOL=567173&amp;VAR:INDEX=0"}</definedName>
    <definedName name="_3664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3665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3666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3667__FDSAUDITLINK__" hidden="1">{"fdsup://directions/FAT Viewer?action=UPDATE&amp;creator=factset&amp;DYN_ARGS=TRUE&amp;DOC_NAME=FAT:FQL_AUDITING_CLIENT_TEMPLATE.FAT&amp;display_string=Audit&amp;VAR:KEY=FYLUREVORG&amp;VAR:QUERY=RkZfUkRfRVhQKENBTCwzOTQ0NywsLCwp&amp;WINDOW=FIRST_POPUP&amp;HEIGHT=450&amp;WIDTH=450&amp;START_MAXIMI","ZED=FALSE&amp;VAR:CALENDAR=US&amp;VAR:SYMBOL=JNJ&amp;VAR:INDEX=0"}</definedName>
    <definedName name="_3668__FDSAUDITLINK__" hidden="1">{"fdsup://directions/FAT Viewer?action=UPDATE&amp;creator=factset&amp;DYN_ARGS=TRUE&amp;DOC_NAME=FAT:FQL_AUDITING_CLIENT_TEMPLATE.FAT&amp;display_string=Audit&amp;VAR:KEY=BUPWHWVEFO&amp;VAR:QUERY=RkZfUkRfRVhQKENBTCwzOTA4MiwsLCwp&amp;WINDOW=FIRST_POPUP&amp;HEIGHT=450&amp;WIDTH=450&amp;START_MAXIMI","ZED=FALSE&amp;VAR:CALENDAR=US&amp;VAR:SYMBOL=JNJ&amp;VAR:INDEX=0"}</definedName>
    <definedName name="_3669__FDSAUDITLINK__" hidden="1">{"fdsup://directions/FAT Viewer?action=UPDATE&amp;creator=factset&amp;DYN_ARGS=TRUE&amp;DOC_NAME=FAT:FQL_AUDITING_CLIENT_TEMPLATE.FAT&amp;display_string=Audit&amp;VAR:KEY=BIZGFAZSLE&amp;VAR:QUERY=RkZfUkRfRVhQKENBTCwzODcxNywsLCwp&amp;WINDOW=FIRST_POPUP&amp;HEIGHT=450&amp;WIDTH=450&amp;START_MAXIMI","ZED=FALSE&amp;VAR:CALENDAR=US&amp;VAR:SYMBOL=JNJ&amp;VAR:INDEX=0"}</definedName>
    <definedName name="_367__FDSAUDITLINK__" hidden="1">{"fdsup://directions/FAT%20Viewer?VAR:TM=NTMA&amp;VAR:PCT=0.243836&amp;VAR:Y0=2003&amp;VAR:Y1=2004&amp;VAR:V0=19.152586&amp;VAR:V1=16.987375&amp;VAR:V=17.468919&amp;VAR:AUDIT_ID=00000117&amp;VAR:DATE=20031003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Aggregates&amp;VAR:MEASURE=PE_MEAN&amp;VAR:CALC_MODE=PORTFOLIO&amp;VAR:CHGPERIOD=NA&amp;VAR:FQLFORMULA=FMA_PE&amp;VAR:CURRENCY=USD&amp;VAR:P=1","029.848000&amp;VAR:THRESH=||||||&amp;VAR:null=.html"}</definedName>
    <definedName name="_3670__FDSAUDITLINK__" hidden="1">{"fdsup://directions/FAT Viewer?action=UPDATE&amp;creator=factset&amp;DYN_ARGS=TRUE&amp;DOC_NAME=FAT:FQL_AUDITING_CLIENT_TEMPLATE.FAT&amp;display_string=Audit&amp;VAR:KEY=FQZEXGVUHG&amp;VAR:QUERY=RkZfUkRfRVhQKENBTCwzODM1MiwsLCwp&amp;WINDOW=FIRST_POPUP&amp;HEIGHT=450&amp;WIDTH=450&amp;START_MAXIMI","ZED=FALSE&amp;VAR:CALENDAR=US&amp;VAR:SYMBOL=JNJ&amp;VAR:INDEX=0"}</definedName>
    <definedName name="_3671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3672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3673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3674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3675__FDSAUDITLINK__" hidden="1">{"fdsup://directions/FAT Viewer?action=UPDATE&amp;creator=factset&amp;DYN_ARGS=TRUE&amp;DOC_NAME=FAT:FQL_AUDITING_CLIENT_TEMPLATE.FAT&amp;display_string=Audit&amp;VAR:KEY=BAPYPCNOVG&amp;VAR:QUERY=RkZfUkRfRVhQKENBTCwzOTA4MiwsLCwp&amp;WINDOW=FIRST_POPUP&amp;HEIGHT=450&amp;WIDTH=450&amp;START_MAXIMI","ZED=FALSE&amp;VAR:CALENDAR=US&amp;VAR:SYMBOL=710306&amp;VAR:INDEX=0"}</definedName>
    <definedName name="_3676__FDSAUDITLINK__" hidden="1">{"fdsup://directions/FAT Viewer?action=UPDATE&amp;creator=factset&amp;DYN_ARGS=TRUE&amp;DOC_NAME=FAT:FQL_AUDITING_CLIENT_TEMPLATE.FAT&amp;display_string=Audit&amp;VAR:KEY=VKXURALSNK&amp;VAR:QUERY=RkZfUkRfRVhQKENBTCwzODcxNywsLCwp&amp;WINDOW=FIRST_POPUP&amp;HEIGHT=450&amp;WIDTH=450&amp;START_MAXIMI","ZED=FALSE&amp;VAR:CALENDAR=US&amp;VAR:SYMBOL=710306&amp;VAR:INDEX=0"}</definedName>
    <definedName name="_3677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3678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3679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368__FDSAUDITLINK__" hidden="1">{"fdsup://directions/FAT%20Viewer?VAR:TM=NTMA&amp;VAR:PCT=0.263014&amp;VAR:Y0=2003&amp;VAR:Y1=2004&amp;VAR:V0=18.545887&amp;VAR:V1=16.468782&amp;VAR:V=16.968628&amp;VAR:AUDIT_ID=00000117&amp;VAR:DATE=20030926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Aggregates&amp;VAR:MEASURE=PE_MEAN&amp;VAR:CALC_MODE=PORTFOLIO&amp;VAR:CHGPERIOD=NA&amp;VAR:FQLFORMULA=FMA_PE&amp;VAR:CURRENCY=USD&amp;VAR:P=9","96.852540&amp;VAR:THRESH=||||||&amp;VAR:null=.html"}</definedName>
    <definedName name="_3680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3681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3682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3683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3684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3685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3686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3687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3688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3689__FDSAUDITLINK__" hidden="1">{"fdsup://directions/FAT Viewer?action=UPDATE&amp;creator=factset&amp;DYN_ARGS=TRUE&amp;DOC_NAME=FAT:FQL_AUDITING_CLIENT_TEMPLATE.FAT&amp;display_string=Audit&amp;VAR:KEY=LSNMLEBONA&amp;VAR:QUERY=RkZfUkRfRVhQKENBTCwzOTQ0NywsLCwp&amp;WINDOW=FIRST_POPUP&amp;HEIGHT=450&amp;WIDTH=450&amp;START_MAXIMI","ZED=FALSE&amp;VAR:CALENDAR=US&amp;VAR:SYMBOL=MRK&amp;VAR:INDEX=0"}</definedName>
    <definedName name="_369__FDSAUDITLINK__" hidden="1">{"fdsup://directions/FAT%20Viewer?VAR:TM=NTMA&amp;VAR:PCT=0.282192&amp;VAR:Y0=2003&amp;VAR:Y1=2004&amp;VAR:V0=19.200329&amp;VAR:V1=17.062647&amp;VAR:V=17.616110&amp;VAR:AUDIT_ID=00000117&amp;VAR:DATE=20030919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Aggregates&amp;VAR:MEASURE=PE_MEAN&amp;VAR:CALC_MODE=PORTFOLIO&amp;VAR:CHGPERIOD=NA&amp;VAR:FQLFORMULA=FMA_PE&amp;VAR:CURRENCY=USD&amp;VAR:P=1","036.304400&amp;VAR:THRESH=||||||&amp;VAR:null=.html"}</definedName>
    <definedName name="_3690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3691__FDSAUDITLINK__" hidden="1">{"fdsup://directions/FAT Viewer?action=UPDATE&amp;creator=factset&amp;DYN_ARGS=TRUE&amp;DOC_NAME=FAT:FQL_AUDITING_CLIENT_TEMPLATE.FAT&amp;display_string=Audit&amp;VAR:KEY=NMHYXIZERM&amp;VAR:QUERY=RkZfUkRfRVhQKENBTCwzOTA4MiwsLCwp&amp;WINDOW=FIRST_POPUP&amp;HEIGHT=450&amp;WIDTH=450&amp;START_MAXIMI","ZED=FALSE&amp;VAR:CALENDAR=US&amp;VAR:SYMBOL=MRK&amp;VAR:INDEX=0"}</definedName>
    <definedName name="_3692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3693__FDSAUDITLINK__" hidden="1">{"fdsup://directions/FAT Viewer?action=UPDATE&amp;creator=factset&amp;DYN_ARGS=TRUE&amp;DOC_NAME=FAT:FQL_AUDITING_CLIENT_TEMPLATE.FAT&amp;display_string=Audit&amp;VAR:KEY=HIHQXGPWVE&amp;VAR:QUERY=RkZfUkRfRVhQKENBTCwzODcxNywsLCwp&amp;WINDOW=FIRST_POPUP&amp;HEIGHT=450&amp;WIDTH=450&amp;START_MAXIMI","ZED=FALSE&amp;VAR:CALENDAR=US&amp;VAR:SYMBOL=MRK&amp;VAR:INDEX=0"}</definedName>
    <definedName name="_3694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3695__FDSAUDITLINK__" hidden="1">{"fdsup://directions/FAT Viewer?action=UPDATE&amp;creator=factset&amp;DYN_ARGS=TRUE&amp;DOC_NAME=FAT:FQL_AUDITING_CLIENT_TEMPLATE.FAT&amp;display_string=Audit&amp;VAR:KEY=BILIDIROZO&amp;VAR:QUERY=RkZfUkRfRVhQKENBTCwzODM1MiwsLCwp&amp;WINDOW=FIRST_POPUP&amp;HEIGHT=450&amp;WIDTH=450&amp;START_MAXIMI","ZED=FALSE&amp;VAR:CALENDAR=US&amp;VAR:SYMBOL=MRK&amp;VAR:INDEX=0"}</definedName>
    <definedName name="_3696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3697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3698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3699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37__FDSAUDITLINK__" hidden="1">{"fdsup://directions/FAT%20Viewer?VAR:TM=NTMA&amp;VAR:PCT=0.920548&amp;VAR:Y0=2010&amp;VAR:Y1=2011&amp;VAR:V0=13.550749&amp;VAR:V1=11.305736&amp;VAR:V=13.340279&amp;VAR:AUDIT_ID=00000117&amp;VAR:DATE=20100129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Aggregates&amp;VAR:MEASURE=PE_MEAN&amp;VAR:CALC_MODE=PORTFOLIO&amp;VAR:CHGPERIOD=NA&amp;VAR:FQLFORMULA=FMA_PE&amp;VAR:CURRENCY=USD&amp;VAR:P=1","073.869364&amp;VAR:THRESH=||||||&amp;VAR:null=.html"}</definedName>
    <definedName name="_370__FDSAUDITLINK__" hidden="1">{"fdsup://directions/FAT%20Viewer?VAR:TM=NTMA&amp;VAR:PCT=0.301370&amp;VAR:Y0=2003&amp;VAR:Y1=2004&amp;VAR:V0=18.886524&amp;VAR:V1=16.813042&amp;VAR:V=17.388358&amp;VAR:AUDIT_ID=00000117&amp;VAR:DATE=20030912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Aggregates&amp;VAR:MEASURE=PE_MEAN&amp;VAR:CALC_MODE=PORTFOLIO&amp;VAR:CHGPERIOD=NA&amp;VAR:FQLFORMULA=FMA_PE&amp;VAR:CURRENCY=USD&amp;VAR:P=1","018.633100&amp;VAR:THRESH=||||||&amp;VAR:null=.html"}</definedName>
    <definedName name="_3700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3701__FDSAUDITLINK__" hidden="1">{"fdsup://directions/FAT Viewer?action=UPDATE&amp;creator=factset&amp;DYN_ARGS=TRUE&amp;DOC_NAME=FAT:FQL_AUDITING_CLIENT_TEMPLATE.FAT&amp;display_string=Audit&amp;VAR:KEY=TEDKTITIXA&amp;VAR:QUERY=RkZfUkRfRVhQKENBTCwzOTQ0NywsLCwp&amp;WINDOW=FIRST_POPUP&amp;HEIGHT=450&amp;WIDTH=450&amp;START_MAXIMI","ZED=FALSE&amp;VAR:CALENDAR=US&amp;VAR:SYMBOL=PFE&amp;VAR:INDEX=0"}</definedName>
    <definedName name="_3702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3703__FDSAUDITLINK__" hidden="1">{"fdsup://directions/FAT Viewer?action=UPDATE&amp;creator=factset&amp;DYN_ARGS=TRUE&amp;DOC_NAME=FAT:FQL_AUDITING_CLIENT_TEMPLATE.FAT&amp;display_string=Audit&amp;VAR:KEY=VOPUPSJQLI&amp;VAR:QUERY=RkZfUkRfRVhQKENBTCwzOTA4MiwsLCwp&amp;WINDOW=FIRST_POPUP&amp;HEIGHT=450&amp;WIDTH=450&amp;START_MAXIMI","ZED=FALSE&amp;VAR:CALENDAR=US&amp;VAR:SYMBOL=PFE&amp;VAR:INDEX=0"}</definedName>
    <definedName name="_3704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3705__FDSAUDITLINK__" hidden="1">{"fdsup://directions/FAT Viewer?action=UPDATE&amp;creator=factset&amp;DYN_ARGS=TRUE&amp;DOC_NAME=FAT:FQL_AUDITING_CLIENT_TEMPLATE.FAT&amp;display_string=Audit&amp;VAR:KEY=DUZANORCZM&amp;VAR:QUERY=RkZfUkRfRVhQKENBTCwzODcxNywsLCwp&amp;WINDOW=FIRST_POPUP&amp;HEIGHT=450&amp;WIDTH=450&amp;START_MAXIMI","ZED=FALSE&amp;VAR:CALENDAR=US&amp;VAR:SYMBOL=PFE&amp;VAR:INDEX=0"}</definedName>
    <definedName name="_3706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3707__FDSAUDITLINK__" hidden="1">{"fdsup://directions/FAT Viewer?action=UPDATE&amp;creator=factset&amp;DYN_ARGS=TRUE&amp;DOC_NAME=FAT:FQL_AUDITING_CLIENT_TEMPLATE.FAT&amp;display_string=Audit&amp;VAR:KEY=BETMVWVSBG&amp;VAR:QUERY=RkZfUkRfRVhQKENBTCwzODM1MiwsLCwp&amp;WINDOW=FIRST_POPUP&amp;HEIGHT=450&amp;WIDTH=450&amp;START_MAXIMI","ZED=FALSE&amp;VAR:CALENDAR=US&amp;VAR:SYMBOL=PFE&amp;VAR:INDEX=0"}</definedName>
    <definedName name="_3708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3709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371__FDSAUDITLINK__" hidden="1">{"fdsup://directions/FAT%20Viewer?VAR:TM=NTMA&amp;VAR:PCT=0.320548&amp;VAR:Y0=2003&amp;VAR:Y1=2004&amp;VAR:V0=18.941448&amp;VAR:V1=16.875300&amp;VAR:V=17.486735&amp;VAR:AUDIT_ID=00000117&amp;VAR:DATE=20030905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Aggregates&amp;VAR:MEASURE=PE_MEAN&amp;VAR:CALC_MODE=PORTFOLIO&amp;VAR:CHGPERIOD=NA&amp;VAR:FQLFORMULA=FMA_PE&amp;VAR:CURRENCY=USD&amp;VAR:P=1","021.388200&amp;VAR:THRESH=||||||&amp;VAR:null=.html"}</definedName>
    <definedName name="_3710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3711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3712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3713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3714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3715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3716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3717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3718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3719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372__FDSAUDITLINK__" hidden="1">{"fdsup://directions/FAT%20Viewer?VAR:TM=NTMA&amp;VAR:PCT=0.339726&amp;VAR:Y0=2003&amp;VAR:Y1=2004&amp;VAR:V0=18.724623&amp;VAR:V1=16.664120&amp;VAR:V=17.311290&amp;VAR:AUDIT_ID=00000117&amp;VAR:DATE=20030829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Aggregates&amp;VAR:MEASURE=PE_MEAN&amp;VAR:CALC_MODE=PORTFOLIO&amp;VAR:CHGPERIOD=NA&amp;VAR:FQLFORMULA=FMA_PE&amp;VAR:CURRENCY=USD&amp;VAR:P=1","008.012100&amp;VAR:THRESH=||||||&amp;VAR:null=.html"}</definedName>
    <definedName name="_3720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3721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3722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3723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3724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3725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3726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3727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3728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3729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373__FDSAUDITLINK__" hidden="1">{"fdsup://directions/FAT%20Viewer?VAR:TM=NTMA&amp;VAR:PCT=0.358904&amp;VAR:Y0=2003&amp;VAR:Y1=2004&amp;VAR:V0=18.473835&amp;VAR:V1=16.424973&amp;VAR:V=17.105866&amp;VAR:AUDIT_ID=00000117&amp;VAR:DATE=20030822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Aggregates&amp;VAR:MEASURE=PE_MEAN&amp;VAR:CALC_MODE=PORTFOLIO&amp;VAR:CHGPERIOD=NA&amp;VAR:FQLFORMULA=FMA_PE&amp;VAR:CURRENCY=USD&amp;VAR:P=9","93.055660&amp;VAR:THRESH=||||||&amp;VAR:null=.html"}</definedName>
    <definedName name="_3730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3731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3732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3733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3734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3735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3736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3737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3738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3739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374__FDSAUDITLINK__" hidden="1">{"fdsup://directions/FAT%20Viewer?VAR:TM=NTMA&amp;VAR:PCT=0.378082&amp;VAR:Y0=2003&amp;VAR:Y1=2004&amp;VAR:V0=18.431877&amp;VAR:V1=16.375448&amp;VAR:V=17.096623&amp;VAR:AUDIT_ID=00000117&amp;VAR:DATE=20030815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Aggregates&amp;VAR:MEASURE=PE_MEAN&amp;VAR:CALC_MODE=PORTFOLIO&amp;VAR:CHGPERIOD=NA&amp;VAR:FQLFORMULA=FMA_PE&amp;VAR:CURRENCY=USD&amp;VAR:P=9","90.671900&amp;VAR:THRESH=||||||&amp;VAR:null=.html"}</definedName>
    <definedName name="_3740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3741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3742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3743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3744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3745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3746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3747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3748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3749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375__FDSAUDITLINK__" hidden="1">{"fdsup://directions/FAT%20Viewer?VAR:TM=NTMA&amp;VAR:PCT=0.397260&amp;VAR:Y0=2003&amp;VAR:Y1=2004&amp;VAR:V0=18.181889&amp;VAR:V1=16.159410&amp;VAR:V=16.906502&amp;VAR:AUDIT_ID=00000117&amp;VAR:DATE=20030808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Aggregates&amp;VAR:MEASURE=PE_MEAN&amp;VAR:CALC_MODE=PORTFOLIO&amp;VAR:CHGPERIOD=NA&amp;VAR:FQLFORMULA=FMA_PE&amp;VAR:CURRENCY=USD&amp;VAR:P=9","77.586100&amp;VAR:THRESH=||||||&amp;VAR:null=.html"}</definedName>
    <definedName name="_3750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3751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3752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3753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3754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3755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3756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3757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3758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3759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376__FDSAUDITLINK__" hidden="1">{"fdsup://directions/FAT%20Viewer?VAR:TM=NTMA&amp;VAR:PCT=0.416438&amp;VAR:Y0=2003&amp;VAR:Y1=2004&amp;VAR:V0=18.229000&amp;VAR:V1=16.192608&amp;VAR:V=16.982659&amp;VAR:AUDIT_ID=00000117&amp;VAR:DATE=20030801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Aggregates&amp;VAR:MEASURE=PE_MEAN&amp;VAR:CALC_MODE=PORTFOLIO&amp;VAR:CHGPERIOD=NA&amp;VAR:FQLFORMULA=FMA_PE&amp;VAR:CURRENCY=USD&amp;VAR:P=9","80.152500&amp;VAR:THRESH=||||||&amp;VAR:null=.html"}</definedName>
    <definedName name="_3760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3761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3762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3763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3764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3765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3766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3767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3768__FDSAUDITLINK__" hidden="1">{"fdsup://directions/FAT Viewer?action=UPDATE&amp;creator=factset&amp;DYN_ARGS=TRUE&amp;DOC_NAME=FAT:FQL_AUDITING_CLIENT_TEMPLATE.FAT&amp;display_string=Audit&amp;VAR:KEY=LYPQBETAZS&amp;VAR:QUERY=RkZfU0FMRVMoQ0FMLDM5NDQ3LCwsLCk=&amp;WINDOW=FIRST_POPUP&amp;HEIGHT=450&amp;WIDTH=450&amp;START_MAXIMI","ZED=FALSE&amp;VAR:CALENDAR=US&amp;VAR:SYMBOL=BIIB&amp;VAR:INDEX=0"}</definedName>
    <definedName name="_3769__FDSAUDITLINK__" hidden="1">{"fdsup://directions/FAT Viewer?action=UPDATE&amp;creator=factset&amp;DYN_ARGS=TRUE&amp;DOC_NAME=FAT:FQL_AUDITING_CLIENT_TEMPLATE.FAT&amp;display_string=Audit&amp;VAR:KEY=ZELAFGHURE&amp;VAR:QUERY=RkZfU0FMRVMoQ0FMLDM5MDgyLCwsLCk=&amp;WINDOW=FIRST_POPUP&amp;HEIGHT=450&amp;WIDTH=450&amp;START_MAXIMI","ZED=FALSE&amp;VAR:CALENDAR=US&amp;VAR:SYMBOL=BIIB&amp;VAR:INDEX=0"}</definedName>
    <definedName name="_377__FDSAUDITLINK__" hidden="1">{"fdsup://directions/FAT%20Viewer?VAR:TM=NTMA&amp;VAR:PCT=0.435616&amp;VAR:Y0=2003&amp;VAR:Y1=2004&amp;VAR:V0=18.636710&amp;VAR:V1=16.515686&amp;VAR:V=17.377196&amp;VAR:AUDIT_ID=00000117&amp;VAR:DATE=20030725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Aggregates&amp;VAR:MEASURE=PE_MEAN&amp;VAR:CALC_MODE=PORTFOLIO&amp;VAR:CHGPERIOD=NA&amp;VAR:FQLFORMULA=FMA_PE&amp;VAR:CURRENCY=USD&amp;VAR:P=9","98.680240&amp;VAR:THRESH=||||||&amp;VAR:null=.html"}</definedName>
    <definedName name="_3770__FDSAUDITLINK__" hidden="1">{"fdsup://directions/FAT Viewer?action=UPDATE&amp;creator=factset&amp;DYN_ARGS=TRUE&amp;DOC_NAME=FAT:FQL_AUDITING_CLIENT_TEMPLATE.FAT&amp;display_string=Audit&amp;VAR:KEY=JEJEDARGZU&amp;VAR:QUERY=RkZfU0FMRVMoQ0FMLDM4NzE3LCwsLCk=&amp;WINDOW=FIRST_POPUP&amp;HEIGHT=450&amp;WIDTH=450&amp;START_MAXIMI","ZED=FALSE&amp;VAR:CALENDAR=US&amp;VAR:SYMBOL=BIIB&amp;VAR:INDEX=0"}</definedName>
    <definedName name="_3771__FDSAUDITLINK__" hidden="1">{"fdsup://directions/FAT Viewer?action=UPDATE&amp;creator=factset&amp;DYN_ARGS=TRUE&amp;DOC_NAME=FAT:FQL_AUDITING_CLIENT_TEMPLATE.FAT&amp;display_string=Audit&amp;VAR:KEY=BGRMFOVODW&amp;VAR:QUERY=RkZfU0FMRVMoQ0FMLDM4MzUyLCwsLCk=&amp;WINDOW=FIRST_POPUP&amp;HEIGHT=450&amp;WIDTH=450&amp;START_MAXIMI","ZED=FALSE&amp;VAR:CALENDAR=US&amp;VAR:SYMBOL=BIIB&amp;VAR:INDEX=0"}</definedName>
    <definedName name="_3772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3773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3774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3775__FDSAUDITLINK__" hidden="1">{"fdsup://directions/FAT Viewer?action=UPDATE&amp;creator=factset&amp;DYN_ARGS=TRUE&amp;DOC_NAME=FAT:FQL_AUDITING_CLIENT_TEMPLATE.FAT&amp;display_string=Audit&amp;VAR:KEY=VWHYNKZKRG&amp;VAR:QUERY=RkZfU0FMRVMoQ0FMLDM5NDQ3LCwsLCk=&amp;WINDOW=FIRST_POPUP&amp;HEIGHT=450&amp;WIDTH=450&amp;START_MAXIMI","ZED=FALSE&amp;VAR:CALENDAR=US&amp;VAR:SYMBOL=707752&amp;VAR:INDEX=0"}</definedName>
    <definedName name="_3776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3777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3778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3779__FDSAUDITLINK__" hidden="1">{"fdsup://directions/FAT Viewer?action=UPDATE&amp;creator=factset&amp;DYN_ARGS=TRUE&amp;DOC_NAME=FAT:FQL_AUDITING_CLIENT_TEMPLATE.FAT&amp;display_string=Audit&amp;VAR:KEY=RYPORYFIJI&amp;VAR:QUERY=RkZfU0FMRVMoQ0FMLDM5NDQ3LCwsLCk=&amp;WINDOW=FIRST_POPUP&amp;HEIGHT=450&amp;WIDTH=450&amp;START_MAXIMI","ZED=FALSE&amp;VAR:CALENDAR=US&amp;VAR:SYMBOL=630720&amp;VAR:INDEX=0"}</definedName>
    <definedName name="_378__FDSAUDITLINK__" hidden="1">{"fdsup://directions/FAT%20Viewer?VAR:TM=NTMA&amp;VAR:PCT=0.454795&amp;VAR:Y0=2003&amp;VAR:Y1=2004&amp;VAR:V0=18.586992&amp;VAR:V1=16.453024&amp;VAR:V=17.359445&amp;VAR:AUDIT_ID=00000117&amp;VAR:DATE=20030718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Aggregates&amp;VAR:MEASURE=PE_MEAN&amp;VAR:CALC_MODE=PORTFOLIO&amp;VAR:CHGPERIOD=NA&amp;VAR:FQLFORMULA=FMA_PE&amp;VAR:CURRENCY=USD&amp;VAR:P=9","93.315500&amp;VAR:THRESH=||||||&amp;VAR:null=.html"}</definedName>
    <definedName name="_3780__FDSAUDITLINK__" hidden="1">{"fdsup://directions/FAT Viewer?action=UPDATE&amp;creator=factset&amp;DYN_ARGS=TRUE&amp;DOC_NAME=FAT:FQL_AUDITING_CLIENT_TEMPLATE.FAT&amp;display_string=Audit&amp;VAR:KEY=XOXAFQPQBU&amp;VAR:QUERY=RkZfU0FMRVMoQ0FMLDM5MDgyLCwsLCk=&amp;WINDOW=FIRST_POPUP&amp;HEIGHT=450&amp;WIDTH=450&amp;START_MAXIMI","ZED=FALSE&amp;VAR:CALENDAR=US&amp;VAR:SYMBOL=630720&amp;VAR:INDEX=0"}</definedName>
    <definedName name="_3781__FDSAUDITLINK__" hidden="1">{"fdsup://directions/FAT Viewer?action=UPDATE&amp;creator=factset&amp;DYN_ARGS=TRUE&amp;DOC_NAME=FAT:FQL_AUDITING_CLIENT_TEMPLATE.FAT&amp;display_string=Audit&amp;VAR:KEY=RWPCRWLQPE&amp;VAR:QUERY=RkZfU0FMRVMoQ0FMLDM4NzE3LCwsLCk=&amp;WINDOW=FIRST_POPUP&amp;HEIGHT=450&amp;WIDTH=450&amp;START_MAXIMI","ZED=FALSE&amp;VAR:CALENDAR=US&amp;VAR:SYMBOL=630720&amp;VAR:INDEX=0"}</definedName>
    <definedName name="_3782__FDSAUDITLINK__" hidden="1">{"fdsup://directions/FAT Viewer?action=UPDATE&amp;creator=factset&amp;DYN_ARGS=TRUE&amp;DOC_NAME=FAT:FQL_AUDITING_CLIENT_TEMPLATE.FAT&amp;display_string=Audit&amp;VAR:KEY=HMVSNIBYDY&amp;VAR:QUERY=RkZfU0FMRVMoQ0FMLDM4MzUyLCwsLCk=&amp;WINDOW=FIRST_POPUP&amp;HEIGHT=450&amp;WIDTH=450&amp;START_MAXIMI","ZED=FALSE&amp;VAR:CALENDAR=US&amp;VAR:SYMBOL=630720&amp;VAR:INDEX=0"}</definedName>
    <definedName name="_3783__FDSAUDITLINK__" hidden="1">{"fdsup://directions/FAT Viewer?action=UPDATE&amp;creator=factset&amp;DYN_ARGS=TRUE&amp;DOC_NAME=FAT:FQL_AUDITING_CLIENT_TEMPLATE.FAT&amp;display_string=Audit&amp;VAR:KEY=FMVKVUFQTO&amp;VAR:QUERY=RkZfU0FMRVMoQ0FMLDM3OTg2LCwsLCk=&amp;WINDOW=FIRST_POPUP&amp;HEIGHT=450&amp;WIDTH=450&amp;START_MAXIMI","ZED=FALSE&amp;VAR:CALENDAR=US&amp;VAR:SYMBOL=630720&amp;VAR:INDEX=0"}</definedName>
    <definedName name="_3784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3785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3786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3787__FDSAUDITLINK__" hidden="1">{"fdsup://directions/FAT Viewer?action=UPDATE&amp;creator=factset&amp;DYN_ARGS=TRUE&amp;DOC_NAME=FAT:FQL_AUDITING_CLIENT_TEMPLATE.FAT&amp;display_string=Audit&amp;VAR:KEY=NGFQXAXQVY&amp;VAR:QUERY=RkZfU0FMRVMoQ0FMLDM5NDQ3LCwsLCk=&amp;WINDOW=FIRST_POPUP&amp;HEIGHT=450&amp;WIDTH=450&amp;START_MAXIMI","ZED=FALSE&amp;VAR:CALENDAR=US&amp;VAR:SYMBOL=698538&amp;VAR:INDEX=0"}</definedName>
    <definedName name="_3788__FDSAUDITLINK__" hidden="1">{"fdsup://directions/FAT Viewer?action=UPDATE&amp;creator=factset&amp;DYN_ARGS=TRUE&amp;DOC_NAME=FAT:FQL_AUDITING_CLIENT_TEMPLATE.FAT&amp;display_string=Audit&amp;VAR:KEY=RYLYJAFOJG&amp;VAR:QUERY=RkZfU0FMRVMoQ0FMLDM5MDgyLCwsLCk=&amp;WINDOW=FIRST_POPUP&amp;HEIGHT=450&amp;WIDTH=450&amp;START_MAXIMI","ZED=FALSE&amp;VAR:CALENDAR=US&amp;VAR:SYMBOL=698538&amp;VAR:INDEX=0"}</definedName>
    <definedName name="_3789__FDSAUDITLINK__" hidden="1">{"fdsup://directions/FAT Viewer?action=UPDATE&amp;creator=factset&amp;DYN_ARGS=TRUE&amp;DOC_NAME=FAT:FQL_AUDITING_CLIENT_TEMPLATE.FAT&amp;display_string=Audit&amp;VAR:KEY=VSLYLYVYLU&amp;VAR:QUERY=RkZfU0FMRVMoQ0FMLDM4NzE3LCwsLCk=&amp;WINDOW=FIRST_POPUP&amp;HEIGHT=450&amp;WIDTH=450&amp;START_MAXIMI","ZED=FALSE&amp;VAR:CALENDAR=US&amp;VAR:SYMBOL=698538&amp;VAR:INDEX=0"}</definedName>
    <definedName name="_379__FDSAUDITLINK__" hidden="1">{"fdsup://directions/FAT%20Viewer?VAR:TM=NTMA&amp;VAR:PCT=0.473973&amp;VAR:Y0=2003&amp;VAR:Y1=2004&amp;VAR:V0=18.745080&amp;VAR:V1=16.568573&amp;VAR:V=17.533500&amp;VAR:AUDIT_ID=00000117&amp;VAR:DATE=20030711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Aggregates&amp;VAR:MEASURE=PE_MEAN&amp;VAR:CALC_MODE=PORTFOLIO&amp;VAR:CHGPERIOD=NA&amp;VAR:FQLFORMULA=FMA_PE&amp;VAR:CURRENCY=USD&amp;VAR:P=9","98.135440&amp;VAR:THRESH=||||||&amp;VAR:null=.html"}</definedName>
    <definedName name="_3790__FDSAUDITLINK__" hidden="1">{"fdsup://directions/FAT Viewer?action=UPDATE&amp;creator=factset&amp;DYN_ARGS=TRUE&amp;DOC_NAME=FAT:FQL_AUDITING_CLIENT_TEMPLATE.FAT&amp;display_string=Audit&amp;VAR:KEY=ZQTYLIBWXM&amp;VAR:QUERY=RkZfU0FMRVMoQ0FMLDM4MzUyLCwsLCk=&amp;WINDOW=FIRST_POPUP&amp;HEIGHT=450&amp;WIDTH=450&amp;START_MAXIMI","ZED=FALSE&amp;VAR:CALENDAR=US&amp;VAR:SYMBOL=698538&amp;VAR:INDEX=0"}</definedName>
    <definedName name="_3791__FDSAUDITLINK__" hidden="1">{"fdsup://directions/FAT Viewer?action=UPDATE&amp;creator=factset&amp;DYN_ARGS=TRUE&amp;DOC_NAME=FAT:FQL_AUDITING_CLIENT_TEMPLATE.FAT&amp;display_string=Audit&amp;VAR:KEY=ZITUFQLYRU&amp;VAR:QUERY=RkZfU0FMRVMoQ0FMLDM3OTg2LCwsLCk=&amp;WINDOW=FIRST_POPUP&amp;HEIGHT=450&amp;WIDTH=450&amp;START_MAXIMI","ZED=FALSE&amp;VAR:CALENDAR=US&amp;VAR:SYMBOL=698538&amp;VAR:INDEX=0"}</definedName>
    <definedName name="_3792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3793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3794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3795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3796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3797__FDSAUDITLINK__" hidden="1">{"fdsup://directions/FAT Viewer?action=UPDATE&amp;creator=factset&amp;DYN_ARGS=TRUE&amp;DOC_NAME=FAT:FQL_AUDITING_CLIENT_TEMPLATE.FAT&amp;display_string=Audit&amp;VAR:KEY=RCLWNAZUVM&amp;VAR:QUERY=RkZfU0FMRVMoQ0FMLDM5NDQ3LCwsLCk=&amp;WINDOW=FIRST_POPUP&amp;HEIGHT=450&amp;WIDTH=450&amp;START_MAXIMI","ZED=FALSE&amp;VAR:CALENDAR=US&amp;VAR:SYMBOL=B0J7D9&amp;VAR:INDEX=0"}</definedName>
    <definedName name="_3798__FDSAUDITLINK__" hidden="1">{"fdsup://directions/FAT Viewer?action=UPDATE&amp;creator=factset&amp;DYN_ARGS=TRUE&amp;DOC_NAME=FAT:FQL_AUDITING_CLIENT_TEMPLATE.FAT&amp;display_string=Audit&amp;VAR:KEY=VYFIHMHMZI&amp;VAR:QUERY=RkZfU0FMRVMoQ0FMLDM5MDgyLCwsLCk=&amp;WINDOW=FIRST_POPUP&amp;HEIGHT=450&amp;WIDTH=450&amp;START_MAXIMI","ZED=FALSE&amp;VAR:CALENDAR=US&amp;VAR:SYMBOL=B0J7D9&amp;VAR:INDEX=0"}</definedName>
    <definedName name="_3799__FDSAUDITLINK__" hidden="1">{"fdsup://directions/FAT Viewer?action=UPDATE&amp;creator=factset&amp;DYN_ARGS=TRUE&amp;DOC_NAME=FAT:FQL_AUDITING_CLIENT_TEMPLATE.FAT&amp;display_string=Audit&amp;VAR:KEY=RATYXOVERC&amp;VAR:QUERY=RkZfU0FMRVMoQ0FMLDM4NzE3LCwsLCk=&amp;WINDOW=FIRST_POPUP&amp;HEIGHT=450&amp;WIDTH=450&amp;START_MAXIMI","ZED=FALSE&amp;VAR:CALENDAR=US&amp;VAR:SYMBOL=B0J7D9&amp;VAR:INDEX=0"}</definedName>
    <definedName name="_38__FDSAUDITLINK__" hidden="1">{"fdsup://directions/FAT%20Viewer?VAR:TM=NTMA&amp;VAR:PCT=0.939726&amp;VAR:Y0=2010&amp;VAR:Y1=2011&amp;VAR:V0=13.874582&amp;VAR:V1=11.537265&amp;VAR:V=13.707206&amp;VAR:AUDIT_ID=00000117&amp;VAR:DATE=20100122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Aggregates&amp;VAR:MEASURE=PE_MEAN&amp;VAR:CALC_MODE=PORTFOLIO&amp;VAR:CHGPERIOD=NA&amp;VAR:FQLFORMULA=FMA_PE&amp;VAR:CURRENCY=USD&amp;VAR:P=1","091.755535&amp;VAR:THRESH=||||||&amp;VAR:null=.html"}</definedName>
    <definedName name="_380__FDSAUDITLINK__" hidden="1">{"fdsup://directions/FAT%20Viewer?VAR:TM=NTMA&amp;VAR:PCT=0.495890&amp;VAR:Y0=2003&amp;VAR:Y1=2004&amp;VAR:V0=18.489614&amp;VAR:V1=16.322792&amp;VAR:V=17.329903&amp;VAR:AUDIT_ID=00000117&amp;VAR:DATE=20030703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Aggregates&amp;VAR:MEASURE=PE_MEAN&amp;VAR:CALC_MODE=PORTFOLIO&amp;VAR:CHGPERIOD=NA&amp;VAR:FQLFORMULA=FMA_PE&amp;VAR:CURRENCY=USD&amp;VAR:P=9","85.700000&amp;VAR:THRESH=||||||&amp;VAR:null=.html"}</definedName>
    <definedName name="_3800__FDSAUDITLINK__" hidden="1">{"fdsup://directions/FAT Viewer?action=UPDATE&amp;creator=factset&amp;DYN_ARGS=TRUE&amp;DOC_NAME=FAT:FQL_AUDITING_CLIENT_TEMPLATE.FAT&amp;display_string=Audit&amp;VAR:KEY=HEROTQBOTS&amp;VAR:QUERY=RkZfU0FMRVMoQ0FMLDM4MzUyLCwsLCk=&amp;WINDOW=FIRST_POPUP&amp;HEIGHT=450&amp;WIDTH=450&amp;START_MAXIMI","ZED=FALSE&amp;VAR:CALENDAR=US&amp;VAR:SYMBOL=B0J7D9&amp;VAR:INDEX=0"}</definedName>
    <definedName name="_3801__FDSAUDITLINK__" hidden="1">{"fdsup://directions/FAT Viewer?action=UPDATE&amp;creator=factset&amp;DYN_ARGS=TRUE&amp;DOC_NAME=FAT:FQL_AUDITING_CLIENT_TEMPLATE.FAT&amp;display_string=Audit&amp;VAR:KEY=JAZQJETKLY&amp;VAR:QUERY=RkZfU0FMRVMoQ0FMLDM3OTg2LCwsLCk=&amp;WINDOW=FIRST_POPUP&amp;HEIGHT=450&amp;WIDTH=450&amp;START_MAXIMI","ZED=FALSE&amp;VAR:CALENDAR=US&amp;VAR:SYMBOL=B0J7D9&amp;VAR:INDEX=0"}</definedName>
    <definedName name="_3802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3803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3804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3805__FDSAUDITLINK__" hidden="1">{"fdsup://directions/FAT Viewer?action=UPDATE&amp;creator=factset&amp;DYN_ARGS=TRUE&amp;DOC_NAME=FAT:FQL_AUDITING_CLIENT_TEMPLATE.FAT&amp;display_string=Audit&amp;VAR:KEY=PGJOVCLGBS&amp;VAR:QUERY=RkZfU0FMRVMoQ0FMLDM5NDQ3LCwsLCk=&amp;WINDOW=FIRST_POPUP&amp;HEIGHT=450&amp;WIDTH=450&amp;START_MAXIMI","ZED=FALSE&amp;VAR:CALENDAR=US&amp;VAR:SYMBOL=AMGN&amp;VAR:INDEX=0"}</definedName>
    <definedName name="_3806__FDSAUDITLINK__" hidden="1">{"fdsup://directions/FAT Viewer?action=UPDATE&amp;creator=factset&amp;DYN_ARGS=TRUE&amp;DOC_NAME=FAT:FQL_AUDITING_CLIENT_TEMPLATE.FAT&amp;display_string=Audit&amp;VAR:KEY=FYXGXAXURW&amp;VAR:QUERY=RkZfU0FMRVMoQ0FMLDM5MDgyLCwsLCk=&amp;WINDOW=FIRST_POPUP&amp;HEIGHT=450&amp;WIDTH=450&amp;START_MAXIMI","ZED=FALSE&amp;VAR:CALENDAR=US&amp;VAR:SYMBOL=AMGN&amp;VAR:INDEX=0"}</definedName>
    <definedName name="_3807__FDSAUDITLINK__" hidden="1">{"fdsup://directions/FAT Viewer?action=UPDATE&amp;creator=factset&amp;DYN_ARGS=TRUE&amp;DOC_NAME=FAT:FQL_AUDITING_CLIENT_TEMPLATE.FAT&amp;display_string=Audit&amp;VAR:KEY=VADUDGDYFA&amp;VAR:QUERY=RkZfU0FMRVMoQ0FMLDM4NzE3LCwsLCk=&amp;WINDOW=FIRST_POPUP&amp;HEIGHT=450&amp;WIDTH=450&amp;START_MAXIMI","ZED=FALSE&amp;VAR:CALENDAR=US&amp;VAR:SYMBOL=AMGN&amp;VAR:INDEX=0"}</definedName>
    <definedName name="_3808__FDSAUDITLINK__" hidden="1">{"fdsup://directions/FAT Viewer?action=UPDATE&amp;creator=factset&amp;DYN_ARGS=TRUE&amp;DOC_NAME=FAT:FQL_AUDITING_CLIENT_TEMPLATE.FAT&amp;display_string=Audit&amp;VAR:KEY=FKDOZAJURW&amp;VAR:QUERY=RkZfU0FMRVMoQ0FMLDM4MzUyLCwsLCk=&amp;WINDOW=FIRST_POPUP&amp;HEIGHT=450&amp;WIDTH=450&amp;START_MAXIMI","ZED=FALSE&amp;VAR:CALENDAR=US&amp;VAR:SYMBOL=AMGN&amp;VAR:INDEX=0"}</definedName>
    <definedName name="_3809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381__FDSAUDITLINK__" hidden="1">{"fdsup://directions/FAT%20Viewer?VAR:TM=NTMA&amp;VAR:PCT=0.512329&amp;VAR:Y0=2003&amp;VAR:Y1=2004&amp;VAR:V0=18.302456&amp;VAR:V1=16.183027&amp;VAR:V=17.203684&amp;VAR:AUDIT_ID=00000117&amp;VAR:DATE=20030627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Aggregates&amp;VAR:MEASURE=PE_MEAN&amp;VAR:CALC_MODE=PORTFOLIO&amp;VAR:CHGPERIOD=NA&amp;VAR:FQLFORMULA=FMA_PE&amp;VAR:CURRENCY=USD&amp;VAR:P=9","76.221070&amp;VAR:THRESH=||||||&amp;VAR:null=.html"}</definedName>
    <definedName name="_3810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3811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3812__FDSAUDITLINK__" hidden="1">{"fdsup://directions/FAT Viewer?action=UPDATE&amp;creator=factset&amp;DYN_ARGS=TRUE&amp;DOC_NAME=FAT:FQL_AUDITING_CLIENT_TEMPLATE.FAT&amp;display_string=Audit&amp;VAR:KEY=VOVAHWRMBQ&amp;VAR:QUERY=RkZfU0FMRVMoQ0FMLDM5NDQ3LCwsLCk=&amp;WINDOW=FIRST_POPUP&amp;HEIGHT=450&amp;WIDTH=450&amp;START_MAXIMI","ZED=FALSE&amp;VAR:CALENDAR=US&amp;VAR:SYMBOL=ABT&amp;VAR:INDEX=0"}</definedName>
    <definedName name="_3813__FDSAUDITLINK__" hidden="1">{"fdsup://directions/FAT Viewer?action=UPDATE&amp;creator=factset&amp;DYN_ARGS=TRUE&amp;DOC_NAME=FAT:FQL_AUDITING_CLIENT_TEMPLATE.FAT&amp;display_string=Audit&amp;VAR:KEY=JIZSHKHCLG&amp;VAR:QUERY=RkZfU0FMRVMoQ0FMLDM5MDgyLCwsLCk=&amp;WINDOW=FIRST_POPUP&amp;HEIGHT=450&amp;WIDTH=450&amp;START_MAXIMI","ZED=FALSE&amp;VAR:CALENDAR=US&amp;VAR:SYMBOL=ABT&amp;VAR:INDEX=0"}</definedName>
    <definedName name="_3814__FDSAUDITLINK__" hidden="1">{"fdsup://directions/FAT Viewer?action=UPDATE&amp;creator=factset&amp;DYN_ARGS=TRUE&amp;DOC_NAME=FAT:FQL_AUDITING_CLIENT_TEMPLATE.FAT&amp;display_string=Audit&amp;VAR:KEY=HGLONMHIHO&amp;VAR:QUERY=RkZfU0FMRVMoQ0FMLDM4NzE3LCwsLCk=&amp;WINDOW=FIRST_POPUP&amp;HEIGHT=450&amp;WIDTH=450&amp;START_MAXIMI","ZED=FALSE&amp;VAR:CALENDAR=US&amp;VAR:SYMBOL=ABT&amp;VAR:INDEX=0"}</definedName>
    <definedName name="_3815__FDSAUDITLINK__" hidden="1">{"fdsup://directions/FAT Viewer?action=UPDATE&amp;creator=factset&amp;DYN_ARGS=TRUE&amp;DOC_NAME=FAT:FQL_AUDITING_CLIENT_TEMPLATE.FAT&amp;display_string=Audit&amp;VAR:KEY=PMFYHUFOJW&amp;VAR:QUERY=RkZfU0FMRVMoQ0FMLDM4MzUyLCwsLCk=&amp;WINDOW=FIRST_POPUP&amp;HEIGHT=450&amp;WIDTH=450&amp;START_MAXIMI","ZED=FALSE&amp;VAR:CALENDAR=US&amp;VAR:SYMBOL=ABT&amp;VAR:INDEX=0"}</definedName>
    <definedName name="_3816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3817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3818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3819__FDSAUDITLINK__" hidden="1">{"fdsup://directions/FAT Viewer?action=UPDATE&amp;creator=factset&amp;DYN_ARGS=TRUE&amp;DOC_NAME=FAT:FQL_AUDITING_CLIENT_TEMPLATE.FAT&amp;display_string=Audit&amp;VAR:KEY=LANUXGTUJE&amp;VAR:QUERY=RkZfU0FMRVMoQ0FMLDM5NDQ3LCwsLCk=&amp;WINDOW=FIRST_POPUP&amp;HEIGHT=450&amp;WIDTH=450&amp;START_MAXIMI","ZED=FALSE&amp;VAR:CALENDAR=US&amp;VAR:SYMBOL=687044&amp;VAR:INDEX=0"}</definedName>
    <definedName name="_382__FDSAUDITLINK__" hidden="1">{"fdsup://directions/FAT%20Viewer?VAR:TM=NTMA&amp;VAR:PCT=0.531507&amp;VAR:Y0=2003&amp;VAR:Y1=2004&amp;VAR:V0=18.668291&amp;VAR:V1=16.499960&amp;VAR:V=17.585603&amp;VAR:AUDIT_ID=00000117&amp;VAR:DATE=20030620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Aggregates&amp;VAR:MEASURE=PE_MEAN&amp;VAR:CALC_MODE=PORTFOLIO&amp;VAR:CHGPERIOD=NA&amp;VAR:FQLFORMULA=FMA_PE&amp;VAR:CURRENCY=USD&amp;VAR:P=9","95.691800&amp;VAR:THRESH=||||||&amp;VAR:null=.html"}</definedName>
    <definedName name="_3820__FDSAUDITLINK__" hidden="1">{"fdsup://directions/FAT Viewer?action=UPDATE&amp;creator=factset&amp;DYN_ARGS=TRUE&amp;DOC_NAME=FAT:FQL_AUDITING_CLIENT_TEMPLATE.FAT&amp;display_string=Audit&amp;VAR:KEY=VMNWLAFAZG&amp;VAR:QUERY=RkZfU0FMRVMoQ0FMLDM5MDgyLCwsLCk=&amp;WINDOW=FIRST_POPUP&amp;HEIGHT=450&amp;WIDTH=450&amp;START_MAXIMI","ZED=FALSE&amp;VAR:CALENDAR=US&amp;VAR:SYMBOL=687044&amp;VAR:INDEX=0"}</definedName>
    <definedName name="_3821__FDSAUDITLINK__" hidden="1">{"fdsup://directions/FAT Viewer?action=UPDATE&amp;creator=factset&amp;DYN_ARGS=TRUE&amp;DOC_NAME=FAT:FQL_AUDITING_CLIENT_TEMPLATE.FAT&amp;display_string=Audit&amp;VAR:KEY=VUHEZEHYDS&amp;VAR:QUERY=RkZfU0FMRVMoQ0FMLDM4NzE3LCwsLCk=&amp;WINDOW=FIRST_POPUP&amp;HEIGHT=450&amp;WIDTH=450&amp;START_MAXIMI","ZED=FALSE&amp;VAR:CALENDAR=US&amp;VAR:SYMBOL=687044&amp;VAR:INDEX=0"}</definedName>
    <definedName name="_3822__FDSAUDITLINK__" hidden="1">{"fdsup://directions/FAT Viewer?action=UPDATE&amp;creator=factset&amp;DYN_ARGS=TRUE&amp;DOC_NAME=FAT:FQL_AUDITING_CLIENT_TEMPLATE.FAT&amp;display_string=Audit&amp;VAR:KEY=VEBOPIBOXG&amp;VAR:QUERY=RkZfU0FMRVMoQ0FMLDM4MzUyLCwsLCk=&amp;WINDOW=FIRST_POPUP&amp;HEIGHT=450&amp;WIDTH=450&amp;START_MAXIMI","ZED=FALSE&amp;VAR:CALENDAR=US&amp;VAR:SYMBOL=687044&amp;VAR:INDEX=0"}</definedName>
    <definedName name="_3823__FDSAUDITLINK__" hidden="1">{"fdsup://directions/FAT Viewer?action=UPDATE&amp;creator=factset&amp;DYN_ARGS=TRUE&amp;DOC_NAME=FAT:FQL_AUDITING_CLIENT_TEMPLATE.FAT&amp;display_string=Audit&amp;VAR:KEY=TWJGRYHSBC&amp;VAR:QUERY=RkZfU0FMRVMoQ0FMLDM3OTg2LCwsLCk=&amp;WINDOW=FIRST_POPUP&amp;HEIGHT=450&amp;WIDTH=450&amp;START_MAXIMI","ZED=FALSE&amp;VAR:CALENDAR=US&amp;VAR:SYMBOL=687044&amp;VAR:INDEX=0"}</definedName>
    <definedName name="_3824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3825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3826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3827__FDSAUDITLINK__" hidden="1">{"fdsup://directions/FAT Viewer?action=UPDATE&amp;creator=factset&amp;DYN_ARGS=TRUE&amp;DOC_NAME=FAT:FQL_AUDITING_CLIENT_TEMPLATE.FAT&amp;display_string=Audit&amp;VAR:KEY=FGNGDYBWJI&amp;VAR:QUERY=RkZfU0FMRVMoQ0FMLDM5NDQ3LCwsLCk=&amp;WINDOW=FIRST_POPUP&amp;HEIGHT=450&amp;WIDTH=450&amp;START_MAXIMI","ZED=FALSE&amp;VAR:CALENDAR=US&amp;VAR:SYMBOL=BMY&amp;VAR:INDEX=0"}</definedName>
    <definedName name="_3828__FDSAUDITLINK__" hidden="1">{"fdsup://directions/FAT Viewer?action=UPDATE&amp;creator=factset&amp;DYN_ARGS=TRUE&amp;DOC_NAME=FAT:FQL_AUDITING_CLIENT_TEMPLATE.FAT&amp;display_string=Audit&amp;VAR:KEY=ZEPMHOTKTQ&amp;VAR:QUERY=RkZfU0FMRVMoQ0FMLDM5MDgyLCwsLCk=&amp;WINDOW=FIRST_POPUP&amp;HEIGHT=450&amp;WIDTH=450&amp;START_MAXIMI","ZED=FALSE&amp;VAR:CALENDAR=US&amp;VAR:SYMBOL=BMY&amp;VAR:INDEX=0"}</definedName>
    <definedName name="_3829__FDSAUDITLINK__" hidden="1">{"fdsup://directions/FAT Viewer?action=UPDATE&amp;creator=factset&amp;DYN_ARGS=TRUE&amp;DOC_NAME=FAT:FQL_AUDITING_CLIENT_TEMPLATE.FAT&amp;display_string=Audit&amp;VAR:KEY=ZSRUVKHGFO&amp;VAR:QUERY=RkZfU0FMRVMoQ0FMLDM4NzE3LCwsLCk=&amp;WINDOW=FIRST_POPUP&amp;HEIGHT=450&amp;WIDTH=450&amp;START_MAXIMI","ZED=FALSE&amp;VAR:CALENDAR=US&amp;VAR:SYMBOL=BMY&amp;VAR:INDEX=0"}</definedName>
    <definedName name="_383__FDSAUDITLINK__" hidden="1">{"fdsup://directions/FAT%20Viewer?VAR:TM=NTMA&amp;VAR:PCT=0.550685&amp;VAR:Y0=2003&amp;VAR:Y1=2004&amp;VAR:V0=18.443275&amp;VAR:V1=16.358520&amp;VAR:V=17.444385&amp;VAR:AUDIT_ID=00000117&amp;VAR:DATE=20030613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Aggregates&amp;VAR:MEASURE=PE_MEAN&amp;VAR:CALC_MODE=PORTFOLIO&amp;VAR:CHGPERIOD=NA&amp;VAR:FQLFORMULA=FMA_PE&amp;VAR:CURRENCY=USD&amp;VAR:P=9","88.609400&amp;VAR:THRESH=||||||&amp;VAR:null=.html"}</definedName>
    <definedName name="_3830__FDSAUDITLINK__" hidden="1">{"fdsup://directions/FAT Viewer?action=UPDATE&amp;creator=factset&amp;DYN_ARGS=TRUE&amp;DOC_NAME=FAT:FQL_AUDITING_CLIENT_TEMPLATE.FAT&amp;display_string=Audit&amp;VAR:KEY=LWZIXAXMJY&amp;VAR:QUERY=RkZfU0FMRVMoQ0FMLDM4MzUyLCwsLCk=&amp;WINDOW=FIRST_POPUP&amp;HEIGHT=450&amp;WIDTH=450&amp;START_MAXIMI","ZED=FALSE&amp;VAR:CALENDAR=US&amp;VAR:SYMBOL=BMY&amp;VAR:INDEX=0"}</definedName>
    <definedName name="_3831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3832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3833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3834__FDSAUDITLINK__" hidden="1">{"fdsup://directions/FAT Viewer?action=UPDATE&amp;creator=factset&amp;DYN_ARGS=TRUE&amp;DOC_NAME=FAT:FQL_AUDITING_CLIENT_TEMPLATE.FAT&amp;display_string=Audit&amp;VAR:KEY=ZMZGTAHWVI&amp;VAR:QUERY=RkZfU0FMRVMoQ0FMLDM5NDQ3LCwsLCk=&amp;WINDOW=FIRST_POPUP&amp;HEIGHT=450&amp;WIDTH=450&amp;START_MAXIMI","ZED=FALSE&amp;VAR:CALENDAR=US&amp;VAR:SYMBOL=LLY&amp;VAR:INDEX=0"}</definedName>
    <definedName name="_3835__FDSAUDITLINK__" hidden="1">{"fdsup://directions/FAT Viewer?action=UPDATE&amp;creator=factset&amp;DYN_ARGS=TRUE&amp;DOC_NAME=FAT:FQL_AUDITING_CLIENT_TEMPLATE.FAT&amp;display_string=Audit&amp;VAR:KEY=VGZWFCPGLW&amp;VAR:QUERY=RkZfU0FMRVMoQ0FMLDM5MDgyLCwsLCk=&amp;WINDOW=FIRST_POPUP&amp;HEIGHT=450&amp;WIDTH=450&amp;START_MAXIMI","ZED=FALSE&amp;VAR:CALENDAR=US&amp;VAR:SYMBOL=LLY&amp;VAR:INDEX=0"}</definedName>
    <definedName name="_3836__FDSAUDITLINK__" hidden="1">{"fdsup://directions/FAT Viewer?action=UPDATE&amp;creator=factset&amp;DYN_ARGS=TRUE&amp;DOC_NAME=FAT:FQL_AUDITING_CLIENT_TEMPLATE.FAT&amp;display_string=Audit&amp;VAR:KEY=NMLWPYZODY&amp;VAR:QUERY=RkZfU0FMRVMoQ0FMLDM4NzE3LCwsLCk=&amp;WINDOW=FIRST_POPUP&amp;HEIGHT=450&amp;WIDTH=450&amp;START_MAXIMI","ZED=FALSE&amp;VAR:CALENDAR=US&amp;VAR:SYMBOL=LLY&amp;VAR:INDEX=0"}</definedName>
    <definedName name="_3837__FDSAUDITLINK__" hidden="1">{"fdsup://directions/FAT Viewer?action=UPDATE&amp;creator=factset&amp;DYN_ARGS=TRUE&amp;DOC_NAME=FAT:FQL_AUDITING_CLIENT_TEMPLATE.FAT&amp;display_string=Audit&amp;VAR:KEY=XERCTWXSFY&amp;VAR:QUERY=RkZfU0FMRVMoQ0FMLDM4MzUyLCwsLCk=&amp;WINDOW=FIRST_POPUP&amp;HEIGHT=450&amp;WIDTH=450&amp;START_MAXIMI","ZED=FALSE&amp;VAR:CALENDAR=US&amp;VAR:SYMBOL=LLY&amp;VAR:INDEX=0"}</definedName>
    <definedName name="_3838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3839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384__FDSAUDITLINK__" hidden="1">{"fdsup://directions/FAT%20Viewer?VAR:TM=NTMA&amp;VAR:PCT=0.569863&amp;VAR:Y0=2003&amp;VAR:Y1=2004&amp;VAR:V0=18.434488&amp;VAR:V1=16.344835&amp;VAR:V=17.473579&amp;VAR:AUDIT_ID=00000117&amp;VAR:DATE=20030606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Aggregates&amp;VAR:MEASURE=PE_MEAN&amp;VAR:CALC_MODE=PORTFOLIO&amp;VAR:CHGPERIOD=NA&amp;VAR:FQLFORMULA=FMA_PE&amp;VAR:CURRENCY=USD&amp;VAR:P=9","87.761600&amp;VAR:THRESH=||||||&amp;VAR:null=.html"}</definedName>
    <definedName name="_3840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3841__FDSAUDITLINK__" hidden="1">{"fdsup://directions/FAT Viewer?action=UPDATE&amp;creator=factset&amp;DYN_ARGS=TRUE&amp;DOC_NAME=FAT:FQL_AUDITING_CLIENT_TEMPLATE.FAT&amp;display_string=Audit&amp;VAR:KEY=VGFMRYZUDQ&amp;VAR:QUERY=RkZfU0FMRVMoQ0FMLDM5NDQ3LCwsLCk=&amp;WINDOW=FIRST_POPUP&amp;HEIGHT=450&amp;WIDTH=450&amp;START_MAXIMI","ZED=FALSE&amp;VAR:CALENDAR=US&amp;VAR:SYMBOL=506921&amp;VAR:INDEX=0"}</definedName>
    <definedName name="_3842__FDSAUDITLINK__" hidden="1">{"fdsup://directions/FAT Viewer?action=UPDATE&amp;creator=factset&amp;DYN_ARGS=TRUE&amp;DOC_NAME=FAT:FQL_AUDITING_CLIENT_TEMPLATE.FAT&amp;display_string=Audit&amp;VAR:KEY=PYPMDAJYFY&amp;VAR:QUERY=RkZfU0FMRVMoQ0FMLDM5MDgyLCwsLCk=&amp;WINDOW=FIRST_POPUP&amp;HEIGHT=450&amp;WIDTH=450&amp;START_MAXIMI","ZED=FALSE&amp;VAR:CALENDAR=US&amp;VAR:SYMBOL=506921&amp;VAR:INDEX=0"}</definedName>
    <definedName name="_3843__FDSAUDITLINK__" hidden="1">{"fdsup://directions/FAT Viewer?action=UPDATE&amp;creator=factset&amp;DYN_ARGS=TRUE&amp;DOC_NAME=FAT:FQL_AUDITING_CLIENT_TEMPLATE.FAT&amp;display_string=Audit&amp;VAR:KEY=FGLEFQPUNK&amp;VAR:QUERY=RkZfU0FMRVMoQ0FMLDM4NzE3LCwsLCk=&amp;WINDOW=FIRST_POPUP&amp;HEIGHT=450&amp;WIDTH=450&amp;START_MAXIMI","ZED=FALSE&amp;VAR:CALENDAR=US&amp;VAR:SYMBOL=506921&amp;VAR:INDEX=0"}</definedName>
    <definedName name="_3844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3845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3846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3847__FDSAUDITLINK__" hidden="1">{"fdsup://directions/FAT Viewer?action=UPDATE&amp;creator=factset&amp;DYN_ARGS=TRUE&amp;DOC_NAME=FAT:FQL_AUDITING_CLIENT_TEMPLATE.FAT&amp;display_string=Audit&amp;VAR:KEY=XUVOBOTILK&amp;VAR:QUERY=RkZfU0FMRVMoQ0FMLDM5NDQ3LCwsLCk=&amp;WINDOW=FIRST_POPUP&amp;HEIGHT=450&amp;WIDTH=450&amp;START_MAXIMI","ZED=FALSE&amp;VAR:CALENDAR=US&amp;VAR:SYMBOL=567173&amp;VAR:INDEX=0"}</definedName>
    <definedName name="_3848__FDSAUDITLINK__" hidden="1">{"fdsup://directions/FAT Viewer?action=UPDATE&amp;creator=factset&amp;DYN_ARGS=TRUE&amp;DOC_NAME=FAT:FQL_AUDITING_CLIENT_TEMPLATE.FAT&amp;display_string=Audit&amp;VAR:KEY=TUNGLUVQJS&amp;VAR:QUERY=RkZfU0FMRVMoQ0FMLDM5MDgyLCwsLCk=&amp;WINDOW=FIRST_POPUP&amp;HEIGHT=450&amp;WIDTH=450&amp;START_MAXIMI","ZED=FALSE&amp;VAR:CALENDAR=US&amp;VAR:SYMBOL=567173&amp;VAR:INDEX=0"}</definedName>
    <definedName name="_3849__FDSAUDITLINK__" hidden="1">{"fdsup://directions/FAT Viewer?action=UPDATE&amp;creator=factset&amp;DYN_ARGS=TRUE&amp;DOC_NAME=FAT:FQL_AUDITING_CLIENT_TEMPLATE.FAT&amp;display_string=Audit&amp;VAR:KEY=ZCZKRMREJQ&amp;VAR:QUERY=RkZfU0FMRVMoQ0FMLDM4NzE3LCwsLCk=&amp;WINDOW=FIRST_POPUP&amp;HEIGHT=450&amp;WIDTH=450&amp;START_MAXIMI","ZED=FALSE&amp;VAR:CALENDAR=US&amp;VAR:SYMBOL=567173&amp;VAR:INDEX=0"}</definedName>
    <definedName name="_385__FDSAUDITLINK__" hidden="1">{"fdsup://directions/FAT%20Viewer?VAR:TM=NTMA&amp;VAR:PCT=0.589041&amp;VAR:Y0=2003&amp;VAR:Y1=2004&amp;VAR:V0=17.997120&amp;VAR:V1=15.908051&amp;VAR:V=17.075589&amp;VAR:AUDIT_ID=00000117&amp;VAR:DATE=20030530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Aggregates&amp;VAR:MEASURE=PE_MEAN&amp;VAR:CALC_MODE=PORTFOLIO&amp;VAR:CHGPERIOD=NA&amp;VAR:FQLFORMULA=FMA_PE&amp;VAR:CURRENCY=USD&amp;VAR:P=9","63.586800&amp;VAR:THRESH=||||||&amp;VAR:null=.html"}</definedName>
    <definedName name="_3850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3851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3852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3853__FDSAUDITLINK__" hidden="1">{"fdsup://directions/FAT Viewer?action=UPDATE&amp;creator=factset&amp;DYN_ARGS=TRUE&amp;DOC_NAME=FAT:FQL_AUDITING_CLIENT_TEMPLATE.FAT&amp;display_string=Audit&amp;VAR:KEY=NSBWVCLYDE&amp;VAR:QUERY=RkZfU0FMRVMoQ0FMLDM5NDQ3LCwsLCk=&amp;WINDOW=FIRST_POPUP&amp;HEIGHT=450&amp;WIDTH=450&amp;START_MAXIMI","ZED=FALSE&amp;VAR:CALENDAR=US&amp;VAR:SYMBOL=JNJ&amp;VAR:INDEX=0"}</definedName>
    <definedName name="_3854__FDSAUDITLINK__" hidden="1">{"fdsup://directions/FAT Viewer?action=UPDATE&amp;creator=factset&amp;DYN_ARGS=TRUE&amp;DOC_NAME=FAT:FQL_AUDITING_CLIENT_TEMPLATE.FAT&amp;display_string=Audit&amp;VAR:KEY=VCFODGNGBS&amp;VAR:QUERY=RkZfU0FMRVMoQ0FMLDM5MDgyLCwsLCk=&amp;WINDOW=FIRST_POPUP&amp;HEIGHT=450&amp;WIDTH=450&amp;START_MAXIMI","ZED=FALSE&amp;VAR:CALENDAR=US&amp;VAR:SYMBOL=JNJ&amp;VAR:INDEX=0"}</definedName>
    <definedName name="_3855__FDSAUDITLINK__" hidden="1">{"fdsup://directions/FAT Viewer?action=UPDATE&amp;creator=factset&amp;DYN_ARGS=TRUE&amp;DOC_NAME=FAT:FQL_AUDITING_CLIENT_TEMPLATE.FAT&amp;display_string=Audit&amp;VAR:KEY=FMJMDKHKDK&amp;VAR:QUERY=RkZfU0FMRVMoQ0FMLDM4NzE3LCwsLCk=&amp;WINDOW=FIRST_POPUP&amp;HEIGHT=450&amp;WIDTH=450&amp;START_MAXIMI","ZED=FALSE&amp;VAR:CALENDAR=US&amp;VAR:SYMBOL=JNJ&amp;VAR:INDEX=0"}</definedName>
    <definedName name="_3856__FDSAUDITLINK__" hidden="1">{"fdsup://directions/FAT Viewer?action=UPDATE&amp;creator=factset&amp;DYN_ARGS=TRUE&amp;DOC_NAME=FAT:FQL_AUDITING_CLIENT_TEMPLATE.FAT&amp;display_string=Audit&amp;VAR:KEY=ZWTENCPKDC&amp;VAR:QUERY=RkZfU0FMRVMoQ0FMLDM4MzUyLCwsLCk=&amp;WINDOW=FIRST_POPUP&amp;HEIGHT=450&amp;WIDTH=450&amp;START_MAXIMI","ZED=FALSE&amp;VAR:CALENDAR=US&amp;VAR:SYMBOL=JNJ&amp;VAR:INDEX=0"}</definedName>
    <definedName name="_3857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3858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3859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386__FDSAUDITLINK__" hidden="1">{"fdsup://directions/FAT%20Viewer?VAR:TM=NTMA&amp;VAR:PCT=0.608219&amp;VAR:Y0=2003&amp;VAR:Y1=2004&amp;VAR:V0=17.423988&amp;VAR:V1=15.398632&amp;VAR:V=16.570125&amp;VAR:AUDIT_ID=00000117&amp;VAR:DATE=20030523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Aggregates&amp;VAR:MEASURE=PE_MEAN&amp;VAR:CALC_MODE=PORTFOLIO&amp;VAR:CHGPERIOD=NA&amp;VAR:FQLFORMULA=FMA_PE&amp;VAR:CURRENCY=USD&amp;VAR:P=9","33.223600&amp;VAR:THRESH=||||||&amp;VAR:null=.html"}</definedName>
    <definedName name="_3860__FDSAUDITLINK__" hidden="1">{"fdsup://directions/FAT Viewer?action=UPDATE&amp;creator=factset&amp;DYN_ARGS=TRUE&amp;DOC_NAME=FAT:FQL_AUDITING_CLIENT_TEMPLATE.FAT&amp;display_string=Audit&amp;VAR:KEY=LMVERYPEZG&amp;VAR:QUERY=RkZfU0FMRVMoQ0FMLDM5NDQ3LCwsLCk=&amp;WINDOW=FIRST_POPUP&amp;HEIGHT=450&amp;WIDTH=450&amp;START_MAXIMI","ZED=FALSE&amp;VAR:CALENDAR=US&amp;VAR:SYMBOL=710306&amp;VAR:INDEX=0"}</definedName>
    <definedName name="_3861__FDSAUDITLINK__" hidden="1">{"fdsup://directions/FAT Viewer?action=UPDATE&amp;creator=factset&amp;DYN_ARGS=TRUE&amp;DOC_NAME=FAT:FQL_AUDITING_CLIENT_TEMPLATE.FAT&amp;display_string=Audit&amp;VAR:KEY=XQLOLCJYLW&amp;VAR:QUERY=RkZfU0FMRVMoQ0FMLDM5MDgyLCwsLCk=&amp;WINDOW=FIRST_POPUP&amp;HEIGHT=450&amp;WIDTH=450&amp;START_MAXIMI","ZED=FALSE&amp;VAR:CALENDAR=US&amp;VAR:SYMBOL=710306&amp;VAR:INDEX=0"}</definedName>
    <definedName name="_3862__FDSAUDITLINK__" hidden="1">{"fdsup://directions/FAT Viewer?action=UPDATE&amp;creator=factset&amp;DYN_ARGS=TRUE&amp;DOC_NAME=FAT:FQL_AUDITING_CLIENT_TEMPLATE.FAT&amp;display_string=Audit&amp;VAR:KEY=JIVKRKVAXY&amp;VAR:QUERY=RkZfU0FMRVMoQ0FMLDM4NzE3LCwsLCk=&amp;WINDOW=FIRST_POPUP&amp;HEIGHT=450&amp;WIDTH=450&amp;START_MAXIMI","ZED=FALSE&amp;VAR:CALENDAR=US&amp;VAR:SYMBOL=710306&amp;VAR:INDEX=0"}</definedName>
    <definedName name="_3863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3864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3865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3866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3867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3868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3869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387__FDSAUDITLINK__" hidden="1">{"fdsup://directions/FAT%20Viewer?VAR:TM=NTMA&amp;VAR:PCT=0.627397&amp;VAR:Y0=2003&amp;VAR:Y1=2004&amp;VAR:V0=17.678179&amp;VAR:V1=15.617329&amp;VAR:V=16.849707&amp;VAR:AUDIT_ID=00000117&amp;VAR:DATE=20030516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Aggregates&amp;VAR:MEASURE=PE_MEAN&amp;VAR:CALC_MODE=PORTFOLIO&amp;VAR:CHGPERIOD=NA&amp;VAR:FQLFORMULA=FMA_PE&amp;VAR:CURRENCY=USD&amp;VAR:P=9","44.298770&amp;VAR:THRESH=||||||&amp;VAR:null=.html"}</definedName>
    <definedName name="_3870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3871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3872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3873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3874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3875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3876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3877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3878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3879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388__FDSAUDITLINK__" hidden="1">{"fdsup://directions/FAT%20Viewer?VAR:TM=NTMA&amp;VAR:PCT=0.646575&amp;VAR:Y0=2003&amp;VAR:Y1=2004&amp;VAR:V0=17.494696&amp;VAR:V1=15.432412&amp;VAR:V=16.705698&amp;VAR:AUDIT_ID=00000117&amp;VAR:DATE=20030509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Aggregates&amp;VAR:MEASURE=PE_MEAN&amp;VAR:CALC_MODE=PORTFOLIO&amp;VAR:CHGPERIOD=NA&amp;VAR:FQLFORMULA=FMA_PE&amp;VAR:CURRENCY=USD&amp;VAR:P=9","33.406600&amp;VAR:THRESH=||||||&amp;VAR:null=.html"}</definedName>
    <definedName name="_3880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3881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3882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3883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3884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3885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3886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3887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3888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3889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389__FDSAUDITLINK__" hidden="1">{"fdsup://directions/FAT%20Viewer?VAR:TM=NTMA&amp;VAR:PCT=0.665753&amp;VAR:Y0=2003&amp;VAR:Y1=2004&amp;VAR:V0=17.458930&amp;VAR:V1=15.369623&amp;VAR:V=16.700132&amp;VAR:AUDIT_ID=00000117&amp;VAR:DATE=20030502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Aggregates&amp;VAR:MEASURE=PE_MEAN&amp;VAR:CALC_MODE=PORTFOLIO&amp;VAR:CHGPERIOD=NA&amp;VAR:FQLFORMULA=FMA_PE&amp;VAR:CURRENCY=USD&amp;VAR:P=9","30.075400&amp;VAR:THRESH=||||||&amp;VAR:null=.html"}</definedName>
    <definedName name="_3890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3891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3892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3893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3894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3895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3896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3897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3898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3899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39__FDSAUDITLINK__" hidden="1">{"fdsup://directions/FAT%20Viewer?VAR:TM=NTMA&amp;VAR:PCT=0.958904&amp;VAR:Y0=2010&amp;VAR:Y1=2011&amp;VAR:V0=14.485647&amp;VAR:V1=12.011519&amp;VAR:V=14.364056&amp;VAR:AUDIT_ID=00000117&amp;VAR:DATE=20100115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Aggregates&amp;VAR:MEASURE=PE_MEAN&amp;VAR:CALC_MODE=PORTFOLIO&amp;VAR:CHGPERIOD=NA&amp;VAR:FQLFORMULA=FMA_PE&amp;VAR:CURRENCY=USD&amp;VAR:P=1","136.028881&amp;VAR:THRESH=||||||&amp;VAR:null=.html"}</definedName>
    <definedName name="_390__FDSAUDITLINK__" hidden="1">{"fdsup://directions/FAT%20Viewer?VAR:TM=NTMA&amp;VAR:PCT=0.684932&amp;VAR:Y0=2003&amp;VAR:Y1=2004&amp;VAR:V0=16.874498&amp;VAR:V1=14.828925&amp;VAR:V=16.171645&amp;VAR:AUDIT_ID=00000117&amp;VAR:DATE=20030425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Aggregates&amp;VAR:MEASURE=PE_MEAN&amp;VAR:CALC_MODE=PORTFOLIO&amp;VAR:CHGPERIOD=NA&amp;VAR:FQLFORMULA=FMA_PE&amp;VAR:CURRENCY=USD&amp;VAR:P=8","98.814100&amp;VAR:THRESH=||||||&amp;VAR:null=.html"}</definedName>
    <definedName name="_3900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3901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3902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3903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3904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3905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3906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3907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3908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3909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391__FDSAUDITLINK__" hidden="1">{"fdsup://directions/FAT%20Viewer?VAR:TM=NTMA&amp;VAR:PCT=0.706849&amp;VAR:Y0=2003&amp;VAR:Y1=2004&amp;VAR:V0=16.800713&amp;VAR:V1=14.739046&amp;VAR:V=16.138931&amp;VAR:AUDIT_ID=00000117&amp;VAR:DATE=20030417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Aggregates&amp;VAR:MEASURE=PE_MEAN&amp;VAR:CALC_MODE=PORTFOLIO&amp;VAR:CHGPERIOD=NA&amp;VAR:FQLFORMULA=FMA_PE&amp;VAR:CURRENCY=USD&amp;VAR:P=8","93.582100&amp;VAR:THRESH=||||||&amp;VAR:null=.html"}</definedName>
    <definedName name="_3910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3911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3912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3913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3914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3915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3916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3917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3918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3919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392__FDSAUDITLINK__" hidden="1">{"fdsup://directions/FAT%20Viewer?VAR:TM=NTMA&amp;VAR:PCT=0.723288&amp;VAR:Y0=2003&amp;VAR:Y1=2004&amp;VAR:V0=16.366750&amp;VAR:V1=14.343668&amp;VAR:V=15.751974&amp;VAR:AUDIT_ID=00000117&amp;VAR:DATE=20030411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Aggregates&amp;VAR:MEASURE=PE_MEAN&amp;VAR:CALC_MODE=PORTFOLIO&amp;VAR:CHGPERIOD=NA&amp;VAR:FQLFORMULA=FMA_PE&amp;VAR:CURRENCY=USD&amp;VAR:P=8","68.301700&amp;VAR:THRESH=||||||&amp;VAR:null=.html"}</definedName>
    <definedName name="_3920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3921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3922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3923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3924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3925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3926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3927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3928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3929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393__FDSAUDITLINK__" hidden="1">{"fdsup://directions/FAT%20Viewer?VAR:TM=NTMA&amp;VAR:PCT=0.742466&amp;VAR:Y0=2003&amp;VAR:Y1=2004&amp;VAR:V0=16.555330&amp;VAR:V1=14.383667&amp;VAR:V=15.935705&amp;VAR:AUDIT_ID=00000117&amp;VAR:DATE=20030404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Aggregates&amp;VAR:MEASURE=PE_MEAN&amp;VAR:CALC_MODE=PORTFOLIO&amp;VAR:CHGPERIOD=NA&amp;VAR:FQLFORMULA=FMA_PE&amp;VAR:CURRENCY=USD&amp;VAR:P=8","78.852500&amp;VAR:THRESH=||||||&amp;VAR:null=.html"}</definedName>
    <definedName name="_3930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3931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3932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3933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3934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3935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3936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3937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3938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3939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394__FDSAUDITLINK__" hidden="1">{"fdsup://directions/FAT%20Viewer?VAR:TM=NTMA&amp;VAR:PCT=0.761644&amp;VAR:Y0=2003&amp;VAR:Y1=2004&amp;VAR:V0=16.239182&amp;VAR:V1=14.103542&amp;VAR:V=15.673475&amp;VAR:AUDIT_ID=00000117&amp;VAR:DATE=20030328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Aggregates&amp;VAR:MEASURE=PE_MEAN&amp;VAR:CALC_MODE=PORTFOLIO&amp;VAR:CHGPERIOD=NA&amp;VAR:FQLFORMULA=FMA_PE&amp;VAR:CURRENCY=USD&amp;VAR:P=8","63.498660&amp;VAR:THRESH=||||||&amp;VAR:null=.html"}</definedName>
    <definedName name="_3940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3941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3942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3943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3944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3945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3946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3947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3948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3949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395__FDSAUDITLINK__" hidden="1">{"fdsup://directions/FAT%20Viewer?VAR:TM=NTMA&amp;VAR:PCT=0.780822&amp;VAR:Y0=2003&amp;VAR:Y1=2004&amp;VAR:V0=16.807903&amp;VAR:V1=14.624898&amp;VAR:V=16.275437&amp;VAR:AUDIT_ID=00000117&amp;VAR:DATE=20030321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Aggregates&amp;VAR:MEASURE=PE_MEAN&amp;VAR:CALC_MODE=PORTFOLIO&amp;VAR:CHGPERIOD=NA&amp;VAR:FQLFORMULA=FMA_PE&amp;VAR:CURRENCY=USD&amp;VAR:P=8","95.792300&amp;VAR:THRESH=||||||&amp;VAR:null=.html"}</definedName>
    <definedName name="_3950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3951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3952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3953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3954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3955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3956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3957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3958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3959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396__FDSAUDITLINK__" hidden="1">{"fdsup://directions/FAT%20Viewer?VAR:TM=NTMA&amp;VAR:PCT=0.800000&amp;VAR:Y0=2003&amp;VAR:Y1=2004&amp;VAR:V0=15.604338&amp;VAR:V1=13.568165&amp;VAR:V=15.149637&amp;VAR:AUDIT_ID=00000117&amp;VAR:DATE=20030314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Aggregates&amp;VAR:MEASURE=PE_MEAN&amp;VAR:CALC_MODE=PORTFOLIO&amp;VAR:CHGPERIOD=NA&amp;VAR:FQLFORMULA=FMA_PE&amp;VAR:CURRENCY=USD&amp;VAR:P=8","33.271850&amp;VAR:THRESH=||||||&amp;VAR:null=.html"}</definedName>
    <definedName name="_3960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3961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3962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3963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3964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3965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3966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3967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3968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3969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397__FDSAUDITLINK__" hidden="1">{"fdsup://directions/FAT%20Viewer?VAR:TM=NTMA&amp;VAR:PCT=0.819178&amp;VAR:Y0=2003&amp;VAR:Y1=2004&amp;VAR:V0=15.582909&amp;VAR:V1=13.505313&amp;VAR:V=15.161173&amp;VAR:AUDIT_ID=00000117&amp;VAR:DATE=20030307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Aggregates&amp;VAR:MEASURE=PE_MEAN&amp;VAR:CALC_MODE=PORTFOLIO&amp;VAR:CHGPERIOD=NA&amp;VAR:FQLFORMULA=FMA_PE&amp;VAR:CURRENCY=USD&amp;VAR:P=8","28.886540&amp;VAR:THRESH=||||||&amp;VAR:null=.html"}</definedName>
    <definedName name="_3970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3971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3972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3973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3974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3975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3976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3977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3978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3979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398__FDSAUDITLINK__" hidden="1">{"fdsup://directions/FAT%20Viewer?VAR:TM=NTMA&amp;VAR:PCT=0.838356&amp;VAR:Y0=2003&amp;VAR:Y1=2004&amp;VAR:V0=15.773850&amp;VAR:V1=13.661730&amp;VAR:V=15.389267&amp;VAR:AUDIT_ID=00000117&amp;VAR:DATE=20030228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Aggregates&amp;VAR:MEASURE=PE_MEAN&amp;VAR:CALC_MODE=PORTFOLIO&amp;VAR:CHGPERIOD=NA&amp;VAR:FQLFORMULA=FMA_PE&amp;VAR:CURRENCY=USD&amp;VAR:P=8","41.150200&amp;VAR:THRESH=||||||&amp;VAR:null=.html"}</definedName>
    <definedName name="_3980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3981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3982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3983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3984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3985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3986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3987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3988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3989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399__FDSAUDITLINK__" hidden="1">{"fdsup://directions/FAT%20Viewer?VAR:TM=NTMA&amp;VAR:PCT=0.857534&amp;VAR:Y0=2003&amp;VAR:Y1=2004&amp;VAR:V0=15.902116&amp;VAR:V1=13.794832&amp;VAR:V=15.563411&amp;VAR:AUDIT_ID=00000117&amp;VAR:DATE=20030221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Aggregates&amp;VAR:MEASURE=PE_MEAN&amp;VAR:CALC_MODE=PORTFOLIO&amp;VAR:CHGPERIOD=NA&amp;VAR:FQLFORMULA=FMA_PE&amp;VAR:CURRENCY=USD&amp;VAR:P=8","48.170840&amp;VAR:THRESH=||||||&amp;VAR:null=.html"}</definedName>
    <definedName name="_3990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3991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3992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3993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3994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3995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3996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3997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3998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3999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4__FDSAUDITLINK__" hidden="1">{"fdsup://directions/FAT%20Viewer?VAR:TM=NTMA&amp;VAR:PCT=0.287671&amp;VAR:Y0=2010&amp;VAR:Y1=2011&amp;VAR:V0=13.473859&amp;VAR:V1=11.749004&amp;VAR:V=12.198218&amp;VAR:AUDIT_ID=00000117&amp;VAR:DATE=20100917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Aggregates&amp;VAR:MEASURE=PE_MEAN&amp;VAR:CALC_MODE=PORTFOLIO&amp;VAR:CHGPERIOD=NA&amp;VAR:FQLFORMULA=FMA_PE&amp;VAR:CURRENCY=USD&amp;VAR:P=1","125.592464&amp;VAR:THRESH=||||||&amp;VAR:null=.html"}</definedName>
    <definedName name="_40__FDSAUDITLINK__" hidden="1">{"fdsup://directions/FAT%20Viewer?VAR:TM=NTMA&amp;VAR:PCT=0.978082&amp;VAR:Y0=2010&amp;VAR:Y1=2011&amp;VAR:V0=14.623482&amp;VAR:V1=12.088464&amp;VAR:V=14.556576&amp;VAR:AUDIT_ID=00000117&amp;VAR:DATE=20100108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Aggregates&amp;VAR:MEASURE=PE_MEAN&amp;VAR:CALC_MODE=PORTFOLIO&amp;VAR:CHGPERIOD=NA&amp;VAR:FQLFORMULA=FMA_PE&amp;VAR:CURRENCY=USD&amp;VAR:P=1","144.983058&amp;VAR:THRESH=||||||&amp;VAR:null=.html"}</definedName>
    <definedName name="_400__FDSAUDITLINK__" hidden="1">{"fdsup://directions/FAT%20Viewer?VAR:TM=NTMA&amp;VAR:PCT=0.876712&amp;VAR:Y0=2003&amp;VAR:Y1=2004&amp;VAR:V0=15.631350&amp;VAR:V1=13.573086&amp;VAR:V=15.344474&amp;VAR:AUDIT_ID=00000117&amp;VAR:DATE=20030214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Aggregates&amp;VAR:MEASURE=PE_MEAN&amp;VAR:CALC_MODE=PORTFOLIO&amp;VAR:CHGPERIOD=NA&amp;VAR:FQLFORMULA=FMA_PE&amp;VAR:CURRENCY=USD&amp;VAR:P=8","34.885440&amp;VAR:THRESH=||||||&amp;VAR:null=.html"}</definedName>
    <definedName name="_4000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4001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4002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4003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4004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4005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4006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4007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4008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4009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401__FDSAUDITLINK__" hidden="1">{"fdsup://directions/FAT%20Viewer?VAR:TM=NTMA&amp;VAR:PCT=0.895890&amp;VAR:Y0=2003&amp;VAR:Y1=2004&amp;VAR:V0=15.509253&amp;VAR:V1=13.508102&amp;VAR:V=15.273683&amp;VAR:AUDIT_ID=00000117&amp;VAR:DATE=20030207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Aggregates&amp;VAR:MEASURE=PE_MEAN&amp;VAR:CALC_MODE=PORTFOLIO&amp;VAR:CHGPERIOD=NA&amp;VAR:FQLFORMULA=FMA_PE&amp;VAR:CURRENCY=USD&amp;VAR:P=8","29.691800&amp;VAR:THRESH=||||||&amp;VAR:null=.html"}</definedName>
    <definedName name="_4010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4011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4012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4013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4014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4015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4016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4017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4018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4019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402__FDSAUDITLINK__" hidden="1">{"fdsup://directions/FAT%20Viewer?VAR:TM=NTMA&amp;VAR:PCT=0.915068&amp;VAR:Y0=2003&amp;VAR:Y1=2004&amp;VAR:V0=15.916362&amp;VAR:V1=13.919147&amp;VAR:V=15.724732&amp;VAR:AUDIT_ID=00000117&amp;VAR:DATE=20030131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Aggregates&amp;VAR:MEASURE=PE_MEAN&amp;VAR:CALC_MODE=PORTFOLIO&amp;VAR:CHGPERIOD=NA&amp;VAR:FQLFORMULA=FMA_PE&amp;VAR:CURRENCY=USD&amp;VAR:P=8","55.699900&amp;VAR:THRESH=||||||&amp;VAR:null=.html"}</definedName>
    <definedName name="_4020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4021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4022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4023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4024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4025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4026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4027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4028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4029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403__FDSAUDITLINK__" hidden="1">{"fdsup://directions/FAT%20Viewer?VAR:TM=NTMA&amp;VAR:PCT=0.934247&amp;VAR:Y0=2003&amp;VAR:Y1=2004&amp;VAR:V0=15.888284&amp;VAR:V1=13.903700&amp;VAR:V=15.740551&amp;VAR:AUDIT_ID=00000117&amp;VAR:DATE=20030124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Aggregates&amp;VAR:MEASURE=PE_MEAN&amp;VAR:CALC_MODE=PORTFOLIO&amp;VAR:CHGPERIOD=NA&amp;VAR:FQLFORMULA=FMA_PE&amp;VAR:CURRENCY=USD&amp;VAR:P=8","61.402000&amp;VAR:THRESH=||||||&amp;VAR:null=.html"}</definedName>
    <definedName name="_4030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4031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4032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4033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4034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4035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4036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4037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4038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4039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404__FDSAUDITLINK__" hidden="1">{"fdsup://directions/FAT%20Viewer?VAR:TM=NTMA&amp;VAR:PCT=0.953425&amp;VAR:Y0=2003&amp;VAR:Y1=2004&amp;VAR:V0=16.581610&amp;VAR:V1=14.515875&amp;VAR:V=16.472429&amp;VAR:AUDIT_ID=00000117&amp;VAR:DATE=20030117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Aggregates&amp;VAR:MEASURE=PE_MEAN&amp;VAR:CALC_MODE=PORTFOLIO&amp;VAR:CHGPERIOD=NA&amp;VAR:FQLFORMULA=FMA_PE&amp;VAR:CURRENCY=USD&amp;VAR:P=9","01.784600&amp;VAR:THRESH=||||||&amp;VAR:null=.html"}</definedName>
    <definedName name="_4040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4041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4042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4043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4044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4045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4046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4047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4048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4049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405__FDSAUDITLINK__" hidden="1">{"fdsup://directions/FAT%20Viewer?VAR:TM=NTMA&amp;VAR:PCT=0.972603&amp;VAR:Y0=2003&amp;VAR:Y1=2004&amp;VAR:V0=16.999361&amp;VAR:V1=14.937981&amp;VAR:V=16.935333&amp;VAR:AUDIT_ID=00000117&amp;VAR:DATE=20030110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Aggregates&amp;VAR:MEASURE=PE_MEAN&amp;VAR:CALC_MODE=PORTFOLIO&amp;VAR:CHGPERIOD=NA&amp;VAR:FQLFORMULA=FMA_PE&amp;VAR:CURRENCY=USD&amp;VAR:P=9","27.568400&amp;VAR:THRESH=||||||&amp;VAR:null=.html"}</definedName>
    <definedName name="_4050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4051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4052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4053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4054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4055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4056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4057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4058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4059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406__FDSAUDITLINK__" hidden="1">{"fdsup://directions/FAT%20Viewer?VAR:TM=NTMA&amp;VAR:PCT=0.991781&amp;VAR:Y0=2003&amp;VAR:Y1=2004&amp;VAR:V0=16.640562&amp;VAR:V1=14.794577&amp;VAR:V=16.623514&amp;VAR:AUDIT_ID=00000117&amp;VAR:DATE=20030103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Aggregates&amp;VAR:MEASURE=PE_MEAN&amp;VAR:CALC_MODE=PORTFOLIO&amp;VAR:CHGPERIOD=NA&amp;VAR:FQLFORMULA=FMA_PE&amp;VAR:CURRENCY=USD&amp;VAR:P=9","08.589700&amp;VAR:THRESH=||||||&amp;VAR:null=.html"}</definedName>
    <definedName name="_4060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4061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4062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4063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4064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4065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4066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4067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4068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4069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407__FDSAUDITLINK__" hidden="1">{"fdsup://directions/FAT%20Viewer?VAR:TM=NTMA&amp;VAR:PCT=0.010959&amp;VAR:Y0=2002&amp;VAR:Y1=2003&amp;VAR:V0=18.113293&amp;VAR:V1=16.003641&amp;VAR:V=16.024094&amp;VAR:AUDIT_ID=00000117&amp;VAR:DATE=20021227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Aggregates&amp;VAR:MEASURE=PE_MEAN&amp;VAR:CALC_MODE=PORTFOLIO&amp;VAR:CHGPERIOD=NA&amp;VAR:FQLFORMULA=FMA_PE&amp;VAR:CURRENCY=USD&amp;VAR:P=8","75.395260&amp;VAR:THRESH=||||||&amp;VAR:null=.html"}</definedName>
    <definedName name="_4070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4071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4072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4073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4074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4075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4076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4077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4078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4079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408__FDSAUDITLINK__" hidden="1">{"fdsup://directions/FAT%20Viewer?VAR:TM=NTMA&amp;VAR:PCT=0.030137&amp;VAR:Y0=2002&amp;VAR:Y1=2003&amp;VAR:V0=18.523780&amp;VAR:V1=16.374302&amp;VAR:V=16.431765&amp;VAR:AUDIT_ID=00000117&amp;VAR:DATE=20021220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Aggregates&amp;VAR:MEASURE=PE_MEAN&amp;VAR:CALC_MODE=PORTFOLIO&amp;VAR:CHGPERIOD=NA&amp;VAR:FQLFORMULA=FMA_PE&amp;VAR:CURRENCY=USD&amp;VAR:P=8","95.746460&amp;VAR:THRESH=||||||&amp;VAR:null=.html"}</definedName>
    <definedName name="_4080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4081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4082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4083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4084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4085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4086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4087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4088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4089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409__FDSAUDITLINK__" hidden="1">{"fdsup://directions/FAT%20Viewer?VAR:TM=NTMA&amp;VAR:PCT=0.049315&amp;VAR:Y0=2002&amp;VAR:Y1=2003&amp;VAR:V0=18.378489&amp;VAR:V1=16.253963&amp;VAR:V=16.347154&amp;VAR:AUDIT_ID=00000117&amp;VAR:DATE=20021213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Aggregates&amp;VAR:MEASURE=PE_MEAN&amp;VAR:CALC_MODE=PORTFOLIO&amp;VAR:CHGPERIOD=NA&amp;VAR:FQLFORMULA=FMA_PE&amp;VAR:CURRENCY=USD&amp;VAR:P=8","89.478330&amp;VAR:THRESH=||||||&amp;VAR:null=.html"}</definedName>
    <definedName name="_4090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4091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4092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4093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4094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4095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4096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4097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4098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4099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41__FDSAUDITLINK__" hidden="1">{"fdsup://directions/FAT%20Viewer?VAR:TM=NTMA&amp;VAR:PCT=0.000000&amp;VAR:Y0=2009&amp;VAR:Y1=2010&amp;VAR:V0=18.304518&amp;VAR:V1=14.260604&amp;VAR:V=14.260604&amp;VAR:AUDIT_ID=00000117&amp;VAR:DATE=20091231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Aggregates&amp;VAR:MEASURE=PE_MEAN&amp;VAR:CALC_MODE=PORTFOLIO&amp;VAR:CHGPERIOD=NA&amp;VAR:FQLFORMULA=FMA_PE&amp;VAR:CURRENCY=USD&amp;VAR:P=1","115.102681&amp;VAR:THRESH=||||||&amp;VAR:null=.html"}</definedName>
    <definedName name="_410__FDSAUDITLINK__" hidden="1">{"fdsup://directions/FAT%20Viewer?VAR:TM=NTMA&amp;VAR:PCT=0.068493&amp;VAR:Y0=2002&amp;VAR:Y1=2003&amp;VAR:V0=18.837280&amp;VAR:V1=16.633669&amp;VAR:V=16.768021&amp;VAR:AUDIT_ID=00000117&amp;VAR:DATE=20021206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Aggregates&amp;VAR:MEASURE=PE_MEAN&amp;VAR:CALC_MODE=PORTFOLIO&amp;VAR:CHGPERIOD=NA&amp;VAR:FQLFORMULA=FMA_PE&amp;VAR:CURRENCY=USD&amp;VAR:P=9","12.232900&amp;VAR:THRESH=||||||&amp;VAR:null=.html"}</definedName>
    <definedName name="_4100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4101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4102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4103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4104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4105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4106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4107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4108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4109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411__FDSAUDITLINK__" hidden="1">{"fdsup://directions/FAT%20Viewer?VAR:TM=NTMA&amp;VAR:PCT=0.087671&amp;VAR:Y0=2002&amp;VAR:Y1=2003&amp;VAR:V0=19.322590&amp;VAR:V1=17.011270&amp;VAR:V=17.191558&amp;VAR:AUDIT_ID=00000117&amp;VAR:DATE=20021129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Aggregates&amp;VAR:MEASURE=PE_MEAN&amp;VAR:CALC_MODE=PORTFOLIO&amp;VAR:CHGPERIOD=NA&amp;VAR:FQLFORMULA=FMA_PE&amp;VAR:CURRENCY=USD&amp;VAR:P=9","36.313660&amp;VAR:THRESH=||||||&amp;VAR:null=.html"}</definedName>
    <definedName name="_4110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4111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4112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4113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4114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4115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4116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4117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4118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4119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412__FDSAUDITLINK__" hidden="1">{"fdsup://directions/FAT%20Viewer?VAR:TM=NTMA&amp;VAR:PCT=0.106849&amp;VAR:Y0=2002&amp;VAR:Y1=2003&amp;VAR:V0=19.170547&amp;VAR:V1=16.851060&amp;VAR:V=17.071763&amp;VAR:AUDIT_ID=00000117&amp;VAR:DATE=20021122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Aggregates&amp;VAR:MEASURE=PE_MEAN&amp;VAR:CALC_MODE=PORTFOLIO&amp;VAR:CHGPERIOD=NA&amp;VAR:FQLFORMULA=FMA_PE&amp;VAR:CURRENCY=USD&amp;VAR:P=9","30.547900&amp;VAR:THRESH=||||||&amp;VAR:null=.html"}</definedName>
    <definedName name="_4120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4121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4122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4123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4124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4125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4126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4127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4128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4129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413__FDSAUDITLINK__" hidden="1">{"fdsup://directions/FAT%20Viewer?VAR:TM=NTMA&amp;VAR:PCT=0.126027&amp;VAR:Y0=2002&amp;VAR:Y1=2003&amp;VAR:V0=18.646944&amp;VAR:V1=16.370821&amp;VAR:V=16.626595&amp;VAR:AUDIT_ID=00000117&amp;VAR:DATE=20021115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Aggregates&amp;VAR:MEASURE=PE_MEAN&amp;VAR:CALC_MODE=PORTFOLIO&amp;VAR:CHGPERIOD=NA&amp;VAR:FQLFORMULA=FMA_PE&amp;VAR:CURRENCY=USD&amp;VAR:P=9","09.834660&amp;VAR:THRESH=||||||&amp;VAR:null=.html"}</definedName>
    <definedName name="_4130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4131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4132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4133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4134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4135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4136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4137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4138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4139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414__FDSAUDITLINK__" hidden="1">{"fdsup://directions/FAT%20Viewer?VAR:TM=NTMA&amp;VAR:PCT=0.145205&amp;VAR:Y0=2002&amp;VAR:Y1=2003&amp;VAR:V0=18.302273&amp;VAR:V1=16.042349&amp;VAR:V=16.335234&amp;VAR:AUDIT_ID=00000117&amp;VAR:DATE=20021108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Aggregates&amp;VAR:MEASURE=PE_MEAN&amp;VAR:CALC_MODE=PORTFOLIO&amp;VAR:CHGPERIOD=NA&amp;VAR:FQLFORMULA=FMA_PE&amp;VAR:CURRENCY=USD&amp;VAR:P=8","94.742300&amp;VAR:THRESH=||||||&amp;VAR:null=.html"}</definedName>
    <definedName name="_4140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4141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4142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4143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4144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4145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4146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4147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4148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4149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415__FDSAUDITLINK__" hidden="1">{"fdsup://directions/FAT%20Viewer?VAR:TM=NTMA&amp;VAR:PCT=0.164384&amp;VAR:Y0=2002&amp;VAR:Y1=2003&amp;VAR:V0=18.420502&amp;VAR:V1=16.077822&amp;VAR:V=16.421121&amp;VAR:AUDIT_ID=00000117&amp;VAR:DATE=20021101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Aggregates&amp;VAR:MEASURE=PE_MEAN&amp;VAR:CALC_MODE=PORTFOLIO&amp;VAR:CHGPERIOD=NA&amp;VAR:FQLFORMULA=FMA_PE&amp;VAR:CURRENCY=USD&amp;VAR:P=9","00.963600&amp;VAR:THRESH=||||||&amp;VAR:null=.html"}</definedName>
    <definedName name="_4150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4151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4152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4153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4154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4155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4156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4157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4158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4159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416__FDSAUDITLINK__" hidden="1">{"fdsup://directions/FAT%20Viewer?VAR:TM=NTMA&amp;VAR:PCT=0.183562&amp;VAR:Y0=2002&amp;VAR:Y1=2003&amp;VAR:V0=18.326984&amp;VAR:V1=15.944178&amp;VAR:V=16.334005&amp;VAR:AUDIT_ID=00000117&amp;VAR:DATE=20021025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Aggregates&amp;VAR:MEASURE=PE_MEAN&amp;VAR:CALC_MODE=PORTFOLIO&amp;VAR:CHGPERIOD=NA&amp;VAR:FQLFORMULA=FMA_PE&amp;VAR:CURRENCY=USD&amp;VAR:P=8","97.649840&amp;VAR:THRESH=||||||&amp;VAR:null=.html"}</definedName>
    <definedName name="_4160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4161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4162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4163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4164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4165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4166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4167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4168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4169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417__FDSAUDITLINK__" hidden="1">{"fdsup://directions/FAT%20Viewer?VAR:TM=NTMA&amp;VAR:PCT=0.202740&amp;VAR:Y0=2002&amp;VAR:Y1=2003&amp;VAR:V0=18.039015&amp;VAR:V1=15.618293&amp;VAR:V=16.055094&amp;VAR:AUDIT_ID=00000117&amp;VAR:DATE=20021018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Aggregates&amp;VAR:MEASURE=PE_MEAN&amp;VAR:CALC_MODE=PORTFOLIO&amp;VAR:CHGPERIOD=NA&amp;VAR:FQLFORMULA=FMA_PE&amp;VAR:CURRENCY=USD&amp;VAR:P=8","84.393500&amp;VAR:THRESH=||||||&amp;VAR:null=.html"}</definedName>
    <definedName name="_4170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4171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4172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4173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4174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4175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4176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4177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4178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4179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418__FDSAUDITLINK__" hidden="1">{"fdsup://directions/FAT%20Viewer?VAR:TM=NTMA&amp;VAR:PCT=0.221918&amp;VAR:Y0=2002&amp;VAR:Y1=2003&amp;VAR:V0=17.002070&amp;VAR:V1=14.646428&amp;VAR:V=15.111044&amp;VAR:AUDIT_ID=00000117&amp;VAR:DATE=20021011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Aggregates&amp;VAR:MEASURE=PE_MEAN&amp;VAR:CALC_MODE=PORTFOLIO&amp;VAR:CHGPERIOD=NA&amp;VAR:FQLFORMULA=FMA_PE&amp;VAR:CURRENCY=USD&amp;VAR:P=8","35.319030&amp;VAR:THRESH=||||||&amp;VAR:null=.html"}</definedName>
    <definedName name="_4180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4181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4182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4183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4184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4185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4186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4187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4188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4189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419__FDSAUDITLINK__" hidden="1">{"fdsup://directions/FAT%20Viewer?VAR:TM=NTMA&amp;VAR:PCT=0.241096&amp;VAR:Y0=2002&amp;VAR:Y1=2003&amp;VAR:V0=16.235937&amp;VAR:V1=13.943558&amp;VAR:V=14.434934&amp;VAR:AUDIT_ID=00000117&amp;VAR:DATE=20021004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Aggregates&amp;VAR:MEASURE=PE_MEAN&amp;VAR:CALC_MODE=PORTFOLIO&amp;VAR:CHGPERIOD=NA&amp;VAR:FQLFORMULA=FMA_PE&amp;VAR:CURRENCY=USD&amp;VAR:P=8","00.582640&amp;VAR:THRESH=||||||&amp;VAR:null=.html"}</definedName>
    <definedName name="_4190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4191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4192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4193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4194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4195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4196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4197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4198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4199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42__FDSAUDITLINK__" hidden="1">{"fdsup://directions/FAT%20Viewer?VAR:TM=NTMA&amp;VAR:PCT=0.019178&amp;VAR:Y0=2009&amp;VAR:Y1=2010&amp;VAR:V0=18.382290&amp;VAR:V1=14.409676&amp;VAR:V=14.469647&amp;VAR:AUDIT_ID=00000117&amp;VAR:DATE=20091224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Aggregates&amp;VAR:MEASURE=PE_MEAN&amp;VAR:CALC_MODE=PORTFOLIO&amp;VAR:CHGPERIOD=NA&amp;VAR:FQLFORMULA=FMA_PE&amp;VAR:CURRENCY=USD&amp;VAR:P=1","126.476047&amp;VAR:THRESH=||||||&amp;VAR:null=.html"}</definedName>
    <definedName name="_420__FDSAUDITLINK__" hidden="1">{"fdsup://directions/FAT%20Viewer?VAR:TM=NTMA&amp;VAR:PCT=0.260274&amp;VAR:Y0=2002&amp;VAR:Y1=2003&amp;VAR:V0=16.703222&amp;VAR:V1=14.304604&amp;VAR:V=14.860010&amp;VAR:AUDIT_ID=00000117&amp;VAR:DATE=20020927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Aggregates&amp;VAR:MEASURE=PE_MEAN&amp;VAR:CALC_MODE=PORTFOLIO&amp;VAR:CHGPERIOD=NA&amp;VAR:FQLFORMULA=FMA_PE&amp;VAR:CURRENCY=USD&amp;VAR:P=8","27.367500&amp;VAR:THRESH=||||||&amp;VAR:null=.html"}</definedName>
    <definedName name="_4200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4201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4202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4203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4204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4205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4206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4207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4208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4209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421__FDSAUDITLINK__" hidden="1">{"fdsup://directions/FAT%20Viewer?VAR:TM=NTMA&amp;VAR:PCT=0.279452&amp;VAR:Y0=2002&amp;VAR:Y1=2003&amp;VAR:V0=16.959526&amp;VAR:V1=14.530696&amp;VAR:V=15.136477&amp;VAR:AUDIT_ID=00000117&amp;VAR:DATE=20020920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Aggregates&amp;VAR:MEASURE=PE_MEAN&amp;VAR:CALC_MODE=PORTFOLIO&amp;VAR:CHGPERIOD=NA&amp;VAR:FQLFORMULA=FMA_PE&amp;VAR:CURRENCY=USD&amp;VAR:P=8","45.390900&amp;VAR:THRESH=||||||&amp;VAR:null=.html"}</definedName>
    <definedName name="_4210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4211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4212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4213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4214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4215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4216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4217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4218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4219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422__FDSAUDITLINK__" hidden="1">{"fdsup://directions/FAT%20Viewer?VAR:TM=NTMA&amp;VAR:PCT=0.298630&amp;VAR:Y0=2002&amp;VAR:Y1=2003&amp;VAR:V0=17.762087&amp;VAR:V1=15.192406&amp;VAR:V=15.878409&amp;VAR:AUDIT_ID=00000117&amp;VAR:DATE=20020913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Aggregates&amp;VAR:MEASURE=PE_MEAN&amp;VAR:CALC_MODE=PORTFOLIO&amp;VAR:CHGPERIOD=NA&amp;VAR:FQLFORMULA=FMA_PE&amp;VAR:CURRENCY=USD&amp;VAR:P=8","89.806150&amp;VAR:THRESH=||||||&amp;VAR:null=.html"}</definedName>
    <definedName name="_4220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4221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4222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4223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4224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4225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4226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4227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4228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4229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423__FDSAUDITLINK__" hidden="1">{"fdsup://directions/FAT%20Viewer?VAR:TM=NTMA&amp;VAR:PCT=0.317808&amp;VAR:Y0=2002&amp;VAR:Y1=2003&amp;VAR:V0=17.848707&amp;VAR:V1=15.245147&amp;VAR:V=15.986239&amp;VAR:AUDIT_ID=00000117&amp;VAR:DATE=20020906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Aggregates&amp;VAR:MEASURE=PE_MEAN&amp;VAR:CALC_MODE=PORTFOLIO&amp;VAR:CHGPERIOD=NA&amp;VAR:FQLFORMULA=FMA_PE&amp;VAR:CURRENCY=USD&amp;VAR:P=8","93.916750&amp;VAR:THRESH=||||||&amp;VAR:null=.html"}</definedName>
    <definedName name="_4230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4231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4232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4233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4234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4235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4236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4237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4238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4239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424__FDSAUDITLINK__" hidden="1">{"fdsup://directions/FAT%20Viewer?VAR:TM=NTMA&amp;VAR:PCT=0.336986&amp;VAR:Y0=2002&amp;VAR:Y1=2003&amp;VAR:V0=18.273867&amp;VAR:V1=15.604545&amp;VAR:V=16.412442&amp;VAR:AUDIT_ID=00000117&amp;VAR:DATE=20020830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Aggregates&amp;VAR:MEASURE=PE_MEAN&amp;VAR:CALC_MODE=PORTFOLIO&amp;VAR:CHGPERIOD=NA&amp;VAR:FQLFORMULA=FMA_PE&amp;VAR:CURRENCY=USD&amp;VAR:P=9","16.073060&amp;VAR:THRESH=||||||&amp;VAR:null=.html"}</definedName>
    <definedName name="_4240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4241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4242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4243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4244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4245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4246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4247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4248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4249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425__FDSAUDITLINK__" hidden="1">{"fdsup://directions/FAT%20Viewer?VAR:TM=NTMA&amp;VAR:PCT=0.356164&amp;VAR:Y0=2002&amp;VAR:Y1=2003&amp;VAR:V0=18.737791&amp;VAR:V1=15.996821&amp;VAR:V=16.876061&amp;VAR:AUDIT_ID=00000117&amp;VAR:DATE=20020823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Aggregates&amp;VAR:MEASURE=PE_MEAN&amp;VAR:CALC_MODE=PORTFOLIO&amp;VAR:CHGPERIOD=NA&amp;VAR:FQLFORMULA=FMA_PE&amp;VAR:CURRENCY=USD&amp;VAR:P=9","40.864260&amp;VAR:THRESH=||||||&amp;VAR:null=.html"}</definedName>
    <definedName name="_4250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4251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4252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4253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4254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4255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4256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4257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4258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4259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426__FDSAUDITLINK__" hidden="1">{"fdsup://directions/FAT%20Viewer?VAR:TM=NTMA&amp;VAR:PCT=0.375342&amp;VAR:Y0=2002&amp;VAR:Y1=2003&amp;VAR:V0=18.476357&amp;VAR:V1=15.777829&amp;VAR:V=16.692934&amp;VAR:AUDIT_ID=00000117&amp;VAR:DATE=20020816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Aggregates&amp;VAR:MEASURE=PE_MEAN&amp;VAR:CALC_MODE=PORTFOLIO&amp;VAR:CHGPERIOD=NA&amp;VAR:FQLFORMULA=FMA_PE&amp;VAR:CURRENCY=USD&amp;VAR:P=9","28.772800&amp;VAR:THRESH=||||||&amp;VAR:null=.html"}</definedName>
    <definedName name="_4260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4261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4262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4263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4264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4265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4266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4267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4268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4269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427__FDSAUDITLINK__" hidden="1">{"fdsup://directions/FAT%20Viewer?VAR:TM=NTMA&amp;VAR:PCT=0.394521&amp;VAR:Y0=2002&amp;VAR:Y1=2003&amp;VAR:V0=18.044310&amp;VAR:V1=15.384070&amp;VAR:V=16.334119&amp;VAR:AUDIT_ID=00000117&amp;VAR:DATE=20020809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Aggregates&amp;VAR:MEASURE=PE_MEAN&amp;VAR:CALC_MODE=PORTFOLIO&amp;VAR:CHGPERIOD=NA&amp;VAR:FQLFORMULA=FMA_PE&amp;VAR:CURRENCY=USD&amp;VAR:P=9","08.636840&amp;VAR:THRESH=||||||&amp;VAR:null=.html"}</definedName>
    <definedName name="_4270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4271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4272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4273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4274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4275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4276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4277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4278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4279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428__FDSAUDITLINK__" hidden="1">{"fdsup://directions/FAT%20Viewer?VAR:TM=NTMA&amp;VAR:PCT=0.413699&amp;VAR:Y0=2002&amp;VAR:Y1=2003&amp;VAR:V0=17.129015&amp;VAR:V1=14.591056&amp;VAR:V=15.543840&amp;VAR:AUDIT_ID=00000117&amp;VAR:DATE=20020802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Aggregates&amp;VAR:MEASURE=PE_MEAN&amp;VAR:CALC_MODE=PORTFOLIO&amp;VAR:CHGPERIOD=NA&amp;VAR:FQLFORMULA=FMA_PE&amp;VAR:CURRENCY=USD&amp;VAR:P=8","64.244600&amp;VAR:THRESH=||||||&amp;VAR:null=.html"}</definedName>
    <definedName name="_4280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4281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4282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4283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4284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4285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4286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4287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4288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4289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429__FDSAUDITLINK__" hidden="1">{"fdsup://directions/FAT%20Viewer?VAR:TM=NTMA&amp;VAR:PCT=0.432877&amp;VAR:Y0=2002&amp;VAR:Y1=2003&amp;VAR:V0=16.808855&amp;VAR:V1=14.317569&amp;VAR:V=15.299128&amp;VAR:AUDIT_ID=00000117&amp;VAR:DATE=20020726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Aggregates&amp;VAR:MEASURE=PE_MEAN&amp;VAR:CALC_MODE=PORTFOLIO&amp;VAR:CHGPERIOD=NA&amp;VAR:FQLFORMULA=FMA_PE&amp;VAR:CURRENCY=USD&amp;VAR:P=8","52.836060&amp;VAR:THRESH=||||||&amp;VAR:null=.html"}</definedName>
    <definedName name="_4290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4291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4292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4293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4294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4295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4296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4297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4298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4299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43__FDSAUDITLINK__" hidden="1">{"fdsup://directions/FAT%20Viewer?VAR:TM=NTMA&amp;VAR:PCT=0.035616&amp;VAR:Y0=2009&amp;VAR:Y1=2010&amp;VAR:V0=17.809030&amp;VAR:V1=14.067546&amp;VAR:V=14.173602&amp;VAR:AUDIT_ID=00000117&amp;VAR:DATE=20091218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Aggregates&amp;VAR:MEASURE=PE_MEAN&amp;VAR:CALC_MODE=PORTFOLIO&amp;VAR:CHGPERIOD=NA&amp;VAR:FQLFORMULA=FMA_PE&amp;VAR:CURRENCY=USD&amp;VAR:P=1","102.465626&amp;VAR:THRESH=||||||&amp;VAR:null=.html"}</definedName>
    <definedName name="_430__FDSAUDITLINK__" hidden="1">{"fdsup://directions/FAT%20Viewer?VAR:TM=NTMA&amp;VAR:PCT=0.452055&amp;VAR:Y0=2002&amp;VAR:Y1=2003&amp;VAR:V0=16.564724&amp;VAR:V1=14.043794&amp;VAR:V=15.081341&amp;VAR:AUDIT_ID=00000117&amp;VAR:DATE=20020719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Aggregates&amp;VAR:MEASURE=PE_MEAN&amp;VAR:CALC_MODE=PORTFOLIO&amp;VAR:CHGPERIOD=NA&amp;VAR:FQLFORMULA=FMA_PE&amp;VAR:CURRENCY=USD&amp;VAR:P=8","47.761700&amp;VAR:THRESH=||||||&amp;VAR:null=.html"}</definedName>
    <definedName name="_4300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4301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4302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4303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4304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4305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4306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4307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4308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4309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431__FDSAUDITLINK__" hidden="1">{"fdsup://directions/FAT%20Viewer?VAR:TM=NTMA&amp;VAR:PCT=0.471233&amp;VAR:Y0=2002&amp;VAR:Y1=2003&amp;VAR:V0=18.109814&amp;VAR:V1=15.179103&amp;VAR:V=16.432218&amp;VAR:AUDIT_ID=00000117&amp;VAR:DATE=20020712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Aggregates&amp;VAR:MEASURE=PE_MEAN&amp;VAR:CALC_MODE=PORTFOLIO&amp;VAR:CHGPERIOD=NA&amp;VAR:FQLFORMULA=FMA_PE&amp;VAR:CURRENCY=USD&amp;VAR:P=9","21.392200&amp;VAR:THRESH=||||||&amp;VAR:null=.html"}</definedName>
    <definedName name="_4310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4311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4312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4313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4314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4315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4316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4317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4318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4319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432__FDSAUDITLINK__" hidden="1">{"fdsup://directions/FAT%20Viewer?VAR:TM=NTMA&amp;VAR:PCT=0.490411&amp;VAR:Y0=2002&amp;VAR:Y1=2003&amp;VAR:V0=19.404501&amp;VAR:V1=16.240776&amp;VAR:V=17.652192&amp;VAR:AUDIT_ID=00000117&amp;VAR:DATE=20020705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Aggregates&amp;VAR:MEASURE=PE_MEAN&amp;VAR:CALC_MODE=PORTFOLIO&amp;VAR:CHGPERIOD=NA&amp;VAR:FQLFORMULA=FMA_PE&amp;VAR:CURRENCY=USD&amp;VAR:P=9","89.025500&amp;VAR:THRESH=||||||&amp;VAR:null=.html"}</definedName>
    <definedName name="_4320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4321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4322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4323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4324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4325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4326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4327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4328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4329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433__FDSAUDITLINK__" hidden="1">{"fdsup://directions/FAT%20Viewer?VAR:TM=NTMA&amp;VAR:PCT=0.509589&amp;VAR:Y0=2002&amp;VAR:Y1=2003&amp;VAR:V0=19.392824&amp;VAR:V1=16.249320&amp;VAR:V=17.712409&amp;VAR:AUDIT_ID=00000117&amp;VAR:DATE=20020628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Aggregates&amp;VAR:MEASURE=PE_MEAN&amp;VAR:CALC_MODE=PORTFOLIO&amp;VAR:CHGPERIOD=NA&amp;VAR:FQLFORMULA=FMA_PE&amp;VAR:CURRENCY=USD&amp;VAR:P=9","89.814330&amp;VAR:THRESH=||||||&amp;VAR:null=.html"}</definedName>
    <definedName name="_4330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4331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4332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4333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4334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4335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4336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4337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4338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4339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434__FDSAUDITLINK__" hidden="1">{"fdsup://directions/FAT%20Viewer?VAR:TM=NTMA&amp;VAR:PCT=0.528767&amp;VAR:Y0=2002&amp;VAR:Y1=2003&amp;VAR:V0=19.274475&amp;VAR:V1=16.205563&amp;VAR:V=17.695355&amp;VAR:AUDIT_ID=00000117&amp;VAR:DATE=20020621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Aggregates&amp;VAR:MEASURE=PE_MEAN&amp;VAR:CALC_MODE=PORTFOLIO&amp;VAR:CHGPERIOD=NA&amp;VAR:FQLFORMULA=FMA_PE&amp;VAR:CURRENCY=USD&amp;VAR:P=9","89.135200&amp;VAR:THRESH=||||||&amp;VAR:null=.html"}</definedName>
    <definedName name="_4340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4341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4342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4343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4344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4345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4346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4347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4348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4349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435__FDSAUDITLINK__" hidden="1">{"fdsup://directions/FAT%20Viewer?VAR:TM=NTMA&amp;VAR:PCT=0.547945&amp;VAR:Y0=2002&amp;VAR:Y1=2003&amp;VAR:V0=19.618654&amp;VAR:V1=16.478455&amp;VAR:V=18.062642&amp;VAR:AUDIT_ID=00000117&amp;VAR:DATE=20020614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Aggregates&amp;VAR:MEASURE=PE_MEAN&amp;VAR:CALC_MODE=PORTFOLIO&amp;VAR:CHGPERIOD=NA&amp;VAR:FQLFORMULA=FMA_PE&amp;VAR:CURRENCY=USD&amp;VAR:P=1","007.274840&amp;VAR:THRESH=||||||&amp;VAR:null=.html"}</definedName>
    <definedName name="_4350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4351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4352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4353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4354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4355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4356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4357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4358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4359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436__FDSAUDITLINK__" hidden="1">{"fdsup://directions/FAT%20Viewer?VAR:TM=NTMA&amp;VAR:PCT=0.567123&amp;VAR:Y0=2002&amp;VAR:Y1=2003&amp;VAR:V0=19.951786&amp;VAR:V1=16.767262&amp;VAR:V=18.436079&amp;VAR:AUDIT_ID=00000117&amp;VAR:DATE=20020607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Aggregates&amp;VAR:MEASURE=PE_MEAN&amp;VAR:CALC_MODE=PORTFOLIO&amp;VAR:CHGPERIOD=NA&amp;VAR:FQLFORMULA=FMA_PE&amp;VAR:CURRENCY=USD&amp;VAR:P=1","027.527500&amp;VAR:THRESH=||||||&amp;VAR:null=.html"}</definedName>
    <definedName name="_4360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4361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4362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4363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4364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4365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4366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4367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4368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4369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437__FDSAUDITLINK__" hidden="1">{"fdsup://directions/FAT%20Viewer?VAR:TM=NTMA&amp;VAR:PCT=0.586301&amp;VAR:Y0=2002&amp;VAR:Y1=2003&amp;VAR:V0=20.636023&amp;VAR:V1=17.329514&amp;VAR:V=19.126296&amp;VAR:AUDIT_ID=00000117&amp;VAR:DATE=20020531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Aggregates&amp;VAR:MEASURE=PE_MEAN&amp;VAR:CALC_MODE=PORTFOLIO&amp;VAR:CHGPERIOD=NA&amp;VAR:FQLFORMULA=FMA_PE&amp;VAR:CURRENCY=USD&amp;VAR:P=1","067.138100&amp;VAR:THRESH=||||||&amp;VAR:null=.html"}</definedName>
    <definedName name="_4370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4371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4372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4373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4374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4375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4376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4377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4378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4379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438__FDSAUDITLINK__" hidden="1">{"fdsup://directions/FAT%20Viewer?VAR:TM=NTMA&amp;VAR:PCT=0.605479&amp;VAR:Y0=2002&amp;VAR:Y1=2003&amp;VAR:V0=20.936497&amp;VAR:V1=17.590694&amp;VAR:V=19.475105&amp;VAR:AUDIT_ID=00000117&amp;VAR:DATE=20020524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Aggregates&amp;VAR:MEASURE=PE_MEAN&amp;VAR:CALC_MODE=PORTFOLIO&amp;VAR:CHGPERIOD=NA&amp;VAR:FQLFORMULA=FMA_PE&amp;VAR:CURRENCY=USD&amp;VAR:P=1","083.821700&amp;VAR:THRESH=||||||&amp;VAR:null=.html"}</definedName>
    <definedName name="_4380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4381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4382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4383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4384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4385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4386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4387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4388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4389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439__FDSAUDITLINK__" hidden="1">{"fdsup://directions/FAT%20Viewer?VAR:TM=NTMA&amp;VAR:PCT=0.624658&amp;VAR:Y0=2002&amp;VAR:Y1=2003&amp;VAR:V0=21.412855&amp;VAR:V1=17.986795&amp;VAR:V=19.984113&amp;VAR:AUDIT_ID=00000117&amp;VAR:DATE=20020517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Aggregates&amp;VAR:MEASURE=PE_MEAN&amp;VAR:CALC_MODE=PORTFOLIO&amp;VAR:CHGPERIOD=NA&amp;VAR:FQLFORMULA=FMA_PE&amp;VAR:CURRENCY=USD&amp;VAR:P=1","106.592300&amp;VAR:THRESH=||||||&amp;VAR:null=.html"}</definedName>
    <definedName name="_4390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4391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4392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4393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4394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4395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4396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4397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4398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4399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44__FDSAUDITLINK__" hidden="1">{"fdsup://directions/FAT%20Viewer?VAR:TM=NTMA&amp;VAR:PCT=0.054795&amp;VAR:Y0=2009&amp;VAR:Y1=2010&amp;VAR:V0=17.795202&amp;VAR:V1=14.135486&amp;VAR:V=14.296593&amp;VAR:AUDIT_ID=00000117&amp;VAR:DATE=20091211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Aggregates&amp;VAR:MEASURE=PE_MEAN&amp;VAR:CALC_MODE=PORTFOLIO&amp;VAR:CHGPERIOD=NA&amp;VAR:FQLFORMULA=FMA_PE&amp;VAR:CURRENCY=USD&amp;VAR:P=1","106.411427&amp;VAR:THRESH=||||||&amp;VAR:null=.html"}</definedName>
    <definedName name="_440__FDSAUDITLINK__" hidden="1">{"fdsup://directions/FAT%20Viewer?VAR:TM=NTMA&amp;VAR:PCT=0.643836&amp;VAR:Y0=2002&amp;VAR:Y1=2003&amp;VAR:V0=20.355944&amp;VAR:V1=17.133072&amp;VAR:V=19.077781&amp;VAR:AUDIT_ID=00000117&amp;VAR:DATE=20020510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Aggregates&amp;VAR:MEASURE=PE_MEAN&amp;VAR:CALC_MODE=PORTFOLIO&amp;VAR:CHGPERIOD=NA&amp;VAR:FQLFORMULA=FMA_PE&amp;VAR:CURRENCY=USD&amp;VAR:P=1","054.986100&amp;VAR:THRESH=||||||&amp;VAR:null=.html"}</definedName>
    <definedName name="_4400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4401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4402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4403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4404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4405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4406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4407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4408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4409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441__FDSAUDITLINK__" hidden="1">{"fdsup://directions/FAT%20Viewer?VAR:TM=NTMA&amp;VAR:PCT=0.663014&amp;VAR:Y0=2002&amp;VAR:Y1=2003&amp;VAR:V0=20.734009&amp;VAR:V1=17.463955&amp;VAR:V=19.503361&amp;VAR:AUDIT_ID=00000117&amp;VAR:DATE=20020503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Aggregates&amp;VAR:MEASURE=PE_MEAN&amp;VAR:CALC_MODE=PORTFOLIO&amp;VAR:CHGPERIOD=NA&amp;VAR:FQLFORMULA=FMA_PE&amp;VAR:CURRENCY=USD&amp;VAR:P=1","073.426400&amp;VAR:THRESH=||||||&amp;VAR:null=.html"}</definedName>
    <definedName name="_4410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4411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4412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4413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4414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4415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4416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4417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4418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4419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442__FDSAUDITLINK__" hidden="1">{"fdsup://directions/FAT%20Viewer?VAR:TM=NTMA&amp;VAR:PCT=0.682192&amp;VAR:Y0=2002&amp;VAR:Y1=2003&amp;VAR:V0=20.782845&amp;VAR:V1=17.482437&amp;VAR:V=19.606510&amp;VAR:AUDIT_ID=00000117&amp;VAR:DATE=20020426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Aggregates&amp;VAR:MEASURE=PE_MEAN&amp;VAR:CALC_MODE=PORTFOLIO&amp;VAR:CHGPERIOD=NA&amp;VAR:FQLFORMULA=FMA_PE&amp;VAR:CURRENCY=USD&amp;VAR:P=1","076.317000&amp;VAR:THRESH=||||||&amp;VAR:null=.html"}</definedName>
    <definedName name="_4420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4421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4422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4423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4424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4425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4426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4427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4428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4429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443__FDSAUDITLINK__" hidden="1">{"fdsup://directions/FAT%20Viewer?VAR:TM=NTMA&amp;VAR:PCT=0.701370&amp;VAR:Y0=2002&amp;VAR:Y1=2003&amp;VAR:V0=21.621065&amp;VAR:V1=18.182838&amp;VAR:V=20.465413&amp;VAR:AUDIT_ID=00000117&amp;VAR:DATE=20020419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Aggregates&amp;VAR:MEASURE=PE_MEAN&amp;VAR:CALC_MODE=PORTFOLIO&amp;VAR:CHGPERIOD=NA&amp;VAR:FQLFORMULA=FMA_PE&amp;VAR:CURRENCY=USD&amp;VAR:P=1","125.167800&amp;VAR:THRESH=||||||&amp;VAR:null=.html"}</definedName>
    <definedName name="_4430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4431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4432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4433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4434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4435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4436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4437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4438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4439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444__FDSAUDITLINK__" hidden="1">{"fdsup://directions/FAT%20Viewer?VAR:TM=NTMA&amp;VAR:PCT=0.720548&amp;VAR:Y0=2002&amp;VAR:Y1=2003&amp;VAR:V0=21.384008&amp;VAR:V1=17.938082&amp;VAR:V=20.294535&amp;VAR:AUDIT_ID=00000117&amp;VAR:DATE=20020412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Aggregates&amp;VAR:MEASURE=PE_MEAN&amp;VAR:CALC_MODE=PORTFOLIO&amp;VAR:CHGPERIOD=NA&amp;VAR:FQLFORMULA=FMA_PE&amp;VAR:CURRENCY=USD&amp;VAR:P=1","111.013500&amp;VAR:THRESH=||||||&amp;VAR:null=.html"}</definedName>
    <definedName name="_4440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4441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4442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4443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4444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4445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4446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4447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4448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4449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445__FDSAUDITLINK__" hidden="1">{"fdsup://directions/FAT%20Viewer?VAR:TM=NTMA&amp;VAR:PCT=0.739726&amp;VAR:Y0=2002&amp;VAR:Y1=2003&amp;VAR:V0=21.513186&amp;VAR:V1=18.031403&amp;VAR:V=20.483721&amp;VAR:AUDIT_ID=00000117&amp;VAR:DATE=20020405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Aggregates&amp;VAR:MEASURE=PE_MEAN&amp;VAR:CALC_MODE=PORTFOLIO&amp;VAR:CHGPERIOD=NA&amp;VAR:FQLFORMULA=FMA_PE&amp;VAR:CURRENCY=USD&amp;VAR:P=1","122.729500&amp;VAR:THRESH=||||||&amp;VAR:null=.html"}</definedName>
    <definedName name="_4450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4451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4452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4453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4454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4455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4456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4457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4458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4459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446__FDSAUDITLINK__" hidden="1">{"fdsup://directions/FAT%20Viewer?VAR:TM=NTMA&amp;VAR:PCT=0.761644&amp;VAR:Y0=2002&amp;VAR:Y1=2003&amp;VAR:V0=21.972010&amp;VAR:V1=18.415976&amp;VAR:V=21.005236&amp;VAR:AUDIT_ID=00000117&amp;VAR:DATE=20020328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Aggregates&amp;VAR:MEASURE=PE_MEAN&amp;VAR:CALC_MODE=PORTFOLIO&amp;VAR:CHGPERIOD=NA&amp;VAR:FQLFORMULA=FMA_PE&amp;VAR:CURRENCY=USD&amp;VAR:P=1","147.386500&amp;VAR:THRESH=||||||&amp;VAR:null=.html"}</definedName>
    <definedName name="_4460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4461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4462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4463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4464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4465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4466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4467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4468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4469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447__FDSAUDITLINK__" hidden="1">{"fdsup://directions/FAT%20Viewer?VAR:TM=NTMA&amp;VAR:PCT=0.778082&amp;VAR:Y0=2002&amp;VAR:Y1=2003&amp;VAR:V0=21.992010&amp;VAR:V1=18.404089&amp;VAR:V=21.080017&amp;VAR:AUDIT_ID=00000117&amp;VAR:DATE=20020322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Aggregates&amp;VAR:MEASURE=PE_MEAN&amp;VAR:CALC_MODE=PORTFOLIO&amp;VAR:CHGPERIOD=NA&amp;VAR:FQLFORMULA=FMA_PE&amp;VAR:CURRENCY=USD&amp;VAR:P=1","148.695400&amp;VAR:THRESH=||||||&amp;VAR:null=.html"}</definedName>
    <definedName name="_4470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4471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4472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4473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4474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4475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4476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4477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4478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4479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448__FDSAUDITLINK__" hidden="1">{"fdsup://directions/FAT%20Viewer?VAR:TM=NTMA&amp;VAR:PCT=0.797260&amp;VAR:Y0=2002&amp;VAR:Y1=2003&amp;VAR:V0=22.369495&amp;VAR:V1=18.669952&amp;VAR:V=21.505534&amp;VAR:AUDIT_ID=00000117&amp;VAR:DATE=20020315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Aggregates&amp;VAR:MEASURE=PE_MEAN&amp;VAR:CALC_MODE=PORTFOLIO&amp;VAR:CHGPERIOD=NA&amp;VAR:FQLFORMULA=FMA_PE&amp;VAR:CURRENCY=USD&amp;VAR:P=1","166.155300&amp;VAR:THRESH=||||||&amp;VAR:null=.html"}</definedName>
    <definedName name="_4480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4481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4482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4483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4484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4485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4486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4487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4488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4489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449__FDSAUDITLINK__" hidden="1">{"fdsup://directions/FAT%20Viewer?VAR:TM=NTMA&amp;VAR:PCT=0.816438&amp;VAR:Y0=2002&amp;VAR:Y1=2003&amp;VAR:V0=22.319853&amp;VAR:V1=18.602535&amp;VAR:V=21.530110&amp;VAR:AUDIT_ID=00000117&amp;VAR:DATE=20020308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Aggregates&amp;VAR:MEASURE=PE_MEAN&amp;VAR:CALC_MODE=PORTFOLIO&amp;VAR:CHGPERIOD=NA&amp;VAR:FQLFORMULA=FMA_PE&amp;VAR:CURRENCY=USD&amp;VAR:P=1","164.306200&amp;VAR:THRESH=||||||&amp;VAR:null=.html"}</definedName>
    <definedName name="_4490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4491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4492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4493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4494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4495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4496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4497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4498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4499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45__FDSAUDITLINK__" hidden="1">{"fdsup://directions/FAT%20Viewer?VAR:TM=NTMA&amp;VAR:PCT=0.073973&amp;VAR:Y0=2009&amp;VAR:Y1=2010&amp;VAR:V0=17.710190&amp;VAR:V1=14.154676&amp;VAR:V=14.368053&amp;VAR:AUDIT_ID=00000117&amp;VAR:DATE=20091204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Aggregates&amp;VAR:MEASURE=PE_MEAN&amp;VAR:CALC_MODE=PORTFOLIO&amp;VAR:CHGPERIOD=NA&amp;VAR:FQLFORMULA=FMA_PE&amp;VAR:CURRENCY=USD&amp;VAR:P=1","105.975543&amp;VAR:THRESH=||||||&amp;VAR:null=.html"}</definedName>
    <definedName name="_450__FDSAUDITLINK__" hidden="1">{"fdsup://directions/FAT%20Viewer?VAR:TM=NTMA&amp;VAR:PCT=0.835616&amp;VAR:Y0=2002&amp;VAR:Y1=2003&amp;VAR:V0=21.630577&amp;VAR:V1=18.065990&amp;VAR:V=20.951043&amp;VAR:AUDIT_ID=00000117&amp;VAR:DATE=20020301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Aggregates&amp;VAR:MEASURE=PE_MEAN&amp;VAR:CALC_MODE=PORTFOLIO&amp;VAR:CHGPERIOD=NA&amp;VAR:FQLFORMULA=FMA_PE&amp;VAR:CURRENCY=USD&amp;VAR:P=1","131.783000&amp;VAR:THRESH=||||||&amp;VAR:null=.html"}</definedName>
    <definedName name="_4500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4501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4502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4503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4504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4505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4506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4507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4508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4509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451__FDSAUDITLINK__" hidden="1">{"fdsup://directions/FAT%20Viewer?VAR:TM=NTMA&amp;VAR:PCT=0.854795&amp;VAR:Y0=2002&amp;VAR:Y1=2003&amp;VAR:V0=20.850304&amp;VAR:V1=17.472092&amp;VAR:V=20.280911&amp;VAR:AUDIT_ID=00000117&amp;VAR:DATE=20020222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Aggregates&amp;VAR:MEASURE=PE_MEAN&amp;VAR:CALC_MODE=PORTFOLIO&amp;VAR:CHGPERIOD=NA&amp;VAR:FQLFORMULA=FMA_PE&amp;VAR:CURRENCY=USD&amp;VAR:P=1","089.837900&amp;VAR:THRESH=||||||&amp;VAR:null=.html"}</definedName>
    <definedName name="_4510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4511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4512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4513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4514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4515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4516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4517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4518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4519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452__FDSAUDITLINK__" hidden="1">{"fdsup://directions/FAT%20Viewer?VAR:TM=NTMA&amp;VAR:PCT=0.873973&amp;VAR:Y0=2002&amp;VAR:Y1=2003&amp;VAR:V0=21.091806&amp;VAR:V1=17.608257&amp;VAR:V=20.578721&amp;VAR:AUDIT_ID=00000117&amp;VAR:DATE=20020215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Aggregates&amp;VAR:MEASURE=PE_MEAN&amp;VAR:CALC_MODE=PORTFOLIO&amp;VAR:CHGPERIOD=NA&amp;VAR:FQLFORMULA=FMA_PE&amp;VAR:CURRENCY=USD&amp;VAR:P=1","104.184300&amp;VAR:THRESH=||||||&amp;VAR:null=.html"}</definedName>
    <definedName name="_4520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4521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4522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4523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4524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4525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4526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4527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4528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4529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453__FDSAUDITLINK__" hidden="1">{"fdsup://directions/FAT%20Viewer?VAR:TM=NTMA&amp;VAR:PCT=0.893151&amp;VAR:Y0=2002&amp;VAR:Y1=2003&amp;VAR:V0=20.948200&amp;VAR:V1=17.496916&amp;VAR:V=20.515806&amp;VAR:AUDIT_ID=00000117&amp;VAR:DATE=20020208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Aggregates&amp;VAR:MEASURE=PE_MEAN&amp;VAR:CALC_MODE=PORTFOLIO&amp;VAR:CHGPERIOD=NA&amp;VAR:FQLFORMULA=FMA_PE&amp;VAR:CURRENCY=USD&amp;VAR:P=1","096.224100&amp;VAR:THRESH=||||||&amp;VAR:null=.html"}</definedName>
    <definedName name="_4530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4531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4532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4533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4534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4535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4536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4537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4538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4539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454__FDSAUDITLINK__" hidden="1">{"fdsup://directions/FAT%20Viewer?VAR:TM=NTMA&amp;VAR:PCT=0.912329&amp;VAR:Y0=2002&amp;VAR:Y1=2003&amp;VAR:V0=21.387064&amp;VAR:V1=17.894356&amp;VAR:V=21.027244&amp;VAR:AUDIT_ID=00000117&amp;VAR:DATE=20020201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Aggregates&amp;VAR:MEASURE=PE_MEAN&amp;VAR:CALC_MODE=PORTFOLIO&amp;VAR:CHGPERIOD=NA&amp;VAR:FQLFORMULA=FMA_PE&amp;VAR:CURRENCY=USD&amp;VAR:P=1","122.195300&amp;VAR:THRESH=||||||&amp;VAR:null=.html"}</definedName>
    <definedName name="_4540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4541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4542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4543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4544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4545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4546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4547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4548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4549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455__FDSAUDITLINK__" hidden="1">{"fdsup://directions/FAT%20Viewer?VAR:TM=NTMA&amp;VAR:PCT=0.931507&amp;VAR:Y0=2002&amp;VAR:Y1=2003&amp;VAR:V0=21.555845&amp;VAR:V1=18.050362&amp;VAR:V=21.272878&amp;VAR:AUDIT_ID=00000117&amp;VAR:DATE=20020125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Aggregates&amp;VAR:MEASURE=PE_MEAN&amp;VAR:CALC_MODE=PORTFOLIO&amp;VAR:CHGPERIOD=NA&amp;VAR:FQLFORMULA=FMA_PE&amp;VAR:CURRENCY=USD&amp;VAR:P=1","133.283900&amp;VAR:THRESH=||||||&amp;VAR:null=.html"}</definedName>
    <definedName name="_4550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4551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4552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4553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4554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4555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4556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4557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4558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4559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456__FDSAUDITLINK__" hidden="1">{"fdsup://directions/FAT%20Viewer?VAR:TM=NTMA&amp;VAR:PCT=0.950685&amp;VAR:Y0=2002&amp;VAR:Y1=2003&amp;VAR:V0=21.471907&amp;VAR:V1=18.047869&amp;VAR:V=21.272877&amp;VAR:AUDIT_ID=00000117&amp;VAR:DATE=20020118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Aggregates&amp;VAR:MEASURE=PE_MEAN&amp;VAR:CALC_MODE=PORTFOLIO&amp;VAR:CHGPERIOD=NA&amp;VAR:FQLFORMULA=FMA_PE&amp;VAR:CURRENCY=USD&amp;VAR:P=1","127.575300&amp;VAR:THRESH=||||||&amp;VAR:null=.html"}</definedName>
    <definedName name="_4560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4561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4562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4563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4564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4565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4566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4567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4568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4569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457__FDSAUDITLINK__" hidden="1">{"fdsup://directions/FAT%20Viewer?VAR:TM=NTMA&amp;VAR:PCT=0.969863&amp;VAR:Y0=2002&amp;VAR:Y1=2003&amp;VAR:V0=21.812096&amp;VAR:V1=18.500390&amp;VAR:V=21.695057&amp;VAR:AUDIT_ID=00000117&amp;VAR:DATE=20020111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Aggregates&amp;VAR:MEASURE=PE_MEAN&amp;VAR:CALC_MODE=PORTFOLIO&amp;VAR:CHGPERIOD=NA&amp;VAR:FQLFORMULA=FMA_PE&amp;VAR:CURRENCY=USD&amp;VAR:P=1","145.597400&amp;VAR:THRESH=||||||&amp;VAR:null=.html"}</definedName>
    <definedName name="_4570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4571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4572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4573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4574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4575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4576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4577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4578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4579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458__FDSAUDITLINK__" hidden="1">{"fdsup://directions/FAT%20Viewer?VAR:TM=NTMA&amp;VAR:PCT=0.989041&amp;VAR:Y0=2002&amp;VAR:Y1=2003&amp;VAR:V0=22.254670&amp;VAR:V1=19.047314&amp;VAR:V=22.213678&amp;VAR:AUDIT_ID=00000117&amp;VAR:DATE=20020104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Aggregates&amp;VAR:MEASURE=PE_MEAN&amp;VAR:CALC_MODE=PORTFOLIO&amp;VAR:CHGPERIOD=NA&amp;VAR:FQLFORMULA=FMA_PE&amp;VAR:CURRENCY=USD&amp;VAR:P=1","172.508300&amp;VAR:THRESH=||||||&amp;VAR:null=.html"}</definedName>
    <definedName name="_4580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4581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4582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4583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4584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4585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4586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4587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4588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4589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459__FDSAUDITLINK__" hidden="1">{"fdsup://directions/FAT%20Viewer?VAR:TM=NTMA&amp;VAR:PCT=0.008219&amp;VAR:Y0=2001&amp;VAR:Y1=2002&amp;VAR:V0=25.004168&amp;VAR:V1=21.961407&amp;VAR:V=21.983395&amp;VAR:AUDIT_ID=00000117&amp;VAR:DATE=20011228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Aggregates&amp;VAR:MEASURE=PE_MEAN&amp;VAR:CALC_MODE=PORTFOLIO&amp;VAR:CHGPERIOD=NA&amp;VAR:FQLFORMULA=FMA_PE&amp;VAR:CURRENCY=USD&amp;VAR:P=1","161.020000&amp;VAR:THRESH=||||||&amp;VAR:null=.html"}</definedName>
    <definedName name="_4590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4591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4592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4593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4594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4595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4596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4597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4598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4599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46__FDSAUDITLINK__" hidden="1">{"fdsup://directions/FAT%20Viewer?VAR:TM=NTMA&amp;VAR:PCT=0.093151&amp;VAR:Y0=2009&amp;VAR:Y1=2010&amp;VAR:V0=17.408491&amp;VAR:V1=13.997716&amp;VAR:V=14.257932&amp;VAR:AUDIT_ID=00000117&amp;VAR:DATE=20091127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Aggregates&amp;VAR:MEASURE=PE_MEAN&amp;VAR:CALC_MODE=PORTFOLIO&amp;VAR:CHGPERIOD=NA&amp;VAR:FQLFORMULA=FMA_PE&amp;VAR:CURRENCY=USD&amp;VAR:P=1","091.491214&amp;VAR:THRESH=||||||&amp;VAR:null=.html"}</definedName>
    <definedName name="_460__FDSAUDITLINK__" hidden="1">{"fdsup://directions/FAT%20Viewer?VAR:TM=NTMA&amp;VAR:PCT=0.027397&amp;VAR:Y0=2001&amp;VAR:Y1=2002&amp;VAR:V0=24.605715&amp;VAR:V1=21.646545&amp;VAR:V=21.718104&amp;VAR:AUDIT_ID=00000117&amp;VAR:DATE=20011221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Aggregates&amp;VAR:MEASURE=PE_MEAN&amp;VAR:CALC_MODE=PORTFOLIO&amp;VAR:CHGPERIOD=NA&amp;VAR:FQLFORMULA=FMA_PE&amp;VAR:CURRENCY=USD&amp;VAR:P=1","144.890000&amp;VAR:THRESH=||||||&amp;VAR:null=.html"}</definedName>
    <definedName name="_4600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4601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4602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4603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4604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4605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4606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4607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4608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4609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461__FDSAUDITLINK__" hidden="1">{"fdsup://directions/FAT%20Viewer?VAR:TM=NTMA&amp;VAR:PCT=0.046575&amp;VAR:Y0=2001&amp;VAR:Y1=2002&amp;VAR:V0=24.095406&amp;VAR:V1=21.201567&amp;VAR:V=21.320828&amp;VAR:AUDIT_ID=00000117&amp;VAR:DATE=20011214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Aggregates&amp;VAR:MEASURE=PE_MEAN&amp;VAR:CALC_MODE=PORTFOLIO&amp;VAR:CHGPERIOD=NA&amp;VAR:FQLFORMULA=FMA_PE&amp;VAR:CURRENCY=USD&amp;VAR:P=1","123.090000&amp;VAR:THRESH=||||||&amp;VAR:null=.html"}</definedName>
    <definedName name="_4610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4611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4612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4613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4614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4615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4616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4617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4618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4619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462__FDSAUDITLINK__" hidden="1">{"fdsup://directions/FAT%20Viewer?VAR:TM=NTMA&amp;VAR:PCT=0.065753&amp;VAR:Y0=2001&amp;VAR:Y1=2002&amp;VAR:V0=24.719450&amp;VAR:V1=21.780151&amp;VAR:V=21.951781&amp;VAR:AUDIT_ID=00000117&amp;VAR:DATE=20011207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Aggregates&amp;VAR:MEASURE=PE_MEAN&amp;VAR:CALC_MODE=PORTFOLIO&amp;VAR:CHGPERIOD=NA&amp;VAR:FQLFORMULA=FMA_PE&amp;VAR:CURRENCY=USD&amp;VAR:P=1","158.310000&amp;VAR:THRESH=||||||&amp;VAR:null=.html"}</definedName>
    <definedName name="_4620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4621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4622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4623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4624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4625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4626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4627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4628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4629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463__FDSAUDITLINK__" hidden="1">{"fdsup://directions/FAT%20Viewer?VAR:TM=NTMA&amp;VAR:PCT=0.084932&amp;VAR:Y0=2001&amp;VAR:Y1=2002&amp;VAR:V0=24.278374&amp;VAR:V1=21.310417&amp;VAR:V=21.533996&amp;VAR:AUDIT_ID=00000117&amp;VAR:DATE=20011130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Aggregates&amp;VAR:MEASURE=PE_MEAN&amp;VAR:CALC_MODE=PORTFOLIO&amp;VAR:CHGPERIOD=NA&amp;VAR:FQLFORMULA=FMA_PE&amp;VAR:CURRENCY=USD&amp;VAR:P=1","139.450000&amp;VAR:THRESH=||||||&amp;VAR:null=.html"}</definedName>
    <definedName name="_4630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4631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4632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4633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4634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4635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4636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4637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4638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4639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464__FDSAUDITLINK__" hidden="1">{"fdsup://directions/FAT%20Viewer?VAR:TM=NTMA&amp;VAR:PCT=0.104110&amp;VAR:Y0=2001&amp;VAR:Y1=2002&amp;VAR:V0=24.392668&amp;VAR:V1=21.423042&amp;VAR:V=21.698055&amp;VAR:AUDIT_ID=00000117&amp;VAR:DATE=20011123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Aggregates&amp;VAR:MEASURE=PE_MEAN&amp;VAR:CALC_MODE=PORTFOLIO&amp;VAR:CHGPERIOD=NA&amp;VAR:FQLFORMULA=FMA_PE&amp;VAR:CURRENCY=USD&amp;VAR:P=1","150.340000&amp;VAR:THRESH=||||||&amp;VAR:null=.html"}</definedName>
    <definedName name="_4640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4641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4642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4643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4644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4645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4646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4647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4648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4649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465__FDSAUDITLINK__" hidden="1">{"fdsup://directions/FAT%20Viewer?VAR:TM=NTMA&amp;VAR:PCT=0.123288&amp;VAR:Y0=2001&amp;VAR:Y1=2002&amp;VAR:V0=24.121292&amp;VAR:V1=21.076176&amp;VAR:V=21.409393&amp;VAR:AUDIT_ID=00000117&amp;VAR:DATE=20011116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Aggregates&amp;VAR:MEASURE=PE_MEAN&amp;VAR:CALC_MODE=PORTFOLIO&amp;VAR:CHGPERIOD=NA&amp;VAR:FQLFORMULA=FMA_PE&amp;VAR:CURRENCY=USD&amp;VAR:P=1","138.650000&amp;VAR:THRESH=||||||&amp;VAR:null=.html"}</definedName>
    <definedName name="_4650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4651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4652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4653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4654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4655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4656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4657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4658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4659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466__FDSAUDITLINK__" hidden="1">{"fdsup://directions/FAT%20Viewer?VAR:TM=NTMA&amp;VAR:PCT=0.142466&amp;VAR:Y0=2001&amp;VAR:Y1=2002&amp;VAR:V0=23.636223&amp;VAR:V1=20.521965&amp;VAR:V=20.914552&amp;VAR:AUDIT_ID=00000117&amp;VAR:DATE=20011109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Aggregates&amp;VAR:MEASURE=PE_MEAN&amp;VAR:CALC_MODE=PORTFOLIO&amp;VAR:CHGPERIOD=NA&amp;VAR:FQLFORMULA=FMA_PE&amp;VAR:CURRENCY=USD&amp;VAR:P=1","120.310000&amp;VAR:THRESH=||||||&amp;VAR:null=.html"}</definedName>
    <definedName name="_4660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4661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4662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4663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4664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4665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4666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4667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4668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4669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467__FDSAUDITLINK__" hidden="1">{"fdsup://directions/FAT%20Viewer?VAR:TM=NTMA&amp;VAR:PCT=0.161644&amp;VAR:Y0=2001&amp;VAR:Y1=2002&amp;VAR:V0=22.832123&amp;VAR:V1=19.763004&amp;VAR:V=20.201959&amp;VAR:AUDIT_ID=00000117&amp;VAR:DATE=20011102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Aggregates&amp;VAR:MEASURE=PE_MEAN&amp;VAR:CALC_MODE=PORTFOLIO&amp;VAR:CHGPERIOD=NA&amp;VAR:FQLFORMULA=FMA_PE&amp;VAR:CURRENCY=USD&amp;VAR:P=1","087.200000&amp;VAR:THRESH=||||||&amp;VAR:null=.html"}</definedName>
    <definedName name="_4670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4671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4672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4673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4674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4675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4676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4677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4678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4679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468__FDSAUDITLINK__" hidden="1">{"fdsup://directions/FAT%20Viewer?VAR:TM=NTMA&amp;VAR:PCT=0.180822&amp;VAR:Y0=2001&amp;VAR:Y1=2002&amp;VAR:V0=23.000732&amp;VAR:V1=19.866903&amp;VAR:V=20.368724&amp;VAR:AUDIT_ID=00000117&amp;VAR:DATE=20011026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Aggregates&amp;VAR:MEASURE=PE_MEAN&amp;VAR:CALC_MODE=PORTFOLIO&amp;VAR:CHGPERIOD=NA&amp;VAR:FQLFORMULA=FMA_PE&amp;VAR:CURRENCY=USD&amp;VAR:P=1","104.610000&amp;VAR:THRESH=||||||&amp;VAR:null=.html"}</definedName>
    <definedName name="_4680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4681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4682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4683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4684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4685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4686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4687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4688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4689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469__FDSAUDITLINK__" hidden="1">{"fdsup://directions/FAT%20Viewer?VAR:TM=NTMA&amp;VAR:PCT=0.200000&amp;VAR:Y0=2001&amp;VAR:Y1=2002&amp;VAR:V0=22.085823&amp;VAR:V1=18.974660&amp;VAR:V=19.524738&amp;VAR:AUDIT_ID=00000117&amp;VAR:DATE=20011019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Aggregates&amp;VAR:MEASURE=PE_MEAN&amp;VAR:CALC_MODE=PORTFOLIO&amp;VAR:CHGPERIOD=NA&amp;VAR:FQLFORMULA=FMA_PE&amp;VAR:CURRENCY=USD&amp;VAR:P=1","073.480000&amp;VAR:THRESH=||||||&amp;VAR:null=.html"}</definedName>
    <definedName name="_4690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4691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4692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4693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4694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4695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4696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4697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4698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4699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47__FDSAUDITLINK__" hidden="1">{"fdsup://directions/FAT%20Viewer?VAR:TM=NTMA&amp;VAR:PCT=0.112329&amp;VAR:Y0=2009&amp;VAR:Y1=2010&amp;VAR:V0=17.422127&amp;VAR:V1=14.004956&amp;VAR:V=14.320466&amp;VAR:AUDIT_ID=00000117&amp;VAR:DATE=20091120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Aggregates&amp;VAR:MEASURE=PE_MEAN&amp;VAR:CALC_MODE=PORTFOLIO&amp;VAR:CHGPERIOD=NA&amp;VAR:FQLFORMULA=FMA_PE&amp;VAR:CURRENCY=USD&amp;VAR:P=1","091.376937&amp;VAR:THRESH=||||||&amp;VAR:null=.html"}</definedName>
    <definedName name="_470__FDSAUDITLINK__" hidden="1">{"fdsup://directions/FAT%20Viewer?VAR:TM=NTMA&amp;VAR:PCT=0.219178&amp;VAR:Y0=2001&amp;VAR:Y1=2002&amp;VAR:V0=22.162024&amp;VAR:V1=19.076954&amp;VAR:V=19.677324&amp;VAR:AUDIT_ID=00000117&amp;VAR:DATE=20011012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Aggregates&amp;VAR:MEASURE=PE_MEAN&amp;VAR:CALC_MODE=PORTFOLIO&amp;VAR:CHGPERIOD=NA&amp;VAR:FQLFORMULA=FMA_PE&amp;VAR:CURRENCY=USD&amp;VAR:P=1","091.650000&amp;VAR:THRESH=||||||&amp;VAR:null=.html"}</definedName>
    <definedName name="_4700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4701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4702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4703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4704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4705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4706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4707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4708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4709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471__FDSAUDITLINK__" hidden="1">{"fdsup://directions/FAT%20Viewer?VAR:TM=NTMA&amp;VAR:PCT=0.238356&amp;VAR:Y0=2001&amp;VAR:Y1=2002&amp;VAR:V0=21.806509&amp;VAR:V1=18.719595&amp;VAR:V=19.373279&amp;VAR:AUDIT_ID=00000117&amp;VAR:DATE=20011005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Aggregates&amp;VAR:MEASURE=PE_MEAN&amp;VAR:CALC_MODE=PORTFOLIO&amp;VAR:CHGPERIOD=NA&amp;VAR:FQLFORMULA=FMA_PE&amp;VAR:CURRENCY=USD&amp;VAR:P=1","071.380000&amp;VAR:THRESH=||||||&amp;VAR:null=.html"}</definedName>
    <definedName name="_4710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4711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4712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4713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4714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4715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0.594521&amp;VAR:V=13.076996&amp;VAR:V0=14.556887&amp;VAR:V1=12.229073&amp;VAR:Y0=2011&amp;VAR:Y1=2012&amp;VAR:P=5388.220215&amp;VAR:DATE=20110","805&amp;VAR:THRESH=-|-|-|-|-|-|-"}</definedName>
    <definedName name="_4716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0.575342&amp;VAR:V=14.579122&amp;VAR:V0=16.174491&amp;VAR:V1=13.589761&amp;VAR:Y0=2011&amp;VAR:Y1=2012&amp;VAR:P=5991.818848&amp;VAR:DATE=20110","729&amp;VAR:THRESH=-|-|-|-|-|-|-"}</definedName>
    <definedName name="_4717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0.556164&amp;VAR:V=15.389941&amp;VAR:V0=17.012050&amp;VAR:V1=14.301688&amp;VAR:Y0=2011&amp;VAR:Y1=2012&amp;VAR:P=6308.202148&amp;VAR:DATE=20110","722&amp;VAR:THRESH=-|-|-|-|-|-|-"}</definedName>
    <definedName name="_4718__FDSAUDITLINK__" hidden="1">{"fdsup://directions/FAT%20Viewer?WINDOW=first_popup&amp;DYN_ARGS=TRUE&amp;START_MAXIMIZED=FALSE&amp;TITLEBAR=FactSet Market Aggregates&amp;ACTION=UPDATE&amp;CREATOR=FACTSET&amp;HEIGHT=450&amp;WIDTH=500&amp;DOC_NAME=FAT:FMA_AUDIT_SUMMARY.FAT&amp;VAR:CURRENCY=USD&amp;VAR:AUDIT_ID=INDEX%3APERSONAL%","3APBM.OFDB&amp;VAR:CALC_MODE=AGGREGATE&amp;VAR:CHGPERIOD=NA&amp;DISPLAY_STRING=audit&amp;VAR:FQLFORMULA=FMA_PE&amp;VAR:MEASURE=PE&amp;VAR:NULL=.HTML&amp;VAR:PED=2012&amp;VAR:PERIOD=CY&amp;VAR:THRESH=-|-|-|-|-|-&amp;VAR:PCT=N&amp;VAR:V=12.229073&amp;VAR:P=1&amp;VAR:DATE=20110805"}</definedName>
    <definedName name="_4719__FDSAUDITLINK__" hidden="1">{"fdsup://directions/FAT%20Viewer?WINDOW=first_popup&amp;DYN_ARGS=TRUE&amp;START_MAXIMIZED=FALSE&amp;TITLEBAR=FactSet Market Aggregates&amp;ACTION=UPDATE&amp;CREATOR=FACTSET&amp;HEIGHT=450&amp;WIDTH=500&amp;DOC_NAME=FAT:FMA_AUDIT_SUMMARY.FAT&amp;VAR:CURRENCY=USD&amp;VAR:AUDIT_ID=INDEX%3APERSONAL%","3APBM.OFDB&amp;VAR:CALC_MODE=AGGREGATE&amp;VAR:CHGPERIOD=NA&amp;DISPLAY_STRING=audit&amp;VAR:FQLFORMULA=FMA_PE&amp;VAR:MEASURE=PE&amp;VAR:NULL=.HTML&amp;VAR:PED=2012&amp;VAR:PERIOD=CY&amp;VAR:THRESH=-|-|-|-|-|-&amp;VAR:PCT=N&amp;VAR:V=13.589761&amp;VAR:P=1&amp;VAR:DATE=20110729"}</definedName>
    <definedName name="_472__FDSAUDITLINK__" hidden="1">{"fdsup://directions/FAT%20Viewer?VAR:TM=NTMA&amp;VAR:PCT=0.257534&amp;VAR:Y0=2001&amp;VAR:Y1=2002&amp;VAR:V0=20.924225&amp;VAR:V1=17.906311&amp;VAR:V=18.597087&amp;VAR:AUDIT_ID=00000117&amp;VAR:DATE=20010928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Aggregates&amp;VAR:MEASURE=PE_MEAN&amp;VAR:CALC_MODE=PORTFOLIO&amp;VAR:CHGPERIOD=NA&amp;VAR:FQLFORMULA=FMA_PE&amp;VAR:CURRENCY=USD&amp;VAR:P=1","040.940000&amp;VAR:THRESH=||||||&amp;VAR:null=.html"}</definedName>
    <definedName name="_4720__FDSAUDITLINK__" hidden="1">{"fdsup://directions/FAT%20Viewer?WINDOW=first_popup&amp;DYN_ARGS=TRUE&amp;START_MAXIMIZED=FALSE&amp;TITLEBAR=FactSet Market Aggregates&amp;ACTION=UPDATE&amp;CREATOR=FACTSET&amp;HEIGHT=450&amp;WIDTH=500&amp;DOC_NAME=FAT:FMA_AUDIT_SUMMARY.FAT&amp;VAR:CURRENCY=USD&amp;VAR:AUDIT_ID=INDEX%3APERSONAL%","3APBM.OFDB&amp;VAR:CALC_MODE=AGGREGATE&amp;VAR:CHGPERIOD=NA&amp;DISPLAY_STRING=audit&amp;VAR:FQLFORMULA=FMA_PE&amp;VAR:MEASURE=PE&amp;VAR:NULL=.HTML&amp;VAR:PED=2012&amp;VAR:PERIOD=CY&amp;VAR:THRESH=-|-|-|-|-|-&amp;VAR:PCT=N&amp;VAR:V=14.301688&amp;VAR:P=1&amp;VAR:DATE=20110722"}</definedName>
    <definedName name="_473__FDSAUDITLINK__" hidden="1">{"fdsup://directions/FAT%20Viewer?VAR:TM=NTMA&amp;VAR:PCT=0.276712&amp;VAR:Y0=2001&amp;VAR:Y1=2002&amp;VAR:V0=19.311367&amp;VAR:V1=16.473959&amp;VAR:V=17.172129&amp;VAR:AUDIT_ID=00000117&amp;VAR:DATE=20010921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Aggregates&amp;VAR:MEASURE=PE_MEAN&amp;VAR:CALC_MODE=PORTFOLIO&amp;VAR:CHGPERIOD=NA&amp;VAR:FQLFORMULA=FMA_PE&amp;VAR:CURRENCY=USD&amp;VAR:P=9","65.800000&amp;VAR:THRESH=||||||&amp;VAR:null=.html"}</definedName>
    <definedName name="_474__FDSAUDITLINK__" hidden="1">{"fdsup://directions/FAT%20Viewer?VAR:TM=NTMA&amp;VAR:PCT=0.306849&amp;VAR:Y0=2001&amp;VAR:Y1=2002&amp;VAR:V0=21.707033&amp;VAR:V1=18.485468&amp;VAR:V=19.367459&amp;VAR:AUDIT_ID=00000117&amp;VAR:DATE=20010910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Aggregates&amp;VAR:MEASURE=PE_MEAN&amp;VAR:CALC_MODE=PORTFOLIO&amp;VAR:CHGPERIOD=NA&amp;VAR:FQLFORMULA=FMA_PE&amp;VAR:CURRENCY=USD&amp;VAR:P=1","092.540000&amp;VAR:THRESH=||||||&amp;VAR:null=.html"}</definedName>
    <definedName name="_475__FDSAUDITLINK__" hidden="1">{"fdsup://directions/FAT%20Viewer?VAR:TM=NTMA&amp;VAR:PCT=0.315068&amp;VAR:Y0=2001&amp;VAR:Y1=2002&amp;VAR:V0=21.523605&amp;VAR:V1=18.362291&amp;VAR:V=19.253258&amp;VAR:AUDIT_ID=00000117&amp;VAR:DATE=20010907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Aggregates&amp;VAR:MEASURE=PE_MEAN&amp;VAR:CALC_MODE=PORTFOLIO&amp;VAR:CHGPERIOD=NA&amp;VAR:FQLFORMULA=FMA_PE&amp;VAR:CURRENCY=USD&amp;VAR:P=1","085.780000&amp;VAR:THRESH=||||||&amp;VAR:null=.html"}</definedName>
    <definedName name="_476__FDSAUDITLINK__" hidden="1">{"fdsup://directions/FAT%20Viewer?VAR:TM=NTMA&amp;VAR:PCT=0.334247&amp;VAR:Y0=2001&amp;VAR:Y1=2002&amp;VAR:V0=22.378572&amp;VAR:V1=19.067352&amp;VAR:V=20.059419&amp;VAR:AUDIT_ID=00000117&amp;VAR:DATE=20010831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Aggregates&amp;VAR:MEASURE=PE_MEAN&amp;VAR:CALC_MODE=PORTFOLIO&amp;VAR:CHGPERIOD=NA&amp;VAR:FQLFORMULA=FMA_PE&amp;VAR:CURRENCY=USD&amp;VAR:P=1","133.587900&amp;VAR:THRESH=||||||&amp;VAR:null=.html"}</definedName>
    <definedName name="_477__FDSAUDITLINK__" hidden="1">{"fdsup://directions/FAT%20Viewer?VAR:TM=NTMA&amp;VAR:PCT=0.353425&amp;VAR:Y0=2001&amp;VAR:Y1=2002&amp;VAR:V0=23.231989&amp;VAR:V1=19.788198&amp;VAR:V=20.882214&amp;VAR:AUDIT_ID=00000117&amp;VAR:DATE=20010824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Aggregates&amp;VAR:MEASURE=PE_MEAN&amp;VAR:CALC_MODE=PORTFOLIO&amp;VAR:CHGPERIOD=NA&amp;VAR:FQLFORMULA=FMA_PE&amp;VAR:CURRENCY=USD&amp;VAR:P=1","184.930000&amp;VAR:THRESH=||||||&amp;VAR:null=.html"}</definedName>
    <definedName name="_478__FDSAUDITLINK__" hidden="1">{"fdsup://directions/FAT%20Viewer?VAR:TM=NTMA&amp;VAR:PCT=0.372603&amp;VAR:Y0=2001&amp;VAR:Y1=2002&amp;VAR:V0=22.747976&amp;VAR:V1=19.391123&amp;VAR:V=20.519357&amp;VAR:AUDIT_ID=00000117&amp;VAR:DATE=20010817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Aggregates&amp;VAR:MEASURE=PE_MEAN&amp;VAR:CALC_MODE=PORTFOLIO&amp;VAR:CHGPERIOD=NA&amp;VAR:FQLFORMULA=FMA_PE&amp;VAR:CURRENCY=USD&amp;VAR:P=1","161.970000&amp;VAR:THRESH=||||||&amp;VAR:null=.html"}</definedName>
    <definedName name="_479__FDSAUDITLINK__" hidden="1">{"fdsup://directions/FAT%20Viewer?VAR:TM=NTMA&amp;VAR:PCT=0.391781&amp;VAR:Y0=2001&amp;VAR:Y1=2002&amp;VAR:V0=23.281720&amp;VAR:V1=19.859324&amp;VAR:V=21.072947&amp;VAR:AUDIT_ID=00000117&amp;VAR:DATE=20010810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Aggregates&amp;VAR:MEASURE=PE_MEAN&amp;VAR:CALC_MODE=PORTFOLIO&amp;VAR:CHGPERIOD=NA&amp;VAR:FQLFORMULA=FMA_PE&amp;VAR:CURRENCY=USD&amp;VAR:P=1","190.160000&amp;VAR:THRESH=||||||&amp;VAR:null=.html"}</definedName>
    <definedName name="_48__FDSAUDITLINK__" hidden="1">{"fdsup://directions/FAT%20Viewer?VAR:TM=NTMA&amp;VAR:PCT=0.131507&amp;VAR:Y0=2009&amp;VAR:Y1=2010&amp;VAR:V0=17.428194&amp;VAR:V1=14.052209&amp;VAR:V=14.419532&amp;VAR:AUDIT_ID=00000117&amp;VAR:DATE=20091113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Aggregates&amp;VAR:MEASURE=PE_MEAN&amp;VAR:CALC_MODE=PORTFOLIO&amp;VAR:CHGPERIOD=NA&amp;VAR:FQLFORMULA=FMA_PE&amp;VAR:CURRENCY=USD&amp;VAR:P=1","093.480688&amp;VAR:THRESH=||||||&amp;VAR:null=.html"}</definedName>
    <definedName name="_480__FDSAUDITLINK__" hidden="1">{"fdsup://directions/FAT%20Viewer?VAR:TM=NTMA&amp;VAR:PCT=0.410959&amp;VAR:Y0=2001&amp;VAR:Y1=2002&amp;VAR:V0=23.738808&amp;VAR:V1=20.282137&amp;VAR:V=21.573088&amp;VAR:AUDIT_ID=00000117&amp;VAR:DATE=20010803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Aggregates&amp;VAR:MEASURE=PE_MEAN&amp;VAR:CALC_MODE=PORTFOLIO&amp;VAR:CHGPERIOD=NA&amp;VAR:FQLFORMULA=FMA_PE&amp;VAR:CURRENCY=USD&amp;VAR:P=1","214.350000&amp;VAR:THRESH=||||||&amp;VAR:null=.html"}</definedName>
    <definedName name="_481__FDSAUDITLINK__" hidden="1">{"fdsup://directions/FAT%20Viewer?VAR:TM=NTMA&amp;VAR:PCT=0.430137&amp;VAR:Y0=2001&amp;VAR:Y1=2002&amp;VAR:V0=23.225475&amp;VAR:V1=20.033480&amp;VAR:V=21.292187&amp;VAR:AUDIT_ID=00000117&amp;VAR:DATE=20010727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Aggregates&amp;VAR:MEASURE=PE_MEAN&amp;VAR:CALC_MODE=PORTFOLIO&amp;VAR:CHGPERIOD=NA&amp;VAR:FQLFORMULA=FMA_PE&amp;VAR:CURRENCY=USD&amp;VAR:P=1","205.820000&amp;VAR:THRESH=||||||&amp;VAR:null=.html"}</definedName>
    <definedName name="_482__FDSAUDITLINK__" hidden="1">{"fdsup://directions/FAT%20Viewer?VAR:TM=NTMA&amp;VAR:PCT=0.449315&amp;VAR:Y0=2001&amp;VAR:Y1=2002&amp;VAR:V0=23.071900&amp;VAR:V1=19.936514&amp;VAR:V=21.233007&amp;VAR:AUDIT_ID=00000117&amp;VAR:DATE=20010720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Aggregates&amp;VAR:MEASURE=PE_MEAN&amp;VAR:CALC_MODE=PORTFOLIO&amp;VAR:CHGPERIOD=NA&amp;VAR:FQLFORMULA=FMA_PE&amp;VAR:CURRENCY=USD&amp;VAR:P=1","210.850000&amp;VAR:THRESH=||||||&amp;VAR:null=.html"}</definedName>
    <definedName name="_483__FDSAUDITLINK__" hidden="1">{"fdsup://directions/FAT%20Viewer?VAR:TM=NTMA&amp;VAR:PCT=0.468493&amp;VAR:Y0=2001&amp;VAR:Y1=2002&amp;VAR:V0=23.071161&amp;VAR:V1=19.832962&amp;VAR:V=21.228895&amp;VAR:AUDIT_ID=00000117&amp;VAR:DATE=20010713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Aggregates&amp;VAR:MEASURE=PE_MEAN&amp;VAR:CALC_MODE=PORTFOLIO&amp;VAR:CHGPERIOD=NA&amp;VAR:FQLFORMULA=FMA_PE&amp;VAR:CURRENCY=USD&amp;VAR:P=1","215.680000&amp;VAR:THRESH=||||||&amp;VAR:null=.html"}</definedName>
    <definedName name="_484__FDSAUDITLINK__" hidden="1">{"fdsup://directions/FAT%20Viewer?VAR:TM=NTMA&amp;VAR:PCT=0.487671&amp;VAR:Y0=2001&amp;VAR:Y1=2002&amp;VAR:V0=22.371315&amp;VAR:V1=19.258280&amp;VAR:V=20.660307&amp;VAR:AUDIT_ID=00000117&amp;VAR:DATE=20010706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Aggregates&amp;VAR:MEASURE=PE_MEAN&amp;VAR:CALC_MODE=PORTFOLIO&amp;VAR:CHGPERIOD=NA&amp;VAR:FQLFORMULA=FMA_PE&amp;VAR:CURRENCY=USD&amp;VAR:P=1","190.590000&amp;VAR:THRESH=||||||&amp;VAR:null=.html"}</definedName>
    <definedName name="_485__FDSAUDITLINK__" hidden="1">{"fdsup://directions/FAT%20Viewer?VAR:TM=NTMA&amp;VAR:PCT=0.506849&amp;VAR:Y0=2001&amp;VAR:Y1=2002&amp;VAR:V0=22.888212&amp;VAR:V1=19.803425&amp;VAR:V=21.255408&amp;VAR:AUDIT_ID=00000117&amp;VAR:DATE=20010629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Aggregates&amp;VAR:MEASURE=PE_MEAN&amp;VAR:CALC_MODE=PORTFOLIO&amp;VAR:CHGPERIOD=NA&amp;VAR:FQLFORMULA=FMA_PE&amp;VAR:CURRENCY=USD&amp;VAR:P=1","224.420000&amp;VAR:THRESH=||||||&amp;VAR:null=.html"}</definedName>
    <definedName name="_486__FDSAUDITLINK__" hidden="1">{"fdsup://directions/FAT%20Viewer?VAR:TM=NTMA&amp;VAR:PCT=0.526027&amp;VAR:Y0=2001&amp;VAR:Y1=2002&amp;VAR:V0=22.874527&amp;VAR:V1=19.778870&amp;VAR:V=21.294813&amp;VAR:AUDIT_ID=00000117&amp;VAR:DATE=20010622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Aggregates&amp;VAR:MEASURE=PE_MEAN&amp;VAR:CALC_MODE=PORTFOLIO&amp;VAR:CHGPERIOD=NA&amp;VAR:FQLFORMULA=FMA_PE&amp;VAR:CURRENCY=USD&amp;VAR:P=1","225.350000&amp;VAR:THRESH=||||||&amp;VAR:null=.html"}</definedName>
    <definedName name="_487__FDSAUDITLINK__" hidden="1">{"fdsup://directions/FAT%20Viewer?VAR:TM=NTMA&amp;VAR:PCT=0.545205&amp;VAR:Y0=2001&amp;VAR:Y1=2002&amp;VAR:V0=22.521030&amp;VAR:V1=19.525764&amp;VAR:V=21.052299&amp;VAR:AUDIT_ID=00000117&amp;VAR:DATE=20010615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Aggregates&amp;VAR:MEASURE=PE_MEAN&amp;VAR:CALC_MODE=PORTFOLIO&amp;VAR:CHGPERIOD=NA&amp;VAR:FQLFORMULA=FMA_PE&amp;VAR:CURRENCY=USD&amp;VAR:P=1","214.360000&amp;VAR:THRESH=||||||&amp;VAR:null=.html"}</definedName>
    <definedName name="_488__FDSAUDITLINK__" hidden="1">{"fdsup://directions/FAT%20Viewer?VAR:TM=NTMA&amp;VAR:PCT=0.564384&amp;VAR:Y0=2001&amp;VAR:Y1=2002&amp;VAR:V0=23.414553&amp;VAR:V1=20.290520&amp;VAR:V=21.942851&amp;VAR:AUDIT_ID=00000117&amp;VAR:DATE=20010608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Aggregates&amp;VAR:MEASURE=PE_MEAN&amp;VAR:CALC_MODE=PORTFOLIO&amp;VAR:CHGPERIOD=NA&amp;VAR:FQLFORMULA=FMA_PE&amp;VAR:CURRENCY=USD&amp;VAR:P=1","264.960000&amp;VAR:THRESH=||||||&amp;VAR:null=.html"}</definedName>
    <definedName name="_489__FDSAUDITLINK__" hidden="1">{"fdsup://directions/FAT%20Viewer?VAR:TM=NTMA&amp;VAR:PCT=0.583562&amp;VAR:Y0=2001&amp;VAR:Y1=2002&amp;VAR:V0=23.148556&amp;VAR:V1=20.240614&amp;VAR:V=21.841781&amp;VAR:AUDIT_ID=00000117&amp;VAR:DATE=20010601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Aggregates&amp;VAR:MEASURE=PE_MEAN&amp;VAR:CALC_MODE=PORTFOLIO&amp;VAR:CHGPERIOD=NA&amp;VAR:FQLFORMULA=FMA_PE&amp;VAR:CURRENCY=USD&amp;VAR:P=1","260.670000&amp;VAR:THRESH=||||||&amp;VAR:null=.html"}</definedName>
    <definedName name="_49__FDSAUDITLINK__" hidden="1">{"fdsup://directions/FAT%20Viewer?VAR:TM=NTMA&amp;VAR:PCT=0.150685&amp;VAR:Y0=2009&amp;VAR:Y1=2010&amp;VAR:V0=17.080658&amp;VAR:V1=13.740876&amp;VAR:V=14.158020&amp;VAR:AUDIT_ID=00000117&amp;VAR:DATE=20091106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Aggregates&amp;VAR:MEASURE=PE_MEAN&amp;VAR:CALC_MODE=PORTFOLIO&amp;VAR:CHGPERIOD=NA&amp;VAR:FQLFORMULA=FMA_PE&amp;VAR:CURRENCY=USD&amp;VAR:P=1","069.300601&amp;VAR:THRESH=||||||&amp;VAR:null=.html"}</definedName>
    <definedName name="_490__FDSAUDITLINK__" hidden="1">{"fdsup://directions/FAT%20Viewer?VAR:TM=NTMA&amp;VAR:PCT=0.602740&amp;VAR:Y0=2001&amp;VAR:Y1=2002&amp;VAR:V0=23.439405&amp;VAR:V1=20.521269&amp;VAR:V=22.186098&amp;VAR:AUDIT_ID=00000117&amp;VAR:DATE=20010525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Aggregates&amp;VAR:MEASURE=PE_MEAN&amp;VAR:CALC_MODE=PORTFOLIO&amp;VAR:CHGPERIOD=NA&amp;VAR:FQLFORMULA=FMA_PE&amp;VAR:CURRENCY=USD&amp;VAR:P=1","277.890000&amp;VAR:THRESH=||||||&amp;VAR:null=.html"}</definedName>
    <definedName name="_491__FDSAUDITLINK__" hidden="1">{"fdsup://directions/FAT%20Viewer?VAR:TM=NTMA&amp;VAR:PCT=0.621918&amp;VAR:Y0=2001&amp;VAR:Y1=2002&amp;VAR:V0=23.639590&amp;VAR:V1=20.410965&amp;VAR:V=22.305595&amp;VAR:AUDIT_ID=00000117&amp;VAR:DATE=20010518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Aggregates&amp;VAR:MEASURE=PE_MEAN&amp;VAR:CALC_MODE=PORTFOLIO&amp;VAR:CHGPERIOD=NA&amp;VAR:FQLFORMULA=FMA_PE&amp;VAR:CURRENCY=USD&amp;VAR:P=1","291.960000&amp;VAR:THRESH=||||||&amp;VAR:null=.html"}</definedName>
    <definedName name="_492__FDSAUDITLINK__" hidden="1">{"fdsup://directions/FAT%20Viewer?VAR:TM=NTMA&amp;VAR:PCT=0.641096&amp;VAR:Y0=2001&amp;VAR:Y1=2002&amp;VAR:V0=22.729588&amp;VAR:V1=19.634740&amp;VAR:V=21.512602&amp;VAR:AUDIT_ID=00000117&amp;VAR:DATE=20010511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Aggregates&amp;VAR:MEASURE=PE_MEAN&amp;VAR:CALC_MODE=PORTFOLIO&amp;VAR:CHGPERIOD=NA&amp;VAR:FQLFORMULA=FMA_PE&amp;VAR:CURRENCY=USD&amp;VAR:P=1","245.670000&amp;VAR:THRESH=||||||&amp;VAR:null=.html"}</definedName>
    <definedName name="_493__FDSAUDITLINK__" hidden="1">{"fdsup://directions/FAT%20Viewer?VAR:TM=NTMA&amp;VAR:PCT=0.660274&amp;VAR:Y0=2001&amp;VAR:Y1=2002&amp;VAR:V0=23.025444&amp;VAR:V1=19.889248&amp;VAR:V=21.854709&amp;VAR:AUDIT_ID=00000117&amp;VAR:DATE=20010504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Aggregates&amp;VAR:MEASURE=PE_MEAN&amp;VAR:CALC_MODE=PORTFOLIO&amp;VAR:CHGPERIOD=NA&amp;VAR:FQLFORMULA=FMA_PE&amp;VAR:CURRENCY=USD&amp;VAR:P=1","266.610000&amp;VAR:THRESH=||||||&amp;VAR:null=.html"}</definedName>
    <definedName name="_494__FDSAUDITLINK__" hidden="1">{"fdsup://directions/FAT%20Viewer?VAR:TM=NTMA&amp;VAR:PCT=0.679452&amp;VAR:Y0=2001&amp;VAR:Y1=2002&amp;VAR:V0=22.662510&amp;VAR:V1=19.636340&amp;VAR:V=21.595686&amp;VAR:AUDIT_ID=00000117&amp;VAR:DATE=20010427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Aggregates&amp;VAR:MEASURE=PE_MEAN&amp;VAR:CALC_MODE=PORTFOLIO&amp;VAR:CHGPERIOD=NA&amp;VAR:FQLFORMULA=FMA_PE&amp;VAR:CURRENCY=USD&amp;VAR:P=1","253.050000&amp;VAR:THRESH=||||||&amp;VAR:null=.html"}</definedName>
    <definedName name="_495__FDSAUDITLINK__" hidden="1">{"fdsup://directions/FAT%20Viewer?VAR:TM=NTMA&amp;VAR:PCT=0.698630&amp;VAR:Y0=2001&amp;VAR:Y1=2002&amp;VAR:V0=22.295664&amp;VAR:V1=19.241330&amp;VAR:V=21.277759&amp;VAR:AUDIT_ID=00000117&amp;VAR:DATE=20010420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Aggregates&amp;VAR:MEASURE=PE_MEAN&amp;VAR:CALC_MODE=PORTFOLIO&amp;VAR:CHGPERIOD=NA&amp;VAR:FQLFORMULA=FMA_PE&amp;VAR:CURRENCY=USD&amp;VAR:P=1","242.980000&amp;VAR:THRESH=||||||&amp;VAR:null=.html"}</definedName>
    <definedName name="_496__FDSAUDITLINK__" hidden="1">{"fdsup://directions/FAT%20Viewer?VAR:TM=NTMA&amp;VAR:PCT=0.720548&amp;VAR:Y0=2001&amp;VAR:Y1=2002&amp;VAR:V0=21.000347&amp;VAR:V1=18.217812&amp;VAR:V=20.140688&amp;VAR:AUDIT_ID=00000117&amp;VAR:DATE=20010412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Aggregates&amp;VAR:MEASURE=PE_MEAN&amp;VAR:CALC_MODE=PORTFOLIO&amp;VAR:CHGPERIOD=NA&amp;VAR:FQLFORMULA=FMA_PE&amp;VAR:CURRENCY=USD&amp;VAR:P=1","183.500000&amp;VAR:THRESH=||||||&amp;VAR:null=.html"}</definedName>
    <definedName name="_497__FDSAUDITLINK__" hidden="1">{"fdsup://directions/FAT%20Viewer?VAR:TM=NTMA&amp;VAR:PCT=0.736986&amp;VAR:Y0=2001&amp;VAR:Y1=2002&amp;VAR:V0=19.956238&amp;VAR:V1=17.463903&amp;VAR:V=19.234268&amp;VAR:AUDIT_ID=00000117&amp;VAR:DATE=20010406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Aggregates&amp;VAR:MEASURE=PE_MEAN&amp;VAR:CALC_MODE=PORTFOLIO&amp;VAR:CHGPERIOD=NA&amp;VAR:FQLFORMULA=FMA_PE&amp;VAR:CURRENCY=USD&amp;VAR:P=1","128.430000&amp;VAR:THRESH=||||||&amp;VAR:null=.html"}</definedName>
    <definedName name="_498__FDSAUDITLINK__" hidden="1">{"fdsup://directions/FAT%20Viewer?VAR:TM=NTMA&amp;VAR:PCT=0.756164&amp;VAR:Y0=2001&amp;VAR:Y1=2002&amp;VAR:V0=20.350607&amp;VAR:V1=17.896147&amp;VAR:V=19.692063&amp;VAR:AUDIT_ID=00000117&amp;VAR:DATE=20010330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Aggregates&amp;VAR:MEASURE=PE_MEAN&amp;VAR:CALC_MODE=PORTFOLIO&amp;VAR:CHGPERIOD=NA&amp;VAR:FQLFORMULA=FMA_PE&amp;VAR:CURRENCY=USD&amp;VAR:P=1","160.330000&amp;VAR:THRESH=||||||&amp;VAR:null=.html"}</definedName>
    <definedName name="_499__FDSAUDITLINK__" hidden="1">{"fdsup://directions/FAT%20Viewer?VAR:TM=NTMA&amp;VAR:PCT=0.775342&amp;VAR:Y0=2001&amp;VAR:Y1=2002&amp;VAR:V0=19.805477&amp;VAR:V1=17.362900&amp;VAR:V=19.198714&amp;VAR:AUDIT_ID=00000117&amp;VAR:DATE=20010323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Aggregates&amp;VAR:MEASURE=PE_MEAN&amp;VAR:CALC_MODE=PORTFOLIO&amp;VAR:CHGPERIOD=NA&amp;VAR:FQLFORMULA=FMA_PE&amp;VAR:CURRENCY=USD&amp;VAR:P=1","139.830000&amp;VAR:THRESH=||||||&amp;VAR:null=.html"}</definedName>
    <definedName name="_5__FDSAUDITLINK__" hidden="1">{"fdsup://directions/FAT%20Viewer?VAR:TM=NTMA&amp;VAR:PCT=0.306849&amp;VAR:Y0=2010&amp;VAR:Y1=2011&amp;VAR:V0=13.279544&amp;VAR:V1=11.576964&amp;VAR:V=12.051070&amp;VAR:AUDIT_ID=00000117&amp;VAR:DATE=20100910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Aggregates&amp;VAR:MEASURE=PE_MEAN&amp;VAR:CALC_MODE=PORTFOLIO&amp;VAR:CHGPERIOD=NA&amp;VAR:FQLFORMULA=FMA_PE&amp;VAR:CURRENCY=USD&amp;VAR:P=1","109.552053&amp;VAR:THRESH=||||||&amp;VAR:null=.html"}</definedName>
    <definedName name="_50__FDSAUDITLINK__" hidden="1">{"fdsup://directions/FAT%20Viewer?VAR:TM=NTMA&amp;VAR:PCT=0.169863&amp;VAR:Y0=2009&amp;VAR:Y1=2010&amp;VAR:V0=16.764140&amp;VAR:V1=13.394112&amp;VAR:V=13.867649&amp;VAR:AUDIT_ID=00000117&amp;VAR:DATE=20091030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Aggregates&amp;VAR:MEASURE=PE_MEAN&amp;VAR:CALC_MODE=PORTFOLIO&amp;VAR:CHGPERIOD=NA&amp;VAR:FQLFORMULA=FMA_PE&amp;VAR:CURRENCY=USD&amp;VAR:P=1","036.194537&amp;VAR:THRESH=||||||&amp;VAR:null=.html"}</definedName>
    <definedName name="_500__FDSAUDITLINK__" hidden="1">{"fdsup://directions/FAT%20Viewer?VAR:TM=NTMA&amp;VAR:PCT=0.794521&amp;VAR:Y0=2001&amp;VAR:Y1=2002&amp;VAR:V0=19.839360&amp;VAR:V1=17.545345&amp;VAR:V=19.320301&amp;VAR:AUDIT_ID=00000117&amp;VAR:DATE=20010316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Aggregates&amp;VAR:MEASURE=PE_MEAN&amp;VAR:CALC_MODE=PORTFOLIO&amp;VAR:CHGPERIOD=NA&amp;VAR:FQLFORMULA=FMA_PE&amp;VAR:CURRENCY=USD&amp;VAR:P=1","150.530000&amp;VAR:THRESH=||||||&amp;VAR:null=.html"}</definedName>
    <definedName name="_501__FDSAUDITLINK__" hidden="1">{"fdsup://directions/FAT%20Viewer?VAR:TM=NTMA&amp;VAR:PCT=0.813699&amp;VAR:Y0=2001&amp;VAR:Y1=2002&amp;VAR:V0=21.168573&amp;VAR:V1=18.766205&amp;VAR:V=20.675473&amp;VAR:AUDIT_ID=00000117&amp;VAR:DATE=20010309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Aggregates&amp;VAR:MEASURE=PE_MEAN&amp;VAR:CALC_MODE=PORTFOLIO&amp;VAR:CHGPERIOD=NA&amp;VAR:FQLFORMULA=FMA_PE&amp;VAR:CURRENCY=USD&amp;VAR:P=1","233.420000&amp;VAR:THRESH=||||||&amp;VAR:null=.html"}</definedName>
    <definedName name="_502__FDSAUDITLINK__" hidden="1">{"fdsup://directions/FAT%20Viewer?VAR:TM=NTMA&amp;VAR:PCT=0.832877&amp;VAR:Y0=2001&amp;VAR:Y1=2002&amp;VAR:V0=21.133755&amp;VAR:V1=18.698850&amp;VAR:V=20.683632&amp;VAR:AUDIT_ID=00000117&amp;VAR:DATE=20010302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Aggregates&amp;VAR:MEASURE=PE_MEAN&amp;VAR:CALC_MODE=PORTFOLIO&amp;VAR:CHGPERIOD=NA&amp;VAR:FQLFORMULA=FMA_PE&amp;VAR:CURRENCY=USD&amp;VAR:P=1","234.180000&amp;VAR:THRESH=||||||&amp;VAR:null=.html"}</definedName>
    <definedName name="_503__FDSAUDITLINK__" hidden="1">{"fdsup://directions/FAT%20Viewer?VAR:TM=NTMA&amp;VAR:PCT=0.852055&amp;VAR:Y0=2001&amp;VAR:Y1=2002&amp;VAR:V0=21.249514&amp;VAR:V1=18.841272&amp;VAR:V=20.855144&amp;VAR:AUDIT_ID=00000117&amp;VAR:DATE=20010223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Aggregates&amp;VAR:MEASURE=PE_MEAN&amp;VAR:CALC_MODE=PORTFOLIO&amp;VAR:CHGPERIOD=NA&amp;VAR:FQLFORMULA=FMA_PE&amp;VAR:CURRENCY=USD&amp;VAR:P=1","245.860000&amp;VAR:THRESH=||||||&amp;VAR:null=.html"}</definedName>
    <definedName name="_504__FDSAUDITLINK__" hidden="1">{"fdsup://directions/FAT%20Viewer?VAR:TM=NTMA&amp;VAR:PCT=0.871233&amp;VAR:Y0=2001&amp;VAR:Y1=2002&amp;VAR:V0=22.034084&amp;VAR:V1=19.582178&amp;VAR:V=21.684464&amp;VAR:AUDIT_ID=00000117&amp;VAR:DATE=20010216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Aggregates&amp;VAR:MEASURE=PE_MEAN&amp;VAR:CALC_MODE=PORTFOLIO&amp;VAR:CHGPERIOD=NA&amp;VAR:FQLFORMULA=FMA_PE&amp;VAR:CURRENCY=USD&amp;VAR:P=1","301.530000&amp;VAR:THRESH=||||||&amp;VAR:null=.html"}</definedName>
    <definedName name="_505__FDSAUDITLINK__" hidden="1">{"fdsup://directions/FAT%20Viewer?VAR:TM=NTMA&amp;VAR:PCT=0.890411&amp;VAR:Y0=2001&amp;VAR:Y1=2002&amp;VAR:V0=22.082323&amp;VAR:V1=19.668360&amp;VAR:V=21.789253&amp;VAR:AUDIT_ID=00000117&amp;VAR:DATE=20010209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Aggregates&amp;VAR:MEASURE=PE_MEAN&amp;VAR:CALC_MODE=PORTFOLIO&amp;VAR:CHGPERIOD=NA&amp;VAR:FQLFORMULA=FMA_PE&amp;VAR:CURRENCY=USD&amp;VAR:P=1","314.760000&amp;VAR:THRESH=||||||&amp;VAR:null=.html"}</definedName>
    <definedName name="_506__FDSAUDITLINK__" hidden="1">{"fdsup://directions/FAT%20Viewer?VAR:TM=NTMA&amp;VAR:PCT=0.909589&amp;VAR:Y0=2001&amp;VAR:Y1=2002&amp;VAR:V0=22.646160&amp;VAR:V1=20.190973&amp;VAR:V=22.399900&amp;VAR:AUDIT_ID=00000117&amp;VAR:DATE=20010202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Aggregates&amp;VAR:MEASURE=PE_MEAN&amp;VAR:CALC_MODE=PORTFOLIO&amp;VAR:CHGPERIOD=NA&amp;VAR:FQLFORMULA=FMA_PE&amp;VAR:CURRENCY=USD&amp;VAR:P=1","349.470000&amp;VAR:THRESH=||||||&amp;VAR:null=.html"}</definedName>
    <definedName name="_507__FDSAUDITLINK__" hidden="1">{"fdsup://directions/FAT%20Viewer?VAR:TM=NTMA&amp;VAR:PCT=0.928767&amp;VAR:Y0=2001&amp;VAR:Y1=2002&amp;VAR:V0=22.588410&amp;VAR:V1=19.923862&amp;VAR:V=22.375254&amp;VAR:AUDIT_ID=00000117&amp;VAR:DATE=20010126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Aggregates&amp;VAR:MEASURE=PE_MEAN&amp;VAR:CALC_MODE=PORTFOLIO&amp;VAR:CHGPERIOD=NA&amp;VAR:FQLFORMULA=FMA_PE&amp;VAR:CURRENCY=USD&amp;VAR:P=1","354.950000&amp;VAR:THRESH=||||||&amp;VAR:null=.html"}</definedName>
    <definedName name="_508__FDSAUDITLINK__" hidden="1">{"fdsup://directions/FAT%20Viewer?VAR:TM=NTMA&amp;VAR:PCT=0.947945&amp;VAR:Y0=2001&amp;VAR:Y1=2002&amp;VAR:V0=22.125420&amp;VAR:V1=19.631048&amp;VAR:V=21.980039&amp;VAR:AUDIT_ID=00000117&amp;VAR:DATE=20010119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Aggregates&amp;VAR:MEASURE=PE_MEAN&amp;VAR:CALC_MODE=PORTFOLIO&amp;VAR:CHGPERIOD=NA&amp;VAR:FQLFORMULA=FMA_PE&amp;VAR:CURRENCY=USD&amp;VAR:P=1","342.540000&amp;VAR:THRESH=||||||&amp;VAR:null=.html"}</definedName>
    <definedName name="_509__FDSAUDITLINK__" hidden="1">{"fdsup://directions/FAT%20Viewer?VAR:TM=NTMA&amp;VAR:PCT=0.967123&amp;VAR:Y0=2001&amp;VAR:Y1=2002&amp;VAR:V0=21.404024&amp;VAR:V1=19.048592&amp;VAR:V=21.317362&amp;VAR:AUDIT_ID=00000117&amp;VAR:DATE=20010112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Aggregates&amp;VAR:MEASURE=PE_MEAN&amp;VAR:CALC_MODE=PORTFOLIO&amp;VAR:CHGPERIOD=NA&amp;VAR:FQLFORMULA=FMA_PE&amp;VAR:CURRENCY=USD&amp;VAR:P=1","318.320000&amp;VAR:THRESH=||||||&amp;VAR:null=.html"}</definedName>
    <definedName name="_51__FDSAUDITLINK__" hidden="1">{"fdsup://directions/FAT%20Viewer?VAR:TM=NTMA&amp;VAR:PCT=0.189041&amp;VAR:Y0=2009&amp;VAR:Y1=2010&amp;VAR:V0=17.580545&amp;VAR:V1=13.987382&amp;VAR:V=14.549529&amp;VAR:AUDIT_ID=00000117&amp;VAR:DATE=20091023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Aggregates&amp;VAR:MEASURE=PE_MEAN&amp;VAR:CALC_MODE=PORTFOLIO&amp;VAR:CHGPERIOD=NA&amp;VAR:FQLFORMULA=FMA_PE&amp;VAR:CURRENCY=USD&amp;VAR:P=1","079.602440&amp;VAR:THRESH=||||||&amp;VAR:null=.html"}</definedName>
    <definedName name="_510__FDSAUDITLINK__" hidden="1">{"fdsup://directions/FAT%20Viewer?VAR:TM=NTMA&amp;VAR:PCT=0.986301&amp;VAR:Y0=2001&amp;VAR:Y1=2002&amp;VAR:V0=21.093508&amp;VAR:V1=19.635775&amp;VAR:V=21.072078&amp;VAR:AUDIT_ID=00000117&amp;VAR:DATE=20010105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Aggregates&amp;VAR:MEASURE=PE_MEAN&amp;VAR:CALC_MODE=PORTFOLIO&amp;VAR:CHGPERIOD=NA&amp;VAR:FQLFORMULA=FMA_PE&amp;VAR:CURRENCY=USD&amp;VAR:P=1","298.350000&amp;VAR:THRESH=||||||&amp;VAR:null=.html"}</definedName>
    <definedName name="_511__FDSAUDITLINK__" hidden="1">{"fdsup://directions/FAT%20Viewer?VAR:TM=NTMA&amp;VAR:PCT=0.005464&amp;VAR:Y0=2000&amp;VAR:Y1=2001&amp;VAR:V0=23.970520&amp;VAR:V1=21.306316&amp;VAR:V=21.319264&amp;VAR:AUDIT_ID=00000117&amp;VAR:DATE=20001229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Aggregates&amp;VAR:MEASURE=PE_MEAN&amp;VAR:CALC_MODE=PORTFOLIO&amp;VAR:CHGPERIOD=NA&amp;VAR:FQLFORMULA=FMA_PE&amp;VAR:CURRENCY=USD&amp;VAR:P=1","320.280000&amp;VAR:THRESH=||||||&amp;VAR:null=.html"}</definedName>
    <definedName name="_512__FDSAUDITLINK__" hidden="1">{"fdsup://directions/FAT%20Viewer?VAR:TM=NTMA&amp;VAR:PCT=0.024590&amp;VAR:Y0=2000&amp;VAR:Y1=2001&amp;VAR:V0=23.678930&amp;VAR:V1=20.989952&amp;VAR:V=21.048730&amp;VAR:AUDIT_ID=00000117&amp;VAR:DATE=20001222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Aggregates&amp;VAR:MEASURE=PE_MEAN&amp;VAR:CALC_MODE=PORTFOLIO&amp;VAR:CHGPERIOD=NA&amp;VAR:FQLFORMULA=FMA_PE&amp;VAR:CURRENCY=USD&amp;VAR:P=1","305.970000&amp;VAR:THRESH=||||||&amp;VAR:null=.html"}</definedName>
    <definedName name="_513__FDSAUDITLINK__" hidden="1">{"fdsup://directions/FAT%20Viewer?VAR:TM=NTMA&amp;VAR:PCT=0.043716&amp;VAR:Y0=2000&amp;VAR:Y1=2001&amp;VAR:V0=23.657310&amp;VAR:V1=20.968344&amp;VAR:V=21.073054&amp;VAR:AUDIT_ID=00000117&amp;VAR:DATE=20001215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Aggregates&amp;VAR:MEASURE=PE_MEAN&amp;VAR:CALC_MODE=PORTFOLIO&amp;VAR:CHGPERIOD=NA&amp;VAR:FQLFORMULA=FMA_PE&amp;VAR:CURRENCY=USD&amp;VAR:P=1","312.150000&amp;VAR:THRESH=||||||&amp;VAR:null=.html"}</definedName>
    <definedName name="_514__FDSAUDITLINK__" hidden="1">{"fdsup://directions/FAT%20Viewer?VAR:TM=NTMA&amp;VAR:PCT=0.062842&amp;VAR:Y0=2000&amp;VAR:Y1=2001&amp;VAR:V0=24.692848&amp;VAR:V1=21.865288&amp;VAR:V=22.023770&amp;VAR:AUDIT_ID=00000117&amp;VAR:DATE=20001208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Aggregates&amp;VAR:MEASURE=PE_MEAN&amp;VAR:CALC_MODE=PORTFOLIO&amp;VAR:CHGPERIOD=NA&amp;VAR:FQLFORMULA=FMA_PE&amp;VAR:CURRENCY=USD&amp;VAR:P=1","369.890000&amp;VAR:THRESH=||||||&amp;VAR:null=.html"}</definedName>
    <definedName name="_515__FDSAUDITLINK__" hidden="1">{"fdsup://directions/FAT%20Viewer?VAR:TM=NTMA&amp;VAR:PCT=0.081967&amp;VAR:Y0=2000&amp;VAR:Y1=2001&amp;VAR:V0=23.633993&amp;VAR:V1=20.813288&amp;VAR:V=21.018911&amp;VAR:AUDIT_ID=00000117&amp;VAR:DATE=20001201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Aggregates&amp;VAR:MEASURE=PE_MEAN&amp;VAR:CALC_MODE=PORTFOLIO&amp;VAR:CHGPERIOD=NA&amp;VAR:FQLFORMULA=FMA_PE&amp;VAR:CURRENCY=USD&amp;VAR:P=1","315.230000&amp;VAR:THRESH=||||||&amp;VAR:null=.html"}</definedName>
    <definedName name="_516__FDSAUDITLINK__" hidden="1">{"fdsup://directions/FAT%20Viewer?VAR:TM=NTMA&amp;VAR:PCT=0.101093&amp;VAR:Y0=2000&amp;VAR:Y1=2001&amp;VAR:V0=24.118752&amp;VAR:V1=21.167105&amp;VAR:V=21.432259&amp;VAR:AUDIT_ID=00000117&amp;VAR:DATE=20001124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Aggregates&amp;VAR:MEASURE=PE_MEAN&amp;VAR:CALC_MODE=PORTFOLIO&amp;VAR:CHGPERIOD=NA&amp;VAR:FQLFORMULA=FMA_PE&amp;VAR:CURRENCY=USD&amp;VAR:P=1","341.770000&amp;VAR:THRESH=||||||&amp;VAR:null=.html"}</definedName>
    <definedName name="_517__FDSAUDITLINK__" hidden="1">{"fdsup://directions/FAT%20Viewer?VAR:TM=NTMA&amp;VAR:PCT=0.120219&amp;VAR:Y0=2000&amp;VAR:Y1=2001&amp;VAR:V0=24.530210&amp;VAR:V1=21.525093&amp;VAR:V=21.846844&amp;VAR:AUDIT_ID=00000117&amp;VAR:DATE=20001117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Aggregates&amp;VAR:MEASURE=PE_MEAN&amp;VAR:CALC_MODE=PORTFOLIO&amp;VAR:CHGPERIOD=NA&amp;VAR:FQLFORMULA=FMA_PE&amp;VAR:CURRENCY=USD&amp;VAR:P=1","367.720000&amp;VAR:THRESH=||||||&amp;VAR:null=.html"}</definedName>
    <definedName name="_518__FDSAUDITLINK__" hidden="1">{"fdsup://directions/FAT%20Viewer?VAR:TM=NTMA&amp;VAR:PCT=0.139344&amp;VAR:Y0=2000&amp;VAR:Y1=2001&amp;VAR:V0=24.506666&amp;VAR:V1=21.452713&amp;VAR:V=21.831816&amp;VAR:AUDIT_ID=00000117&amp;VAR:DATE=20001110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Aggregates&amp;VAR:MEASURE=PE_MEAN&amp;VAR:CALC_MODE=PORTFOLIO&amp;VAR:CHGPERIOD=NA&amp;VAR:FQLFORMULA=FMA_PE&amp;VAR:CURRENCY=USD&amp;VAR:P=1","365.980000&amp;VAR:THRESH=||||||&amp;VAR:null=.html"}</definedName>
    <definedName name="_519__FDSAUDITLINK__" hidden="1">{"fdsup://directions/FAT%20Viewer?VAR:TM=NTMA&amp;VAR:PCT=0.158470&amp;VAR:Y0=2000&amp;VAR:Y1=2001&amp;VAR:V0=25.520681&amp;VAR:V1=22.353777&amp;VAR:V=22.802177&amp;VAR:AUDIT_ID=00000117&amp;VAR:DATE=20001103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Aggregates&amp;VAR:MEASURE=PE_MEAN&amp;VAR:CALC_MODE=PORTFOLIO&amp;VAR:CHGPERIOD=NA&amp;VAR:FQLFORMULA=FMA_PE&amp;VAR:CURRENCY=USD&amp;VAR:P=1","426.690000&amp;VAR:THRESH=||||||&amp;VAR:null=.html"}</definedName>
    <definedName name="_52__FDSAUDITLINK__" hidden="1">{"fdsup://directions/FAT%20Viewer?VAR:TM=NTMA&amp;VAR:PCT=0.208219&amp;VAR:Y0=2009&amp;VAR:Y1=2010&amp;VAR:V0=17.966030&amp;VAR:V1=14.258114&amp;VAR:V=14.898345&amp;VAR:AUDIT_ID=00000117&amp;VAR:DATE=20091016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Aggregates&amp;VAR:MEASURE=PE_MEAN&amp;VAR:CALC_MODE=PORTFOLIO&amp;VAR:CHGPERIOD=NA&amp;VAR:FQLFORMULA=FMA_PE&amp;VAR:CURRENCY=USD&amp;VAR:P=1","087.682343&amp;VAR:THRESH=||||||&amp;VAR:null=.html"}</definedName>
    <definedName name="_520__FDSAUDITLINK__" hidden="1">{"fdsup://directions/FAT%20Viewer?VAR:TM=NTMA&amp;VAR:PCT=0.177596&amp;VAR:Y0=2000&amp;VAR:Y1=2001&amp;VAR:V0=24.667906&amp;VAR:V1=21.527153&amp;VAR:V=22.025180&amp;VAR:AUDIT_ID=00000117&amp;VAR:DATE=20001027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Aggregates&amp;VAR:MEASURE=PE_MEAN&amp;VAR:CALC_MODE=PORTFOLIO&amp;VAR:CHGPERIOD=NA&amp;VAR:FQLFORMULA=FMA_PE&amp;VAR:CURRENCY=USD&amp;VAR:P=1","379.580000&amp;VAR:THRESH=||||||&amp;VAR:null=.html"}</definedName>
    <definedName name="_521__FDSAUDITLINK__" hidden="1">{"fdsup://directions/FAT%20Viewer?VAR:TM=NTMA&amp;VAR:PCT=0.196721&amp;VAR:Y0=2000&amp;VAR:Y1=2001&amp;VAR:V0=24.941616&amp;VAR:V1=21.779495&amp;VAR:V=22.336581&amp;VAR:AUDIT_ID=00000117&amp;VAR:DATE=20001020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Aggregates&amp;VAR:MEASURE=PE_MEAN&amp;VAR:CALC_MODE=PORTFOLIO&amp;VAR:CHGPERIOD=NA&amp;VAR:FQLFORMULA=FMA_PE&amp;VAR:CURRENCY=USD&amp;VAR:P=1","396.930000&amp;VAR:THRESH=||||||&amp;VAR:null=.html"}</definedName>
    <definedName name="_522__FDSAUDITLINK__" hidden="1">{"fdsup://directions/FAT%20Viewer?VAR:TM=NTMA&amp;VAR:PCT=0.215847&amp;VAR:Y0=2000&amp;VAR:Y1=2001&amp;VAR:V0=24.532862&amp;VAR:V1=21.424818&amp;VAR:V=22.027160&amp;VAR:AUDIT_ID=00000117&amp;VAR:DATE=20001013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Aggregates&amp;VAR:MEASURE=PE_MEAN&amp;VAR:CALC_MODE=PORTFOLIO&amp;VAR:CHGPERIOD=NA&amp;VAR:FQLFORMULA=FMA_PE&amp;VAR:CURRENCY=USD&amp;VAR:P=1","374.170000&amp;VAR:THRESH=||||||&amp;VAR:null=.html"}</definedName>
    <definedName name="_523__FDSAUDITLINK__" hidden="1">{"fdsup://directions/FAT%20Viewer?VAR:TM=NTMA&amp;VAR:PCT=0.234973&amp;VAR:Y0=2000&amp;VAR:Y1=2001&amp;VAR:V0=25.066662&amp;VAR:V1=21.934528&amp;VAR:V=22.598014&amp;VAR:AUDIT_ID=00000117&amp;VAR:DATE=20001006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Aggregates&amp;VAR:MEASURE=PE_MEAN&amp;VAR:CALC_MODE=PORTFOLIO&amp;VAR:CHGPERIOD=NA&amp;VAR:FQLFORMULA=FMA_PE&amp;VAR:CURRENCY=USD&amp;VAR:P=1","408.990000&amp;VAR:THRESH=||||||&amp;VAR:null=.html"}</definedName>
    <definedName name="_524__FDSAUDITLINK__" hidden="1">{"fdsup://directions/FAT%20Viewer?VAR:TM=NTMA&amp;VAR:PCT=0.254098&amp;VAR:Y0=2000&amp;VAR:Y1=2001&amp;VAR:V0=25.491816&amp;VAR:V1=22.310682&amp;VAR:V=23.041299&amp;VAR:AUDIT_ID=00000117&amp;VAR:DATE=20000929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Aggregates&amp;VAR:MEASURE=PE_MEAN&amp;VAR:CALC_MODE=PORTFOLIO&amp;VAR:CHGPERIOD=NA&amp;VAR:FQLFORMULA=FMA_PE&amp;VAR:CURRENCY=USD&amp;VAR:P=1","436.510000&amp;VAR:THRESH=||||||&amp;VAR:null=.html"}</definedName>
    <definedName name="_525__FDSAUDITLINK__" hidden="1">{"fdsup://directions/FAT%20Viewer?VAR:TM=NTMA&amp;VAR:PCT=0.273224&amp;VAR:Y0=2000&amp;VAR:Y1=2001&amp;VAR:V0=25.710050&amp;VAR:V1=22.492504&amp;VAR:V=23.288825&amp;VAR:AUDIT_ID=00000117&amp;VAR:DATE=20000922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Aggregates&amp;VAR:MEASURE=PE_MEAN&amp;VAR:CALC_MODE=PORTFOLIO&amp;VAR:CHGPERIOD=NA&amp;VAR:FQLFORMULA=FMA_PE&amp;VAR:CURRENCY=USD&amp;VAR:P=1","448.720000&amp;VAR:THRESH=||||||&amp;VAR:null=.html"}</definedName>
    <definedName name="_526__FDSAUDITLINK__" hidden="1">{"fdsup://directions/FAT%20Viewer?VAR:TM=NTMA&amp;VAR:PCT=0.292350&amp;VAR:Y0=2000&amp;VAR:Y1=2001&amp;VAR:V0=25.871893&amp;VAR:V1=22.622261&amp;VAR:V=23.484628&amp;VAR:AUDIT_ID=00000117&amp;VAR:DATE=20000915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Aggregates&amp;VAR:MEASURE=PE_MEAN&amp;VAR:CALC_MODE=PORTFOLIO&amp;VAR:CHGPERIOD=NA&amp;VAR:FQLFORMULA=FMA_PE&amp;VAR:CURRENCY=USD&amp;VAR:P=1","465.810000&amp;VAR:THRESH=||||||&amp;VAR:null=.html"}</definedName>
    <definedName name="_527__FDSAUDITLINK__" hidden="1">{"fdsup://directions/FAT%20Viewer?VAR:TM=NTMA&amp;VAR:PCT=0.311475&amp;VAR:Y0=2000&amp;VAR:Y1=2001&amp;VAR:V0=26.392527&amp;VAR:V1=23.109983&amp;VAR:V=24.041331&amp;VAR:AUDIT_ID=00000117&amp;VAR:DATE=20000908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Aggregates&amp;VAR:MEASURE=PE_MEAN&amp;VAR:CALC_MODE=PORTFOLIO&amp;VAR:CHGPERIOD=NA&amp;VAR:FQLFORMULA=FMA_PE&amp;VAR:CURRENCY=USD&amp;VAR:P=1","494.500000&amp;VAR:THRESH=||||||&amp;VAR:null=.html"}</definedName>
    <definedName name="_528__FDSAUDITLINK__" hidden="1">{"fdsup://directions/FAT%20Viewer?VAR:TM=NTMA&amp;VAR:PCT=0.330601&amp;VAR:Y0=2000&amp;VAR:Y1=2001&amp;VAR:V0=26.875881&amp;VAR:V1=23.432196&amp;VAR:V=24.468712&amp;VAR:AUDIT_ID=00000117&amp;VAR:DATE=20000901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Aggregates&amp;VAR:MEASURE=PE_MEAN&amp;VAR:CALC_MODE=PORTFOLIO&amp;VAR:CHGPERIOD=NA&amp;VAR:FQLFORMULA=FMA_PE&amp;VAR:CURRENCY=USD&amp;VAR:P=1","520.770000&amp;VAR:THRESH=||||||&amp;VAR:null=.html"}</definedName>
    <definedName name="_529__FDSAUDITLINK__" hidden="1">{"fdsup://directions/FAT%20Viewer?VAR:TM=NTMA&amp;VAR:PCT=0.349727&amp;VAR:Y0=2000&amp;VAR:Y1=2001&amp;VAR:V0=26.605452&amp;VAR:V1=23.160763&amp;VAR:V=24.259225&amp;VAR:AUDIT_ID=00000117&amp;VAR:DATE=20000825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Aggregates&amp;VAR:MEASURE=PE_MEAN&amp;VAR:CALC_MODE=PORTFOLIO&amp;VAR:CHGPERIOD=NA&amp;VAR:FQLFORMULA=FMA_PE&amp;VAR:CURRENCY=USD&amp;VAR:P=1","506.450000&amp;VAR:THRESH=||||||&amp;VAR:null=.html"}</definedName>
    <definedName name="_53__FDSAUDITLINK__" hidden="1">{"fdsup://directions/FAT%20Viewer?VAR:TM=NTMA&amp;VAR:PCT=0.227397&amp;VAR:Y0=2009&amp;VAR:Y1=2010&amp;VAR:V0=17.840680&amp;VAR:V1=14.141189&amp;VAR:V=14.840997&amp;VAR:AUDIT_ID=00000117&amp;VAR:DATE=20091009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Aggregates&amp;VAR:MEASURE=PE_MEAN&amp;VAR:CALC_MODE=PORTFOLIO&amp;VAR:CHGPERIOD=NA&amp;VAR:FQLFORMULA=FMA_PE&amp;VAR:CURRENCY=USD&amp;VAR:P=1","071.489222&amp;VAR:THRESH=||||||&amp;VAR:null=.html"}</definedName>
    <definedName name="_530__FDSAUDITLINK__" hidden="1">{"fdsup://directions/FAT%20Viewer?VAR:TM=NTMA&amp;VAR:PCT=0.368852&amp;VAR:Y0=2000&amp;VAR:Y1=2001&amp;VAR:V0=26.329830&amp;VAR:V1=22.933230&amp;VAR:V=24.078972&amp;VAR:AUDIT_ID=00000117&amp;VAR:DATE=20000818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Aggregates&amp;VAR:MEASURE=PE_MEAN&amp;VAR:CALC_MODE=PORTFOLIO&amp;VAR:CHGPERIOD=NA&amp;VAR:FQLFORMULA=FMA_PE&amp;VAR:CURRENCY=USD&amp;VAR:P=1","491.720000&amp;VAR:THRESH=||||||&amp;VAR:null=.html"}</definedName>
    <definedName name="_531__FDSAUDITLINK__" hidden="1">{"fdsup://directions/FAT%20Viewer?VAR:TM=NTMA&amp;VAR:PCT=0.387978&amp;VAR:Y0=2000&amp;VAR:Y1=2001&amp;VAR:V0=26.051064&amp;VAR:V1=22.402594&amp;VAR:V=23.689819&amp;VAR:AUDIT_ID=00000117&amp;VAR:DATE=20000811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Aggregates&amp;VAR:MEASURE=PE_MEAN&amp;VAR:CALC_MODE=PORTFOLIO&amp;VAR:CHGPERIOD=NA&amp;VAR:FQLFORMULA=FMA_PE&amp;VAR:CURRENCY=USD&amp;VAR:P=1","471.840000&amp;VAR:THRESH=||||||&amp;VAR:null=.html"}</definedName>
    <definedName name="_532__FDSAUDITLINK__" hidden="1">{"fdsup://directions/FAT%20Viewer?VAR:TM=NTMA&amp;VAR:PCT=0.407104&amp;VAR:Y0=2000&amp;VAR:Y1=2001&amp;VAR:V0=25.848948&amp;VAR:V1=22.287533&amp;VAR:V=23.611924&amp;VAR:AUDIT_ID=00000117&amp;VAR:DATE=20000804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Aggregates&amp;VAR:MEASURE=PE_MEAN&amp;VAR:CALC_MODE=PORTFOLIO&amp;VAR:CHGPERIOD=NA&amp;VAR:FQLFORMULA=FMA_PE&amp;VAR:CURRENCY=USD&amp;VAR:P=1","462.930000&amp;VAR:THRESH=||||||&amp;VAR:null=.html"}</definedName>
    <definedName name="_533__FDSAUDITLINK__" hidden="1">{"fdsup://directions/FAT%20Viewer?VAR:TM=NTMA&amp;VAR:PCT=0.426230&amp;VAR:Y0=2000&amp;VAR:Y1=2001&amp;VAR:V0=25.215466&amp;VAR:V1=21.734365&amp;VAR:V=23.093235&amp;VAR:AUDIT_ID=00000117&amp;VAR:DATE=20000728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Aggregates&amp;VAR:MEASURE=PE_MEAN&amp;VAR:CALC_MODE=PORTFOLIO&amp;VAR:CHGPERIOD=NA&amp;VAR:FQLFORMULA=FMA_PE&amp;VAR:CURRENCY=USD&amp;VAR:P=1","419.890000&amp;VAR:THRESH=||||||&amp;VAR:null=.html"}</definedName>
    <definedName name="_534__FDSAUDITLINK__" hidden="1">{"fdsup://directions/FAT%20Viewer?VAR:TM=NTMA&amp;VAR:PCT=0.445355&amp;VAR:Y0=2000&amp;VAR:Y1=2001&amp;VAR:V0=25.984032&amp;VAR:V1=22.420813&amp;VAR:V=23.879162&amp;VAR:AUDIT_ID=00000117&amp;VAR:DATE=20000721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Aggregates&amp;VAR:MEASURE=PE_MEAN&amp;VAR:CALC_MODE=PORTFOLIO&amp;VAR:CHGPERIOD=NA&amp;VAR:FQLFORMULA=FMA_PE&amp;VAR:CURRENCY=USD&amp;VAR:P=1","480.190000&amp;VAR:THRESH=||||||&amp;VAR:null=.html"}</definedName>
    <definedName name="_535__FDSAUDITLINK__" hidden="1">{"fdsup://directions/FAT%20Viewer?VAR:TM=NTMA&amp;VAR:PCT=0.464481&amp;VAR:Y0=2000&amp;VAR:Y1=2001&amp;VAR:V0=26.496552&amp;VAR:V1=22.873570&amp;VAR:V=24.424798&amp;VAR:AUDIT_ID=00000117&amp;VAR:DATE=20000714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Aggregates&amp;VAR:MEASURE=PE_MEAN&amp;VAR:CALC_MODE=PORTFOLIO&amp;VAR:CHGPERIOD=NA&amp;VAR:FQLFORMULA=FMA_PE&amp;VAR:CURRENCY=USD&amp;VAR:P=1","509.980000&amp;VAR:THRESH=||||||&amp;VAR:null=.html"}</definedName>
    <definedName name="_536__FDSAUDITLINK__" hidden="1">{"fdsup://directions/FAT%20Viewer?VAR:TM=NTMA&amp;VAR:PCT=0.483607&amp;VAR:Y0=2000&amp;VAR:Y1=2001&amp;VAR:V0=26.011827&amp;VAR:V1=22.499708&amp;VAR:V=24.071495&amp;VAR:AUDIT_ID=00000117&amp;VAR:DATE=20000707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Aggregates&amp;VAR:MEASURE=PE_MEAN&amp;VAR:CALC_MODE=PORTFOLIO&amp;VAR:CHGPERIOD=NA&amp;VAR:FQLFORMULA=FMA_PE&amp;VAR:CURRENCY=USD&amp;VAR:P=1","478.900000&amp;VAR:THRESH=||||||&amp;VAR:null=.html"}</definedName>
    <definedName name="_537__FDSAUDITLINK__" hidden="1">{"fdsup://directions/FAT%20Viewer?VAR:TM=NTMA&amp;VAR:PCT=0.502732&amp;VAR:Y0=2000&amp;VAR:Y1=2001&amp;VAR:V0=25.357458&amp;VAR:V1=21.914219&amp;VAR:V=23.519798&amp;VAR:AUDIT_ID=00000117&amp;VAR:DATE=20000630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Aggregates&amp;VAR:MEASURE=PE_MEAN&amp;VAR:CALC_MODE=PORTFOLIO&amp;VAR:CHGPERIOD=NA&amp;VAR:FQLFORMULA=FMA_PE&amp;VAR:CURRENCY=USD&amp;VAR:P=1","454.600000&amp;VAR:THRESH=||||||&amp;VAR:null=.html"}</definedName>
    <definedName name="_538__FDSAUDITLINK__" hidden="1">{"fdsup://directions/FAT%20Viewer?VAR:TM=NTMA&amp;VAR:PCT=0.521858&amp;VAR:Y0=2000&amp;VAR:Y1=2001&amp;VAR:V0=25.167877&amp;VAR:V1=21.727169&amp;VAR:V=23.396343&amp;VAR:AUDIT_ID=00000117&amp;VAR:DATE=20000623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Aggregates&amp;VAR:MEASURE=PE_MEAN&amp;VAR:CALC_MODE=PORTFOLIO&amp;VAR:CHGPERIOD=NA&amp;VAR:FQLFORMULA=FMA_PE&amp;VAR:CURRENCY=USD&amp;VAR:P=1","441.480000&amp;VAR:THRESH=||||||&amp;VAR:null=.html"}</definedName>
    <definedName name="_539__FDSAUDITLINK__" hidden="1">{"fdsup://directions/FAT%20Viewer?VAR:TM=NTMA&amp;VAR:PCT=0.540984&amp;VAR:Y0=2000&amp;VAR:Y1=2001&amp;VAR:V0=25.355347&amp;VAR:V1=21.939991&amp;VAR:V=23.664425&amp;VAR:AUDIT_ID=00000117&amp;VAR:DATE=20000616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Aggregates&amp;VAR:MEASURE=PE_MEAN&amp;VAR:CALC_MODE=PORTFOLIO&amp;VAR:CHGPERIOD=NA&amp;VAR:FQLFORMULA=FMA_PE&amp;VAR:CURRENCY=USD&amp;VAR:P=1","464.460000&amp;VAR:THRESH=||||||&amp;VAR:null=.html"}</definedName>
    <definedName name="_54__FDSAUDITLINK__" hidden="1">{"fdsup://directions/FAT%20Viewer?VAR:TM=NTMA&amp;VAR:PCT=0.246575&amp;VAR:Y0=2009&amp;VAR:Y1=2010&amp;VAR:V0=17.031720&amp;VAR:V1=13.554140&amp;VAR:V=14.272720&amp;VAR:AUDIT_ID=00000117&amp;VAR:DATE=20091002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Aggregates&amp;VAR:MEASURE=PE_MEAN&amp;VAR:CALC_MODE=PORTFOLIO&amp;VAR:CHGPERIOD=NA&amp;VAR:FQLFORMULA=FMA_PE&amp;VAR:CURRENCY=USD&amp;VAR:P=1","025.210463&amp;VAR:THRESH=||||||&amp;VAR:null=.html"}</definedName>
    <definedName name="_540__FDSAUDITLINK__" hidden="1">{"fdsup://directions/FAT%20Viewer?VAR:TM=NTMA&amp;VAR:PCT=0.560109&amp;VAR:Y0=2000&amp;VAR:Y1=2001&amp;VAR:V0=25.281530&amp;VAR:V1=21.790977&amp;VAR:V=23.617374&amp;VAR:AUDIT_ID=00000117&amp;VAR:DATE=20000609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Aggregates&amp;VAR:MEASURE=PE_MEAN&amp;VAR:CALC_MODE=PORTFOLIO&amp;VAR:CHGPERIOD=NA&amp;VAR:FQLFORMULA=FMA_PE&amp;VAR:CURRENCY=USD&amp;VAR:P=1","456.950000&amp;VAR:THRESH=||||||&amp;VAR:null=.html"}</definedName>
    <definedName name="_541__FDSAUDITLINK__" hidden="1">{"fdsup://directions/FAT%20Viewer?VAR:TM=NTMA&amp;VAR:PCT=0.579235&amp;VAR:Y0=2000&amp;VAR:Y1=2001&amp;VAR:V0=25.607052&amp;VAR:V1=22.110134&amp;VAR:V=24.009287&amp;VAR:AUDIT_ID=00000117&amp;VAR:DATE=20000602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Aggregates&amp;VAR:MEASURE=PE_MEAN&amp;VAR:CALC_MODE=PORTFOLIO&amp;VAR:CHGPERIOD=NA&amp;VAR:FQLFORMULA=FMA_PE&amp;VAR:CURRENCY=USD&amp;VAR:P=1","477.260000&amp;VAR:THRESH=||||||&amp;VAR:null=.html"}</definedName>
    <definedName name="_542__FDSAUDITLINK__" hidden="1">{"fdsup://directions/FAT%20Viewer?VAR:TM=NTMA&amp;VAR:PCT=0.598361&amp;VAR:Y0=2000&amp;VAR:Y1=2001&amp;VAR:V0=23.985712&amp;VAR:V1=20.860903&amp;VAR:V=22.624560&amp;VAR:AUDIT_ID=00000117&amp;VAR:DATE=20000526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Aggregates&amp;VAR:MEASURE=PE_MEAN&amp;VAR:CALC_MODE=PORTFOLIO&amp;VAR:CHGPERIOD=NA&amp;VAR:FQLFORMULA=FMA_PE&amp;VAR:CURRENCY=USD&amp;VAR:P=1","378.020000&amp;VAR:THRESH=||||||&amp;VAR:null=.html"}</definedName>
    <definedName name="_543__FDSAUDITLINK__" hidden="1">{"fdsup://directions/FAT%20Viewer?VAR:TM=NTMA&amp;VAR:PCT=0.617486&amp;VAR:Y0=2000&amp;VAR:Y1=2001&amp;VAR:V0=24.459929&amp;VAR:V1=21.236570&amp;VAR:V=23.117731&amp;VAR:AUDIT_ID=00000117&amp;VAR:DATE=20000519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Aggregates&amp;VAR:MEASURE=PE_MEAN&amp;VAR:CALC_MODE=PORTFOLIO&amp;VAR:CHGPERIOD=NA&amp;VAR:FQLFORMULA=FMA_PE&amp;VAR:CURRENCY=USD&amp;VAR:P=1","406.950000&amp;VAR:THRESH=||||||&amp;VAR:null=.html"}</definedName>
    <definedName name="_544__FDSAUDITLINK__" hidden="1">{"fdsup://directions/FAT%20Viewer?VAR:TM=NTMA&amp;VAR:PCT=0.636612&amp;VAR:Y0=2000&amp;VAR:Y1=2001&amp;VAR:V0=24.765455&amp;VAR:V1=21.436932&amp;VAR:V=23.442735&amp;VAR:AUDIT_ID=00000117&amp;VAR:DATE=20000512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Aggregates&amp;VAR:MEASURE=PE_MEAN&amp;VAR:CALC_MODE=PORTFOLIO&amp;VAR:CHGPERIOD=NA&amp;VAR:FQLFORMULA=FMA_PE&amp;VAR:CURRENCY=USD&amp;VAR:P=1","420.960000&amp;VAR:THRESH=||||||&amp;VAR:null=.html"}</definedName>
    <definedName name="_545__FDSAUDITLINK__" hidden="1">{"fdsup://directions/FAT%20Viewer?VAR:TM=NTMA&amp;VAR:PCT=0.655738&amp;VAR:Y0=2000&amp;VAR:Y1=2001&amp;VAR:V0=24.979761&amp;VAR:V1=21.609540&amp;VAR:V=23.706911&amp;VAR:AUDIT_ID=00000117&amp;VAR:DATE=20000505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Aggregates&amp;VAR:MEASURE=PE_MEAN&amp;VAR:CALC_MODE=PORTFOLIO&amp;VAR:CHGPERIOD=NA&amp;VAR:FQLFORMULA=FMA_PE&amp;VAR:CURRENCY=USD&amp;VAR:P=1","432.630000&amp;VAR:THRESH=||||||&amp;VAR:null=.html"}</definedName>
    <definedName name="_546__FDSAUDITLINK__" hidden="1">{"fdsup://directions/FAT%20Viewer?VAR:TM=NTMA&amp;VAR:PCT=0.674863&amp;VAR:Y0=2000&amp;VAR:Y1=2001&amp;VAR:V0=25.348540&amp;VAR:V1=21.747652&amp;VAR:V=24.053618&amp;VAR:AUDIT_ID=00000117&amp;VAR:DATE=20000428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Aggregates&amp;VAR:MEASURE=PE_MEAN&amp;VAR:CALC_MODE=PORTFOLIO&amp;VAR:CHGPERIOD=NA&amp;VAR:FQLFORMULA=FMA_PE&amp;VAR:CURRENCY=USD&amp;VAR:P=1","452.430000&amp;VAR:THRESH=||||||&amp;VAR:null=.html"}</definedName>
    <definedName name="_547__FDSAUDITLINK__" hidden="1">{"fdsup://directions/FAT%20Viewer?VAR:TM=NTMA&amp;VAR:PCT=0.696721&amp;VAR:Y0=2000&amp;VAR:Y1=2001&amp;VAR:V0=25.039652&amp;VAR:V1=21.406300&amp;VAR:V=23.813804&amp;VAR:AUDIT_ID=00000117&amp;VAR:DATE=20000420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Aggregates&amp;VAR:MEASURE=PE_MEAN&amp;VAR:CALC_MODE=PORTFOLIO&amp;VAR:CHGPERIOD=NA&amp;VAR:FQLFORMULA=FMA_PE&amp;VAR:CURRENCY=USD&amp;VAR:P=1","434.540000&amp;VAR:THRESH=||||||&amp;VAR:null=.html"}</definedName>
    <definedName name="_548__FDSAUDITLINK__" hidden="1">{"fdsup://directions/FAT%20Viewer?VAR:TM=NTMA&amp;VAR:PCT=0.713115&amp;VAR:Y0=2000&amp;VAR:Y1=2001&amp;VAR:V0=23.673656&amp;VAR:V1=20.199740&amp;VAR:V=22.560562&amp;VAR:AUDIT_ID=00000117&amp;VAR:DATE=20000414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Aggregates&amp;VAR:MEASURE=PE_MEAN&amp;VAR:CALC_MODE=PORTFOLIO&amp;VAR:CHGPERIOD=NA&amp;VAR:FQLFORMULA=FMA_PE&amp;VAR:CURRENCY=USD&amp;VAR:P=1","356.560000&amp;VAR:THRESH=||||||&amp;VAR:null=.html"}</definedName>
    <definedName name="_549__FDSAUDITLINK__" hidden="1">{"fdsup://directions/FAT%20Viewer?VAR:TM=NTMA&amp;VAR:PCT=0.732240&amp;VAR:Y0=2000&amp;VAR:Y1=2001&amp;VAR:V0=26.440758&amp;VAR:V1=22.463892&amp;VAR:V=25.244124&amp;VAR:AUDIT_ID=00000117&amp;VAR:DATE=20000407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Aggregates&amp;VAR:MEASURE=PE_MEAN&amp;VAR:CALC_MODE=PORTFOLIO&amp;VAR:CHGPERIOD=NA&amp;VAR:FQLFORMULA=FMA_PE&amp;VAR:CURRENCY=USD&amp;VAR:P=1","516.350000&amp;VAR:THRESH=||||||&amp;VAR:null=.html"}</definedName>
    <definedName name="_55__FDSAUDITLINK__" hidden="1">{"fdsup://directions/FAT%20Viewer?VAR:TM=NTMA&amp;VAR:PCT=0.265753&amp;VAR:Y0=2009&amp;VAR:Y1=2010&amp;VAR:V0=17.317488&amp;VAR:V1=13.815020&amp;VAR:V=14.599737&amp;VAR:AUDIT_ID=00000117&amp;VAR:DATE=20090925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Aggregates&amp;VAR:MEASURE=PE_MEAN&amp;VAR:CALC_MODE=PORTFOLIO&amp;VAR:CHGPERIOD=NA&amp;VAR:FQLFORMULA=FMA_PE&amp;VAR:CURRENCY=USD&amp;VAR:P=1","044.382375&amp;VAR:THRESH=||||||&amp;VAR:null=.html"}</definedName>
    <definedName name="_550__FDSAUDITLINK__" hidden="1">{"fdsup://directions/FAT%20Viewer?VAR:TM=NTMA&amp;VAR:PCT=0.751366&amp;VAR:Y0=2000&amp;VAR:Y1=2001&amp;VAR:V0=26.096607&amp;VAR:V1=22.225760&amp;VAR:V=25.013469&amp;VAR:AUDIT_ID=00000117&amp;VAR:DATE=20000331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Aggregates&amp;VAR:MEASURE=PE_MEAN&amp;VAR:CALC_MODE=PORTFOLIO&amp;VAR:CHGPERIOD=NA&amp;VAR:FQLFORMULA=FMA_PE&amp;VAR:CURRENCY=USD&amp;VAR:P=1","498.580000&amp;VAR:THRESH=||||||&amp;VAR:null=.html"}</definedName>
    <definedName name="_551__FDSAUDITLINK__" hidden="1">{"fdsup://directions/FAT%20Viewer?VAR:TM=NTMA&amp;VAR:PCT=0.770492&amp;VAR:Y0=2000&amp;VAR:Y1=2001&amp;VAR:V0=26.634150&amp;VAR:V1=22.548769&amp;VAR:V=25.570856&amp;VAR:AUDIT_ID=00000117&amp;VAR:DATE=20000324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Aggregates&amp;VAR:MEASURE=PE_MEAN&amp;VAR:CALC_MODE=PORTFOLIO&amp;VAR:CHGPERIOD=NA&amp;VAR:FQLFORMULA=FMA_PE&amp;VAR:CURRENCY=USD&amp;VAR:P=1","527.460000&amp;VAR:THRESH=||||||&amp;VAR:null=.html"}</definedName>
    <definedName name="_552__FDSAUDITLINK__" hidden="1">{"fdsup://directions/FAT%20Viewer?VAR:TM=NTMA&amp;VAR:PCT=0.789617&amp;VAR:Y0=2000&amp;VAR:Y1=2001&amp;VAR:V0=25.477755&amp;VAR:V1=21.544773&amp;VAR:V=24.535466&amp;VAR:AUDIT_ID=00000117&amp;VAR:DATE=20000317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Aggregates&amp;VAR:MEASURE=PE_MEAN&amp;VAR:CALC_MODE=PORTFOLIO&amp;VAR:CHGPERIOD=NA&amp;VAR:FQLFORMULA=FMA_PE&amp;VAR:CURRENCY=USD&amp;VAR:P=1","464.470000&amp;VAR:THRESH=||||||&amp;VAR:null=.html"}</definedName>
    <definedName name="_553__FDSAUDITLINK__" hidden="1">{"fdsup://directions/FAT%20Viewer?VAR:TM=NTMA&amp;VAR:PCT=0.808743&amp;VAR:Y0=2000&amp;VAR:Y1=2001&amp;VAR:V0=24.244665&amp;VAR:V1=20.423851&amp;VAR:V=23.407166&amp;VAR:AUDIT_ID=00000117&amp;VAR:DATE=20000310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Aggregates&amp;VAR:MEASURE=PE_MEAN&amp;VAR:CALC_MODE=PORTFOLIO&amp;VAR:CHGPERIOD=NA&amp;VAR:FQLFORMULA=FMA_PE&amp;VAR:CURRENCY=USD&amp;VAR:P=1","395.070000&amp;VAR:THRESH=||||||&amp;VAR:null=.html"}</definedName>
    <definedName name="_554__FDSAUDITLINK__" hidden="1">{"fdsup://directions/FAT%20Viewer?VAR:TM=NTMA&amp;VAR:PCT=0.827869&amp;VAR:Y0=2000&amp;VAR:Y1=2001&amp;VAR:V0=24.503160&amp;VAR:V1=20.758308&amp;VAR:V=23.765182&amp;VAR:AUDIT_ID=00000117&amp;VAR:DATE=20000303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Aggregates&amp;VAR:MEASURE=PE_MEAN&amp;VAR:CALC_MODE=PORTFOLIO&amp;VAR:CHGPERIOD=NA&amp;VAR:FQLFORMULA=FMA_PE&amp;VAR:CURRENCY=USD&amp;VAR:P=1","409.170000&amp;VAR:THRESH=||||||&amp;VAR:null=.html"}</definedName>
    <definedName name="_555__FDSAUDITLINK__" hidden="1">{"fdsup://directions/FAT%20Viewer?VAR:TM=NTMA&amp;VAR:PCT=0.846995&amp;VAR:Y0=2000&amp;VAR:Y1=2001&amp;VAR:V0=23.246260&amp;VAR:V1=19.771072&amp;VAR:V=22.637449&amp;VAR:AUDIT_ID=00000117&amp;VAR:DATE=20000225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Aggregates&amp;VAR:MEASURE=PE_MEAN&amp;VAR:CALC_MODE=PORTFOLIO&amp;VAR:CHGPERIOD=NA&amp;VAR:FQLFORMULA=FMA_PE&amp;VAR:CURRENCY=USD&amp;VAR:P=1","333.360000&amp;VAR:THRESH=||||||&amp;VAR:null=.html"}</definedName>
    <definedName name="_556__FDSAUDITLINK__" hidden="1">{"fdsup://directions/FAT%20Viewer?VAR:TM=NTMA&amp;VAR:PCT=0.866120&amp;VAR:Y0=2000&amp;VAR:Y1=2001&amp;VAR:V0=23.406654&amp;VAR:V1=19.949465&amp;VAR:V=22.875910&amp;VAR:AUDIT_ID=00000117&amp;VAR:DATE=20000218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Aggregates&amp;VAR:MEASURE=PE_MEAN&amp;VAR:CALC_MODE=PORTFOLIO&amp;VAR:CHGPERIOD=NA&amp;VAR:FQLFORMULA=FMA_PE&amp;VAR:CURRENCY=USD&amp;VAR:P=1","346.090000&amp;VAR:THRESH=||||||&amp;VAR:null=.html"}</definedName>
    <definedName name="_557__FDSAUDITLINK__" hidden="1">{"fdsup://directions/FAT%20Viewer?VAR:TM=NTMA&amp;VAR:PCT=0.885246&amp;VAR:Y0=2000&amp;VAR:Y1=2001&amp;VAR:V0=24.115067&amp;VAR:V1=20.620811&amp;VAR:V=23.655084&amp;VAR:AUDIT_ID=00000117&amp;VAR:DATE=20000211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Aggregates&amp;VAR:MEASURE=PE_MEAN&amp;VAR:CALC_MODE=PORTFOLIO&amp;VAR:CHGPERIOD=NA&amp;VAR:FQLFORMULA=FMA_PE&amp;VAR:CURRENCY=USD&amp;VAR:P=1","387.120000&amp;VAR:THRESH=||||||&amp;VAR:null=.html"}</definedName>
    <definedName name="_558__FDSAUDITLINK__" hidden="1">{"fdsup://directions/FAT%20Viewer?VAR:TM=NTMA&amp;VAR:PCT=0.904372&amp;VAR:Y0=2000&amp;VAR:Y1=2001&amp;VAR:V0=24.756449&amp;VAR:V1=20.660748&amp;VAR:V=24.295873&amp;VAR:AUDIT_ID=00000117&amp;VAR:DATE=20000204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Aggregates&amp;VAR:MEASURE=PE_MEAN&amp;VAR:CALC_MODE=PORTFOLIO&amp;VAR:CHGPERIOD=NA&amp;VAR:FQLFORMULA=FMA_PE&amp;VAR:CURRENCY=USD&amp;VAR:P=1","424.370000&amp;VAR:THRESH=||||||&amp;VAR:null=.html"}</definedName>
    <definedName name="_559__FDSAUDITLINK__" hidden="1">{"fdsup://directions/FAT%20Viewer?VAR:TM=NTMA&amp;VAR:PCT=0.923497&amp;VAR:Y0=2000&amp;VAR:Y1=2001&amp;VAR:V0=23.617811&amp;VAR:V1=19.472126&amp;VAR:V=23.239296&amp;VAR:AUDIT_ID=00000117&amp;VAR:DATE=20000128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Aggregates&amp;VAR:MEASURE=PE_MEAN&amp;VAR:CALC_MODE=PORTFOLIO&amp;VAR:CHGPERIOD=NA&amp;VAR:FQLFORMULA=FMA_PE&amp;VAR:CURRENCY=USD&amp;VAR:P=1","360.160000&amp;VAR:THRESH=||||||&amp;VAR:null=.html"}</definedName>
    <definedName name="_56__FDSAUDITLINK__" hidden="1">{"fdsup://directions/FAT%20Viewer?VAR:TM=NTMA&amp;VAR:PCT=0.284932&amp;VAR:Y0=2009&amp;VAR:Y1=2010&amp;VAR:V0=17.671541&amp;VAR:V1=14.132638&amp;VAR:V=14.987851&amp;VAR:AUDIT_ID=00000117&amp;VAR:DATE=20090918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Aggregates&amp;VAR:MEASURE=PE_MEAN&amp;VAR:CALC_MODE=PORTFOLIO&amp;VAR:CHGPERIOD=NA&amp;VAR:FQLFORMULA=FMA_PE&amp;VAR:CURRENCY=USD&amp;VAR:P=1","068.295328&amp;VAR:THRESH=||||||&amp;VAR:null=.html"}</definedName>
    <definedName name="_560__FDSAUDITLINK__" hidden="1">{"fdsup://directions/FAT%20Viewer?VAR:TM=NTMA&amp;VAR:PCT=0.942623&amp;VAR:Y0=2000&amp;VAR:Y1=2001&amp;VAR:V0=25.090927&amp;VAR:V1=20.816572&amp;VAR:V=24.798761&amp;VAR:AUDIT_ID=00000117&amp;VAR:DATE=20000121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Aggregates&amp;VAR:MEASURE=PE_MEAN&amp;VAR:CALC_MODE=PORTFOLIO&amp;VAR:CHGPERIOD=NA&amp;VAR:FQLFORMULA=FMA_PE&amp;VAR:CURRENCY=USD&amp;VAR:P=1","441.360000&amp;VAR:THRESH=||||||&amp;VAR:null=.html"}</definedName>
    <definedName name="_561__FDSAUDITLINK__" hidden="1">{"fdsup://directions/FAT%20Viewer?VAR:TM=NTMA&amp;VAR:PCT=0.961749&amp;VAR:Y0=2000&amp;VAR:Y1=2001&amp;VAR:V0=25.477392&amp;VAR:V1=21.219364&amp;VAR:V=25.283323&amp;VAR:AUDIT_ID=00000117&amp;VAR:DATE=20000114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Aggregates&amp;VAR:MEASURE=PE_MEAN&amp;VAR:CALC_MODE=PORTFOLIO&amp;VAR:CHGPERIOD=NA&amp;VAR:FQLFORMULA=FMA_PE&amp;VAR:CURRENCY=USD&amp;VAR:P=1","465.150000&amp;VAR:THRESH=||||||&amp;VAR:null=.html"}</definedName>
    <definedName name="_562__FDSAUDITLINK__" hidden="1">{"fdsup://directions/FAT%20Viewer?VAR:TM=NTMA&amp;VAR:PCT=0.980874&amp;VAR:Y0=2000&amp;VAR:Y1=2001&amp;VAR:V0=25.061665&amp;VAR:V1=20.850370&amp;VAR:V=24.965226&amp;VAR:AUDIT_ID=00000117&amp;VAR:DATE=20000107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Aggregates&amp;VAR:MEASURE=PE_MEAN&amp;VAR:CALC_MODE=PORTFOLIO&amp;VAR:CHGPERIOD=NA&amp;VAR:FQLFORMULA=FMA_PE&amp;VAR:CURRENCY=USD&amp;VAR:P=1","441.470000&amp;VAR:THRESH=||||||&amp;VAR:null=.html"}</definedName>
    <definedName name="_563__FDSAUDITLINK__" hidden="1">{"fdsup://directions/FAT%20Viewer?VAR:TM=NTMA&amp;VAR:PCT=0.000000&amp;VAR:Y0=1999&amp;VAR:Y1=2000&amp;VAR:V0=30.009277&amp;VAR:V1=25.505710&amp;VAR:V=25.505710&amp;VAR:AUDIT_ID=00000117&amp;VAR:DATE=19991231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Aggregates&amp;VAR:MEASURE=PE_MEAN&amp;VAR:CALC_MODE=PORTFOLIO&amp;VAR:CHGPERIOD=NA&amp;VAR:FQLFORMULA=FMA_PE&amp;VAR:CURRENCY=USD&amp;VAR:P=1","469.250000&amp;VAR:THRESH=||||||&amp;VAR:null=.html"}</definedName>
    <definedName name="_564__FDSAUDITLINK__" hidden="1">{"fdsup://directions/FAT%20Viewer?VAR:TM=NTMA&amp;VAR:PCT=0.021918&amp;VAR:Y0=1999&amp;VAR:Y1=2000&amp;VAR:V0=29.793520&amp;VAR:V1=25.324144&amp;VAR:V=25.407683&amp;VAR:AUDIT_ID=00000117&amp;VAR:DATE=19991223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Aggregates&amp;VAR:MEASURE=PE_MEAN&amp;VAR:CALC_MODE=PORTFOLIO&amp;VAR:CHGPERIOD=NA&amp;VAR:FQLFORMULA=FMA_PE&amp;VAR:CURRENCY=USD&amp;VAR:P=1","458.340000&amp;VAR:THRESH=||||||&amp;VAR:null=.html"}</definedName>
    <definedName name="_565__FDSAUDITLINK__" hidden="1">{"fdsup://directions/FAT%20Viewer?VAR:TM=NTMA&amp;VAR:PCT=0.038356&amp;VAR:Y0=1999&amp;VAR:Y1=2000&amp;VAR:V0=28.927340&amp;VAR:V1=24.646301&amp;VAR:V=24.787003&amp;VAR:AUDIT_ID=00000117&amp;VAR:DATE=19991217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Aggregates&amp;VAR:MEASURE=PE_MEAN&amp;VAR:CALC_MODE=PORTFOLIO&amp;VAR:CHGPERIOD=NA&amp;VAR:FQLFORMULA=FMA_PE&amp;VAR:CURRENCY=USD&amp;VAR:P=1","421.030000&amp;VAR:THRESH=||||||&amp;VAR:null=.html"}</definedName>
    <definedName name="_566__FDSAUDITLINK__" hidden="1">{"fdsup://directions/FAT%20Viewer?VAR:TM=NTMA&amp;VAR:PCT=0.057534&amp;VAR:Y0=1999&amp;VAR:Y1=2000&amp;VAR:V0=28.759235&amp;VAR:V1=24.490675&amp;VAR:V=24.701613&amp;VAR:AUDIT_ID=00000117&amp;VAR:DATE=19991210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Aggregates&amp;VAR:MEASURE=PE_MEAN&amp;VAR:CALC_MODE=PORTFOLIO&amp;VAR:CHGPERIOD=NA&amp;VAR:FQLFORMULA=FMA_PE&amp;VAR:CURRENCY=USD&amp;VAR:P=1","417.040000&amp;VAR:THRESH=||||||&amp;VAR:null=.html"}</definedName>
    <definedName name="_567__FDSAUDITLINK__" hidden="1">{"fdsup://directions/FAT%20Viewer?VAR:TM=NTMA&amp;VAR:PCT=0.076712&amp;VAR:Y0=1999&amp;VAR:Y1=2000&amp;VAR:V0=28.838936&amp;VAR:V1=24.558567&amp;VAR:V=24.841409&amp;VAR:AUDIT_ID=00000117&amp;VAR:DATE=19991203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Aggregates&amp;VAR:MEASURE=PE_MEAN&amp;VAR:CALC_MODE=PORTFOLIO&amp;VAR:CHGPERIOD=NA&amp;VAR:FQLFORMULA=FMA_PE&amp;VAR:CURRENCY=USD&amp;VAR:P=1","433.300000&amp;VAR:THRESH=||||||&amp;VAR:null=.html"}</definedName>
    <definedName name="_568__FDSAUDITLINK__" hidden="1">{"fdsup://directions/FAT%20Viewer?VAR:TM=NTMA&amp;VAR:PCT=0.095890&amp;VAR:Y0=1999&amp;VAR:Y1=2000&amp;VAR:V0=28.435465&amp;VAR:V1=24.234983&amp;VAR:V=24.583202&amp;VAR:AUDIT_ID=00000117&amp;VAR:DATE=19991126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Aggregates&amp;VAR:MEASURE=PE_MEAN&amp;VAR:CALC_MODE=PORTFOLIO&amp;VAR:CHGPERIOD=NA&amp;VAR:FQLFORMULA=FMA_PE&amp;VAR:CURRENCY=USD&amp;VAR:P=1","416.620000&amp;VAR:THRESH=||||||&amp;VAR:null=.html"}</definedName>
    <definedName name="_569__FDSAUDITLINK__" hidden="1">{"fdsup://directions/FAT%20Viewer?VAR:TM=NTMA&amp;VAR:PCT=0.115068&amp;VAR:Y0=1999&amp;VAR:Y1=2000&amp;VAR:V0=28.596035&amp;VAR:V1=24.361591&amp;VAR:V=24.783886&amp;VAR:AUDIT_ID=00000117&amp;VAR:DATE=19991119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Aggregates&amp;VAR:MEASURE=PE_MEAN&amp;VAR:CALC_MODE=PORTFOLIO&amp;VAR:CHGPERIOD=NA&amp;VAR:FQLFORMULA=FMA_PE&amp;VAR:CURRENCY=USD&amp;VAR:P=1","422.000000&amp;VAR:THRESH=||||||&amp;VAR:null=.html"}</definedName>
    <definedName name="_57__FDSAUDITLINK__" hidden="1">{"fdsup://directions/FAT%20Viewer?VAR:TM=NTMA&amp;VAR:PCT=0.304110&amp;VAR:Y0=2009&amp;VAR:Y1=2010&amp;VAR:V0=17.255785&amp;VAR:V1=13.805658&amp;VAR:V=14.699439&amp;VAR:AUDIT_ID=00000117&amp;VAR:DATE=20090911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Aggregates&amp;VAR:MEASURE=PE_MEAN&amp;VAR:CALC_MODE=PORTFOLIO&amp;VAR:CHGPERIOD=NA&amp;VAR:FQLFORMULA=FMA_PE&amp;VAR:CURRENCY=USD&amp;VAR:P=1","042.732183&amp;VAR:THRESH=||||||&amp;VAR:null=.html"}</definedName>
    <definedName name="_570__FDSAUDITLINK__" hidden="1">{"fdsup://directions/FAT%20Viewer?VAR:TM=NTMA&amp;VAR:PCT=0.134247&amp;VAR:Y0=1999&amp;VAR:Y1=2000&amp;VAR:V0=28.002361&amp;VAR:V1=23.843498&amp;VAR:V=24.328563&amp;VAR:AUDIT_ID=00000117&amp;VAR:DATE=19991112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Aggregates&amp;VAR:MEASURE=PE_MEAN&amp;VAR:CALC_MODE=PORTFOLIO&amp;VAR:CHGPERIOD=NA&amp;VAR:FQLFORMULA=FMA_PE&amp;VAR:CURRENCY=USD&amp;VAR:P=1","396.060000&amp;VAR:THRESH=||||||&amp;VAR:null=.html"}</definedName>
    <definedName name="_571__FDSAUDITLINK__" hidden="1">{"fdsup://directions/FAT%20Viewer?VAR:TM=NTMA&amp;VAR:PCT=0.153425&amp;VAR:Y0=1999&amp;VAR:Y1=2000&amp;VAR:V0=27.484724&amp;VAR:V1=23.387365&amp;VAR:V=23.934807&amp;VAR:AUDIT_ID=00000117&amp;VAR:DATE=19991105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Aggregates&amp;VAR:MEASURE=PE_MEAN&amp;VAR:CALC_MODE=PORTFOLIO&amp;VAR:CHGPERIOD=NA&amp;VAR:FQLFORMULA=FMA_PE&amp;VAR:CURRENCY=USD&amp;VAR:P=1","370.230000&amp;VAR:THRESH=||||||&amp;VAR:null=.html"}</definedName>
    <definedName name="_572__FDSAUDITLINK__" hidden="1">{"fdsup://directions/FAT%20Viewer?VAR:TM=NTMA&amp;VAR:PCT=0.172603&amp;VAR:Y0=1999&amp;VAR:Y1=2000&amp;VAR:V0=27.261621&amp;VAR:V1=23.228764&amp;VAR:V=23.837414&amp;VAR:AUDIT_ID=00000117&amp;VAR:DATE=19991029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Aggregates&amp;VAR:MEASURE=PE_MEAN&amp;VAR:CALC_MODE=PORTFOLIO&amp;VAR:CHGPERIOD=NA&amp;VAR:FQLFORMULA=FMA_PE&amp;VAR:CURRENCY=USD&amp;VAR:P=1","362.930000&amp;VAR:THRESH=||||||&amp;VAR:null=.html"}</definedName>
    <definedName name="_573__FDSAUDITLINK__" hidden="1">{"fdsup://directions/FAT%20Viewer?VAR:TM=NTMA&amp;VAR:PCT=0.191781&amp;VAR:Y0=1999&amp;VAR:Y1=2000&amp;VAR:V0=25.967903&amp;VAR:V1=22.228080&amp;VAR:V=22.859452&amp;VAR:AUDIT_ID=00000117&amp;VAR:DATE=19991022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Aggregates&amp;VAR:MEASURE=PE_MEAN&amp;VAR:CALC_MODE=PORTFOLIO&amp;VAR:CHGPERIOD=NA&amp;VAR:FQLFORMULA=FMA_PE&amp;VAR:CURRENCY=USD&amp;VAR:P=1","301.650000&amp;VAR:THRESH=||||||&amp;VAR:null=.html"}</definedName>
    <definedName name="_574__FDSAUDITLINK__" hidden="1">{"fdsup://directions/FAT%20Viewer?VAR:TM=NTMA&amp;VAR:PCT=0.210959&amp;VAR:Y0=1999&amp;VAR:Y1=2000&amp;VAR:V0=24.798826&amp;VAR:V1=21.191334&amp;VAR:V=21.862248&amp;VAR:AUDIT_ID=00000117&amp;VAR:DATE=19991015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Aggregates&amp;VAR:MEASURE=PE_MEAN&amp;VAR:CALC_MODE=PORTFOLIO&amp;VAR:CHGPERIOD=NA&amp;VAR:FQLFORMULA=FMA_PE&amp;VAR:CURRENCY=USD&amp;VAR:P=1","247.410000&amp;VAR:THRESH=||||||&amp;VAR:null=.html"}</definedName>
    <definedName name="_575__FDSAUDITLINK__" hidden="1">{"fdsup://directions/FAT%20Viewer?VAR:TM=NTMA&amp;VAR:PCT=0.230137&amp;VAR:Y0=1999&amp;VAR:Y1=2000&amp;VAR:V0=26.559020&amp;VAR:V1=22.729904&amp;VAR:V=23.509958&amp;VAR:AUDIT_ID=00000117&amp;VAR:DATE=19991008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Aggregates&amp;VAR:MEASURE=PE_MEAN&amp;VAR:CALC_MODE=PORTFOLIO&amp;VAR:CHGPERIOD=NA&amp;VAR:FQLFORMULA=FMA_PE&amp;VAR:CURRENCY=USD&amp;VAR:P=1","336.020000&amp;VAR:THRESH=||||||&amp;VAR:null=.html"}</definedName>
    <definedName name="_576__FDSAUDITLINK__" hidden="1">{"fdsup://directions/FAT%20Viewer?VAR:TM=NTMA&amp;VAR:PCT=0.249315&amp;VAR:Y0=1999&amp;VAR:Y1=2000&amp;VAR:V0=25.499475&amp;VAR:V1=21.843939&amp;VAR:V=22.653605&amp;VAR:AUDIT_ID=00000117&amp;VAR:DATE=19991001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Aggregates&amp;VAR:MEASURE=PE_MEAN&amp;VAR:CALC_MODE=PORTFOLIO&amp;VAR:CHGPERIOD=NA&amp;VAR:FQLFORMULA=FMA_PE&amp;VAR:CURRENCY=USD&amp;VAR:P=1","282.810000&amp;VAR:THRESH=||||||&amp;VAR:null=.html"}</definedName>
    <definedName name="_577__FDSAUDITLINK__" hidden="1">{"fdsup://directions/FAT%20Viewer?VAR:TM=NTMA&amp;VAR:PCT=0.268493&amp;VAR:Y0=1999&amp;VAR:Y1=2000&amp;VAR:V0=25.299696&amp;VAR:V1=21.514341&amp;VAR:V=22.414790&amp;VAR:AUDIT_ID=00000117&amp;VAR:DATE=19990924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Aggregates&amp;VAR:MEASURE=PE_MEAN&amp;VAR:CALC_MODE=PORTFOLIO&amp;VAR:CHGPERIOD=NA&amp;VAR:FQLFORMULA=FMA_PE&amp;VAR:CURRENCY=USD&amp;VAR:P=1","277.360000&amp;VAR:THRESH=||||||&amp;VAR:null=.html"}</definedName>
    <definedName name="_578__FDSAUDITLINK__" hidden="1">{"fdsup://directions/FAT%20Viewer?VAR:TM=NTMA&amp;VAR:PCT=0.287671&amp;VAR:Y0=1999&amp;VAR:Y1=2000&amp;VAR:V0=26.374546&amp;VAR:V1=22.402323&amp;VAR:V=23.416874&amp;VAR:AUDIT_ID=00000117&amp;VAR:DATE=19990917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Aggregates&amp;VAR:MEASURE=PE_MEAN&amp;VAR:CALC_MODE=PORTFOLIO&amp;VAR:CHGPERIOD=NA&amp;VAR:FQLFORMULA=FMA_PE&amp;VAR:CURRENCY=USD&amp;VAR:P=1","335.420000&amp;VAR:THRESH=||||||&amp;VAR:null=.html"}</definedName>
    <definedName name="_579__FDSAUDITLINK__" hidden="1">{"fdsup://directions/FAT%20Viewer?VAR:TM=NTMA&amp;VAR:PCT=0.306849&amp;VAR:Y0=1999&amp;VAR:Y1=2000&amp;VAR:V0=26.681156&amp;VAR:V1=22.646914&amp;VAR:V=23.748767&amp;VAR:AUDIT_ID=00000117&amp;VAR:DATE=19990910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Aggregates&amp;VAR:MEASURE=PE_MEAN&amp;VAR:CALC_MODE=PORTFOLIO&amp;VAR:CHGPERIOD=NA&amp;VAR:FQLFORMULA=FMA_PE&amp;VAR:CURRENCY=USD&amp;VAR:P=1","351.660000&amp;VAR:THRESH=||||||&amp;VAR:null=.html"}</definedName>
    <definedName name="_58__FDSAUDITLINK__" hidden="1">{"fdsup://directions/FAT%20Viewer?VAR:TM=NTMA&amp;VAR:PCT=0.323288&amp;VAR:Y0=2009&amp;VAR:Y1=2010&amp;VAR:V0=16.879585&amp;VAR:V1=13.471202&amp;VAR:V=14.412008&amp;VAR:AUDIT_ID=00000117&amp;VAR:DATE=20090904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Aggregates&amp;VAR:MEASURE=PE_MEAN&amp;VAR:CALC_MODE=PORTFOLIO&amp;VAR:CHGPERIOD=NA&amp;VAR:FQLFORMULA=FMA_PE&amp;VAR:CURRENCY=USD&amp;VAR:P=1","016.403643&amp;VAR:THRESH=||||||&amp;VAR:null=.html"}</definedName>
    <definedName name="_580__FDSAUDITLINK__" hidden="1">{"fdsup://directions/FAT%20Viewer?VAR:TM=NTMA&amp;VAR:PCT=0.326027&amp;VAR:Y0=1999&amp;VAR:Y1=2000&amp;VAR:V0=26.819939&amp;VAR:V1=22.733230&amp;VAR:V=23.921625&amp;VAR:AUDIT_ID=00000117&amp;VAR:DATE=19990903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Aggregates&amp;VAR:MEASURE=PE_MEAN&amp;VAR:CALC_MODE=PORTFOLIO&amp;VAR:CHGPERIOD=NA&amp;VAR:FQLFORMULA=FMA_PE&amp;VAR:CURRENCY=USD&amp;VAR:P=1","357.240000&amp;VAR:THRESH=||||||&amp;VAR:null=.html"}</definedName>
    <definedName name="_581__FDSAUDITLINK__" hidden="1">{"fdsup://directions/FAT%20Viewer?VAR:TM=NTMA&amp;VAR:PCT=0.345205&amp;VAR:Y0=1999&amp;VAR:Y1=2000&amp;VAR:V0=26.605648&amp;VAR:V1=22.566557&amp;VAR:V=23.814604&amp;VAR:AUDIT_ID=00000117&amp;VAR:DATE=19990827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Aggregates&amp;VAR:MEASURE=PE_MEAN&amp;VAR:CALC_MODE=PORTFOLIO&amp;VAR:CHGPERIOD=NA&amp;VAR:FQLFORMULA=FMA_PE&amp;VAR:CURRENCY=USD&amp;VAR:P=1","348.270000&amp;VAR:THRESH=||||||&amp;VAR:null=.html"}</definedName>
    <definedName name="_582__FDSAUDITLINK__" hidden="1">{"fdsup://directions/FAT%20Viewer?VAR:TM=NTMA&amp;VAR:PCT=0.364384&amp;VAR:Y0=1999&amp;VAR:Y1=2000&amp;VAR:V0=26.340929&amp;VAR:V1=22.340553&amp;VAR:V=23.649272&amp;VAR:AUDIT_ID=00000117&amp;VAR:DATE=19990820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Aggregates&amp;VAR:MEASURE=PE_MEAN&amp;VAR:CALC_MODE=PORTFOLIO&amp;VAR:CHGPERIOD=NA&amp;VAR:FQLFORMULA=FMA_PE&amp;VAR:CURRENCY=USD&amp;VAR:P=1","336.610000&amp;VAR:THRESH=||||||&amp;VAR:null=.html"}</definedName>
    <definedName name="_583__FDSAUDITLINK__" hidden="1">{"fdsup://directions/FAT%20Viewer?VAR:TM=NTMA&amp;VAR:PCT=0.383562&amp;VAR:Y0=1999&amp;VAR:Y1=2000&amp;VAR:V0=26.170599&amp;VAR:V1=22.176113&amp;VAR:V=23.555124&amp;VAR:AUDIT_ID=00000117&amp;VAR:DATE=19990813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Aggregates&amp;VAR:MEASURE=PE_MEAN&amp;VAR:CALC_MODE=PORTFOLIO&amp;VAR:CHGPERIOD=NA&amp;VAR:FQLFORMULA=FMA_PE&amp;VAR:CURRENCY=USD&amp;VAR:P=1","327.680000&amp;VAR:THRESH=||||||&amp;VAR:null=.html"}</definedName>
    <definedName name="_584__FDSAUDITLINK__" hidden="1">{"fdsup://directions/FAT%20Viewer?VAR:TM=NTMA&amp;VAR:PCT=0.402740&amp;VAR:Y0=1999&amp;VAR:Y1=2000&amp;VAR:V0=25.623772&amp;VAR:V1=21.719400&amp;VAR:V=23.139387&amp;VAR:AUDIT_ID=00000117&amp;VAR:DATE=19990806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Aggregates&amp;VAR:MEASURE=PE_MEAN&amp;VAR:CALC_MODE=PORTFOLIO&amp;VAR:CHGPERIOD=NA&amp;VAR:FQLFORMULA=FMA_PE&amp;VAR:CURRENCY=USD&amp;VAR:P=1","300.290000&amp;VAR:THRESH=||||||&amp;VAR:null=.html"}</definedName>
    <definedName name="_585__FDSAUDITLINK__" hidden="1">{"fdsup://directions/FAT%20Viewer?VAR:TM=NTMA&amp;VAR:PCT=0.421918&amp;VAR:Y0=1999&amp;VAR:Y1=2000&amp;VAR:V0=26.160963&amp;VAR:V1=22.195309&amp;VAR:V=23.711851&amp;VAR:AUDIT_ID=00000117&amp;VAR:DATE=19990730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Aggregates&amp;VAR:MEASURE=PE_MEAN&amp;VAR:CALC_MODE=PORTFOLIO&amp;VAR:CHGPERIOD=NA&amp;VAR:FQLFORMULA=FMA_PE&amp;VAR:CURRENCY=USD&amp;VAR:P=1","328.720000&amp;VAR:THRESH=||||||&amp;VAR:null=.html"}</definedName>
    <definedName name="_586__FDSAUDITLINK__" hidden="1">{"fdsup://directions/FAT%20Viewer?VAR:TM=NTMA&amp;VAR:PCT=0.441096&amp;VAR:Y0=1999&amp;VAR:Y1=2000&amp;VAR:V0=26.671041&amp;VAR:V1=22.634617&amp;VAR:V=24.253695&amp;VAR:AUDIT_ID=00000117&amp;VAR:DATE=19990723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Aggregates&amp;VAR:MEASURE=PE_MEAN&amp;VAR:CALC_MODE=PORTFOLIO&amp;VAR:CHGPERIOD=NA&amp;VAR:FQLFORMULA=FMA_PE&amp;VAR:CURRENCY=USD&amp;VAR:P=1","356.940000&amp;VAR:THRESH=||||||&amp;VAR:null=.html"}</definedName>
    <definedName name="_587__FDSAUDITLINK__" hidden="1">{"fdsup://directions/FAT%20Viewer?VAR:TM=NTMA&amp;VAR:PCT=0.460274&amp;VAR:Y0=1999&amp;VAR:Y1=2000&amp;VAR:V0=27.787256&amp;VAR:V1=23.680029&amp;VAR:V=25.408655&amp;VAR:AUDIT_ID=00000117&amp;VAR:DATE=19990716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Aggregates&amp;VAR:MEASURE=PE_MEAN&amp;VAR:CALC_MODE=PORTFOLIO&amp;VAR:CHGPERIOD=NA&amp;VAR:FQLFORMULA=FMA_PE&amp;VAR:CURRENCY=USD&amp;VAR:P=1","418.780000&amp;VAR:THRESH=||||||&amp;VAR:null=.html"}</definedName>
    <definedName name="_588__FDSAUDITLINK__" hidden="1">{"fdsup://directions/FAT%20Viewer?VAR:TM=NTMA&amp;VAR:PCT=0.479452&amp;VAR:Y0=1999&amp;VAR:Y1=2000&amp;VAR:V0=27.484293&amp;VAR:V1=23.418486&amp;VAR:V=25.206274&amp;VAR:AUDIT_ID=00000117&amp;VAR:DATE=19990709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Aggregates&amp;VAR:MEASURE=PE_MEAN&amp;VAR:CALC_MODE=PORTFOLIO&amp;VAR:CHGPERIOD=NA&amp;VAR:FQLFORMULA=FMA_PE&amp;VAR:CURRENCY=USD&amp;VAR:P=1","403.280000&amp;VAR:THRESH=||||||&amp;VAR:null=.html"}</definedName>
    <definedName name="_589__FDSAUDITLINK__" hidden="1">{"fdsup://directions/FAT%20Viewer?VAR:TM=NTMA&amp;VAR:PCT=0.498630&amp;VAR:Y0=1999&amp;VAR:Y1=2000&amp;VAR:V0=27.276173&amp;VAR:V1=23.267294&amp;VAR:V=25.107295&amp;VAR:AUDIT_ID=00000117&amp;VAR:DATE=19990702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Aggregates&amp;VAR:MEASURE=PE_MEAN&amp;VAR:CALC_MODE=PORTFOLIO&amp;VAR:CHGPERIOD=NA&amp;VAR:FQLFORMULA=FMA_PE&amp;VAR:CURRENCY=USD&amp;VAR:P=1","391.220000&amp;VAR:THRESH=||||||&amp;VAR:null=.html"}</definedName>
    <definedName name="_59__FDSAUDITLINK__" hidden="1">{"fdsup://directions/FAT%20Viewer?VAR:TM=NTMA&amp;VAR:PCT=0.342466&amp;VAR:Y0=2009&amp;VAR:Y1=2010&amp;VAR:V0=17.103111&amp;VAR:V1=13.655600&amp;VAR:V=14.668166&amp;VAR:AUDIT_ID=00000117&amp;VAR:DATE=20090828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Aggregates&amp;VAR:MEASURE=PE_MEAN&amp;VAR:CALC_MODE=PORTFOLIO&amp;VAR:CHGPERIOD=NA&amp;VAR:FQLFORMULA=FMA_PE&amp;VAR:CURRENCY=USD&amp;VAR:P=1","028.931723&amp;VAR:THRESH=||||||&amp;VAR:null=.html"}</definedName>
    <definedName name="_590__FDSAUDITLINK__" hidden="1">{"fdsup://directions/FAT%20Viewer?VAR:TM=NTMA&amp;VAR:PCT=0.517808&amp;VAR:Y0=1999&amp;VAR:Y1=2000&amp;VAR:V0=25.830793&amp;VAR:V1=22.034376&amp;VAR:V=23.849401&amp;VAR:AUDIT_ID=00000117&amp;VAR:DATE=19990625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Aggregates&amp;VAR:MEASURE=PE_MEAN&amp;VAR:CALC_MODE=PORTFOLIO&amp;VAR:CHGPERIOD=NA&amp;VAR:FQLFORMULA=FMA_PE&amp;VAR:CURRENCY=USD&amp;VAR:P=1","315.310000&amp;VAR:THRESH=||||||&amp;VAR:null=.html"}</definedName>
    <definedName name="_591__FDSAUDITLINK__" hidden="1">{"fdsup://directions/FAT%20Viewer?VAR:TM=NTMA&amp;VAR:PCT=0.536986&amp;VAR:Y0=1999&amp;VAR:Y1=2000&amp;VAR:V0=26.285526&amp;VAR:V1=22.518566&amp;VAR:V=24.395960&amp;VAR:AUDIT_ID=00000117&amp;VAR:DATE=19990618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Aggregates&amp;VAR:MEASURE=PE_MEAN&amp;VAR:CALC_MODE=PORTFOLIO&amp;VAR:CHGPERIOD=NA&amp;VAR:FQLFORMULA=FMA_PE&amp;VAR:CURRENCY=USD&amp;VAR:P=1","342.840000&amp;VAR:THRESH=||||||&amp;VAR:null=.html"}</definedName>
    <definedName name="_592__FDSAUDITLINK__" hidden="1">{"fdsup://directions/FAT%20Viewer?VAR:TM=NTMA&amp;VAR:PCT=0.556164&amp;VAR:Y0=1999&amp;VAR:Y1=2000&amp;VAR:V0=25.311659&amp;VAR:V1=21.721220&amp;VAR:V=23.581608&amp;VAR:AUDIT_ID=00000117&amp;VAR:DATE=19990611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Aggregates&amp;VAR:MEASURE=PE_MEAN&amp;VAR:CALC_MODE=PORTFOLIO&amp;VAR:CHGPERIOD=NA&amp;VAR:FQLFORMULA=FMA_PE&amp;VAR:CURRENCY=USD&amp;VAR:P=1","293.640000&amp;VAR:THRESH=||||||&amp;VAR:null=.html"}</definedName>
    <definedName name="_593__FDSAUDITLINK__" hidden="1">{"fdsup://directions/FAT%20Viewer?VAR:TM=NTMA&amp;VAR:PCT=0.575342&amp;VAR:Y0=1999&amp;VAR:Y1=2000&amp;VAR:V0=26.016886&amp;VAR:V1=22.356575&amp;VAR:V=24.325607&amp;VAR:AUDIT_ID=00000117&amp;VAR:DATE=19990604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Aggregates&amp;VAR:MEASURE=PE_MEAN&amp;VAR:CALC_MODE=PORTFOLIO&amp;VAR:CHGPERIOD=NA&amp;VAR:FQLFORMULA=FMA_PE&amp;VAR:CURRENCY=USD&amp;VAR:P=1","327.750000&amp;VAR:THRESH=||||||&amp;VAR:null=.html"}</definedName>
    <definedName name="_594__FDSAUDITLINK__" hidden="1">{"fdsup://directions/FAT%20Viewer?VAR:TM=NTMA&amp;VAR:PCT=0.594521&amp;VAR:Y0=1999&amp;VAR:Y1=2000&amp;VAR:V0=25.455017&amp;VAR:V1=21.641730&amp;VAR:V=23.757635&amp;VAR:AUDIT_ID=00000117&amp;VAR:DATE=19990528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Aggregates&amp;VAR:MEASURE=PE_MEAN&amp;VAR:CALC_MODE=PORTFOLIO&amp;VAR:CHGPERIOD=NA&amp;VAR:FQLFORMULA=FMA_PE&amp;VAR:CURRENCY=USD&amp;VAR:P=1","301.840000&amp;VAR:THRESH=||||||&amp;VAR:null=.html"}</definedName>
    <definedName name="_595__FDSAUDITLINK__" hidden="1">{"fdsup://directions/FAT%20Viewer?VAR:TM=NTMA&amp;VAR:PCT=0.613699&amp;VAR:Y0=1999&amp;VAR:Y1=2000&amp;VAR:V0=26.055351&amp;VAR:V1=22.172024&amp;VAR:V=24.404191&amp;VAR:AUDIT_ID=00000117&amp;VAR:DATE=19990521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Aggregates&amp;VAR:MEASURE=PE_MEAN&amp;VAR:CALC_MODE=PORTFOLIO&amp;VAR:CHGPERIOD=NA&amp;VAR:FQLFORMULA=FMA_PE&amp;VAR:CURRENCY=USD&amp;VAR:P=1","330.290000&amp;VAR:THRESH=||||||&amp;VAR:null=.html"}</definedName>
    <definedName name="_596__FDSAUDITLINK__" hidden="1">{"fdsup://directions/FAT%20Viewer?VAR:TM=NTMA&amp;VAR:PCT=0.632877&amp;VAR:Y0=1999&amp;VAR:Y1=2000&amp;VAR:V0=26.245518&amp;VAR:V1=22.371193&amp;VAR:V=24.676587&amp;VAR:AUDIT_ID=00000117&amp;VAR:DATE=19990514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Aggregates&amp;VAR:MEASURE=PE_MEAN&amp;VAR:CALC_MODE=PORTFOLIO&amp;VAR:CHGPERIOD=NA&amp;VAR:FQLFORMULA=FMA_PE&amp;VAR:CURRENCY=USD&amp;VAR:P=1","337.800000&amp;VAR:THRESH=||||||&amp;VAR:null=.html"}</definedName>
    <definedName name="_597__FDSAUDITLINK__" hidden="1">{"fdsup://directions/FAT%20Viewer?VAR:TM=NTMA&amp;VAR:PCT=0.652055&amp;VAR:Y0=1999&amp;VAR:Y1=2000&amp;VAR:V0=26.444544&amp;VAR:V1=22.578460&amp;VAR:V=24.957613&amp;VAR:AUDIT_ID=00000117&amp;VAR:DATE=19990507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Aggregates&amp;VAR:MEASURE=PE_MEAN&amp;VAR:CALC_MODE=PORTFOLIO&amp;VAR:CHGPERIOD=NA&amp;VAR:FQLFORMULA=FMA_PE&amp;VAR:CURRENCY=USD&amp;VAR:P=1","345.000000&amp;VAR:THRESH=||||||&amp;VAR:null=.html"}</definedName>
    <definedName name="_598__FDSAUDITLINK__" hidden="1">{"fdsup://directions/FAT%20Viewer?VAR:TM=NTMA&amp;VAR:PCT=0.671233&amp;VAR:Y0=1999&amp;VAR:Y1=2000&amp;VAR:V0=26.318590&amp;VAR:V1=22.457320&amp;VAR:V=24.910461&amp;VAR:AUDIT_ID=00000117&amp;VAR:DATE=19990430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Aggregates&amp;VAR:MEASURE=PE_MEAN&amp;VAR:CALC_MODE=PORTFOLIO&amp;VAR:CHGPERIOD=NA&amp;VAR:FQLFORMULA=FMA_PE&amp;VAR:CURRENCY=USD&amp;VAR:P=1","335.180000&amp;VAR:THRESH=||||||&amp;VAR:null=.html"}</definedName>
    <definedName name="_599__FDSAUDITLINK__" hidden="1">{"fdsup://directions/FAT%20Viewer?VAR:TM=NTMA&amp;VAR:PCT=0.690411&amp;VAR:Y0=1999&amp;VAR:Y1=2000&amp;VAR:V0=26.805424&amp;VAR:V1=22.895006&amp;VAR:V=25.459213&amp;VAR:AUDIT_ID=00000117&amp;VAR:DATE=19990423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Aggregates&amp;VAR:MEASURE=PE_MEAN&amp;VAR:CALC_MODE=PORTFOLIO&amp;VAR:CHGPERIOD=NA&amp;VAR:FQLFORMULA=FMA_PE&amp;VAR:CURRENCY=USD&amp;VAR:P=1","356.850000&amp;VAR:THRESH=||||||&amp;VAR:null=.html"}</definedName>
    <definedName name="_6__FDSAUDITLINK__" hidden="1">{"fdsup://directions/FAT%20Viewer?VAR:TM=NTMA&amp;VAR:PCT=0.326027&amp;VAR:Y0=2010&amp;VAR:Y1=2011&amp;VAR:V0=13.212447&amp;VAR:V1=11.511198&amp;VAR:V=12.015609&amp;VAR:AUDIT_ID=00000117&amp;VAR:DATE=20100903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Aggregates&amp;VAR:MEASURE=PE_MEAN&amp;VAR:CALC_MODE=PORTFOLIO&amp;VAR:CHGPERIOD=NA&amp;VAR:FQLFORMULA=FMA_PE&amp;VAR:CURRENCY=USD&amp;VAR:P=1","104.506616&amp;VAR:THRESH=||||||&amp;VAR:null=.html"}</definedName>
    <definedName name="_60__FDSAUDITLINK__" hidden="1">{"fdsup://directions/FAT%20Viewer?VAR:TM=NTMA&amp;VAR:PCT=0.361644&amp;VAR:Y0=2009&amp;VAR:Y1=2010&amp;VAR:V0=17.030197&amp;VAR:V1=13.641829&amp;VAR:V=14.699510&amp;VAR:AUDIT_ID=00000117&amp;VAR:DATE=20090821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Aggregates&amp;VAR:MEASURE=PE_MEAN&amp;VAR:CALC_MODE=PORTFOLIO&amp;VAR:CHGPERIOD=NA&amp;VAR:FQLFORMULA=FMA_PE&amp;VAR:CURRENCY=USD&amp;VAR:P=1","026.129799&amp;VAR:THRESH=||||||&amp;VAR:null=.html"}</definedName>
    <definedName name="_600__FDSAUDITLINK__" hidden="1">{"fdsup://directions/FAT%20Viewer?VAR:TM=NTMA&amp;VAR:PCT=0.709589&amp;VAR:Y0=1999&amp;VAR:Y1=2000&amp;VAR:V0=26.013342&amp;VAR:V1=22.223600&amp;VAR:V=24.785868&amp;VAR:AUDIT_ID=00000117&amp;VAR:DATE=19990416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Aggregates&amp;VAR:MEASURE=PE_MEAN&amp;VAR:CALC_MODE=PORTFOLIO&amp;VAR:CHGPERIOD=NA&amp;VAR:FQLFORMULA=FMA_PE&amp;VAR:CURRENCY=USD&amp;VAR:P=1","319.000000&amp;VAR:THRESH=||||||&amp;VAR:null=.html"}</definedName>
    <definedName name="_601__FDSAUDITLINK__" hidden="1">{"fdsup://directions/FAT%20Viewer?VAR:TM=NTMA&amp;VAR:PCT=0.728767&amp;VAR:Y0=1999&amp;VAR:Y1=2000&amp;VAR:V0=26.635788&amp;VAR:V1=21.981070&amp;VAR:V=25.189022&amp;VAR:AUDIT_ID=00000117&amp;VAR:DATE=19990409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Aggregates&amp;VAR:MEASURE=PE_MEAN&amp;VAR:CALC_MODE=PORTFOLIO&amp;VAR:CHGPERIOD=NA&amp;VAR:FQLFORMULA=FMA_PE&amp;VAR:CURRENCY=USD&amp;VAR:P=1","348.350000&amp;VAR:THRESH=||||||&amp;VAR:null=.html"}</definedName>
    <definedName name="_602__FDSAUDITLINK__" hidden="1">{"fdsup://directions/FAT%20Viewer?VAR:TM=NTMA&amp;VAR:PCT=0.750685&amp;VAR:Y0=1999&amp;VAR:Y1=2000&amp;VAR:V0=25.545630&amp;VAR:V1=21.077032&amp;VAR:V=24.263131&amp;VAR:AUDIT_ID=00000117&amp;VAR:DATE=19990401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Aggregates&amp;VAR:MEASURE=PE_MEAN&amp;VAR:CALC_MODE=PORTFOLIO&amp;VAR:CHGPERIOD=NA&amp;VAR:FQLFORMULA=FMA_PE&amp;VAR:CURRENCY=USD&amp;VAR:P=1","293.720000&amp;VAR:THRESH=||||||&amp;VAR:null=.html"}</definedName>
    <definedName name="_603__FDSAUDITLINK__" hidden="1">{"fdsup://directions/FAT%20Viewer?VAR:TM=NTMA&amp;VAR:PCT=0.767123&amp;VAR:Y0=1999&amp;VAR:Y1=2000&amp;VAR:V0=25.282413&amp;VAR:V1=20.959724&amp;VAR:V=24.123795&amp;VAR:AUDIT_ID=00000117&amp;VAR:DATE=19990326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Aggregates&amp;VAR:MEASURE=PE_MEAN&amp;VAR:CALC_MODE=PORTFOLIO&amp;VAR:CHGPERIOD=NA&amp;VAR:FQLFORMULA=FMA_PE&amp;VAR:CURRENCY=USD&amp;VAR:P=1","282.800000&amp;VAR:THRESH=||||||&amp;VAR:null=.html"}</definedName>
    <definedName name="_604__FDSAUDITLINK__" hidden="1">{"fdsup://directions/FAT%20Viewer?VAR:TM=NTMA&amp;VAR:PCT=0.786301&amp;VAR:Y0=1999&amp;VAR:Y1=2000&amp;VAR:V0=25.577090&amp;VAR:V1=21.293009&amp;VAR:V=24.522725&amp;VAR:AUDIT_ID=00000117&amp;VAR:DATE=19990319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Aggregates&amp;VAR:MEASURE=PE_MEAN&amp;VAR:CALC_MODE=PORTFOLIO&amp;VAR:CHGPERIOD=NA&amp;VAR:FQLFORMULA=FMA_PE&amp;VAR:CURRENCY=USD&amp;VAR:P=1","299.290000&amp;VAR:THRESH=||||||&amp;VAR:null=.html"}</definedName>
    <definedName name="_605__FDSAUDITLINK__" hidden="1">{"fdsup://directions/FAT%20Viewer?VAR:TM=NTMA&amp;VAR:PCT=0.805479&amp;VAR:Y0=1999&amp;VAR:Y1=2000&amp;VAR:V0=25.449783&amp;VAR:V1=21.289879&amp;VAR:V=24.517905&amp;VAR:AUDIT_ID=00000117&amp;VAR:DATE=19990312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Aggregates&amp;VAR:MEASURE=PE_MEAN&amp;VAR:CALC_MODE=PORTFOLIO&amp;VAR:CHGPERIOD=NA&amp;VAR:FQLFORMULA=FMA_PE&amp;VAR:CURRENCY=USD&amp;VAR:P=1","294.590000&amp;VAR:THRESH=||||||&amp;VAR:null=.html"}</definedName>
    <definedName name="_606__FDSAUDITLINK__" hidden="1">{"fdsup://directions/FAT%20Viewer?VAR:TM=NTMA&amp;VAR:PCT=0.824658&amp;VAR:Y0=1999&amp;VAR:Y1=2000&amp;VAR:V0=25.131315&amp;VAR:V1=21.080020&amp;VAR:V=24.312037&amp;VAR:AUDIT_ID=00000117&amp;VAR:DATE=19990305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Aggregates&amp;VAR:MEASURE=PE_MEAN&amp;VAR:CALC_MODE=PORTFOLIO&amp;VAR:CHGPERIOD=NA&amp;VAR:FQLFORMULA=FMA_PE&amp;VAR:CURRENCY=USD&amp;VAR:P=1","275.470000&amp;VAR:THRESH=||||||&amp;VAR:null=.html"}</definedName>
    <definedName name="_607__FDSAUDITLINK__" hidden="1">{"fdsup://directions/FAT%20Viewer?VAR:TM=NTMA&amp;VAR:PCT=0.843836&amp;VAR:Y0=1999&amp;VAR:Y1=2000&amp;VAR:V0=24.401949&amp;VAR:V1=20.473211&amp;VAR:V=23.691962&amp;VAR:AUDIT_ID=00000117&amp;VAR:DATE=19990226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Aggregates&amp;VAR:MEASURE=PE_MEAN&amp;VAR:CALC_MODE=PORTFOLIO&amp;VAR:CHGPERIOD=NA&amp;VAR:FQLFORMULA=FMA_PE&amp;VAR:CURRENCY=USD&amp;VAR:P=1","238.330000&amp;VAR:THRESH=||||||&amp;VAR:null=.html"}</definedName>
    <definedName name="_608__FDSAUDITLINK__" hidden="1">{"fdsup://directions/FAT%20Viewer?VAR:TM=NTMA&amp;VAR:PCT=0.863014&amp;VAR:Y0=1999&amp;VAR:Y1=2000&amp;VAR:V0=24.415274&amp;VAR:V1=20.350449&amp;VAR:V=23.765020&amp;VAR:AUDIT_ID=00000117&amp;VAR:DATE=19990219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Aggregates&amp;VAR:MEASURE=PE_MEAN&amp;VAR:CALC_MODE=PORTFOLIO&amp;VAR:CHGPERIOD=NA&amp;VAR:FQLFORMULA=FMA_PE&amp;VAR:CURRENCY=USD&amp;VAR:P=1","239.220000&amp;VAR:THRESH=||||||&amp;VAR:null=.html"}</definedName>
    <definedName name="_609__FDSAUDITLINK__" hidden="1">{"fdsup://directions/FAT%20Viewer?VAR:TM=NTMA&amp;VAR:PCT=0.882192&amp;VAR:Y0=1999&amp;VAR:Y1=2000&amp;VAR:V0=24.229351&amp;VAR:V1=20.081429&amp;VAR:V=23.653763&amp;VAR:AUDIT_ID=00000117&amp;VAR:DATE=19990212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Aggregates&amp;VAR:MEASURE=PE_MEAN&amp;VAR:CALC_MODE=PORTFOLIO&amp;VAR:CHGPERIOD=NA&amp;VAR:FQLFORMULA=FMA_PE&amp;VAR:CURRENCY=USD&amp;VAR:P=1","230.130000&amp;VAR:THRESH=||||||&amp;VAR:null=.html"}</definedName>
    <definedName name="_61__FDSAUDITLINK__" hidden="1">{"fdsup://directions/FAT%20Viewer?VAR:TM=NTMA&amp;VAR:PCT=0.380822&amp;VAR:Y0=2009&amp;VAR:Y1=2010&amp;VAR:V0=16.674664&amp;VAR:V1=13.366375&amp;VAR:V=14.458824&amp;VAR:AUDIT_ID=00000117&amp;VAR:DATE=20090814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Aggregates&amp;VAR:MEASURE=PE_MEAN&amp;VAR:CALC_MODE=PORTFOLIO&amp;VAR:CHGPERIOD=NA&amp;VAR:FQLFORMULA=FMA_PE&amp;VAR:CURRENCY=USD&amp;VAR:P=1","004.094121&amp;VAR:THRESH=||||||&amp;VAR:null=.html"}</definedName>
    <definedName name="_610__FDSAUDITLINK__" hidden="1">{"fdsup://directions/FAT%20Viewer?VAR:TM=NTMA&amp;VAR:PCT=0.901370&amp;VAR:Y0=1999&amp;VAR:Y1=2000&amp;VAR:V0=24.352507&amp;VAR:V1=20.221327&amp;VAR:V=23.871497&amp;VAR:AUDIT_ID=00000117&amp;VAR:DATE=19990205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Aggregates&amp;VAR:MEASURE=PE_MEAN&amp;VAR:CALC_MODE=PORTFOLIO&amp;VAR:CHGPERIOD=NA&amp;VAR:FQLFORMULA=FMA_PE&amp;VAR:CURRENCY=USD&amp;VAR:P=1","239.400000&amp;VAR:THRESH=||||||&amp;VAR:null=.html"}</definedName>
    <definedName name="_611__FDSAUDITLINK__" hidden="1">{"fdsup://directions/FAT%20Viewer?VAR:TM=NTMA&amp;VAR:PCT=0.920548&amp;VAR:Y0=1999&amp;VAR:Y1=2000&amp;VAR:V0=25.164720&amp;VAR:V1=20.785921&amp;VAR:V=24.750459&amp;VAR:AUDIT_ID=00000117&amp;VAR:DATE=19990129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Aggregates&amp;VAR:MEASURE=PE_MEAN&amp;VAR:CALC_MODE=PORTFOLIO&amp;VAR:CHGPERIOD=NA&amp;VAR:FQLFORMULA=FMA_PE&amp;VAR:CURRENCY=USD&amp;VAR:P=1","279.640000&amp;VAR:THRESH=||||||&amp;VAR:null=.html"}</definedName>
    <definedName name="_612__FDSAUDITLINK__" hidden="1">{"fdsup://directions/FAT%20Viewer?VAR:TM=NTMA&amp;VAR:PCT=0.939726&amp;VAR:Y0=1999&amp;VAR:Y1=2000&amp;VAR:V0=23.992752&amp;VAR:V1=20.003263&amp;VAR:V=23.707757&amp;VAR:AUDIT_ID=00000117&amp;VAR:DATE=19990122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Aggregates&amp;VAR:MEASURE=PE_MEAN&amp;VAR:CALC_MODE=PORTFOLIO&amp;VAR:CHGPERIOD=NA&amp;VAR:FQLFORMULA=FMA_PE&amp;VAR:CURRENCY=USD&amp;VAR:P=1","225.190000&amp;VAR:THRESH=||||||&amp;VAR:null=.html"}</definedName>
    <definedName name="_613__FDSAUDITLINK__" hidden="1">{"fdsup://directions/FAT%20Viewer?VAR:TM=NTMA&amp;VAR:PCT=0.958904&amp;VAR:Y0=1999&amp;VAR:Y1=2000&amp;VAR:V0=24.283257&amp;VAR:V1=20.479984&amp;VAR:V=24.099336&amp;VAR:AUDIT_ID=00000117&amp;VAR:DATE=19990115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Aggregates&amp;VAR:MEASURE=PE_MEAN&amp;VAR:CALC_MODE=PORTFOLIO&amp;VAR:CHGPERIOD=NA&amp;VAR:FQLFORMULA=FMA_PE&amp;VAR:CURRENCY=USD&amp;VAR:P=1","243.260000&amp;VAR:THRESH=||||||&amp;VAR:null=.html"}</definedName>
    <definedName name="_614__FDSAUDITLINK__" hidden="1">{"fdsup://directions/FAT%20Viewer?VAR:TM=NTMA&amp;VAR:PCT=0.978082&amp;VAR:Y0=1999&amp;VAR:Y1=2000&amp;VAR:V0=24.856840&amp;VAR:V1=20.892780&amp;VAR:V=24.753900&amp;VAR:AUDIT_ID=00000117&amp;VAR:DATE=19990108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Aggregates&amp;VAR:MEASURE=PE_MEAN&amp;VAR:CALC_MODE=PORTFOLIO&amp;VAR:CHGPERIOD=NA&amp;VAR:FQLFORMULA=FMA_PE&amp;VAR:CURRENCY=USD&amp;VAR:P=1","275.090000&amp;VAR:THRESH=||||||&amp;VAR:null=.html"}</definedName>
    <definedName name="_615__FDSAUDITLINK__" hidden="1">{"fdsup://directions/FAT%20Viewer?VAR:TM=NTMA&amp;VAR:PCT=0.000000&amp;VAR:Y0=1998&amp;VAR:Y1=1999&amp;VAR:V0=28.184908&amp;VAR:V1=23.924640&amp;VAR:V=23.924640&amp;VAR:AUDIT_ID=00000117&amp;VAR:DATE=19981231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Aggregates&amp;VAR:MEASURE=PE_MEAN&amp;VAR:CALC_MODE=PORTFOLIO&amp;VAR:CHGPERIOD=NA&amp;VAR:FQLFORMULA=FMA_PE&amp;VAR:CURRENCY=USD&amp;VAR:P=1","229.230000&amp;VAR:THRESH=||||||&amp;VAR:null=.html"}</definedName>
    <definedName name="_616__FDSAUDITLINK__" hidden="1">{"fdsup://directions/FAT%20Viewer?VAR:TM=NTMA&amp;VAR:PCT=0.019178&amp;VAR:Y0=1998&amp;VAR:Y1=1999&amp;VAR:V0=28.041490&amp;VAR:V1=23.809180&amp;VAR:V=23.878297&amp;VAR:AUDIT_ID=00000117&amp;VAR:DATE=19981224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Aggregates&amp;VAR:MEASURE=PE_MEAN&amp;VAR:CALC_MODE=PORTFOLIO&amp;VAR:CHGPERIOD=NA&amp;VAR:FQLFORMULA=FMA_PE&amp;VAR:CURRENCY=USD&amp;VAR:P=1","226.270000&amp;VAR:THRESH=||||||&amp;VAR:null=.html"}</definedName>
    <definedName name="_617__FDSAUDITLINK__" hidden="1">{"fdsup://directions/FAT%20Viewer?VAR:TM=NTMA&amp;VAR:PCT=0.035616&amp;VAR:Y0=1998&amp;VAR:Y1=1999&amp;VAR:V0=27.068160&amp;VAR:V1=22.973026&amp;VAR:V=23.097484&amp;VAR:AUDIT_ID=00000117&amp;VAR:DATE=19981218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Aggregates&amp;VAR:MEASURE=PE_MEAN&amp;VAR:CALC_MODE=PORTFOLIO&amp;VAR:CHGPERIOD=NA&amp;VAR:FQLFORMULA=FMA_PE&amp;VAR:CURRENCY=USD&amp;VAR:P=1","188.030000&amp;VAR:THRESH=||||||&amp;VAR:null=.html"}</definedName>
    <definedName name="_618__FDSAUDITLINK__" hidden="1">{"fdsup://directions/FAT%20Viewer?VAR:TM=NTMA&amp;VAR:PCT=0.054795&amp;VAR:Y0=1998&amp;VAR:Y1=1999&amp;VAR:V0=26.332762&amp;VAR:V1=22.388868&amp;VAR:V=22.574126&amp;VAR:AUDIT_ID=00000117&amp;VAR:DATE=19981211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Aggregates&amp;VAR:MEASURE=PE_MEAN&amp;VAR:CALC_MODE=PORTFOLIO&amp;VAR:CHGPERIOD=NA&amp;VAR:FQLFORMULA=FMA_PE&amp;VAR:CURRENCY=USD&amp;VAR:P=1","166.460000&amp;VAR:THRESH=||||||&amp;VAR:null=.html"}</definedName>
    <definedName name="_619__FDSAUDITLINK__" hidden="1">{"fdsup://directions/FAT%20Viewer?VAR:TM=NTMA&amp;VAR:PCT=0.073973&amp;VAR:Y0=1998&amp;VAR:Y1=1999&amp;VAR:V0=26.536448&amp;VAR:V1=22.555424&amp;VAR:V=22.808540&amp;VAR:AUDIT_ID=00000117&amp;VAR:DATE=19981204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Aggregates&amp;VAR:MEASURE=PE_MEAN&amp;VAR:CALC_MODE=PORTFOLIO&amp;VAR:CHGPERIOD=NA&amp;VAR:FQLFORMULA=FMA_PE&amp;VAR:CURRENCY=USD&amp;VAR:P=1","176.740000&amp;VAR:THRESH=||||||&amp;VAR:null=.html"}</definedName>
    <definedName name="_62__FDSAUDITLINK__" hidden="1">{"fdsup://directions/FAT%20Viewer?VAR:TM=NTMA&amp;VAR:PCT=0.400000&amp;VAR:Y0=2009&amp;VAR:Y1=2010&amp;VAR:V0=16.820710&amp;VAR:V1=13.436977&amp;VAR:V=14.612810&amp;VAR:AUDIT_ID=00000117&amp;VAR:DATE=20090807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Aggregates&amp;VAR:MEASURE=PE_MEAN&amp;VAR:CALC_MODE=PORTFOLIO&amp;VAR:CHGPERIOD=NA&amp;VAR:FQLFORMULA=FMA_PE&amp;VAR:CURRENCY=USD&amp;VAR:P=1","010.475123&amp;VAR:THRESH=||||||&amp;VAR:null=.html"}</definedName>
    <definedName name="_620__FDSAUDITLINK__" hidden="1">{"fdsup://directions/FAT%20Viewer?VAR:TM=NTMA&amp;VAR:PCT=0.093151&amp;VAR:Y0=1998&amp;VAR:Y1=1999&amp;VAR:V0=26.660566&amp;VAR:V1=22.538588&amp;VAR:V=22.867932&amp;VAR:AUDIT_ID=00000117&amp;VAR:DATE=19981127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Aggregates&amp;VAR:MEASURE=PE_MEAN&amp;VAR:CALC_MODE=PORTFOLIO&amp;VAR:CHGPERIOD=NA&amp;VAR:FQLFORMULA=FMA_PE&amp;VAR:CURRENCY=USD&amp;VAR:P=1","192.330000&amp;VAR:THRESH=||||||&amp;VAR:null=.html"}</definedName>
    <definedName name="_621__FDSAUDITLINK__" hidden="1">{"fdsup://directions/FAT%20Viewer?VAR:TM=NTMA&amp;VAR:PCT=0.112329&amp;VAR:Y0=1998&amp;VAR:Y1=1999&amp;VAR:V0=25.971401&amp;VAR:V1=21.968613&amp;VAR:V=22.355644&amp;VAR:AUDIT_ID=00000117&amp;VAR:DATE=19981120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Aggregates&amp;VAR:MEASURE=PE_MEAN&amp;VAR:CALC_MODE=PORTFOLIO&amp;VAR:CHGPERIOD=NA&amp;VAR:FQLFORMULA=FMA_PE&amp;VAR:CURRENCY=USD&amp;VAR:P=1","163.550000&amp;VAR:THRESH=||||||&amp;VAR:null=.html"}</definedName>
    <definedName name="_622__FDSAUDITLINK__" hidden="1">{"fdsup://directions/FAT%20Viewer?VAR:TM=NTMA&amp;VAR:PCT=0.131507&amp;VAR:Y0=1998&amp;VAR:Y1=1999&amp;VAR:V0=25.094519&amp;VAR:V1=21.140324&amp;VAR:V=21.587659&amp;VAR:AUDIT_ID=00000117&amp;VAR:DATE=19981113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Aggregates&amp;VAR:MEASURE=PE_MEAN&amp;VAR:CALC_MODE=PORTFOLIO&amp;VAR:CHGPERIOD=NA&amp;VAR:FQLFORMULA=FMA_PE&amp;VAR:CURRENCY=USD&amp;VAR:P=1","125.720000&amp;VAR:THRESH=||||||&amp;VAR:null=.html"}</definedName>
    <definedName name="_623__FDSAUDITLINK__" hidden="1">{"fdsup://directions/FAT%20Viewer?VAR:TM=NTMA&amp;VAR:PCT=0.150685&amp;VAR:Y0=1998&amp;VAR:Y1=1999&amp;VAR:V0=25.224947&amp;VAR:V1=21.232292&amp;VAR:V=21.751071&amp;VAR:AUDIT_ID=00000117&amp;VAR:DATE=19981106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Aggregates&amp;VAR:MEASURE=PE_MEAN&amp;VAR:CALC_MODE=PORTFOLIO&amp;VAR:CHGPERIOD=NA&amp;VAR:FQLFORMULA=FMA_PE&amp;VAR:CURRENCY=USD&amp;VAR:P=1","141.010000&amp;VAR:THRESH=||||||&amp;VAR:null=.html"}</definedName>
    <definedName name="_624__FDSAUDITLINK__" hidden="1">{"fdsup://directions/FAT%20Viewer?VAR:TM=NTMA&amp;VAR:PCT=0.169863&amp;VAR:Y0=1998&amp;VAR:Y1=1999&amp;VAR:V0=24.258827&amp;VAR:V1=20.408062&amp;VAR:V=20.973583&amp;VAR:AUDIT_ID=00000117&amp;VAR:DATE=19981030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Aggregates&amp;VAR:MEASURE=PE_MEAN&amp;VAR:CALC_MODE=PORTFOLIO&amp;VAR:CHGPERIOD=NA&amp;VAR:FQLFORMULA=FMA_PE&amp;VAR:CURRENCY=USD&amp;VAR:P=1","098.670000&amp;VAR:THRESH=||||||&amp;VAR:null=.html"}</definedName>
    <definedName name="_625__FDSAUDITLINK__" hidden="1">{"fdsup://directions/FAT%20Viewer?VAR:TM=NTMA&amp;VAR:PCT=0.189041&amp;VAR:Y0=1998&amp;VAR:Y1=1999&amp;VAR:V0=23.601141&amp;VAR:V1=19.845760&amp;VAR:V=20.461233&amp;VAR:AUDIT_ID=00000117&amp;VAR:DATE=19981023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Aggregates&amp;VAR:MEASURE=PE_MEAN&amp;VAR:CALC_MODE=PORTFOLIO&amp;VAR:CHGPERIOD=NA&amp;VAR:FQLFORMULA=FMA_PE&amp;VAR:CURRENCY=USD&amp;VAR:P=1","070.670000&amp;VAR:THRESH=||||||&amp;VAR:null=.html"}</definedName>
    <definedName name="_626__FDSAUDITLINK__" hidden="1">{"fdsup://directions/FAT%20Viewer?VAR:TM=NTMA&amp;VAR:PCT=0.208219&amp;VAR:Y0=1998&amp;VAR:Y1=1999&amp;VAR:V0=23.261860&amp;VAR:V1=19.582506&amp;VAR:V=20.249405&amp;VAR:AUDIT_ID=00000117&amp;VAR:DATE=19981016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Aggregates&amp;VAR:MEASURE=PE_MEAN&amp;VAR:CALC_MODE=PORTFOLIO&amp;VAR:CHGPERIOD=NA&amp;VAR:FQLFORMULA=FMA_PE&amp;VAR:CURRENCY=USD&amp;VAR:P=1","056.420000&amp;VAR:THRESH=||||||&amp;VAR:null=.html"}</definedName>
    <definedName name="_627__FDSAUDITLINK__" hidden="1">{"fdsup://directions/FAT%20Viewer?VAR:TM=NTMA&amp;VAR:PCT=0.227397&amp;VAR:Y0=1998&amp;VAR:Y1=1999&amp;VAR:V0=21.555660&amp;VAR:V1=18.176214&amp;VAR:V=18.848166&amp;VAR:AUDIT_ID=00000117&amp;VAR:DATE=19981009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Aggregates&amp;VAR:MEASURE=PE_MEAN&amp;VAR:CALC_MODE=PORTFOLIO&amp;VAR:CHGPERIOD=NA&amp;VAR:FQLFORMULA=FMA_PE&amp;VAR:CURRENCY=USD&amp;VAR:P=9","84.390000&amp;VAR:THRESH=||||||&amp;VAR:null=.html"}</definedName>
    <definedName name="_628__FDSAUDITLINK__" hidden="1">{"fdsup://directions/FAT%20Viewer?VAR:TM=NTMA&amp;VAR:PCT=0.246575&amp;VAR:Y0=1998&amp;VAR:Y1=1999&amp;VAR:V0=21.824982&amp;VAR:V1=18.432848&amp;VAR:V=19.167417&amp;VAR:AUDIT_ID=00000117&amp;VAR:DATE=19981002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Aggregates&amp;VAR:MEASURE=PE_MEAN&amp;VAR:CALC_MODE=PORTFOLIO&amp;VAR:CHGPERIOD=NA&amp;VAR:FQLFORMULA=FMA_PE&amp;VAR:CURRENCY=USD&amp;VAR:P=1","002.600000&amp;VAR:THRESH=||||||&amp;VAR:null=.html"}</definedName>
    <definedName name="_629__FDSAUDITLINK__" hidden="1">{"fdsup://directions/FAT%20Viewer?VAR:TM=NTMA&amp;VAR:PCT=0.265753&amp;VAR:Y0=1998&amp;VAR:Y1=1999&amp;VAR:V0=22.534151&amp;VAR:V1=19.076534&amp;VAR:V=19.887485&amp;VAR:AUDIT_ID=00000117&amp;VAR:DATE=19980925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Aggregates&amp;VAR:MEASURE=PE_MEAN&amp;VAR:CALC_MODE=PORTFOLIO&amp;VAR:CHGPERIOD=NA&amp;VAR:FQLFORMULA=FMA_PE&amp;VAR:CURRENCY=USD&amp;VAR:P=1","044.750000&amp;VAR:THRESH=||||||&amp;VAR:null=.html"}</definedName>
    <definedName name="_63__FDSAUDITLINK__" hidden="1">{"fdsup://directions/FAT%20Viewer?VAR:TM=NTMA&amp;VAR:PCT=0.419178&amp;VAR:Y0=2009&amp;VAR:Y1=2010&amp;VAR:V0=16.318420&amp;VAR:V1=13.139128&amp;VAR:V=14.307598&amp;VAR:AUDIT_ID=00000117&amp;VAR:DATE=20090731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Aggregates&amp;VAR:MEASURE=PE_MEAN&amp;VAR:CALC_MODE=PORTFOLIO&amp;VAR:CHGPERIOD=NA&amp;VAR:FQLFORMULA=FMA_PE&amp;VAR:CURRENCY=USD&amp;VAR:P=9","87.475178&amp;VAR:THRESH=||||||&amp;VAR:null=.html"}</definedName>
    <definedName name="_630__FDSAUDITLINK__" hidden="1">{"fdsup://directions/FAT%20Viewer?VAR:TM=NTMA&amp;VAR:PCT=0.284932&amp;VAR:Y0=1998&amp;VAR:Y1=1999&amp;VAR:V0=21.912190&amp;VAR:V1=18.604856&amp;VAR:V=19.440940&amp;VAR:AUDIT_ID=00000117&amp;VAR:DATE=19980918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Aggregates&amp;VAR:MEASURE=PE_MEAN&amp;VAR:CALC_MODE=PORTFOLIO&amp;VAR:CHGPERIOD=NA&amp;VAR:FQLFORMULA=FMA_PE&amp;VAR:CURRENCY=USD&amp;VAR:P=1","020.090000&amp;VAR:THRESH=||||||&amp;VAR:null=.html"}</definedName>
    <definedName name="_631__FDSAUDITLINK__" hidden="1">{"fdsup://directions/FAT%20Viewer?VAR:TM=NTMA&amp;VAR:PCT=0.304110&amp;VAR:Y0=1998&amp;VAR:Y1=1999&amp;VAR:V0=21.706730&amp;VAR:V1=18.416033&amp;VAR:V=19.306090&amp;VAR:AUDIT_ID=00000117&amp;VAR:DATE=19980911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Aggregates&amp;VAR:MEASURE=PE_MEAN&amp;VAR:CALC_MODE=PORTFOLIO&amp;VAR:CHGPERIOD=NA&amp;VAR:FQLFORMULA=FMA_PE&amp;VAR:CURRENCY=USD&amp;VAR:P=1","009.060000&amp;VAR:THRESH=||||||&amp;VAR:null=.html"}</definedName>
    <definedName name="_632__FDSAUDITLINK__" hidden="1">{"fdsup://directions/FAT%20Viewer?VAR:TM=NTMA&amp;VAR:PCT=0.323288&amp;VAR:Y0=1998&amp;VAR:Y1=1999&amp;VAR:V0=20.902248&amp;VAR:V1=17.767460&amp;VAR:V=18.672805&amp;VAR:AUDIT_ID=00000117&amp;VAR:DATE=19980904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Aggregates&amp;VAR:MEASURE=PE_MEAN&amp;VAR:CALC_MODE=PORTFOLIO&amp;VAR:CHGPERIOD=NA&amp;VAR:FQLFORMULA=FMA_PE&amp;VAR:CURRENCY=USD&amp;VAR:P=9","73.890000&amp;VAR:THRESH=||||||&amp;VAR:null=.html"}</definedName>
    <definedName name="_633__FDSAUDITLINK__" hidden="1">{"fdsup://directions/FAT%20Viewer?VAR:TM=NTMA&amp;VAR:PCT=0.342466&amp;VAR:Y0=1998&amp;VAR:Y1=1999&amp;VAR:V0=21.896778&amp;VAR:V1=18.774763&amp;VAR:V=19.738564&amp;VAR:AUDIT_ID=00000117&amp;VAR:DATE=19980828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Aggregates&amp;VAR:MEASURE=PE_MEAN&amp;VAR:CALC_MODE=PORTFOLIO&amp;VAR:CHGPERIOD=NA&amp;VAR:FQLFORMULA=FMA_PE&amp;VAR:CURRENCY=USD&amp;VAR:P=1","027.140000&amp;VAR:THRESH=||||||&amp;VAR:null=.html"}</definedName>
    <definedName name="_634__FDSAUDITLINK__" hidden="1">{"fdsup://directions/FAT%20Viewer?VAR:TM=NTMA&amp;VAR:PCT=0.361644&amp;VAR:Y0=1998&amp;VAR:Y1=1999&amp;VAR:V0=23.087334&amp;VAR:V1=19.724966&amp;VAR:V=20.821613&amp;VAR:AUDIT_ID=00000117&amp;VAR:DATE=19980821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Aggregates&amp;VAR:MEASURE=PE_MEAN&amp;VAR:CALC_MODE=PORTFOLIO&amp;VAR:CHGPERIOD=NA&amp;VAR:FQLFORMULA=FMA_PE&amp;VAR:CURRENCY=USD&amp;VAR:P=1","081.240000&amp;VAR:THRESH=||||||&amp;VAR:null=.html"}</definedName>
    <definedName name="_635__FDSAUDITLINK__" hidden="1">{"fdsup://directions/FAT%20Viewer?VAR:TM=NTMA&amp;VAR:PCT=0.380822&amp;VAR:Y0=1998&amp;VAR:Y1=1999&amp;VAR:V0=22.604826&amp;VAR:V1=19.330570&amp;VAR:V=20.459119&amp;VAR:AUDIT_ID=00000117&amp;VAR:DATE=19980814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Aggregates&amp;VAR:MEASURE=PE_MEAN&amp;VAR:CALC_MODE=PORTFOLIO&amp;VAR:CHGPERIOD=NA&amp;VAR:FQLFORMULA=FMA_PE&amp;VAR:CURRENCY=USD&amp;VAR:P=1","062.750000&amp;VAR:THRESH=||||||&amp;VAR:null=.html"}</definedName>
    <definedName name="_636__FDSAUDITLINK__" hidden="1">{"fdsup://directions/FAT%20Viewer?VAR:TM=NTMA&amp;VAR:PCT=0.400000&amp;VAR:Y0=1998&amp;VAR:Y1=1999&amp;VAR:V0=23.085005&amp;VAR:V1=19.762236&amp;VAR:V=20.969547&amp;VAR:AUDIT_ID=00000117&amp;VAR:DATE=19980807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Aggregates&amp;VAR:MEASURE=PE_MEAN&amp;VAR:CALC_MODE=PORTFOLIO&amp;VAR:CHGPERIOD=NA&amp;VAR:FQLFORMULA=FMA_PE&amp;VAR:CURRENCY=USD&amp;VAR:P=1","089.450000&amp;VAR:THRESH=||||||&amp;VAR:null=.html"}</definedName>
    <definedName name="_637__FDSAUDITLINK__" hidden="1">{"fdsup://directions/FAT%20Viewer?VAR:TM=NTMA&amp;VAR:PCT=0.419178&amp;VAR:Y0=1998&amp;VAR:Y1=1999&amp;VAR:V0=23.642933&amp;VAR:V1=20.358034&amp;VAR:V=21.617002&amp;VAR:AUDIT_ID=00000117&amp;VAR:DATE=19980731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Aggregates&amp;VAR:MEASURE=PE_MEAN&amp;VAR:CALC_MODE=PORTFOLIO&amp;VAR:CHGPERIOD=NA&amp;VAR:FQLFORMULA=FMA_PE&amp;VAR:CURRENCY=USD&amp;VAR:P=1","120.670000&amp;VAR:THRESH=||||||&amp;VAR:null=.html"}</definedName>
    <definedName name="_638__FDSAUDITLINK__" hidden="1">{"fdsup://directions/FAT%20Viewer?VAR:TM=NTMA&amp;VAR:PCT=0.438356&amp;VAR:Y0=1998&amp;VAR:Y1=1999&amp;VAR:V0=24.022768&amp;VAR:V1=20.645400&amp;VAR:V=22.001310&amp;VAR:AUDIT_ID=00000117&amp;VAR:DATE=19980724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Aggregates&amp;VAR:MEASURE=PE_MEAN&amp;VAR:CALC_MODE=PORTFOLIO&amp;VAR:CHGPERIOD=NA&amp;VAR:FQLFORMULA=FMA_PE&amp;VAR:CURRENCY=USD&amp;VAR:P=1","140.800000&amp;VAR:THRESH=||||||&amp;VAR:null=.html"}</definedName>
    <definedName name="_639__FDSAUDITLINK__" hidden="1">{"fdsup://directions/FAT%20Viewer?VAR:TM=NTMA&amp;VAR:PCT=0.457534&amp;VAR:Y0=1998&amp;VAR:Y1=1999&amp;VAR:V0=25.003513&amp;VAR:V1=21.388401&amp;VAR:V=22.903519&amp;VAR:AUDIT_ID=00000117&amp;VAR:DATE=19980717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Aggregates&amp;VAR:MEASURE=PE_MEAN&amp;VAR:CALC_MODE=PORTFOLIO&amp;VAR:CHGPERIOD=NA&amp;VAR:FQLFORMULA=FMA_PE&amp;VAR:CURRENCY=USD&amp;VAR:P=1","186.750000&amp;VAR:THRESH=||||||&amp;VAR:null=.html"}</definedName>
    <definedName name="_64__FDSAUDITLINK__" hidden="1">{"fdsup://directions/FAT%20Viewer?VAR:TM=NTMA&amp;VAR:PCT=0.438356&amp;VAR:Y0=2009&amp;VAR:Y1=2010&amp;VAR:V0=16.218435&amp;VAR:V1=13.005631&amp;VAR:V=14.242391&amp;VAR:AUDIT_ID=00000117&amp;VAR:DATE=20090724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Aggregates&amp;VAR:MEASURE=PE_MEAN&amp;VAR:CALC_MODE=PORTFOLIO&amp;VAR:CHGPERIOD=NA&amp;VAR:FQLFORMULA=FMA_PE&amp;VAR:CURRENCY=USD&amp;VAR:P=9","79.262658&amp;VAR:THRESH=||||||&amp;VAR:null=.html"}</definedName>
    <definedName name="_640__FDSAUDITLINK__" hidden="1">{"fdsup://directions/FAT%20Viewer?VAR:TM=NTMA&amp;VAR:PCT=0.476712&amp;VAR:Y0=1998&amp;VAR:Y1=1999&amp;VAR:V0=24.490202&amp;VAR:V1=20.968206&amp;VAR:V=22.511533&amp;VAR:AUDIT_ID=00000117&amp;VAR:DATE=19980710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Aggregates&amp;VAR:MEASURE=PE_MEAN&amp;VAR:CALC_MODE=PORTFOLIO&amp;VAR:CHGPERIOD=NA&amp;VAR:FQLFORMULA=FMA_PE&amp;VAR:CURRENCY=USD&amp;VAR:P=1","164.330000&amp;VAR:THRESH=||||||&amp;VAR:null=.html"}</definedName>
    <definedName name="_641__FDSAUDITLINK__" hidden="1">{"fdsup://directions/FAT%20Viewer?VAR:TM=NTMA&amp;VAR:PCT=0.498630&amp;VAR:Y0=1998&amp;VAR:Y1=1999&amp;VAR:V0=24.067846&amp;VAR:V1=20.603848&amp;VAR:V=22.196826&amp;VAR:AUDIT_ID=00000117&amp;VAR:DATE=19980702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Aggregates&amp;VAR:MEASURE=PE_MEAN&amp;VAR:CALC_MODE=PORTFOLIO&amp;VAR:CHGPERIOD=NA&amp;VAR:FQLFORMULA=FMA_PE&amp;VAR:CURRENCY=USD&amp;VAR:P=1","146.420000&amp;VAR:THRESH=||||||&amp;VAR:null=.html"}</definedName>
    <definedName name="_642__FDSAUDITLINK__" hidden="1">{"fdsup://directions/FAT%20Viewer?VAR:TM=NTMA&amp;VAR:PCT=0.515068&amp;VAR:Y0=1998&amp;VAR:Y1=1999&amp;VAR:V0=23.725208&amp;VAR:V1=20.315933&amp;VAR:V=21.939797&amp;VAR:AUDIT_ID=00000117&amp;VAR:DATE=19980626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Aggregates&amp;VAR:MEASURE=PE_MEAN&amp;VAR:CALC_MODE=PORTFOLIO&amp;VAR:CHGPERIOD=NA&amp;VAR:FQLFORMULA=FMA_PE&amp;VAR:CURRENCY=USD&amp;VAR:P=1","133.200000&amp;VAR:THRESH=||||||&amp;VAR:null=.html"}</definedName>
    <definedName name="_643__FDSAUDITLINK__" hidden="1">{"fdsup://directions/FAT%20Viewer?VAR:TM=NTMA&amp;VAR:PCT=0.534247&amp;VAR:Y0=1998&amp;VAR:Y1=1999&amp;VAR:V0=22.973572&amp;VAR:V1=19.666773&amp;VAR:V=21.305116&amp;VAR:AUDIT_ID=00000117&amp;VAR:DATE=19980619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Aggregates&amp;VAR:MEASURE=PE_MEAN&amp;VAR:CALC_MODE=PORTFOLIO&amp;VAR:CHGPERIOD=NA&amp;VAR:FQLFORMULA=FMA_PE&amp;VAR:CURRENCY=USD&amp;VAR:P=1","100.650000&amp;VAR:THRESH=||||||&amp;VAR:null=.html"}</definedName>
    <definedName name="_644__FDSAUDITLINK__" hidden="1">{"fdsup://directions/FAT%20Viewer?VAR:TM=NTMA&amp;VAR:PCT=0.553425&amp;VAR:Y0=1998&amp;VAR:Y1=1999&amp;VAR:V0=22.923130&amp;VAR:V1=19.549368&amp;VAR:V=21.282891&amp;VAR:AUDIT_ID=00000117&amp;VAR:DATE=19980612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Aggregates&amp;VAR:MEASURE=PE_MEAN&amp;VAR:CALC_MODE=PORTFOLIO&amp;VAR:CHGPERIOD=NA&amp;VAR:FQLFORMULA=FMA_PE&amp;VAR:CURRENCY=USD&amp;VAR:P=1","098.840000&amp;VAR:THRESH=||||||&amp;VAR:null=.html"}</definedName>
    <definedName name="_645__FDSAUDITLINK__" hidden="1">{"fdsup://directions/FAT%20Viewer?VAR:TM=NTMA&amp;VAR:PCT=0.572603&amp;VAR:Y0=1998&amp;VAR:Y1=1999&amp;VAR:V0=23.142420&amp;VAR:V1=19.777340&amp;VAR:V=21.573571&amp;VAR:AUDIT_ID=00000117&amp;VAR:DATE=19980605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Aggregates&amp;VAR:MEASURE=PE_MEAN&amp;VAR:CALC_MODE=PORTFOLIO&amp;VAR:CHGPERIOD=NA&amp;VAR:FQLFORMULA=FMA_PE&amp;VAR:CURRENCY=USD&amp;VAR:P=1","113.860000&amp;VAR:THRESH=||||||&amp;VAR:null=.html"}</definedName>
    <definedName name="_646__FDSAUDITLINK__" hidden="1">{"fdsup://directions/FAT%20Viewer?VAR:TM=NTMA&amp;VAR:PCT=0.591781&amp;VAR:Y0=1998&amp;VAR:Y1=1999&amp;VAR:V0=22.646341&amp;VAR:V1=19.358349&amp;VAR:V=21.177956&amp;VAR:AUDIT_ID=00000117&amp;VAR:DATE=19980529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Aggregates&amp;VAR:MEASURE=PE_MEAN&amp;VAR:CALC_MODE=PORTFOLIO&amp;VAR:CHGPERIOD=NA&amp;VAR:FQLFORMULA=FMA_PE&amp;VAR:CURRENCY=USD&amp;VAR:P=1","090.820000&amp;VAR:THRESH=||||||&amp;VAR:null=.html"}</definedName>
    <definedName name="_647__FDSAUDITLINK__" hidden="1">{"fdsup://directions/FAT%20Viewer?VAR:TM=NTMA&amp;VAR:PCT=0.610959&amp;VAR:Y0=1998&amp;VAR:Y1=1999&amp;VAR:V0=23.052126&amp;VAR:V1=19.694460&amp;VAR:V=21.618257&amp;VAR:AUDIT_ID=00000117&amp;VAR:DATE=19980522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Aggregates&amp;VAR:MEASURE=PE_MEAN&amp;VAR:CALC_MODE=PORTFOLIO&amp;VAR:CHGPERIOD=NA&amp;VAR:FQLFORMULA=FMA_PE&amp;VAR:CURRENCY=USD&amp;VAR:P=1","110.470000&amp;VAR:THRESH=||||||&amp;VAR:null=.html"}</definedName>
    <definedName name="_648__FDSAUDITLINK__" hidden="1">{"fdsup://directions/FAT%20Viewer?VAR:TM=NTMA&amp;VAR:PCT=0.630137&amp;VAR:Y0=1998&amp;VAR:Y1=1999&amp;VAR:V0=22.985834&amp;VAR:V1=19.683104&amp;VAR:V=21.642664&amp;VAR:AUDIT_ID=00000117&amp;VAR:DATE=19980515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Aggregates&amp;VAR:MEASURE=PE_MEAN&amp;VAR:CALC_MODE=PORTFOLIO&amp;VAR:CHGPERIOD=NA&amp;VAR:FQLFORMULA=FMA_PE&amp;VAR:CURRENCY=USD&amp;VAR:P=1","108.730000&amp;VAR:THRESH=||||||&amp;VAR:null=.html"}</definedName>
    <definedName name="_649__FDSAUDITLINK__" hidden="1">{"fdsup://directions/FAT%20Viewer?VAR:TM=NTMA&amp;VAR:PCT=0.649315&amp;VAR:Y0=1998&amp;VAR:Y1=1999&amp;VAR:V0=22.960024&amp;VAR:V1=19.636536&amp;VAR:V=21.673619&amp;VAR:AUDIT_ID=00000117&amp;VAR:DATE=19980508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Aggregates&amp;VAR:MEASURE=PE_MEAN&amp;VAR:CALC_MODE=PORTFOLIO&amp;VAR:CHGPERIOD=NA&amp;VAR:FQLFORMULA=FMA_PE&amp;VAR:CURRENCY=USD&amp;VAR:P=1","108.140000&amp;VAR:THRESH=||||||&amp;VAR:null=.html"}</definedName>
    <definedName name="_65__FDSAUDITLINK__" hidden="1">{"fdsup://directions/FAT%20Viewer?VAR:TM=NTMA&amp;VAR:PCT=0.457534&amp;VAR:Y0=2009&amp;VAR:Y1=2010&amp;VAR:V0=15.708340&amp;VAR:V1=12.512605&amp;VAR:V=13.796837&amp;VAR:AUDIT_ID=00000117&amp;VAR:DATE=20090717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Aggregates&amp;VAR:MEASURE=PE_MEAN&amp;VAR:CALC_MODE=PORTFOLIO&amp;VAR:CHGPERIOD=NA&amp;VAR:FQLFORMULA=FMA_PE&amp;VAR:CURRENCY=USD&amp;VAR:P=9","40.376345&amp;VAR:THRESH=||||||&amp;VAR:null=.html"}</definedName>
    <definedName name="_650__FDSAUDITLINK__" hidden="1">{"fdsup://directions/FAT%20Viewer?VAR:TM=NTMA&amp;VAR:PCT=0.668493&amp;VAR:Y0=1998&amp;VAR:Y1=1999&amp;VAR:V0=23.177742&amp;VAR:V1=19.946820&amp;VAR:V=21.996603&amp;VAR:AUDIT_ID=00000117&amp;VAR:DATE=19980501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Aggregates&amp;VAR:MEASURE=PE_MEAN&amp;VAR:CALC_MODE=PORTFOLIO&amp;VAR:CHGPERIOD=NA&amp;VAR:FQLFORMULA=FMA_PE&amp;VAR:CURRENCY=USD&amp;VAR:P=1","121.000000&amp;VAR:THRESH=||||||&amp;VAR:null=.html"}</definedName>
    <definedName name="_651__FDSAUDITLINK__" hidden="1">{"fdsup://directions/FAT%20Viewer?VAR:TM=NTMA&amp;VAR:PCT=0.687671&amp;VAR:Y0=1998&amp;VAR:Y1=1999&amp;VAR:V0=22.872263&amp;VAR:V1=19.740152&amp;VAR:V=21.792317&amp;VAR:AUDIT_ID=00000117&amp;VAR:DATE=19980424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Aggregates&amp;VAR:MEASURE=PE_MEAN&amp;VAR:CALC_MODE=PORTFOLIO&amp;VAR:CHGPERIOD=NA&amp;VAR:FQLFORMULA=FMA_PE&amp;VAR:CURRENCY=USD&amp;VAR:P=1","107.900000&amp;VAR:THRESH=||||||&amp;VAR:null=.html"}</definedName>
    <definedName name="_652__FDSAUDITLINK__" hidden="1">{"fdsup://directions/FAT%20Viewer?VAR:TM=NTMA&amp;VAR:PCT=0.706849&amp;VAR:Y0=1998&amp;VAR:Y1=1999&amp;VAR:V0=23.098846&amp;VAR:V1=20.004234&amp;VAR:V=22.096763&amp;VAR:AUDIT_ID=00000117&amp;VAR:DATE=19980417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Aggregates&amp;VAR:MEASURE=PE_MEAN&amp;VAR:CALC_MODE=PORTFOLIO&amp;VAR:CHGPERIOD=NA&amp;VAR:FQLFORMULA=FMA_PE&amp;VAR:CURRENCY=USD&amp;VAR:P=1","122.720000&amp;VAR:THRESH=||||||&amp;VAR:null=.html"}</definedName>
    <definedName name="_653__FDSAUDITLINK__" hidden="1">{"fdsup://directions/FAT%20Viewer?VAR:TM=NTMA&amp;VAR:PCT=0.728767&amp;VAR:Y0=1998&amp;VAR:Y1=1999&amp;VAR:V0=22.722107&amp;VAR:V1=19.718020&amp;VAR:V=21.820422&amp;VAR:AUDIT_ID=00000117&amp;VAR:DATE=19980409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Aggregates&amp;VAR:MEASURE=PE_MEAN&amp;VAR:CALC_MODE=PORTFOLIO&amp;VAR:CHGPERIOD=NA&amp;VAR:FQLFORMULA=FMA_PE&amp;VAR:CURRENCY=USD&amp;VAR:P=1","110.670000&amp;VAR:THRESH=||||||&amp;VAR:null=.html"}</definedName>
    <definedName name="_654__FDSAUDITLINK__" hidden="1">{"fdsup://directions/FAT%20Viewer?VAR:TM=NTMA&amp;VAR:PCT=0.745205&amp;VAR:Y0=1998&amp;VAR:Y1=1999&amp;VAR:V0=22.937859&amp;VAR:V1=19.973227&amp;VAR:V=22.101979&amp;VAR:AUDIT_ID=00000117&amp;VAR:DATE=19980403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Aggregates&amp;VAR:MEASURE=PE_MEAN&amp;VAR:CALC_MODE=PORTFOLIO&amp;VAR:CHGPERIOD=NA&amp;VAR:FQLFORMULA=FMA_PE&amp;VAR:CURRENCY=USD&amp;VAR:P=1","122.700000&amp;VAR:THRESH=||||||&amp;VAR:null=.html"}</definedName>
    <definedName name="_655__FDSAUDITLINK__" hidden="1">{"fdsup://directions/FAT%20Viewer?VAR:TM=NTMA&amp;VAR:PCT=0.764384&amp;VAR:Y0=1998&amp;VAR:Y1=1999&amp;VAR:V0=22.208742&amp;VAR:V1=19.026031&amp;VAR:V=21.366591&amp;VAR:AUDIT_ID=00000117&amp;VAR:DATE=19980327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Aggregates&amp;VAR:MEASURE=PE_MEAN&amp;VAR:CALC_MODE=PORTFOLIO&amp;VAR:CHGPERIOD=NA&amp;VAR:FQLFORMULA=FMA_PE&amp;VAR:CURRENCY=USD&amp;VAR:P=1","095.440000&amp;VAR:THRESH=||||||&amp;VAR:null=.html"}</definedName>
    <definedName name="_656__FDSAUDITLINK__" hidden="1">{"fdsup://directions/FAT%20Viewer?VAR:TM=NTMA&amp;VAR:PCT=0.783562&amp;VAR:Y0=1998&amp;VAR:Y1=1999&amp;VAR:V0=22.154740&amp;VAR:V1=19.131039&amp;VAR:V=21.421927&amp;VAR:AUDIT_ID=00000117&amp;VAR:DATE=19980320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Aggregates&amp;VAR:MEASURE=PE_MEAN&amp;VAR:CALC_MODE=PORTFOLIO&amp;VAR:CHGPERIOD=NA&amp;VAR:FQLFORMULA=FMA_PE&amp;VAR:CURRENCY=USD&amp;VAR:P=1","099.160000&amp;VAR:THRESH=||||||&amp;VAR:null=.html"}</definedName>
    <definedName name="_657__FDSAUDITLINK__" hidden="1">{"fdsup://directions/FAT%20Viewer?VAR:TM=NTMA&amp;VAR:PCT=0.802740&amp;VAR:Y0=1998&amp;VAR:Y1=1999&amp;VAR:V0=21.496202&amp;VAR:V1=18.399776&amp;VAR:V=20.805538&amp;VAR:AUDIT_ID=00000117&amp;VAR:DATE=19980313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Aggregates&amp;VAR:MEASURE=PE_MEAN&amp;VAR:CALC_MODE=PORTFOLIO&amp;VAR:CHGPERIOD=NA&amp;VAR:FQLFORMULA=FMA_PE&amp;VAR:CURRENCY=USD&amp;VAR:P=1","068.610000&amp;VAR:THRESH=||||||&amp;VAR:null=.html"}</definedName>
    <definedName name="_658__FDSAUDITLINK__" hidden="1">{"fdsup://directions/FAT%20Viewer?VAR:TM=NTMA&amp;VAR:PCT=0.821918&amp;VAR:Y0=1998&amp;VAR:Y1=1999&amp;VAR:V0=21.158170&amp;VAR:V1=18.150915&amp;VAR:V=20.551794&amp;VAR:AUDIT_ID=00000117&amp;VAR:DATE=19980306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Aggregates&amp;VAR:MEASURE=PE_MEAN&amp;VAR:CALC_MODE=PORTFOLIO&amp;VAR:CHGPERIOD=NA&amp;VAR:FQLFORMULA=FMA_PE&amp;VAR:CURRENCY=USD&amp;VAR:P=1","055.690000&amp;VAR:THRESH=||||||&amp;VAR:null=.html"}</definedName>
    <definedName name="_659__FDSAUDITLINK__" hidden="1">{"fdsup://directions/FAT%20Viewer?VAR:TM=NTMA&amp;VAR:PCT=0.841096&amp;VAR:Y0=1998&amp;VAR:Y1=1999&amp;VAR:V0=20.958042&amp;VAR:V1=17.916227&amp;VAR:V=20.407474&amp;VAR:AUDIT_ID=00000117&amp;VAR:DATE=19980227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Aggregates&amp;VAR:MEASURE=PE_MEAN&amp;VAR:CALC_MODE=PORTFOLIO&amp;VAR:CHGPERIOD=NA&amp;VAR:FQLFORMULA=FMA_PE&amp;VAR:CURRENCY=USD&amp;VAR:P=1","049.340000&amp;VAR:THRESH=||||||&amp;VAR:null=.html"}</definedName>
    <definedName name="_66__FDSAUDITLINK__" hidden="1">{"fdsup://directions/FAT%20Viewer?VAR:TM=NTMA&amp;VAR:PCT=0.476712&amp;VAR:Y0=2009&amp;VAR:Y1=2010&amp;VAR:V0=14.837311&amp;VAR:V1=11.763633&amp;VAR:V=13.052649&amp;VAR:AUDIT_ID=00000117&amp;VAR:DATE=20090710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Aggregates&amp;VAR:MEASURE=PE_MEAN&amp;VAR:CALC_MODE=PORTFOLIO&amp;VAR:CHGPERIOD=NA&amp;VAR:FQLFORMULA=FMA_PE&amp;VAR:CURRENCY=USD&amp;VAR:P=8","79.128333&amp;VAR:THRESH=||||||&amp;VAR:null=.html"}</definedName>
    <definedName name="_660__FDSAUDITLINK__" hidden="1">{"fdsup://directions/FAT%20Viewer?VAR:TM=NTMA&amp;VAR:PCT=0.860274&amp;VAR:Y0=1998&amp;VAR:Y1=1999&amp;VAR:V0=20.600718&amp;VAR:V1=17.705680&amp;VAR:V=20.140577&amp;VAR:AUDIT_ID=00000117&amp;VAR:DATE=19980220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Aggregates&amp;VAR:MEASURE=PE_MEAN&amp;VAR:CALC_MODE=PORTFOLIO&amp;VAR:CHGPERIOD=NA&amp;VAR:FQLFORMULA=FMA_PE&amp;VAR:CURRENCY=USD&amp;VAR:P=1","034.210000&amp;VAR:THRESH=||||||&amp;VAR:null=.html"}</definedName>
    <definedName name="_661__FDSAUDITLINK__" hidden="1">{"fdsup://directions/FAT%20Viewer?VAR:TM=NTMA&amp;VAR:PCT=0.879452&amp;VAR:Y0=1998&amp;VAR:Y1=1999&amp;VAR:V0=20.347198&amp;VAR:V1=17.509115&amp;VAR:V=19.957237&amp;VAR:AUDIT_ID=00000117&amp;VAR:DATE=19980213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Aggregates&amp;VAR:MEASURE=PE_MEAN&amp;VAR:CALC_MODE=PORTFOLIO&amp;VAR:CHGPERIOD=NA&amp;VAR:FQLFORMULA=FMA_PE&amp;VAR:CURRENCY=USD&amp;VAR:P=1","020.090000&amp;VAR:THRESH=||||||&amp;VAR:null=.html"}</definedName>
    <definedName name="_662__FDSAUDITLINK__" hidden="1">{"fdsup://directions/FAT%20Viewer?VAR:TM=NTMA&amp;VAR:PCT=0.898630&amp;VAR:Y0=1998&amp;VAR:Y1=1999&amp;VAR:V0=20.160254&amp;VAR:V1=17.368376&amp;VAR:V=19.837016&amp;VAR:AUDIT_ID=00000117&amp;VAR:DATE=19980206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Aggregates&amp;VAR:MEASURE=PE_MEAN&amp;VAR:CALC_MODE=PORTFOLIO&amp;VAR:CHGPERIOD=NA&amp;VAR:FQLFORMULA=FMA_PE&amp;VAR:CURRENCY=USD&amp;VAR:P=1","012.460000&amp;VAR:THRESH=||||||&amp;VAR:null=.html"}</definedName>
    <definedName name="_663__FDSAUDITLINK__" hidden="1">{"fdsup://directions/FAT%20Viewer?VAR:TM=NTMA&amp;VAR:PCT=0.917808&amp;VAR:Y0=1998&amp;VAR:Y1=1999&amp;VAR:V0=19.450886&amp;VAR:V1=16.836676&amp;VAR:V=19.205785&amp;VAR:AUDIT_ID=00000117&amp;VAR:DATE=19980130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Aggregates&amp;VAR:MEASURE=PE_MEAN&amp;VAR:CALC_MODE=PORTFOLIO&amp;VAR:CHGPERIOD=NA&amp;VAR:FQLFORMULA=FMA_PE&amp;VAR:CURRENCY=USD&amp;VAR:P=9","80.280000&amp;VAR:THRESH=||||||&amp;VAR:null=.html"}</definedName>
    <definedName name="_664__FDSAUDITLINK__" hidden="1">{"fdsup://directions/FAT%20Viewer?VAR:TM=NTMA&amp;VAR:PCT=0.936986&amp;VAR:Y0=1998&amp;VAR:Y1=1999&amp;VAR:V0=18.892800&amp;VAR:V1=16.143492&amp;VAR:V=18.692204&amp;VAR:AUDIT_ID=00000117&amp;VAR:DATE=19980123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Aggregates&amp;VAR:MEASURE=PE_MEAN&amp;VAR:CALC_MODE=PORTFOLIO&amp;VAR:CHGPERIOD=NA&amp;VAR:FQLFORMULA=FMA_PE&amp;VAR:CURRENCY=USD&amp;VAR:P=9","57.590000&amp;VAR:THRESH=||||||&amp;VAR:null=.html"}</definedName>
    <definedName name="_665__FDSAUDITLINK__" hidden="1">{"fdsup://directions/FAT%20Viewer?VAR:TM=NTMA&amp;VAR:PCT=0.956164&amp;VAR:Y0=1998&amp;VAR:Y1=1999&amp;VAR:V0=18.845175&amp;VAR:V1=16.779032&amp;VAR:V=18.743998&amp;VAR:AUDIT_ID=00000117&amp;VAR:DATE=19980116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Aggregates&amp;VAR:MEASURE=PE_MEAN&amp;VAR:CALC_MODE=PORTFOLIO&amp;VAR:CHGPERIOD=NA&amp;VAR:FQLFORMULA=FMA_PE&amp;VAR:CURRENCY=USD&amp;VAR:P=9","61.510000&amp;VAR:THRESH=||||||&amp;VAR:null=.html"}</definedName>
    <definedName name="_666__FDSAUDITLINK__" hidden="1">{"fdsup://directions/FAT%20Viewer?VAR:TM=NTMA&amp;VAR:PCT=0.975342&amp;VAR:Y0=1998&amp;VAR:Y1=1999&amp;VAR:V0=18.100964&amp;VAR:V1=16.223988&amp;VAR:V=18.049475&amp;VAR:AUDIT_ID=00000117&amp;VAR:DATE=19980109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Aggregates&amp;VAR:MEASURE=PE_MEAN&amp;VAR:CALC_MODE=PORTFOLIO&amp;VAR:CHGPERIOD=NA&amp;VAR:FQLFORMULA=FMA_PE&amp;VAR:CURRENCY=USD&amp;VAR:P=9","27.690000&amp;VAR:THRESH=||||||&amp;VAR:null=.html"}</definedName>
    <definedName name="_667__FDSAUDITLINK__" hidden="1">{"fdsup://directions/FAT%20Viewer?VAR:TM=NTMA&amp;VAR:PCT=0.994521&amp;VAR:Y0=1998&amp;VAR:Y1=1999&amp;VAR:V0=19.018885&amp;VAR:V1=17.135740&amp;VAR:V=19.007439&amp;VAR:AUDIT_ID=00000117&amp;VAR:DATE=19980102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Aggregates&amp;VAR:MEASURE=PE_MEAN&amp;VAR:CALC_MODE=PORTFOLIO&amp;VAR:CHGPERIOD=NA&amp;VAR:FQLFORMULA=FMA_PE&amp;VAR:CURRENCY=USD&amp;VAR:P=9","75.040000&amp;VAR:THRESH=||||||&amp;VAR:null=.html"}</definedName>
    <definedName name="_668__FDSAUDITLINK__" hidden="1">{"fdsup://directions/FAT%20Viewer?VAR:TM=NTMA&amp;VAR:PCT=0.013699&amp;VAR:Y0=1997&amp;VAR:Y1=1998&amp;VAR:V0=20.883154&amp;VAR:V1=18.234722&amp;VAR:V=18.266456&amp;VAR:AUDIT_ID=00000117&amp;VAR:DATE=19971226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Aggregates&amp;VAR:MEASURE=PE_MEAN&amp;VAR:CALC_MODE=PORTFOLIO&amp;VAR:CHGPERIOD=NA&amp;VAR:FQLFORMULA=FMA_PE&amp;VAR:CURRENCY=USD&amp;VAR:P=9","36.460000&amp;VAR:THRESH=||||||&amp;VAR:null=.html"}</definedName>
    <definedName name="_669__FDSAUDITLINK__" hidden="1">{"fdsup://directions/FAT%20Viewer?VAR:TM=NTMA&amp;VAR:PCT=0.032877&amp;VAR:Y0=1997&amp;VAR:Y1=1998&amp;VAR:V0=21.085200&amp;VAR:V1=18.390247&amp;VAR:V=18.467850&amp;VAR:AUDIT_ID=00000117&amp;VAR:DATE=19971219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Aggregates&amp;VAR:MEASURE=PE_MEAN&amp;VAR:CALC_MODE=PORTFOLIO&amp;VAR:CHGPERIOD=NA&amp;VAR:FQLFORMULA=FMA_PE&amp;VAR:CURRENCY=USD&amp;VAR:P=9","46.780000&amp;VAR:THRESH=||||||&amp;VAR:null=.html"}</definedName>
    <definedName name="_67__FDSAUDITLINK__" hidden="1">{"fdsup://directions/FAT%20Viewer?VAR:TM=NTMA&amp;VAR:PCT=0.498630&amp;VAR:Y0=2009&amp;VAR:Y1=2010&amp;VAR:V0=15.136355&amp;VAR:V1=12.026159&amp;VAR:V=13.398990&amp;VAR:AUDIT_ID=00000117&amp;VAR:DATE=20090702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Aggregates&amp;VAR:MEASURE=PE_MEAN&amp;VAR:CALC_MODE=PORTFOLIO&amp;VAR:CHGPERIOD=NA&amp;VAR:FQLFORMULA=FMA_PE&amp;VAR:CURRENCY=USD&amp;VAR:P=8","96.423078&amp;VAR:THRESH=||||||&amp;VAR:null=.html"}</definedName>
    <definedName name="_670__FDSAUDITLINK__" hidden="1">{"fdsup://directions/FAT%20Viewer?VAR:TM=NTMA&amp;VAR:PCT=0.052055&amp;VAR:Y0=1997&amp;VAR:Y1=1998&amp;VAR:V0=21.221970&amp;VAR:V1=18.472893&amp;VAR:V=18.598304&amp;VAR:AUDIT_ID=00000117&amp;VAR:DATE=19971212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Aggregates&amp;VAR:MEASURE=PE_MEAN&amp;VAR:CALC_MODE=PORTFOLIO&amp;VAR:CHGPERIOD=NA&amp;VAR:FQLFORMULA=FMA_PE&amp;VAR:CURRENCY=USD&amp;VAR:P=9","53.390000&amp;VAR:THRESH=||||||&amp;VAR:null=.html"}</definedName>
    <definedName name="_671__FDSAUDITLINK__" hidden="1">{"fdsup://directions/FAT%20Viewer?VAR:TM=NTMA&amp;VAR:PCT=0.071233&amp;VAR:Y0=1997&amp;VAR:Y1=1998&amp;VAR:V0=21.906837&amp;VAR:V1=19.034374&amp;VAR:V=19.213835&amp;VAR:AUDIT_ID=00000117&amp;VAR:DATE=19971205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Aggregates&amp;VAR:MEASURE=PE_MEAN&amp;VAR:CALC_MODE=PORTFOLIO&amp;VAR:CHGPERIOD=NA&amp;VAR:FQLFORMULA=FMA_PE&amp;VAR:CURRENCY=USD&amp;VAR:P=9","83.790000&amp;VAR:THRESH=||||||&amp;VAR:null=.html"}</definedName>
    <definedName name="_672__FDSAUDITLINK__" hidden="1">{"fdsup://directions/FAT%20Viewer?VAR:TM=NTMA&amp;VAR:PCT=0.090411&amp;VAR:Y0=1997&amp;VAR:Y1=1998&amp;VAR:V0=21.287275&amp;VAR:V1=18.501312&amp;VAR:V=18.722850&amp;VAR:AUDIT_ID=00000117&amp;VAR:DATE=19971128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Aggregates&amp;VAR:MEASURE=PE_MEAN&amp;VAR:CALC_MODE=PORTFOLIO&amp;VAR:CHGPERIOD=NA&amp;VAR:FQLFORMULA=FMA_PE&amp;VAR:CURRENCY=USD&amp;VAR:P=9","55.400000&amp;VAR:THRESH=||||||&amp;VAR:null=.html"}</definedName>
    <definedName name="_673__FDSAUDITLINK__" hidden="1">{"fdsup://directions/FAT%20Viewer?VAR:TM=NTMA&amp;VAR:PCT=0.109589&amp;VAR:Y0=1997&amp;VAR:Y1=1998&amp;VAR:V0=21.420954&amp;VAR:V1=18.632614&amp;VAR:V=18.902256&amp;VAR:AUDIT_ID=00000117&amp;VAR:DATE=19971121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Aggregates&amp;VAR:MEASURE=PE_MEAN&amp;VAR:CALC_MODE=PORTFOLIO&amp;VAR:CHGPERIOD=NA&amp;VAR:FQLFORMULA=FMA_PE&amp;VAR:CURRENCY=USD&amp;VAR:P=9","63.090000&amp;VAR:THRESH=||||||&amp;VAR:null=.html"}</definedName>
    <definedName name="_674__FDSAUDITLINK__" hidden="1">{"fdsup://directions/FAT%20Viewer?VAR:TM=NTMA&amp;VAR:PCT=0.128767&amp;VAR:Y0=1997&amp;VAR:Y1=1998&amp;VAR:V0=20.633692&amp;VAR:V1=17.947634&amp;VAR:V=18.253613&amp;VAR:AUDIT_ID=00000117&amp;VAR:DATE=19971114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Aggregates&amp;VAR:MEASURE=PE_MEAN&amp;VAR:CALC_MODE=PORTFOLIO&amp;VAR:CHGPERIOD=NA&amp;VAR:FQLFORMULA=FMA_PE&amp;VAR:CURRENCY=USD&amp;VAR:P=9","28.350000&amp;VAR:THRESH=||||||&amp;VAR:null=.html"}</definedName>
    <definedName name="_675__FDSAUDITLINK__" hidden="1">{"fdsup://directions/FAT%20Viewer?VAR:TM=NTMA&amp;VAR:PCT=0.147945&amp;VAR:Y0=1997&amp;VAR:Y1=1998&amp;VAR:V0=20.574730&amp;VAR:V1=17.896387&amp;VAR:V=18.247821&amp;VAR:AUDIT_ID=00000117&amp;VAR:DATE=19971107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Aggregates&amp;VAR:MEASURE=PE_MEAN&amp;VAR:CALC_MODE=PORTFOLIO&amp;VAR:CHGPERIOD=NA&amp;VAR:FQLFORMULA=FMA_PE&amp;VAR:CURRENCY=USD&amp;VAR:P=9","27.510000&amp;VAR:THRESH=||||||&amp;VAR:null=.html"}</definedName>
    <definedName name="_676__FDSAUDITLINK__" hidden="1">{"fdsup://directions/FAT%20Viewer?VAR:TM=NTMA&amp;VAR:PCT=0.167123&amp;VAR:Y0=1997&amp;VAR:Y1=1998&amp;VAR:V0=20.274906&amp;VAR:V1=17.635849&amp;VAR:V=18.028019&amp;VAR:AUDIT_ID=00000117&amp;VAR:DATE=19971031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Aggregates&amp;VAR:MEASURE=PE_MEAN&amp;VAR:CALC_MODE=PORTFOLIO&amp;VAR:CHGPERIOD=NA&amp;VAR:FQLFORMULA=FMA_PE&amp;VAR:CURRENCY=USD&amp;VAR:P=9","14.620000&amp;VAR:THRESH=||||||&amp;VAR:null=.html"}</definedName>
    <definedName name="_677__FDSAUDITLINK__" hidden="1">{"fdsup://directions/FAT%20Viewer?VAR:TM=NTMA&amp;VAR:PCT=0.186301&amp;VAR:Y0=1997&amp;VAR:Y1=1998&amp;VAR:V0=20.853123&amp;VAR:V1=18.137610&amp;VAR:V=18.588575&amp;VAR:AUDIT_ID=00000117&amp;VAR:DATE=19971024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Aggregates&amp;VAR:MEASURE=PE_MEAN&amp;VAR:CALC_MODE=PORTFOLIO&amp;VAR:CHGPERIOD=NA&amp;VAR:FQLFORMULA=FMA_PE&amp;VAR:CURRENCY=USD&amp;VAR:P=9","41.640000&amp;VAR:THRESH=||||||&amp;VAR:null=.html"}</definedName>
    <definedName name="_678__FDSAUDITLINK__" hidden="1">{"fdsup://directions/FAT%20Viewer?VAR:TM=NTMA&amp;VAR:PCT=0.205479&amp;VAR:Y0=1997&amp;VAR:Y1=1998&amp;VAR:V0=20.865955&amp;VAR:V1=18.145489&amp;VAR:V=18.644989&amp;VAR:AUDIT_ID=00000117&amp;VAR:DATE=19971017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Aggregates&amp;VAR:MEASURE=PE_MEAN&amp;VAR:CALC_MODE=PORTFOLIO&amp;VAR:CHGPERIOD=NA&amp;VAR:FQLFORMULA=FMA_PE&amp;VAR:CURRENCY=USD&amp;VAR:P=9","44.160000&amp;VAR:THRESH=||||||&amp;VAR:null=.html"}</definedName>
    <definedName name="_679__FDSAUDITLINK__" hidden="1">{"fdsup://directions/FAT%20Viewer?VAR:TM=NTMA&amp;VAR:PCT=0.224658&amp;VAR:Y0=1997&amp;VAR:Y1=1998&amp;VAR:V0=21.349148&amp;VAR:V1=18.548595&amp;VAR:V=19.111826&amp;VAR:AUDIT_ID=00000117&amp;VAR:DATE=19971010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Aggregates&amp;VAR:MEASURE=PE_MEAN&amp;VAR:CALC_MODE=PORTFOLIO&amp;VAR:CHGPERIOD=NA&amp;VAR:FQLFORMULA=FMA_PE&amp;VAR:CURRENCY=USD&amp;VAR:P=9","66.980000&amp;VAR:THRESH=||||||&amp;VAR:null=.html"}</definedName>
    <definedName name="_68__FDSAUDITLINK__" hidden="1">{"fdsup://directions/FAT%20Viewer?VAR:TM=NTMA&amp;VAR:PCT=0.515068&amp;VAR:Y0=2009&amp;VAR:Y1=2010&amp;VAR:V0=15.541708&amp;VAR:V1=12.263889&amp;VAR:V=13.758477&amp;VAR:AUDIT_ID=00000117&amp;VAR:DATE=20090626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Aggregates&amp;VAR:MEASURE=PE_MEAN&amp;VAR:CALC_MODE=PORTFOLIO&amp;VAR:CHGPERIOD=NA&amp;VAR:FQLFORMULA=FMA_PE&amp;VAR:CURRENCY=USD&amp;VAR:P=9","18.904472&amp;VAR:THRESH=||||||&amp;VAR:null=.html"}</definedName>
    <definedName name="_680__FDSAUDITLINK__" hidden="1">{"fdsup://directions/FAT%20Viewer?VAR:TM=NTMA&amp;VAR:PCT=0.243836&amp;VAR:Y0=1997&amp;VAR:Y1=1998&amp;VAR:V0=21.311150&amp;VAR:V1=18.433556&amp;VAR:V=19.061135&amp;VAR:AUDIT_ID=00000117&amp;VAR:DATE=19971003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Aggregates&amp;VAR:MEASURE=PE_MEAN&amp;VAR:CALC_MODE=PORTFOLIO&amp;VAR:CHGPERIOD=NA&amp;VAR:FQLFORMULA=FMA_PE&amp;VAR:CURRENCY=USD&amp;VAR:P=9","65.030000&amp;VAR:THRESH=||||||&amp;VAR:null=.html"}</definedName>
    <definedName name="_681__FDSAUDITLINK__" hidden="1">{"fdsup://directions/FAT%20Viewer?VAR:TM=NTMA&amp;VAR:PCT=0.263014&amp;VAR:Y0=1997&amp;VAR:Y1=1998&amp;VAR:V0=20.852291&amp;VAR:V1=18.042137&amp;VAR:V=18.705140&amp;VAR:AUDIT_ID=00000117&amp;VAR:DATE=19970926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Aggregates&amp;VAR:MEASURE=PE_MEAN&amp;VAR:CALC_MODE=PORTFOLIO&amp;VAR:CHGPERIOD=NA&amp;VAR:FQLFORMULA=FMA_PE&amp;VAR:CURRENCY=USD&amp;VAR:P=9","45.220000&amp;VAR:THRESH=||||||&amp;VAR:null=.html"}</definedName>
    <definedName name="_682__FDSAUDITLINK__" hidden="1">{"fdsup://directions/FAT%20Viewer?VAR:TM=NTMA&amp;VAR:PCT=0.282192&amp;VAR:Y0=1997&amp;VAR:Y1=1998&amp;VAR:V0=20.927692&amp;VAR:V1=18.128647&amp;VAR:V=18.839708&amp;VAR:AUDIT_ID=00000117&amp;VAR:DATE=19970919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Aggregates&amp;VAR:MEASURE=PE_MEAN&amp;VAR:CALC_MODE=PORTFOLIO&amp;VAR:CHGPERIOD=NA&amp;VAR:FQLFORMULA=FMA_PE&amp;VAR:CURRENCY=USD&amp;VAR:P=9","50.510000&amp;VAR:THRESH=||||||&amp;VAR:null=.html"}</definedName>
    <definedName name="_683__FDSAUDITLINK__" hidden="1">{"fdsup://directions/FAT%20Viewer?VAR:TM=NTMA&amp;VAR:PCT=0.301370&amp;VAR:Y0=1997&amp;VAR:Y1=1998&amp;VAR:V0=20.309635&amp;VAR:V1=17.599665&amp;VAR:V=18.337045&amp;VAR:AUDIT_ID=00000117&amp;VAR:DATE=19970912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Aggregates&amp;VAR:MEASURE=PE_MEAN&amp;VAR:CALC_MODE=PORTFOLIO&amp;VAR:CHGPERIOD=NA&amp;VAR:FQLFORMULA=FMA_PE&amp;VAR:CURRENCY=USD&amp;VAR:P=9","23.910000&amp;VAR:THRESH=||||||&amp;VAR:null=.html"}</definedName>
    <definedName name="_684__FDSAUDITLINK__" hidden="1">{"fdsup://directions/FAT%20Viewer?VAR:TM=NTMA&amp;VAR:PCT=0.320548&amp;VAR:Y0=1997&amp;VAR:Y1=1998&amp;VAR:V0=20.399818&amp;VAR:V1=17.719835&amp;VAR:V=18.498846&amp;VAR:AUDIT_ID=00000117&amp;VAR:DATE=19970905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Aggregates&amp;VAR:MEASURE=PE_MEAN&amp;VAR:CALC_MODE=PORTFOLIO&amp;VAR:CHGPERIOD=NA&amp;VAR:FQLFORMULA=FMA_PE&amp;VAR:CURRENCY=USD&amp;VAR:P=9","29.050000&amp;VAR:THRESH=||||||&amp;VAR:null=.html"}</definedName>
    <definedName name="_685__FDSAUDITLINK__" hidden="1">{"fdsup://directions/FAT%20Viewer?VAR:TM=NTMA&amp;VAR:PCT=0.339726&amp;VAR:Y0=1997&amp;VAR:Y1=1998&amp;VAR:V0=19.773842&amp;VAR:V1=17.171267&amp;VAR:V=17.974996&amp;VAR:AUDIT_ID=00000117&amp;VAR:DATE=19970829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Aggregates&amp;VAR:MEASURE=PE_MEAN&amp;VAR:CALC_MODE=PORTFOLIO&amp;VAR:CHGPERIOD=NA&amp;VAR:FQLFORMULA=FMA_PE&amp;VAR:CURRENCY=USD&amp;VAR:P=8","99.470000&amp;VAR:THRESH=||||||&amp;VAR:null=.html"}</definedName>
    <definedName name="_686__FDSAUDITLINK__" hidden="1">{"fdsup://directions/FAT%20Viewer?VAR:TM=NTMA&amp;VAR:PCT=0.358904&amp;VAR:Y0=1997&amp;VAR:Y1=1998&amp;VAR:V0=20.300388&amp;VAR:V1=17.691544&amp;VAR:V=18.546996&amp;VAR:AUDIT_ID=00000117&amp;VAR:DATE=19970822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Aggregates&amp;VAR:MEASURE=PE_MEAN&amp;VAR:CALC_MODE=PORTFOLIO&amp;VAR:CHGPERIOD=NA&amp;VAR:FQLFORMULA=FMA_PE&amp;VAR:CURRENCY=USD&amp;VAR:P=9","23.550000&amp;VAR:THRESH=||||||&amp;VAR:null=.html"}</definedName>
    <definedName name="_687__FDSAUDITLINK__" hidden="1">{"fdsup://directions/FAT%20Viewer?VAR:TM=NTMA&amp;VAR:PCT=0.378082&amp;VAR:Y0=1997&amp;VAR:Y1=1998&amp;VAR:V0=19.854218&amp;VAR:V1=17.233150&amp;VAR:V=18.138493&amp;VAR:AUDIT_ID=00000117&amp;VAR:DATE=19970815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Aggregates&amp;VAR:MEASURE=PE_MEAN&amp;VAR:CALC_MODE=PORTFOLIO&amp;VAR:CHGPERIOD=NA&amp;VAR:FQLFORMULA=FMA_PE&amp;VAR:CURRENCY=USD&amp;VAR:P=9","00.810000&amp;VAR:THRESH=||||||&amp;VAR:null=.html"}</definedName>
    <definedName name="_688__FDSAUDITLINK__" hidden="1">{"fdsup://directions/FAT%20Viewer?VAR:TM=NTMA&amp;VAR:PCT=0.397260&amp;VAR:Y0=1997&amp;VAR:Y1=1998&amp;VAR:V0=20.539043&amp;VAR:V1=17.812254&amp;VAR:V=18.803991&amp;VAR:AUDIT_ID=00000117&amp;VAR:DATE=19970808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Aggregates&amp;VAR:MEASURE=PE_MEAN&amp;VAR:CALC_MODE=PORTFOLIO&amp;VAR:CHGPERIOD=NA&amp;VAR:FQLFORMULA=FMA_PE&amp;VAR:CURRENCY=USD&amp;VAR:P=9","33.540000&amp;VAR:THRESH=||||||&amp;VAR:null=.html"}</definedName>
    <definedName name="_689__FDSAUDITLINK__" hidden="1">{"fdsup://directions/FAT%20Viewer?VAR:TM=NTMA&amp;VAR:PCT=0.416438&amp;VAR:Y0=1997&amp;VAR:Y1=1998&amp;VAR:V0=20.838476&amp;VAR:V1=18.101072&amp;VAR:V=19.148587&amp;VAR:AUDIT_ID=00000117&amp;VAR:DATE=19970801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Aggregates&amp;VAR:MEASURE=PE_MEAN&amp;VAR:CALC_MODE=PORTFOLIO&amp;VAR:CHGPERIOD=NA&amp;VAR:FQLFORMULA=FMA_PE&amp;VAR:CURRENCY=USD&amp;VAR:P=9","47.140000&amp;VAR:THRESH=||||||&amp;VAR:null=.html"}</definedName>
    <definedName name="_69__FDSAUDITLINK__" hidden="1">{"fdsup://directions/FAT%20Viewer?VAR:TM=NTMA&amp;VAR:PCT=0.534247&amp;VAR:Y0=2009&amp;VAR:Y1=2010&amp;VAR:V0=15.484918&amp;VAR:V1=12.328210&amp;VAR:V=13.834975&amp;VAR:AUDIT_ID=00000117&amp;VAR:DATE=20090619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Aggregates&amp;VAR:MEASURE=PE_MEAN&amp;VAR:CALC_MODE=PORTFOLIO&amp;VAR:CHGPERIOD=NA&amp;VAR:FQLFORMULA=FMA_PE&amp;VAR:CURRENCY=USD&amp;VAR:P=9","21.226597&amp;VAR:THRESH=||||||&amp;VAR:null=.html"}</definedName>
    <definedName name="_690__FDSAUDITLINK__" hidden="1">{"fdsup://directions/FAT%20Viewer?VAR:TM=NTMA&amp;VAR:PCT=0.435616&amp;VAR:Y0=1997&amp;VAR:Y1=1998&amp;VAR:V0=20.643044&amp;VAR:V1=17.920395&amp;VAR:V=19.012759&amp;VAR:AUDIT_ID=00000117&amp;VAR:DATE=19970725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Aggregates&amp;VAR:MEASURE=PE_MEAN&amp;VAR:CALC_MODE=PORTFOLIO&amp;VAR:CHGPERIOD=NA&amp;VAR:FQLFORMULA=FMA_PE&amp;VAR:CURRENCY=USD&amp;VAR:P=9","38.790000&amp;VAR:THRESH=||||||&amp;VAR:null=.html"}</definedName>
    <definedName name="_691__FDSAUDITLINK__" hidden="1">{"fdsup://directions/FAT%20Viewer?VAR:TM=NTMA&amp;VAR:PCT=0.454795&amp;VAR:Y0=1997&amp;VAR:Y1=1998&amp;VAR:V0=20.142586&amp;VAR:V1=17.487091&amp;VAR:V=18.602453&amp;VAR:AUDIT_ID=00000117&amp;VAR:DATE=19970718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Aggregates&amp;VAR:MEASURE=PE_MEAN&amp;VAR:CALC_MODE=PORTFOLIO&amp;VAR:CHGPERIOD=NA&amp;VAR:FQLFORMULA=FMA_PE&amp;VAR:CURRENCY=USD&amp;VAR:P=9","15.300000&amp;VAR:THRESH=||||||&amp;VAR:null=.html"}</definedName>
    <definedName name="_692__FDSAUDITLINK__" hidden="1">{"fdsup://directions/FAT%20Viewer?VAR:TM=NTMA&amp;VAR:PCT=0.473973&amp;VAR:Y0=1997&amp;VAR:Y1=1998&amp;VAR:V0=20.125246&amp;VAR:V1=17.479400&amp;VAR:V=18.640969&amp;VAR:AUDIT_ID=00000117&amp;VAR:DATE=19970711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Aggregates&amp;VAR:MEASURE=PE_MEAN&amp;VAR:CALC_MODE=PORTFOLIO&amp;VAR:CHGPERIOD=NA&amp;VAR:FQLFORMULA=FMA_PE&amp;VAR:CURRENCY=USD&amp;VAR:P=9","16.680000&amp;VAR:THRESH=||||||&amp;VAR:null=.html"}</definedName>
    <definedName name="_693__FDSAUDITLINK__" hidden="1">{"fdsup://directions/FAT%20Viewer?VAR:TM=NTMA&amp;VAR:PCT=0.495890&amp;VAR:Y0=1997&amp;VAR:Y1=1998&amp;VAR:V0=20.084923&amp;VAR:V1=17.423010&amp;VAR:V=18.648631&amp;VAR:AUDIT_ID=00000117&amp;VAR:DATE=19970703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Aggregates&amp;VAR:MEASURE=PE_MEAN&amp;VAR:CALC_MODE=PORTFOLIO&amp;VAR:CHGPERIOD=NA&amp;VAR:FQLFORMULA=FMA_PE&amp;VAR:CURRENCY=USD&amp;VAR:P=9","16.920000&amp;VAR:THRESH=||||||&amp;VAR:null=.html"}</definedName>
    <definedName name="_694__FDSAUDITLINK__" hidden="1">{"fdsup://directions/FAT%20Viewer?VAR:TM=NTMA&amp;VAR:PCT=0.512329&amp;VAR:Y0=1997&amp;VAR:Y1=1998&amp;VAR:V0=19.451065&amp;VAR:V1=16.885218&amp;VAR:V=18.109080&amp;VAR:AUDIT_ID=00000117&amp;VAR:DATE=19970627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Aggregates&amp;VAR:MEASURE=PE_MEAN&amp;VAR:CALC_MODE=PORTFOLIO&amp;VAR:CHGPERIOD=NA&amp;VAR:FQLFORMULA=FMA_PE&amp;VAR:CURRENCY=USD&amp;VAR:P=8","87.300000&amp;VAR:THRESH=||||||&amp;VAR:null=.html"}</definedName>
    <definedName name="_695__FDSAUDITLINK__" hidden="1">{"fdsup://directions/FAT%20Viewer?VAR:TM=NTMA&amp;VAR:PCT=0.531507&amp;VAR:Y0=1997&amp;VAR:Y1=1998&amp;VAR:V0=19.668730&amp;VAR:V1=17.039423&amp;VAR:V=18.342701&amp;VAR:AUDIT_ID=00000117&amp;VAR:DATE=19970620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Aggregates&amp;VAR:MEASURE=PE_MEAN&amp;VAR:CALC_MODE=PORTFOLIO&amp;VAR:CHGPERIOD=NA&amp;VAR:FQLFORMULA=FMA_PE&amp;VAR:CURRENCY=USD&amp;VAR:P=8","98.700000&amp;VAR:THRESH=||||||&amp;VAR:null=.html"}</definedName>
    <definedName name="_696__FDSAUDITLINK__" hidden="1">{"fdsup://directions/FAT%20Viewer?VAR:TM=NTMA&amp;VAR:PCT=0.550685&amp;VAR:Y0=1997&amp;VAR:Y1=1998&amp;VAR:V0=19.516703&amp;VAR:V1=16.921413&amp;VAR:V=18.258460&amp;VAR:AUDIT_ID=00000117&amp;VAR:DATE=19970613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Aggregates&amp;VAR:MEASURE=PE_MEAN&amp;VAR:CALC_MODE=PORTFOLIO&amp;VAR:CHGPERIOD=NA&amp;VAR:FQLFORMULA=FMA_PE&amp;VAR:CURRENCY=USD&amp;VAR:P=8","93.270000&amp;VAR:THRESH=||||||&amp;VAR:null=.html"}</definedName>
    <definedName name="_697__FDSAUDITLINK__" hidden="1">{"fdsup://directions/FAT%20Viewer?VAR:TM=NTMA&amp;VAR:PCT=0.569863&amp;VAR:Y0=1997&amp;VAR:Y1=1998&amp;VAR:V0=18.769161&amp;VAR:V1=15.968356&amp;VAR:V=17.452463&amp;VAR:AUDIT_ID=00000117&amp;VAR:DATE=19970606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Aggregates&amp;VAR:MEASURE=PE_MEAN&amp;VAR:CALC_MODE=PORTFOLIO&amp;VAR:CHGPERIOD=NA&amp;VAR:FQLFORMULA=FMA_PE&amp;VAR:CURRENCY=USD&amp;VAR:P=8","58.010000&amp;VAR:THRESH=||||||&amp;VAR:null=.html"}</definedName>
    <definedName name="_698__FDSAUDITLINK__" hidden="1">{"fdsup://directions/FAT%20Viewer?VAR:TM=NTMA&amp;VAR:PCT=0.589041&amp;VAR:Y0=1997&amp;VAR:Y1=1998&amp;VAR:V0=18.537403&amp;VAR:V1=15.746010&amp;VAR:V=17.278601&amp;VAR:AUDIT_ID=00000117&amp;VAR:DATE=19970530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Aggregates&amp;VAR:MEASURE=PE_MEAN&amp;VAR:CALC_MODE=PORTFOLIO&amp;VAR:CHGPERIOD=NA&amp;VAR:FQLFORMULA=FMA_PE&amp;VAR:CURRENCY=USD&amp;VAR:P=8","48.280000&amp;VAR:THRESH=||||||&amp;VAR:null=.html"}</definedName>
    <definedName name="_699__FDSAUDITLINK__" hidden="1">{"fdsup://directions/FAT%20Viewer?VAR:TM=NTMA&amp;VAR:PCT=0.608219&amp;VAR:Y0=1997&amp;VAR:Y1=1998&amp;VAR:V0=18.451183&amp;VAR:V1=15.686417&amp;VAR:V=17.259384&amp;VAR:AUDIT_ID=00000117&amp;VAR:DATE=19970523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Aggregates&amp;VAR:MEASURE=PE_MEAN&amp;VAR:CALC_MODE=PORTFOLIO&amp;VAR:CHGPERIOD=NA&amp;VAR:FQLFORMULA=FMA_PE&amp;VAR:CURRENCY=USD&amp;VAR:P=8","47.030000&amp;VAR:THRESH=||||||&amp;VAR:null=.html"}</definedName>
    <definedName name="_7__FDSAUDITLINK__" hidden="1">{"fdsup://directions/FAT%20Viewer?VAR:TM=NTMA&amp;VAR:PCT=0.345205&amp;VAR:Y0=2010&amp;VAR:Y1=2011&amp;VAR:V0=12.722534&amp;VAR:V1=11.069604&amp;VAR:V=11.589383&amp;VAR:AUDIT_ID=00000117&amp;VAR:DATE=20100827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Aggregates&amp;VAR:MEASURE=PE_MEAN&amp;VAR:CALC_MODE=PORTFOLIO&amp;VAR:CHGPERIOD=NA&amp;VAR:FQLFORMULA=FMA_PE&amp;VAR:CURRENCY=USD&amp;VAR:P=1","064.590620&amp;VAR:THRESH=||||||&amp;VAR:null=.html"}</definedName>
    <definedName name="_70__FDSAUDITLINK__" hidden="1">{"fdsup://directions/FAT%20Viewer?VAR:TM=NTMA&amp;VAR:PCT=0.553425&amp;VAR:Y0=2009&amp;VAR:Y1=2010&amp;VAR:V0=15.930672&amp;VAR:V1=12.687410&amp;VAR:V=14.298404&amp;VAR:AUDIT_ID=00000117&amp;VAR:DATE=20090612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Aggregates&amp;VAR:MEASURE=PE_MEAN&amp;VAR:CALC_MODE=PORTFOLIO&amp;VAR:CHGPERIOD=NA&amp;VAR:FQLFORMULA=FMA_PE&amp;VAR:CURRENCY=USD&amp;VAR:P=9","46.207083&amp;VAR:THRESH=||||||&amp;VAR:null=.html"}</definedName>
    <definedName name="_700__FDSAUDITLINK__" hidden="1">{"fdsup://directions/FAT%20Viewer?VAR:TM=NTMA&amp;VAR:PCT=0.627397&amp;VAR:Y0=1997&amp;VAR:Y1=1998&amp;VAR:V0=18.091010&amp;VAR:V1=15.422887&amp;VAR:V=16.995491&amp;VAR:AUDIT_ID=00000117&amp;VAR:DATE=19970516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Aggregates&amp;VAR:MEASURE=PE_MEAN&amp;VAR:CALC_MODE=PORTFOLIO&amp;VAR:CHGPERIOD=NA&amp;VAR:FQLFORMULA=FMA_PE&amp;VAR:CURRENCY=USD&amp;VAR:P=8","29.750000&amp;VAR:THRESH=||||||&amp;VAR:null=.html"}</definedName>
    <definedName name="_701__FDSAUDITLINK__" hidden="1">{"fdsup://directions/FAT%20Viewer?VAR:TM=NTMA&amp;VAR:PCT=0.646575&amp;VAR:Y0=1997&amp;VAR:Y1=1998&amp;VAR:V0=17.984146&amp;VAR:V1=15.312455&amp;VAR:V=16.939569&amp;VAR:AUDIT_ID=00000117&amp;VAR:DATE=19970509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Aggregates&amp;VAR:MEASURE=PE_MEAN&amp;VAR:CALC_MODE=PORTFOLIO&amp;VAR:CHGPERIOD=NA&amp;VAR:FQLFORMULA=FMA_PE&amp;VAR:CURRENCY=USD&amp;VAR:P=8","24.780000&amp;VAR:THRESH=||||||&amp;VAR:null=.html"}</definedName>
    <definedName name="_702__FDSAUDITLINK__" hidden="1">{"fdsup://directions/FAT%20Viewer?VAR:TM=NTMA&amp;VAR:PCT=0.665753&amp;VAR:Y0=1997&amp;VAR:Y1=1998&amp;VAR:V0=17.724653&amp;VAR:V1=15.096492&amp;VAR:V=16.749984&amp;VAR:AUDIT_ID=00000117&amp;VAR:DATE=19970502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Aggregates&amp;VAR:MEASURE=PE_MEAN&amp;VAR:CALC_MODE=PORTFOLIO&amp;VAR:CHGPERIOD=NA&amp;VAR:FQLFORMULA=FMA_PE&amp;VAR:CURRENCY=USD&amp;VAR:P=8","12.970000&amp;VAR:THRESH=||||||&amp;VAR:null=.html"}</definedName>
    <definedName name="_703__FDSAUDITLINK__" hidden="1">{"fdsup://directions/FAT%20Viewer?VAR:TM=NTMA&amp;VAR:PCT=0.684932&amp;VAR:Y0=1997&amp;VAR:Y1=1998&amp;VAR:V0=16.645536&amp;VAR:V1=14.206331&amp;VAR:V=15.791279&amp;VAR:AUDIT_ID=00000117&amp;VAR:DATE=19970425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Aggregates&amp;VAR:MEASURE=PE_MEAN&amp;VAR:CALC_MODE=PORTFOLIO&amp;VAR:CHGPERIOD=NA&amp;VAR:FQLFORMULA=FMA_PE&amp;VAR:CURRENCY=USD&amp;VAR:P=7","65.370000&amp;VAR:THRESH=||||||&amp;VAR:null=.html"}</definedName>
    <definedName name="_704__FDSAUDITLINK__" hidden="1">{"fdsup://directions/FAT%20Viewer?VAR:TM=NTMA&amp;VAR:PCT=0.704110&amp;VAR:Y0=1997&amp;VAR:Y1=1998&amp;VAR:V0=16.616829&amp;VAR:V1=14.191408&amp;VAR:V=15.816966&amp;VAR:AUDIT_ID=00000117&amp;VAR:DATE=19970418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Aggregates&amp;VAR:MEASURE=PE_MEAN&amp;VAR:CALC_MODE=PORTFOLIO&amp;VAR:CHGPERIOD=NA&amp;VAR:FQLFORMULA=FMA_PE&amp;VAR:CURRENCY=USD&amp;VAR:P=7","66.340000&amp;VAR:THRESH=||||||&amp;VAR:null=.html"}</definedName>
    <definedName name="_705__FDSAUDITLINK__" hidden="1">{"fdsup://directions/FAT%20Viewer?VAR:TM=NTMA&amp;VAR:PCT=0.723288&amp;VAR:Y0=1997&amp;VAR:Y1=1998&amp;VAR:V0=16.024532&amp;VAR:V1=13.703996&amp;VAR:V=15.307287&amp;VAR:AUDIT_ID=00000117&amp;VAR:DATE=19970411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Aggregates&amp;VAR:MEASURE=PE_MEAN&amp;VAR:CALC_MODE=PORTFOLIO&amp;VAR:CHGPERIOD=NA&amp;VAR:FQLFORMULA=FMA_PE&amp;VAR:CURRENCY=USD&amp;VAR:P=7","37.650000&amp;VAR:THRESH=||||||&amp;VAR:null=.html"}</definedName>
    <definedName name="_706__FDSAUDITLINK__" hidden="1">{"fdsup://directions/FAT%20Viewer?VAR:TM=NTMA&amp;VAR:PCT=0.742466&amp;VAR:Y0=1997&amp;VAR:Y1=1998&amp;VAR:V0=16.487390&amp;VAR:V1=14.028739&amp;VAR:V=15.775369&amp;VAR:AUDIT_ID=00000117&amp;VAR:DATE=19970404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Aggregates&amp;VAR:MEASURE=PE_MEAN&amp;VAR:CALC_MODE=PORTFOLIO&amp;VAR:CHGPERIOD=NA&amp;VAR:FQLFORMULA=FMA_PE&amp;VAR:CURRENCY=USD&amp;VAR:P=7","57.900000&amp;VAR:THRESH=||||||&amp;VAR:null=.html"}</definedName>
    <definedName name="_707__FDSAUDITLINK__" hidden="1">{"fdsup://directions/FAT%20Viewer?VAR:TM=NTMA&amp;VAR:PCT=0.764384&amp;VAR:Y0=1997&amp;VAR:Y1=1998&amp;VAR:V0=16.813310&amp;VAR:V1=14.335907&amp;VAR:V=16.155504&amp;VAR:AUDIT_ID=00000117&amp;VAR:DATE=19970327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Aggregates&amp;VAR:MEASURE=PE_MEAN&amp;VAR:CALC_MODE=PORTFOLIO&amp;VAR:CHGPERIOD=NA&amp;VAR:FQLFORMULA=FMA_PE&amp;VAR:CURRENCY=USD&amp;VAR:P=7","73.880000&amp;VAR:THRESH=||||||&amp;VAR:null=.html"}</definedName>
    <definedName name="_708__FDSAUDITLINK__" hidden="1">{"fdsup://directions/FAT%20Viewer?VAR:TM=NTMA&amp;VAR:PCT=0.780822&amp;VAR:Y0=1997&amp;VAR:Y1=1998&amp;VAR:V0=17.049540&amp;VAR:V1=14.560233&amp;VAR:V=16.433735&amp;VAR:AUDIT_ID=00000117&amp;VAR:DATE=19970321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Aggregates&amp;VAR:MEASURE=PE_MEAN&amp;VAR:CALC_MODE=PORTFOLIO&amp;VAR:CHGPERIOD=NA&amp;VAR:FQLFORMULA=FMA_PE&amp;VAR:CURRENCY=USD&amp;VAR:P=7","84.100000&amp;VAR:THRESH=||||||&amp;VAR:null=.html"}</definedName>
    <definedName name="_709__FDSAUDITLINK__" hidden="1">{"fdsup://directions/FAT%20Viewer?VAR:TM=NTMA&amp;VAR:PCT=0.800000&amp;VAR:Y0=1997&amp;VAR:Y1=1998&amp;VAR:V0=17.202456&amp;VAR:V1=14.673924&amp;VAR:V=16.629359&amp;VAR:AUDIT_ID=00000117&amp;VAR:DATE=19970314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Aggregates&amp;VAR:MEASURE=PE_MEAN&amp;VAR:CALC_MODE=PORTFOLIO&amp;VAR:CHGPERIOD=NA&amp;VAR:FQLFORMULA=FMA_PE&amp;VAR:CURRENCY=USD&amp;VAR:P=7","93.170000&amp;VAR:THRESH=||||||&amp;VAR:null=.html"}</definedName>
    <definedName name="_71__FDSAUDITLINK__" hidden="1">{"fdsup://directions/FAT%20Viewer?VAR:TM=NTMA&amp;VAR:PCT=0.572603&amp;VAR:Y0=2009&amp;VAR:Y1=2010&amp;VAR:V0=15.839932&amp;VAR:V1=12.609508&amp;VAR:V=14.276708&amp;VAR:AUDIT_ID=00000117&amp;VAR:DATE=20090605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Aggregates&amp;VAR:MEASURE=PE_MEAN&amp;VAR:CALC_MODE=PORTFOLIO&amp;VAR:CHGPERIOD=NA&amp;VAR:FQLFORMULA=FMA_PE&amp;VAR:CURRENCY=USD&amp;VAR:P=9","40.088199&amp;VAR:THRESH=||||||&amp;VAR:null=.html"}</definedName>
    <definedName name="_710__FDSAUDITLINK__" hidden="1">{"fdsup://directions/FAT%20Viewer?VAR:TM=NTMA&amp;VAR:PCT=0.819178&amp;VAR:Y0=1997&amp;VAR:Y1=1998&amp;VAR:V0=17.414516&amp;VAR:V1=14.899911&amp;VAR:V=16.898820&amp;VAR:AUDIT_ID=00000117&amp;VAR:DATE=19970307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Aggregates&amp;VAR:MEASURE=PE_MEAN&amp;VAR:CALC_MODE=PORTFOLIO&amp;VAR:CHGPERIOD=NA&amp;VAR:FQLFORMULA=FMA_PE&amp;VAR:CURRENCY=USD&amp;VAR:P=8","04.970000&amp;VAR:THRESH=||||||&amp;VAR:null=.html"}</definedName>
    <definedName name="_711__FDSAUDITLINK__" hidden="1">{"fdsup://directions/FAT%20Viewer?VAR:TM=NTMA&amp;VAR:PCT=0.838356&amp;VAR:Y0=1997&amp;VAR:Y1=1998&amp;VAR:V0=17.076736&amp;VAR:V1=14.598245&amp;VAR:V=16.620602&amp;VAR:AUDIT_ID=00000117&amp;VAR:DATE=19970228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Aggregates&amp;VAR:MEASURE=PE_MEAN&amp;VAR:CALC_MODE=PORTFOLIO&amp;VAR:CHGPERIOD=NA&amp;VAR:FQLFORMULA=FMA_PE&amp;VAR:CURRENCY=USD&amp;VAR:P=7","90.820000&amp;VAR:THRESH=||||||&amp;VAR:null=.html"}</definedName>
    <definedName name="_712__FDSAUDITLINK__" hidden="1">{"fdsup://directions/FAT%20Viewer?VAR:TM=NTMA&amp;VAR:PCT=0.857534&amp;VAR:Y0=1997&amp;VAR:Y1=1998&amp;VAR:V0=17.298513&amp;VAR:V1=14.808544&amp;VAR:V=16.893825&amp;VAR:AUDIT_ID=00000117&amp;VAR:DATE=19970221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Aggregates&amp;VAR:MEASURE=PE_MEAN&amp;VAR:CALC_MODE=PORTFOLIO&amp;VAR:CHGPERIOD=NA&amp;VAR:FQLFORMULA=FMA_PE&amp;VAR:CURRENCY=USD&amp;VAR:P=8","01.770000&amp;VAR:THRESH=||||||&amp;VAR:null=.html"}</definedName>
    <definedName name="_713__FDSAUDITLINK__" hidden="1">{"fdsup://directions/FAT%20Viewer?VAR:TM=NTMA&amp;VAR:PCT=0.876712&amp;VAR:Y0=1997&amp;VAR:Y1=1998&amp;VAR:V0=17.440866&amp;VAR:V1=14.873468&amp;VAR:V=17.077434&amp;VAR:AUDIT_ID=00000117&amp;VAR:DATE=19970214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Aggregates&amp;VAR:MEASURE=PE_MEAN&amp;VAR:CALC_MODE=PORTFOLIO&amp;VAR:CHGPERIOD=NA&amp;VAR:FQLFORMULA=FMA_PE&amp;VAR:CURRENCY=USD&amp;VAR:P=8","08.480000&amp;VAR:THRESH=||||||&amp;VAR:null=.html"}</definedName>
    <definedName name="_714__FDSAUDITLINK__" hidden="1">{"fdsup://directions/FAT%20Viewer?VAR:TM=NTMA&amp;VAR:PCT=0.895890&amp;VAR:Y0=1997&amp;VAR:Y1=1998&amp;VAR:V0=17.018341&amp;VAR:V1=14.492742&amp;VAR:V=16.715082&amp;VAR:AUDIT_ID=00000117&amp;VAR:DATE=19970207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Aggregates&amp;VAR:MEASURE=PE_MEAN&amp;VAR:CALC_MODE=PORTFOLIO&amp;VAR:CHGPERIOD=NA&amp;VAR:FQLFORMULA=FMA_PE&amp;VAR:CURRENCY=USD&amp;VAR:P=7","89.560000&amp;VAR:THRESH=||||||&amp;VAR:null=.html"}</definedName>
    <definedName name="_715__FDSAUDITLINK__" hidden="1">{"fdsup://directions/FAT%20Viewer?VAR:TM=NTMA&amp;VAR:PCT=0.915068&amp;VAR:Y0=1997&amp;VAR:Y1=1998&amp;VAR:V0=16.966177&amp;VAR:V1=14.477413&amp;VAR:V=16.722030&amp;VAR:AUDIT_ID=00000117&amp;VAR:DATE=19970131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Aggregates&amp;VAR:MEASURE=PE_MEAN&amp;VAR:CALC_MODE=PORTFOLIO&amp;VAR:CHGPERIOD=NA&amp;VAR:FQLFORMULA=FMA_PE&amp;VAR:CURRENCY=USD&amp;VAR:P=7","86.160000&amp;VAR:THRESH=||||||&amp;VAR:null=.html"}</definedName>
    <definedName name="_716__FDSAUDITLINK__" hidden="1">{"fdsup://directions/FAT%20Viewer?VAR:TM=NTMA&amp;VAR:PCT=0.934247&amp;VAR:Y0=1997&amp;VAR:Y1=1998&amp;VAR:V0=16.625523&amp;VAR:V1=14.176065&amp;VAR:V=16.438755&amp;VAR:AUDIT_ID=00000117&amp;VAR:DATE=19970124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Aggregates&amp;VAR:MEASURE=PE_MEAN&amp;VAR:CALC_MODE=PORTFOLIO&amp;VAR:CHGPERIOD=NA&amp;VAR:FQLFORMULA=FMA_PE&amp;VAR:CURRENCY=USD&amp;VAR:P=7","70.520000&amp;VAR:THRESH=||||||&amp;VAR:null=.html"}</definedName>
    <definedName name="_717__FDSAUDITLINK__" hidden="1">{"fdsup://directions/FAT%20Viewer?VAR:TM=NTMA&amp;VAR:PCT=0.953425&amp;VAR:Y0=1997&amp;VAR:Y1=1998&amp;VAR:V0=16.820179&amp;VAR:V1=14.573170&amp;VAR:V=16.700248&amp;VAR:AUDIT_ID=00000117&amp;VAR:DATE=19970117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Aggregates&amp;VAR:MEASURE=PE_MEAN&amp;VAR:CALC_MODE=PORTFOLIO&amp;VAR:CHGPERIOD=NA&amp;VAR:FQLFORMULA=FMA_PE&amp;VAR:CURRENCY=USD&amp;VAR:P=7","76.170000&amp;VAR:THRESH=||||||&amp;VAR:null=.html"}</definedName>
    <definedName name="_718__FDSAUDITLINK__" hidden="1">{"fdsup://directions/FAT%20Viewer?VAR:TM=NTMA&amp;VAR:PCT=0.972603&amp;VAR:Y0=1997&amp;VAR:Y1=1998&amp;VAR:V0=16.464233&amp;VAR:V1=14.052964&amp;VAR:V=16.387198&amp;VAR:AUDIT_ID=00000117&amp;VAR:DATE=19970110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Aggregates&amp;VAR:MEASURE=PE_MEAN&amp;VAR:CALC_MODE=PORTFOLIO&amp;VAR:CHGPERIOD=NA&amp;VAR:FQLFORMULA=FMA_PE&amp;VAR:CURRENCY=USD&amp;VAR:P=7","59.500000&amp;VAR:THRESH=||||||&amp;VAR:null=.html"}</definedName>
    <definedName name="_719__FDSAUDITLINK__" hidden="1">{"fdsup://directions/FAT%20Viewer?VAR:TM=NTMA&amp;VAR:PCT=0.991781&amp;VAR:Y0=1997&amp;VAR:Y1=1998&amp;VAR:V0=16.192873&amp;VAR:V1=14.099956&amp;VAR:V=16.173142&amp;VAR:AUDIT_ID=00000117&amp;VAR:DATE=19970103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Aggregates&amp;VAR:MEASURE=PE_MEAN&amp;VAR:CALC_MODE=PORTFOLIO&amp;VAR:CHGPERIOD=NA&amp;VAR:FQLFORMULA=FMA_PE&amp;VAR:CURRENCY=USD&amp;VAR:P=7","48.030000&amp;VAR:THRESH=||||||&amp;VAR:null=.html"}</definedName>
    <definedName name="_72__FDSAUDITLINK__" hidden="1">{"fdsup://directions/FAT%20Viewer?VAR:TM=NTMA&amp;VAR:PCT=0.591781&amp;VAR:Y0=2009&amp;VAR:Y1=2010&amp;VAR:V0=15.979866&amp;VAR:V1=12.482467&amp;VAR:V=14.339732&amp;VAR:AUDIT_ID=00000117&amp;VAR:DATE=20090529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Aggregates&amp;VAR:MEASURE=PE_MEAN&amp;VAR:CALC_MODE=PORTFOLIO&amp;VAR:CHGPERIOD=NA&amp;VAR:FQLFORMULA=FMA_PE&amp;VAR:CURRENCY=USD&amp;VAR:P=9","19.139863&amp;VAR:THRESH=||||||&amp;VAR:null=.html"}</definedName>
    <definedName name="_720__FDSAUDITLINK__" hidden="1">{"fdsup://directions/FAT%20Viewer?VAR:TM=NTMA&amp;VAR:PCT=0.010929&amp;VAR:Y0=1996&amp;VAR:Y1=1997&amp;VAR:V0=18.690393&amp;VAR:V1=16.317154&amp;VAR:V=16.339829&amp;VAR:AUDIT_ID=00000117&amp;VAR:DATE=19961227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Aggregates&amp;VAR:MEASURE=PE_MEAN&amp;VAR:CALC_MODE=PORTFOLIO&amp;VAR:CHGPERIOD=NA&amp;VAR:FQLFORMULA=FMA_PE&amp;VAR:CURRENCY=USD&amp;VAR:P=7","56.790000&amp;VAR:THRESH=||||||&amp;VAR:null=.html"}</definedName>
    <definedName name="_721__FDSAUDITLINK__" hidden="1">{"fdsup://directions/FAT%20Viewer?VAR:TM=NTMA&amp;VAR:PCT=0.030055&amp;VAR:Y0=1996&amp;VAR:Y1=1997&amp;VAR:V0=18.533543&amp;VAR:V1=16.187084&amp;VAR:V=16.248913&amp;VAR:AUDIT_ID=00000117&amp;VAR:DATE=19961220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Aggregates&amp;VAR:MEASURE=PE_MEAN&amp;VAR:CALC_MODE=PORTFOLIO&amp;VAR:CHGPERIOD=NA&amp;VAR:FQLFORMULA=FMA_PE&amp;VAR:CURRENCY=USD&amp;VAR:P=7","48.870000&amp;VAR:THRESH=||||||&amp;VAR:null=.html"}</definedName>
    <definedName name="_722__FDSAUDITLINK__" hidden="1">{"fdsup://directions/FAT%20Viewer?VAR:TM=NTMA&amp;VAR:PCT=0.049180&amp;VAR:Y0=1996&amp;VAR:Y1=1997&amp;VAR:V0=17.984486&amp;VAR:V1=15.743558&amp;VAR:V=15.840630&amp;VAR:AUDIT_ID=00000117&amp;VAR:DATE=19961213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Aggregates&amp;VAR:MEASURE=PE_MEAN&amp;VAR:CALC_MODE=PORTFOLIO&amp;VAR:CHGPERIOD=NA&amp;VAR:FQLFORMULA=FMA_PE&amp;VAR:CURRENCY=USD&amp;VAR:P=7","28.640000&amp;VAR:THRESH=||||||&amp;VAR:null=.html"}</definedName>
    <definedName name="_723__FDSAUDITLINK__" hidden="1">{"fdsup://directions/FAT%20Viewer?VAR:TM=NTMA&amp;VAR:PCT=0.068306&amp;VAR:Y0=1996&amp;VAR:Y1=1997&amp;VAR:V0=18.264372&amp;VAR:V1=15.986680&amp;VAR:V=16.124028&amp;VAR:AUDIT_ID=00000117&amp;VAR:DATE=19961206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Aggregates&amp;VAR:MEASURE=PE_MEAN&amp;VAR:CALC_MODE=PORTFOLIO&amp;VAR:CHGPERIOD=NA&amp;VAR:FQLFORMULA=FMA_PE&amp;VAR:CURRENCY=USD&amp;VAR:P=7","39.600000&amp;VAR:THRESH=||||||&amp;VAR:null=.html"}</definedName>
    <definedName name="_724__FDSAUDITLINK__" hidden="1">{"fdsup://directions/FAT%20Viewer?VAR:TM=NTMA&amp;VAR:PCT=0.087432&amp;VAR:Y0=1996&amp;VAR:Y1=1997&amp;VAR:V0=18.746582&amp;VAR:V1=16.419083&amp;VAR:V=16.599271&amp;VAR:AUDIT_ID=00000117&amp;VAR:DATE=19961129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Aggregates&amp;VAR:MEASURE=PE_MEAN&amp;VAR:CALC_MODE=PORTFOLIO&amp;VAR:CHGPERIOD=NA&amp;VAR:FQLFORMULA=FMA_PE&amp;VAR:CURRENCY=USD&amp;VAR:P=7","57.020000&amp;VAR:THRESH=||||||&amp;VAR:null=.html"}</definedName>
    <definedName name="_725__FDSAUDITLINK__" hidden="1">{"fdsup://directions/FAT%20Viewer?VAR:TM=NTMA&amp;VAR:PCT=0.106557&amp;VAR:Y0=1996&amp;VAR:Y1=1997&amp;VAR:V0=18.512510&amp;VAR:V1=16.209160&amp;VAR:V=16.426949&amp;VAR:AUDIT_ID=00000117&amp;VAR:DATE=19961122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Aggregates&amp;VAR:MEASURE=PE_MEAN&amp;VAR:CALC_MODE=PORTFOLIO&amp;VAR:CHGPERIOD=NA&amp;VAR:FQLFORMULA=FMA_PE&amp;VAR:CURRENCY=USD&amp;VAR:P=7","48.730000&amp;VAR:THRESH=||||||&amp;VAR:null=.html"}</definedName>
    <definedName name="_726__FDSAUDITLINK__" hidden="1">{"fdsup://directions/FAT%20Viewer?VAR:TM=NTMA&amp;VAR:PCT=0.125683&amp;VAR:Y0=1996&amp;VAR:Y1=1997&amp;VAR:V0=18.201450&amp;VAR:V1=15.982831&amp;VAR:V=16.231494&amp;VAR:AUDIT_ID=00000117&amp;VAR:DATE=19961115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Aggregates&amp;VAR:MEASURE=PE_MEAN&amp;VAR:CALC_MODE=PORTFOLIO&amp;VAR:CHGPERIOD=NA&amp;VAR:FQLFORMULA=FMA_PE&amp;VAR:CURRENCY=USD&amp;VAR:P=7","37.620000&amp;VAR:THRESH=||||||&amp;VAR:null=.html"}</definedName>
    <definedName name="_727__FDSAUDITLINK__" hidden="1">{"fdsup://directions/FAT%20Viewer?VAR:TM=NTMA&amp;VAR:PCT=0.144809&amp;VAR:Y0=1996&amp;VAR:Y1=1997&amp;VAR:V0=18.046917&amp;VAR:V1=15.863919&amp;VAR:V=16.146752&amp;VAR:AUDIT_ID=00000117&amp;VAR:DATE=19961108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Aggregates&amp;VAR:MEASURE=PE_MEAN&amp;VAR:CALC_MODE=PORTFOLIO&amp;VAR:CHGPERIOD=NA&amp;VAR:FQLFORMULA=FMA_PE&amp;VAR:CURRENCY=USD&amp;VAR:P=7","30.820000&amp;VAR:THRESH=||||||&amp;VAR:null=.html"}</definedName>
    <definedName name="_728__FDSAUDITLINK__" hidden="1">{"fdsup://directions/FAT%20Viewer?VAR:TM=NTMA&amp;VAR:PCT=0.163934&amp;VAR:Y0=1996&amp;VAR:Y1=1997&amp;VAR:V0=17.367628&amp;VAR:V1=15.272341&amp;VAR:V=15.580485&amp;VAR:AUDIT_ID=00000117&amp;VAR:DATE=19961101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Aggregates&amp;VAR:MEASURE=PE_MEAN&amp;VAR:CALC_MODE=PORTFOLIO&amp;VAR:CHGPERIOD=NA&amp;VAR:FQLFORMULA=FMA_PE&amp;VAR:CURRENCY=USD&amp;VAR:P=7","03.770000&amp;VAR:THRESH=||||||&amp;VAR:null=.html"}</definedName>
    <definedName name="_729__FDSAUDITLINK__" hidden="1">{"fdsup://directions/FAT%20Viewer?VAR:TM=NTMA&amp;VAR:PCT=0.183060&amp;VAR:Y0=1996&amp;VAR:Y1=1997&amp;VAR:V0=17.276660&amp;VAR:V1=15.185528&amp;VAR:V=15.529621&amp;VAR:AUDIT_ID=00000117&amp;VAR:DATE=19961025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Aggregates&amp;VAR:MEASURE=PE_MEAN&amp;VAR:CALC_MODE=PORTFOLIO&amp;VAR:CHGPERIOD=NA&amp;VAR:FQLFORMULA=FMA_PE&amp;VAR:CURRENCY=USD&amp;VAR:P=7","00.920000&amp;VAR:THRESH=||||||&amp;VAR:null=.html"}</definedName>
    <definedName name="_73__FDSAUDITLINK__" hidden="1">{"fdsup://directions/FAT%20Viewer?VAR:TM=NTMA&amp;VAR:PCT=0.610959&amp;VAR:Y0=2009&amp;VAR:Y1=2010&amp;VAR:V0=15.477050&amp;VAR:V1=12.080042&amp;VAR:V=13.950809&amp;VAR:AUDIT_ID=00000117&amp;VAR:DATE=20090522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Aggregates&amp;VAR:MEASURE=PE_MEAN&amp;VAR:CALC_MODE=PORTFOLIO&amp;VAR:CHGPERIOD=NA&amp;VAR:FQLFORMULA=FMA_PE&amp;VAR:CURRENCY=USD&amp;VAR:P=8","87.001450&amp;VAR:THRESH=||||||&amp;VAR:null=.html"}</definedName>
    <definedName name="_730__FDSAUDITLINK__" hidden="1">{"fdsup://directions/FAT%20Viewer?VAR:TM=NTMA&amp;VAR:PCT=0.202186&amp;VAR:Y0=1996&amp;VAR:Y1=1997&amp;VAR:V0=17.493124&amp;VAR:V1=15.400206&amp;VAR:V=15.781972&amp;VAR:AUDIT_ID=00000117&amp;VAR:DATE=19961018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Aggregates&amp;VAR:MEASURE=PE_MEAN&amp;VAR:CALC_MODE=PORTFOLIO&amp;VAR:CHGPERIOD=NA&amp;VAR:FQLFORMULA=FMA_PE&amp;VAR:CURRENCY=USD&amp;VAR:P=7","10.820000&amp;VAR:THRESH=||||||&amp;VAR:null=.html"}</definedName>
    <definedName name="_731__FDSAUDITLINK__" hidden="1">{"fdsup://directions/FAT%20Viewer?VAR:TM=NTMA&amp;VAR:PCT=0.221311&amp;VAR:Y0=1996&amp;VAR:Y1=1997&amp;VAR:V0=17.224405&amp;VAR:V1=15.160292&amp;VAR:V=15.573315&amp;VAR:AUDIT_ID=00000117&amp;VAR:DATE=19961011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Aggregates&amp;VAR:MEASURE=PE_MEAN&amp;VAR:CALC_MODE=PORTFOLIO&amp;VAR:CHGPERIOD=NA&amp;VAR:FQLFORMULA=FMA_PE&amp;VAR:CURRENCY=USD&amp;VAR:P=7","00.660000&amp;VAR:THRESH=||||||&amp;VAR:null=.html"}</definedName>
    <definedName name="_732__FDSAUDITLINK__" hidden="1">{"fdsup://directions/FAT%20Viewer?VAR:TM=NTMA&amp;VAR:PCT=0.240437&amp;VAR:Y0=1996&amp;VAR:Y1=1997&amp;VAR:V0=17.202055&amp;VAR:V1=15.110502&amp;VAR:V=15.565547&amp;VAR:AUDIT_ID=00000117&amp;VAR:DATE=19961004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Aggregates&amp;VAR:MEASURE=PE_MEAN&amp;VAR:CALC_MODE=PORTFOLIO&amp;VAR:CHGPERIOD=NA&amp;VAR:FQLFORMULA=FMA_PE&amp;VAR:CURRENCY=USD&amp;VAR:P=7","01.460000&amp;VAR:THRESH=||||||&amp;VAR:null=.html"}</definedName>
    <definedName name="_733__FDSAUDITLINK__" hidden="1">{"fdsup://directions/FAT%20Viewer?VAR:TM=NTMA&amp;VAR:PCT=0.259563&amp;VAR:Y0=1996&amp;VAR:Y1=1997&amp;VAR:V0=16.825851&amp;VAR:V1=14.569608&amp;VAR:V=15.095001&amp;VAR:AUDIT_ID=00000117&amp;VAR:DATE=19960927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Aggregates&amp;VAR:MEASURE=PE_MEAN&amp;VAR:CALC_MODE=PORTFOLIO&amp;VAR:CHGPERIOD=NA&amp;VAR:FQLFORMULA=FMA_PE&amp;VAR:CURRENCY=USD&amp;VAR:P=6","86.190000&amp;VAR:THRESH=||||||&amp;VAR:null=.html"}</definedName>
    <definedName name="_734__FDSAUDITLINK__" hidden="1">{"fdsup://directions/FAT%20Viewer?VAR:TM=NTMA&amp;VAR:PCT=0.278689&amp;VAR:Y0=1996&amp;VAR:Y1=1997&amp;VAR:V0=16.833162&amp;VAR:V1=14.589756&amp;VAR:V=15.152547&amp;VAR:AUDIT_ID=00000117&amp;VAR:DATE=19960920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Aggregates&amp;VAR:MEASURE=PE_MEAN&amp;VAR:CALC_MODE=PORTFOLIO&amp;VAR:CHGPERIOD=NA&amp;VAR:FQLFORMULA=FMA_PE&amp;VAR:CURRENCY=USD&amp;VAR:P=6","87.030000&amp;VAR:THRESH=||||||&amp;VAR:null=.html"}</definedName>
    <definedName name="_735__FDSAUDITLINK__" hidden="1">{"fdsup://directions/FAT%20Viewer?VAR:TM=NTMA&amp;VAR:PCT=0.297814&amp;VAR:Y0=1996&amp;VAR:Y1=1997&amp;VAR:V0=16.675467&amp;VAR:V1=14.500977&amp;VAR:V=15.086878&amp;VAR:AUDIT_ID=00000117&amp;VAR:DATE=19960913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Aggregates&amp;VAR:MEASURE=PE_MEAN&amp;VAR:CALC_MODE=PORTFOLIO&amp;VAR:CHGPERIOD=NA&amp;VAR:FQLFORMULA=FMA_PE&amp;VAR:CURRENCY=USD&amp;VAR:P=6","80.540000&amp;VAR:THRESH=||||||&amp;VAR:null=.html"}</definedName>
    <definedName name="_736__FDSAUDITLINK__" hidden="1">{"fdsup://directions/FAT%20Viewer?VAR:TM=NTMA&amp;VAR:PCT=0.316940&amp;VAR:Y0=1996&amp;VAR:Y1=1997&amp;VAR:V0=16.019358&amp;VAR:V1=13.857076&amp;VAR:V=14.476380&amp;VAR:AUDIT_ID=00000117&amp;VAR:DATE=19960906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Aggregates&amp;VAR:MEASURE=PE_MEAN&amp;VAR:CALC_MODE=PORTFOLIO&amp;VAR:CHGPERIOD=NA&amp;VAR:FQLFORMULA=FMA_PE&amp;VAR:CURRENCY=USD&amp;VAR:P=6","55.680000&amp;VAR:THRESH=||||||&amp;VAR:null=.html"}</definedName>
    <definedName name="_737__FDSAUDITLINK__" hidden="1">{"fdsup://directions/FAT%20Viewer?VAR:TM=NTMA&amp;VAR:PCT=0.336066&amp;VAR:Y0=1996&amp;VAR:Y1=1997&amp;VAR:V0=15.868505&amp;VAR:V1=13.751290&amp;VAR:V=14.396825&amp;VAR:AUDIT_ID=00000117&amp;VAR:DATE=19960830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Aggregates&amp;VAR:MEASURE=PE_MEAN&amp;VAR:CALC_MODE=PORTFOLIO&amp;VAR:CHGPERIOD=NA&amp;VAR:FQLFORMULA=FMA_PE&amp;VAR:CURRENCY=USD&amp;VAR:P=6","51.990000&amp;VAR:THRESH=||||||&amp;VAR:null=.html"}</definedName>
    <definedName name="_738__FDSAUDITLINK__" hidden="1">{"fdsup://directions/FAT%20Viewer?VAR:TM=NTMA&amp;VAR:PCT=0.355191&amp;VAR:Y0=1996&amp;VAR:Y1=1997&amp;VAR:V0=16.222950&amp;VAR:V1=14.037538&amp;VAR:V=14.742962&amp;VAR:AUDIT_ID=00000117&amp;VAR:DATE=19960823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Aggregates&amp;VAR:MEASURE=PE_MEAN&amp;VAR:CALC_MODE=PORTFOLIO&amp;VAR:CHGPERIOD=NA&amp;VAR:FQLFORMULA=FMA_PE&amp;VAR:CURRENCY=USD&amp;VAR:P=6","67.030000&amp;VAR:THRESH=||||||&amp;VAR:null=.html"}</definedName>
    <definedName name="_739__FDSAUDITLINK__" hidden="1">{"fdsup://directions/FAT%20Viewer?VAR:TM=NTMA&amp;VAR:PCT=0.374317&amp;VAR:Y0=1996&amp;VAR:Y1=1997&amp;VAR:V0=16.128729&amp;VAR:V1=13.965504&amp;VAR:V=14.703693&amp;VAR:AUDIT_ID=00000117&amp;VAR:DATE=19960816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Aggregates&amp;VAR:MEASURE=PE_MEAN&amp;VAR:CALC_MODE=PORTFOLIO&amp;VAR:CHGPERIOD=NA&amp;VAR:FQLFORMULA=FMA_PE&amp;VAR:CURRENCY=USD&amp;VAR:P=6","65.210000&amp;VAR:THRESH=||||||&amp;VAR:null=.html"}</definedName>
    <definedName name="_74__FDSAUDITLINK__" hidden="1">{"fdsup://directions/FAT%20Viewer?VAR:TM=NTMA&amp;VAR:PCT=0.630137&amp;VAR:Y0=2009&amp;VAR:Y1=2010&amp;VAR:V0=15.352791&amp;VAR:V1=12.023758&amp;VAR:V=13.926641&amp;VAR:AUDIT_ID=00000117&amp;VAR:DATE=20090515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Aggregates&amp;VAR:MEASURE=PE_MEAN&amp;VAR:CALC_MODE=PORTFOLIO&amp;VAR:CHGPERIOD=NA&amp;VAR:FQLFORMULA=FMA_PE&amp;VAR:CURRENCY=USD&amp;VAR:P=8","82.875286&amp;VAR:THRESH=||||||&amp;VAR:null=.html"}</definedName>
    <definedName name="_740__FDSAUDITLINK__" hidden="1">{"fdsup://directions/FAT%20Viewer?VAR:TM=NTMA&amp;VAR:PCT=0.393443&amp;VAR:Y0=1996&amp;VAR:Y1=1997&amp;VAR:V0=15.986540&amp;VAR:V1=13.742837&amp;VAR:V=14.546063&amp;VAR:AUDIT_ID=00000117&amp;VAR:DATE=19960809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Aggregates&amp;VAR:MEASURE=PE_MEAN&amp;VAR:CALC_MODE=PORTFOLIO&amp;VAR:CHGPERIOD=NA&amp;VAR:FQLFORMULA=FMA_PE&amp;VAR:CURRENCY=USD&amp;VAR:P=6","62.100000&amp;VAR:THRESH=||||||&amp;VAR:null=.html"}</definedName>
    <definedName name="_741__FDSAUDITLINK__" hidden="1">{"fdsup://directions/FAT%20Viewer?VAR:TM=NTMA&amp;VAR:PCT=0.412568&amp;VAR:Y0=1996&amp;VAR:Y1=1997&amp;VAR:V0=15.988765&amp;VAR:V1=13.723249&amp;VAR:V=14.575300&amp;VAR:AUDIT_ID=00000117&amp;VAR:DATE=19960802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Aggregates&amp;VAR:MEASURE=PE_MEAN&amp;VAR:CALC_MODE=PORTFOLIO&amp;VAR:CHGPERIOD=NA&amp;VAR:FQLFORMULA=FMA_PE&amp;VAR:CURRENCY=USD&amp;VAR:P=6","62.490000&amp;VAR:THRESH=||||||&amp;VAR:null=.html"}</definedName>
    <definedName name="_742__FDSAUDITLINK__" hidden="1">{"fdsup://directions/FAT%20Viewer?VAR:TM=NTMA&amp;VAR:PCT=0.431694&amp;VAR:Y0=1996&amp;VAR:Y1=1997&amp;VAR:V0=15.339868&amp;VAR:V1=13.180616&amp;VAR:V=14.033361&amp;VAR:AUDIT_ID=00000117&amp;VAR:DATE=19960726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Aggregates&amp;VAR:MEASURE=PE_MEAN&amp;VAR:CALC_MODE=PORTFOLIO&amp;VAR:CHGPERIOD=NA&amp;VAR:FQLFORMULA=FMA_PE&amp;VAR:CURRENCY=USD&amp;VAR:P=6","35.900000&amp;VAR:THRESH=||||||&amp;VAR:null=.html"}</definedName>
    <definedName name="_743__FDSAUDITLINK__" hidden="1">{"fdsup://directions/FAT%20Viewer?VAR:TM=NTMA&amp;VAR:PCT=0.450820&amp;VAR:Y0=1996&amp;VAR:Y1=1997&amp;VAR:V0=15.482916&amp;VAR:V1=13.345491&amp;VAR:V=14.231181&amp;VAR:AUDIT_ID=00000117&amp;VAR:DATE=19960719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Aggregates&amp;VAR:MEASURE=PE_MEAN&amp;VAR:CALC_MODE=PORTFOLIO&amp;VAR:CHGPERIOD=NA&amp;VAR:FQLFORMULA=FMA_PE&amp;VAR:CURRENCY=USD&amp;VAR:P=6","38.730000&amp;VAR:THRESH=||||||&amp;VAR:null=.html"}</definedName>
    <definedName name="_744__FDSAUDITLINK__" hidden="1">{"fdsup://directions/FAT%20Viewer?VAR:TM=NTMA&amp;VAR:PCT=0.469945&amp;VAR:Y0=1996&amp;VAR:Y1=1997&amp;VAR:V0=15.626603&amp;VAR:V1=13.457999&amp;VAR:V=14.396928&amp;VAR:AUDIT_ID=00000117&amp;VAR:DATE=19960712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Aggregates&amp;VAR:MEASURE=PE_MEAN&amp;VAR:CALC_MODE=PORTFOLIO&amp;VAR:CHGPERIOD=NA&amp;VAR:FQLFORMULA=FMA_PE&amp;VAR:CURRENCY=USD&amp;VAR:P=6","46.190000&amp;VAR:THRESH=||||||&amp;VAR:null=.html"}</definedName>
    <definedName name="_745__FDSAUDITLINK__" hidden="1">{"fdsup://directions/FAT%20Viewer?VAR:TM=NTMA&amp;VAR:PCT=0.489071&amp;VAR:Y0=1996&amp;VAR:Y1=1997&amp;VAR:V0=15.899238&amp;VAR:V1=13.627922&amp;VAR:V=14.651587&amp;VAR:AUDIT_ID=00000117&amp;VAR:DATE=19960705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Aggregates&amp;VAR:MEASURE=PE_MEAN&amp;VAR:CALC_MODE=PORTFOLIO&amp;VAR:CHGPERIOD=NA&amp;VAR:FQLFORMULA=FMA_PE&amp;VAR:CURRENCY=USD&amp;VAR:P=6","57.440000&amp;VAR:THRESH=||||||&amp;VAR:null=.html"}</definedName>
    <definedName name="_746__FDSAUDITLINK__" hidden="1">{"fdsup://directions/FAT%20Viewer?VAR:TM=NTMA&amp;VAR:PCT=0.508197&amp;VAR:Y0=1996&amp;VAR:Y1=1997&amp;VAR:V0=16.196163&amp;VAR:V1=13.877958&amp;VAR:V=14.966626&amp;VAR:AUDIT_ID=00000117&amp;VAR:DATE=19960628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Aggregates&amp;VAR:MEASURE=PE_MEAN&amp;VAR:CALC_MODE=PORTFOLIO&amp;VAR:CHGPERIOD=NA&amp;VAR:FQLFORMULA=FMA_PE&amp;VAR:CURRENCY=USD&amp;VAR:P=6","70.630000&amp;VAR:THRESH=||||||&amp;VAR:null=.html"}</definedName>
    <definedName name="_747__FDSAUDITLINK__" hidden="1">{"fdsup://directions/FAT%20Viewer?VAR:TM=NTMA&amp;VAR:PCT=0.527322&amp;VAR:Y0=1996&amp;VAR:Y1=1997&amp;VAR:V0=16.093450&amp;VAR:V1=13.747923&amp;VAR:V=14.892472&amp;VAR:AUDIT_ID=00000117&amp;VAR:DATE=19960621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Aggregates&amp;VAR:MEASURE=PE_MEAN&amp;VAR:CALC_MODE=PORTFOLIO&amp;VAR:CHGPERIOD=NA&amp;VAR:FQLFORMULA=FMA_PE&amp;VAR:CURRENCY=USD&amp;VAR:P=6","66.840000&amp;VAR:THRESH=||||||&amp;VAR:null=.html"}</definedName>
    <definedName name="_748__FDSAUDITLINK__" hidden="1">{"fdsup://directions/FAT%20Viewer?VAR:TM=NTMA&amp;VAR:PCT=0.546448&amp;VAR:Y0=1996&amp;VAR:Y1=1997&amp;VAR:V0=16.035849&amp;VAR:V1=13.705853&amp;VAR:V=14.887932&amp;VAR:AUDIT_ID=00000117&amp;VAR:DATE=19960614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Aggregates&amp;VAR:MEASURE=PE_MEAN&amp;VAR:CALC_MODE=PORTFOLIO&amp;VAR:CHGPERIOD=NA&amp;VAR:FQLFORMULA=FMA_PE&amp;VAR:CURRENCY=USD&amp;VAR:P=6","65.850000&amp;VAR:THRESH=||||||&amp;VAR:null=.html"}</definedName>
    <definedName name="_749__FDSAUDITLINK__" hidden="1">{"fdsup://directions/FAT%20Viewer?VAR:TM=NTMA&amp;VAR:PCT=0.565574&amp;VAR:Y0=1996&amp;VAR:Y1=1997&amp;VAR:V0=16.181032&amp;VAR:V1=13.821888&amp;VAR:V=15.064053&amp;VAR:AUDIT_ID=00000117&amp;VAR:DATE=19960607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Aggregates&amp;VAR:MEASURE=PE_MEAN&amp;VAR:CALC_MODE=PORTFOLIO&amp;VAR:CHGPERIOD=NA&amp;VAR:FQLFORMULA=FMA_PE&amp;VAR:CURRENCY=USD&amp;VAR:P=6","73.310000&amp;VAR:THRESH=||||||&amp;VAR:null=.html"}</definedName>
    <definedName name="_75__FDSAUDITLINK__" hidden="1">{"fdsup://directions/FAT%20Viewer?VAR:TM=NTMA&amp;VAR:PCT=0.649315&amp;VAR:Y0=2009&amp;VAR:Y1=2010&amp;VAR:V0=16.097534&amp;VAR:V1=12.627748&amp;VAR:V=14.682717&amp;VAR:AUDIT_ID=00000117&amp;VAR:DATE=20090508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Aggregates&amp;VAR:MEASURE=PE_MEAN&amp;VAR:CALC_MODE=PORTFOLIO&amp;VAR:CHGPERIOD=NA&amp;VAR:FQLFORMULA=FMA_PE&amp;VAR:CURRENCY=USD&amp;VAR:P=9","29.231057&amp;VAR:THRESH=||||||&amp;VAR:null=.html"}</definedName>
    <definedName name="_750__FDSAUDITLINK__" hidden="1">{"fdsup://directions/FAT%20Viewer?VAR:TM=NTMA&amp;VAR:PCT=0.584699&amp;VAR:Y0=1996&amp;VAR:Y1=1997&amp;VAR:V0=16.040970&amp;VAR:V1=13.707253&amp;VAR:V=14.981667&amp;VAR:AUDIT_ID=00000117&amp;VAR:DATE=19960531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Aggregates&amp;VAR:MEASURE=PE_MEAN&amp;VAR:CALC_MODE=PORTFOLIO&amp;VAR:CHGPERIOD=NA&amp;VAR:FQLFORMULA=FMA_PE&amp;VAR:CURRENCY=USD&amp;VAR:P=6","69.120000&amp;VAR:THRESH=||||||&amp;VAR:null=.html"}</definedName>
    <definedName name="_751__FDSAUDITLINK__" hidden="1">{"fdsup://directions/FAT%20Viewer?VAR:TM=NTMA&amp;VAR:PCT=0.603825&amp;VAR:Y0=1996&amp;VAR:Y1=1997&amp;VAR:V0=16.287312&amp;VAR:V1=13.928443&amp;VAR:V=15.263230&amp;VAR:AUDIT_ID=00000117&amp;VAR:DATE=19960524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Aggregates&amp;VAR:MEASURE=PE_MEAN&amp;VAR:CALC_MODE=PORTFOLIO&amp;VAR:CHGPERIOD=NA&amp;VAR:FQLFORMULA=FMA_PE&amp;VAR:CURRENCY=USD&amp;VAR:P=6","78.510000&amp;VAR:THRESH=||||||&amp;VAR:null=.html"}</definedName>
    <definedName name="_752__FDSAUDITLINK__" hidden="1">{"fdsup://directions/FAT%20Viewer?VAR:TM=NTMA&amp;VAR:PCT=0.622951&amp;VAR:Y0=1996&amp;VAR:Y1=1997&amp;VAR:V0=16.048475&amp;VAR:V1=13.718746&amp;VAR:V=15.082716&amp;VAR:AUDIT_ID=00000117&amp;VAR:DATE=19960517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Aggregates&amp;VAR:MEASURE=PE_MEAN&amp;VAR:CALC_MODE=PORTFOLIO&amp;VAR:CHGPERIOD=NA&amp;VAR:FQLFORMULA=FMA_PE&amp;VAR:CURRENCY=USD&amp;VAR:P=6","68.910000&amp;VAR:THRESH=||||||&amp;VAR:null=.html"}</definedName>
    <definedName name="_753__FDSAUDITLINK__" hidden="1">{"fdsup://directions/FAT%20Viewer?VAR:TM=NTMA&amp;VAR:PCT=0.642077&amp;VAR:Y0=1996&amp;VAR:Y1=1997&amp;VAR:V0=15.622443&amp;VAR:V1=13.351965&amp;VAR:V=14.726147&amp;VAR:AUDIT_ID=00000117&amp;VAR:DATE=19960510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Aggregates&amp;VAR:MEASURE=PE_MEAN&amp;VAR:CALC_MODE=PORTFOLIO&amp;VAR:CHGPERIOD=NA&amp;VAR:FQLFORMULA=FMA_PE&amp;VAR:CURRENCY=USD&amp;VAR:P=6","52.090000&amp;VAR:THRESH=||||||&amp;VAR:null=.html"}</definedName>
    <definedName name="_754__FDSAUDITLINK__" hidden="1">{"fdsup://directions/FAT%20Viewer?VAR:TM=NTMA&amp;VAR:PCT=0.661202&amp;VAR:Y0=1996&amp;VAR:Y1=1997&amp;VAR:V0=15.364145&amp;VAR:V1=13.169725&amp;VAR:V=14.543147&amp;VAR:AUDIT_ID=00000117&amp;VAR:DATE=19960503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Aggregates&amp;VAR:MEASURE=PE_MEAN&amp;VAR:CALC_MODE=PORTFOLIO&amp;VAR:CHGPERIOD=NA&amp;VAR:FQLFORMULA=FMA_PE&amp;VAR:CURRENCY=USD&amp;VAR:P=6","41.630000&amp;VAR:THRESH=||||||&amp;VAR:null=.html"}</definedName>
    <definedName name="_755__FDSAUDITLINK__" hidden="1">{"fdsup://directions/FAT%20Viewer?VAR:TM=NTMA&amp;VAR:PCT=0.680328&amp;VAR:Y0=1996&amp;VAR:Y1=1997&amp;VAR:V0=15.671145&amp;VAR:V1=13.380736&amp;VAR:V=14.858124&amp;VAR:AUDIT_ID=00000117&amp;VAR:DATE=19960426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Aggregates&amp;VAR:MEASURE=PE_MEAN&amp;VAR:CALC_MODE=PORTFOLIO&amp;VAR:CHGPERIOD=NA&amp;VAR:FQLFORMULA=FMA_PE&amp;VAR:CURRENCY=USD&amp;VAR:P=6","53.460000&amp;VAR:THRESH=||||||&amp;VAR:null=.html"}</definedName>
    <definedName name="_756__FDSAUDITLINK__" hidden="1">{"fdsup://directions/FAT%20Viewer?VAR:TM=NTMA&amp;VAR:PCT=0.699454&amp;VAR:Y0=1996&amp;VAR:Y1=1997&amp;VAR:V0=15.500672&amp;VAR:V1=13.274066&amp;VAR:V=14.756727&amp;VAR:AUDIT_ID=00000117&amp;VAR:DATE=19960419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Aggregates&amp;VAR:MEASURE=PE_MEAN&amp;VAR:CALC_MODE=PORTFOLIO&amp;VAR:CHGPERIOD=NA&amp;VAR:FQLFORMULA=FMA_PE&amp;VAR:CURRENCY=USD&amp;VAR:P=6","45.070000&amp;VAR:THRESH=||||||&amp;VAR:null=.html"}</definedName>
    <definedName name="_757__FDSAUDITLINK__" hidden="1">{"fdsup://directions/FAT%20Viewer?VAR:TM=NTMA&amp;VAR:PCT=0.718579&amp;VAR:Y0=1996&amp;VAR:Y1=1997&amp;VAR:V0=15.279149&amp;VAR:V1=13.153998&amp;VAR:V=14.614676&amp;VAR:AUDIT_ID=00000117&amp;VAR:DATE=19960412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Aggregates&amp;VAR:MEASURE=PE_MEAN&amp;VAR:CALC_MODE=PORTFOLIO&amp;VAR:CHGPERIOD=NA&amp;VAR:FQLFORMULA=FMA_PE&amp;VAR:CURRENCY=USD&amp;VAR:P=6","36.710000&amp;VAR:THRESH=||||||&amp;VAR:null=.html"}</definedName>
    <definedName name="_758__FDSAUDITLINK__" hidden="1">{"fdsup://directions/FAT%20Viewer?VAR:TM=NTMA&amp;VAR:PCT=0.740437&amp;VAR:Y0=1996&amp;VAR:Y1=1997&amp;VAR:V0=15.753525&amp;VAR:V1=13.560270&amp;VAR:V=15.118807&amp;VAR:AUDIT_ID=00000117&amp;VAR:DATE=19960404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Aggregates&amp;VAR:MEASURE=PE_MEAN&amp;VAR:CALC_MODE=PORTFOLIO&amp;VAR:CHGPERIOD=NA&amp;VAR:FQLFORMULA=FMA_PE&amp;VAR:CURRENCY=USD&amp;VAR:P=6","55.860000&amp;VAR:THRESH=||||||&amp;VAR:null=.html"}</definedName>
    <definedName name="_759__FDSAUDITLINK__" hidden="1">{"fdsup://directions/FAT%20Viewer?VAR:TM=NTMA&amp;VAR:PCT=0.756831&amp;VAR:Y0=1996&amp;VAR:Y1=1997&amp;VAR:V0=15.518269&amp;VAR:V1=13.329700&amp;VAR:V=14.922483&amp;VAR:AUDIT_ID=00000117&amp;VAR:DATE=19960329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Aggregates&amp;VAR:MEASURE=PE_MEAN&amp;VAR:CALC_MODE=PORTFOLIO&amp;VAR:CHGPERIOD=NA&amp;VAR:FQLFORMULA=FMA_PE&amp;VAR:CURRENCY=USD&amp;VAR:P=6","45.500000&amp;VAR:THRESH=||||||&amp;VAR:null=.html"}</definedName>
    <definedName name="_76__FDSAUDITLINK__" hidden="1">{"fdsup://directions/FAT%20Viewer?VAR:TM=NTMA&amp;VAR:PCT=0.668493&amp;VAR:Y0=2009&amp;VAR:Y1=2010&amp;VAR:V0=15.046494&amp;VAR:V1=11.883936&amp;VAR:V=13.826693&amp;VAR:AUDIT_ID=00000117&amp;VAR:DATE=20090501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Aggregates&amp;VAR:MEASURE=PE_MEAN&amp;VAR:CALC_MODE=PORTFOLIO&amp;VAR:CHGPERIOD=NA&amp;VAR:FQLFORMULA=FMA_PE&amp;VAR:CURRENCY=USD&amp;VAR:P=8","77.522986&amp;VAR:THRESH=||||||&amp;VAR:null=.html"}</definedName>
    <definedName name="_760__FDSAUDITLINK__" hidden="1">{"fdsup://directions/FAT%20Viewer?VAR:TM=NTMA&amp;VAR:PCT=0.775956&amp;VAR:Y0=1996&amp;VAR:Y1=1997&amp;VAR:V0=15.532405&amp;VAR:V1=13.394361&amp;VAR:V=14.996107&amp;VAR:AUDIT_ID=00000117&amp;VAR:DATE=19960322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Aggregates&amp;VAR:MEASURE=PE_MEAN&amp;VAR:CALC_MODE=PORTFOLIO&amp;VAR:CHGPERIOD=NA&amp;VAR:FQLFORMULA=FMA_PE&amp;VAR:CURRENCY=USD&amp;VAR:P=6","50.620000&amp;VAR:THRESH=||||||&amp;VAR:null=.html"}</definedName>
    <definedName name="_761__FDSAUDITLINK__" hidden="1">{"fdsup://directions/FAT%20Viewer?VAR:TM=NTMA&amp;VAR:PCT=0.795082&amp;VAR:Y0=1996&amp;VAR:Y1=1997&amp;VAR:V0=15.238716&amp;VAR:V1=13.176095&amp;VAR:V=14.765076&amp;VAR:AUDIT_ID=00000117&amp;VAR:DATE=19960315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Aggregates&amp;VAR:MEASURE=PE_MEAN&amp;VAR:CALC_MODE=PORTFOLIO&amp;VAR:CHGPERIOD=NA&amp;VAR:FQLFORMULA=FMA_PE&amp;VAR:CURRENCY=USD&amp;VAR:P=6","41.430000&amp;VAR:THRESH=||||||&amp;VAR:null=.html"}</definedName>
    <definedName name="_762__FDSAUDITLINK__" hidden="1">{"fdsup://directions/FAT%20Viewer?VAR:TM=NTMA&amp;VAR:PCT=0.814208&amp;VAR:Y0=1996&amp;VAR:Y1=1997&amp;VAR:V0=14.994933&amp;VAR:V1=13.126389&amp;VAR:V=14.608572&amp;VAR:AUDIT_ID=00000117&amp;VAR:DATE=19960308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Aggregates&amp;VAR:MEASURE=PE_MEAN&amp;VAR:CALC_MODE=PORTFOLIO&amp;VAR:CHGPERIOD=NA&amp;VAR:FQLFORMULA=FMA_PE&amp;VAR:CURRENCY=USD&amp;VAR:P=6","33.500000&amp;VAR:THRESH=||||||&amp;VAR:null=.html"}</definedName>
    <definedName name="_763__FDSAUDITLINK__" hidden="1">{"fdsup://directions/FAT%20Viewer?VAR:TM=NTMA&amp;VAR:PCT=0.833333&amp;VAR:Y0=1996&amp;VAR:Y1=1997&amp;VAR:V0=15.236732&amp;VAR:V1=13.392927&amp;VAR:V=14.894967&amp;VAR:AUDIT_ID=00000117&amp;VAR:DATE=19960301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Aggregates&amp;VAR:MEASURE=PE_MEAN&amp;VAR:CALC_MODE=PORTFOLIO&amp;VAR:CHGPERIOD=NA&amp;VAR:FQLFORMULA=FMA_PE&amp;VAR:CURRENCY=USD&amp;VAR:P=6","44.370000&amp;VAR:THRESH=||||||&amp;VAR:null=.html"}</definedName>
    <definedName name="_764__FDSAUDITLINK__" hidden="1">{"fdsup://directions/FAT%20Viewer?VAR:TM=NTMA&amp;VAR:PCT=0.852459&amp;VAR:Y0=1996&amp;VAR:Y1=1997&amp;VAR:V0=15.523462&amp;VAR:V1=13.663777&amp;VAR:V=15.217875&amp;VAR:AUDIT_ID=00000117&amp;VAR:DATE=19960223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Aggregates&amp;VAR:MEASURE=PE_MEAN&amp;VAR:CALC_MODE=PORTFOLIO&amp;VAR:CHGPERIOD=NA&amp;VAR:FQLFORMULA=FMA_PE&amp;VAR:CURRENCY=USD&amp;VAR:P=6","59.080000&amp;VAR:THRESH=||||||&amp;VAR:null=.html"}</definedName>
    <definedName name="_765__FDSAUDITLINK__" hidden="1">{"fdsup://directions/FAT%20Viewer?VAR:TM=NTMA&amp;VAR:PCT=0.871585&amp;VAR:Y0=1996&amp;VAR:Y1=1997&amp;VAR:V0=15.232054&amp;VAR:V1=13.394354&amp;VAR:V=14.968334&amp;VAR:AUDIT_ID=00000117&amp;VAR:DATE=19960216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Aggregates&amp;VAR:MEASURE=PE_MEAN&amp;VAR:CALC_MODE=PORTFOLIO&amp;VAR:CHGPERIOD=NA&amp;VAR:FQLFORMULA=FMA_PE&amp;VAR:CURRENCY=USD&amp;VAR:P=6","47.980000&amp;VAR:THRESH=||||||&amp;VAR:null=.html"}</definedName>
    <definedName name="_766__FDSAUDITLINK__" hidden="1">{"fdsup://directions/FAT%20Viewer?VAR:TM=NTMA&amp;VAR:PCT=0.890710&amp;VAR:Y0=1996&amp;VAR:Y1=1997&amp;VAR:V0=15.416817&amp;VAR:V1=13.541476&amp;VAR:V=15.186957&amp;VAR:AUDIT_ID=00000117&amp;VAR:DATE=19960209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Aggregates&amp;VAR:MEASURE=PE_MEAN&amp;VAR:CALC_MODE=PORTFOLIO&amp;VAR:CHGPERIOD=NA&amp;VAR:FQLFORMULA=FMA_PE&amp;VAR:CURRENCY=USD&amp;VAR:P=6","56.370000&amp;VAR:THRESH=||||||&amp;VAR:null=.html"}</definedName>
    <definedName name="_767__FDSAUDITLINK__" hidden="1">{"fdsup://directions/FAT%20Viewer?VAR:TM=NTMA&amp;VAR:PCT=0.909836&amp;VAR:Y0=1996&amp;VAR:Y1=1997&amp;VAR:V0=14.884540&amp;VAR:V1=12.978873&amp;VAR:V=14.690064&amp;VAR:AUDIT_ID=00000117&amp;VAR:DATE=19960202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Aggregates&amp;VAR:MEASURE=PE_MEAN&amp;VAR:CALC_MODE=PORTFOLIO&amp;VAR:CHGPERIOD=NA&amp;VAR:FQLFORMULA=FMA_PE&amp;VAR:CURRENCY=USD&amp;VAR:P=6","35.840000&amp;VAR:THRESH=||||||&amp;VAR:null=.html"}</definedName>
    <definedName name="_768__FDSAUDITLINK__" hidden="1">{"fdsup://directions/FAT%20Viewer?VAR:TM=NTMA&amp;VAR:PCT=0.928962&amp;VAR:Y0=1996&amp;VAR:Y1=1997&amp;VAR:V0=14.522923&amp;VAR:V1=12.664258&amp;VAR:V=14.373071&amp;VAR:AUDIT_ID=00000117&amp;VAR:DATE=19960126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Aggregates&amp;VAR:MEASURE=PE_MEAN&amp;VAR:CALC_MODE=PORTFOLIO&amp;VAR:CHGPERIOD=NA&amp;VAR:FQLFORMULA=FMA_PE&amp;VAR:CURRENCY=USD&amp;VAR:P=6","21.620000&amp;VAR:THRESH=||||||&amp;VAR:null=.html"}</definedName>
    <definedName name="_769__FDSAUDITLINK__" hidden="1">{"fdsup://directions/FAT%20Viewer?VAR:TM=NTMA&amp;VAR:PCT=0.948087&amp;VAR:Y0=1996&amp;VAR:Y1=1997&amp;VAR:V0=14.223345&amp;VAR:V1=12.405931&amp;VAR:V=14.115993&amp;VAR:AUDIT_ID=00000117&amp;VAR:DATE=19960119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Aggregates&amp;VAR:MEASURE=PE_MEAN&amp;VAR:CALC_MODE=PORTFOLIO&amp;VAR:CHGPERIOD=NA&amp;VAR:FQLFORMULA=FMA_PE&amp;VAR:CURRENCY=USD&amp;VAR:P=6","11.830000&amp;VAR:THRESH=||||||&amp;VAR:null=.html"}</definedName>
    <definedName name="_77__FDSAUDITLINK__" hidden="1">{"fdsup://directions/FAT%20Viewer?VAR:TM=NTMA&amp;VAR:PCT=0.687671&amp;VAR:Y0=2009&amp;VAR:Y1=2010&amp;VAR:V0=14.798654&amp;VAR:V1=11.679909&amp;VAR:V=13.659488&amp;VAR:AUDIT_ID=00000117&amp;VAR:DATE=20090424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Aggregates&amp;VAR:MEASURE=PE_MEAN&amp;VAR:CALC_MODE=PORTFOLIO&amp;VAR:CHGPERIOD=NA&amp;VAR:FQLFORMULA=FMA_PE&amp;VAR:CURRENCY=USD&amp;VAR:P=8","66.229346&amp;VAR:THRESH=||||||&amp;VAR:null=.html"}</definedName>
    <definedName name="_770__FDSAUDITLINK__" hidden="1">{"fdsup://directions/FAT%20Viewer?VAR:TM=NTMA&amp;VAR:PCT=0.967213&amp;VAR:Y0=1996&amp;VAR:Y1=1997&amp;VAR:V0=13.940865&amp;VAR:V1=12.253038&amp;VAR:V=13.878187&amp;VAR:AUDIT_ID=00000117&amp;VAR:DATE=19960112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Aggregates&amp;VAR:MEASURE=PE_MEAN&amp;VAR:CALC_MODE=PORTFOLIO&amp;VAR:CHGPERIOD=NA&amp;VAR:FQLFORMULA=FMA_PE&amp;VAR:CURRENCY=USD&amp;VAR:P=6","01.810000&amp;VAR:THRESH=||||||&amp;VAR:null=.html"}</definedName>
    <definedName name="_771__FDSAUDITLINK__" hidden="1">{"fdsup://directions/FAT%20Viewer?VAR:TM=NTMA&amp;VAR:PCT=0.986339&amp;VAR:Y0=1996&amp;VAR:Y1=1997&amp;VAR:V0=14.095795&amp;VAR:V1=12.677446&amp;VAR:V=14.074284&amp;VAR:AUDIT_ID=00000117&amp;VAR:DATE=19960105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Aggregates&amp;VAR:MEASURE=PE_MEAN&amp;VAR:CALC_MODE=PORTFOLIO&amp;VAR:CHGPERIOD=NA&amp;VAR:FQLFORMULA=FMA_PE&amp;VAR:CURRENCY=USD&amp;VAR:P=6","16.710000&amp;VAR:THRESH=||||||&amp;VAR:null=.html"}</definedName>
    <definedName name="_772__FDSAUDITLINK__" hidden="1">{"fdsup://directions/FAT%20Viewer?VAR:TM=NTMA&amp;VAR:PCT=0.005479&amp;VAR:Y0=1995&amp;VAR:Y1=1996&amp;VAR:V0=16.091898&amp;VAR:V1=14.054860&amp;VAR:V=14.064616&amp;VAR:AUDIT_ID=00000117&amp;VAR:DATE=19951229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Aggregates&amp;VAR:MEASURE=PE_MEAN&amp;VAR:CALC_MODE=PORTFOLIO&amp;VAR:CHGPERIOD=NA&amp;VAR:FQLFORMULA=FMA_PE&amp;VAR:CURRENCY=USD&amp;VAR:P=6","15.930000&amp;VAR:THRESH=||||||&amp;VAR:null=.html"}</definedName>
    <definedName name="_773__FDSAUDITLINK__" hidden="1">{"fdsup://directions/FAT%20Viewer?VAR:TM=NTMA&amp;VAR:PCT=0.024658&amp;VAR:Y0=1995&amp;VAR:Y1=1996&amp;VAR:V0=15.966858&amp;VAR:V1=13.940268&amp;VAR:V=13.984033&amp;VAR:AUDIT_ID=00000117&amp;VAR:DATE=19951222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Aggregates&amp;VAR:MEASURE=PE_MEAN&amp;VAR:CALC_MODE=PORTFOLIO&amp;VAR:CHGPERIOD=NA&amp;VAR:FQLFORMULA=FMA_PE&amp;VAR:CURRENCY=USD&amp;VAR:P=6","11.960000&amp;VAR:THRESH=||||||&amp;VAR:null=.html"}</definedName>
    <definedName name="_774__FDSAUDITLINK__" hidden="1">{"fdsup://directions/FAT%20Viewer?VAR:TM=NTMA&amp;VAR:PCT=0.043836&amp;VAR:Y0=1995&amp;VAR:Y1=1996&amp;VAR:V0=16.093657&amp;VAR:V1=14.020300&amp;VAR:V=14.099928&amp;VAR:AUDIT_ID=00000117&amp;VAR:DATE=19951215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Aggregates&amp;VAR:MEASURE=PE_MEAN&amp;VAR:CALC_MODE=PORTFOLIO&amp;VAR:CHGPERIOD=NA&amp;VAR:FQLFORMULA=FMA_PE&amp;VAR:CURRENCY=USD&amp;VAR:P=6","16.340000&amp;VAR:THRESH=||||||&amp;VAR:null=.html"}</definedName>
    <definedName name="_775__FDSAUDITLINK__" hidden="1">{"fdsup://directions/FAT%20Viewer?VAR:TM=NTMA&amp;VAR:PCT=0.063014&amp;VAR:Y0=1995&amp;VAR:Y1=1996&amp;VAR:V0=16.147284&amp;VAR:V1=14.040824&amp;VAR:V=14.157201&amp;VAR:AUDIT_ID=00000117&amp;VAR:DATE=19951208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Aggregates&amp;VAR:MEASURE=PE_MEAN&amp;VAR:CALC_MODE=PORTFOLIO&amp;VAR:CHGPERIOD=NA&amp;VAR:FQLFORMULA=FMA_PE&amp;VAR:CURRENCY=USD&amp;VAR:P=6","17.480000&amp;VAR:THRESH=||||||&amp;VAR:null=.html"}</definedName>
    <definedName name="_776__FDSAUDITLINK__" hidden="1">{"fdsup://directions/FAT%20Viewer?VAR:TM=NTMA&amp;VAR:PCT=0.082192&amp;VAR:Y0=1995&amp;VAR:Y1=1996&amp;VAR:V0=15.823233&amp;VAR:V1=13.740918&amp;VAR:V=13.891169&amp;VAR:AUDIT_ID=00000117&amp;VAR:DATE=19951201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Aggregates&amp;VAR:MEASURE=PE_MEAN&amp;VAR:CALC_MODE=PORTFOLIO&amp;VAR:CHGPERIOD=NA&amp;VAR:FQLFORMULA=FMA_PE&amp;VAR:CURRENCY=USD&amp;VAR:P=6","06.980000&amp;VAR:THRESH=||||||&amp;VAR:null=.html"}</definedName>
    <definedName name="_777__FDSAUDITLINK__" hidden="1">{"fdsup://directions/FAT%20Viewer?VAR:TM=NTMA&amp;VAR:PCT=0.101370&amp;VAR:Y0=1995&amp;VAR:Y1=1996&amp;VAR:V0=15.742322&amp;VAR:V1=13.666557&amp;VAR:V=13.851706&amp;VAR:AUDIT_ID=00000117&amp;VAR:DATE=19951124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Aggregates&amp;VAR:MEASURE=PE_MEAN&amp;VAR:CALC_MODE=PORTFOLIO&amp;VAR:CHGPERIOD=NA&amp;VAR:FQLFORMULA=FMA_PE&amp;VAR:CURRENCY=USD&amp;VAR:P=5","99.970000&amp;VAR:THRESH=||||||&amp;VAR:null=.html"}</definedName>
    <definedName name="_778__FDSAUDITLINK__" hidden="1">{"fdsup://directions/FAT%20Viewer?VAR:TM=NTMA&amp;VAR:PCT=0.120548&amp;VAR:Y0=1995&amp;VAR:Y1=1996&amp;VAR:V0=15.722077&amp;VAR:V1=13.609901&amp;VAR:V=13.833941&amp;VAR:AUDIT_ID=00000117&amp;VAR:DATE=19951117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Aggregates&amp;VAR:MEASURE=PE_MEAN&amp;VAR:CALC_MODE=PORTFOLIO&amp;VAR:CHGPERIOD=NA&amp;VAR:FQLFORMULA=FMA_PE&amp;VAR:CURRENCY=USD&amp;VAR:P=6","00.070000&amp;VAR:THRESH=||||||&amp;VAR:null=.html"}</definedName>
    <definedName name="_779__FDSAUDITLINK__" hidden="1">{"fdsup://directions/FAT%20Viewer?VAR:TM=NTMA&amp;VAR:PCT=0.139726&amp;VAR:Y0=1995&amp;VAR:Y1=1996&amp;VAR:V0=15.445477&amp;VAR:V1=13.374765&amp;VAR:V=13.630091&amp;VAR:AUDIT_ID=00000117&amp;VAR:DATE=19951110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Aggregates&amp;VAR:MEASURE=PE_MEAN&amp;VAR:CALC_MODE=PORTFOLIO&amp;VAR:CHGPERIOD=NA&amp;VAR:FQLFORMULA=FMA_PE&amp;VAR:CURRENCY=USD&amp;VAR:P=5","92.720000&amp;VAR:THRESH=||||||&amp;VAR:null=.html"}</definedName>
    <definedName name="_78__FDSAUDITLINK__" hidden="1">{"fdsup://directions/FAT%20Viewer?VAR:TM=NTMA&amp;VAR:PCT=0.706849&amp;VAR:Y0=2009&amp;VAR:Y1=2010&amp;VAR:V0=14.679303&amp;VAR:V1=11.638740&amp;VAR:V=13.635072&amp;VAR:AUDIT_ID=00000117&amp;VAR:DATE=20090417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Aggregates&amp;VAR:MEASURE=PE_MEAN&amp;VAR:CALC_MODE=PORTFOLIO&amp;VAR:CHGPERIOD=NA&amp;VAR:FQLFORMULA=FMA_PE&amp;VAR:CURRENCY=USD&amp;VAR:P=8","69.595504&amp;VAR:THRESH=||||||&amp;VAR:null=.html"}</definedName>
    <definedName name="_780__FDSAUDITLINK__" hidden="1">{"fdsup://directions/FAT%20Viewer?VAR:TM=NTMA&amp;VAR:PCT=0.158904&amp;VAR:Y0=1995&amp;VAR:Y1=1996&amp;VAR:V0=15.354518&amp;VAR:V1=13.317646&amp;VAR:V=13.604422&amp;VAR:AUDIT_ID=00000117&amp;VAR:DATE=19951103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Aggregates&amp;VAR:MEASURE=PE_MEAN&amp;VAR:CALC_MODE=PORTFOLIO&amp;VAR:CHGPERIOD=NA&amp;VAR:FQLFORMULA=FMA_PE&amp;VAR:CURRENCY=USD&amp;VAR:P=5","90.570000&amp;VAR:THRESH=||||||&amp;VAR:null=.html"}</definedName>
    <definedName name="_781__FDSAUDITLINK__" hidden="1">{"fdsup://directions/FAT%20Viewer?VAR:TM=NTMA&amp;VAR:PCT=0.178082&amp;VAR:Y0=1995&amp;VAR:Y1=1996&amp;VAR:V0=15.156100&amp;VAR:V1=13.102384&amp;VAR:V=13.426374&amp;VAR:AUDIT_ID=00000117&amp;VAR:DATE=19951027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Aggregates&amp;VAR:MEASURE=PE_MEAN&amp;VAR:CALC_MODE=PORTFOLIO&amp;VAR:CHGPERIOD=NA&amp;VAR:FQLFORMULA=FMA_PE&amp;VAR:CURRENCY=USD&amp;VAR:P=5","79.700000&amp;VAR:THRESH=||||||&amp;VAR:null=.html"}</definedName>
    <definedName name="_782__FDSAUDITLINK__" hidden="1">{"fdsup://directions/FAT%20Viewer?VAR:TM=NTMA&amp;VAR:PCT=0.197260&amp;VAR:Y0=1995&amp;VAR:Y1=1996&amp;VAR:V0=15.295354&amp;VAR:V1=13.213938&amp;VAR:V=13.578430&amp;VAR:AUDIT_ID=00000117&amp;VAR:DATE=19951020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Aggregates&amp;VAR:MEASURE=PE_MEAN&amp;VAR:CALC_MODE=PORTFOLIO&amp;VAR:CHGPERIOD=NA&amp;VAR:FQLFORMULA=FMA_PE&amp;VAR:CURRENCY=USD&amp;VAR:P=5","87.460000&amp;VAR:THRESH=||||||&amp;VAR:null=.html"}</definedName>
    <definedName name="_783__FDSAUDITLINK__" hidden="1">{"fdsup://directions/FAT%20Viewer?VAR:TM=NTMA&amp;VAR:PCT=0.216438&amp;VAR:Y0=1995&amp;VAR:Y1=1996&amp;VAR:V0=15.007403&amp;VAR:V1=13.031760&amp;VAR:V=13.413963&amp;VAR:AUDIT_ID=00000117&amp;VAR:DATE=19951013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Aggregates&amp;VAR:MEASURE=PE_MEAN&amp;VAR:CALC_MODE=PORTFOLIO&amp;VAR:CHGPERIOD=NA&amp;VAR:FQLFORMULA=FMA_PE&amp;VAR:CURRENCY=USD&amp;VAR:P=5","84.500000&amp;VAR:THRESH=||||||&amp;VAR:null=.html"}</definedName>
    <definedName name="_784__FDSAUDITLINK__" hidden="1">{"fdsup://directions/FAT%20Viewer?VAR:TM=NTMA&amp;VAR:PCT=0.235616&amp;VAR:Y0=1995&amp;VAR:Y1=1996&amp;VAR:V0=14.857586&amp;VAR:V1=13.122931&amp;VAR:V=13.494138&amp;VAR:AUDIT_ID=00000117&amp;VAR:DATE=19951006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Aggregates&amp;VAR:MEASURE=PE_MEAN&amp;VAR:CALC_MODE=PORTFOLIO&amp;VAR:CHGPERIOD=NA&amp;VAR:FQLFORMULA=FMA_PE&amp;VAR:CURRENCY=USD&amp;VAR:P=5","82.490000&amp;VAR:THRESH=||||||&amp;VAR:null=.html"}</definedName>
    <definedName name="_785__FDSAUDITLINK__" hidden="1">{"fdsup://directions/FAT%20Viewer?VAR:TM=NTMA&amp;VAR:PCT=0.254795&amp;VAR:Y0=1995&amp;VAR:Y1=1996&amp;VAR:V0=14.594100&amp;VAR:V1=12.806499&amp;VAR:V=13.219056&amp;VAR:AUDIT_ID=00000117&amp;VAR:DATE=19950929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Aggregates&amp;VAR:MEASURE=PE_MEAN&amp;VAR:CALC_MODE=PORTFOLIO&amp;VAR:CHGPERIOD=NA&amp;VAR:FQLFORMULA=FMA_PE&amp;VAR:CURRENCY=USD&amp;VAR:P=5","84.410000&amp;VAR:THRESH=||||||&amp;VAR:null=.html"}</definedName>
    <definedName name="_786__FDSAUDITLINK__" hidden="1">{"fdsup://directions/FAT%20Viewer?VAR:TM=NTMA&amp;VAR:PCT=0.273973&amp;VAR:Y0=1995&amp;VAR:Y1=1996&amp;VAR:V0=14.752868&amp;VAR:V1=12.795574&amp;VAR:V=13.278218&amp;VAR:AUDIT_ID=00000117&amp;VAR:DATE=19950922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Aggregates&amp;VAR:MEASURE=PE_MEAN&amp;VAR:CALC_MODE=PORTFOLIO&amp;VAR:CHGPERIOD=NA&amp;VAR:FQLFORMULA=FMA_PE&amp;VAR:CURRENCY=USD&amp;VAR:P=5","81.730000&amp;VAR:THRESH=||||||&amp;VAR:null=.html"}</definedName>
    <definedName name="_787__FDSAUDITLINK__" hidden="1">{"fdsup://directions/FAT%20Viewer?VAR:TM=NTMA&amp;VAR:PCT=0.293151&amp;VAR:Y0=1995&amp;VAR:Y1=1996&amp;VAR:V0=14.715352&amp;VAR:V1=12.772759&amp;VAR:V=13.286953&amp;VAR:AUDIT_ID=00000117&amp;VAR:DATE=19950915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Aggregates&amp;VAR:MEASURE=PE_MEAN&amp;VAR:CALC_MODE=PORTFOLIO&amp;VAR:CHGPERIOD=NA&amp;VAR:FQLFORMULA=FMA_PE&amp;VAR:CURRENCY=USD&amp;VAR:P=5","83.350000&amp;VAR:THRESH=||||||&amp;VAR:null=.html"}</definedName>
    <definedName name="_788__FDSAUDITLINK__" hidden="1">{"fdsup://directions/FAT%20Viewer?VAR:TM=NTMA&amp;VAR:PCT=0.312329&amp;VAR:Y0=1995&amp;VAR:Y1=1996&amp;VAR:V0=15.007655&amp;VAR:V1=13.140318&amp;VAR:V=13.671620&amp;VAR:AUDIT_ID=00000117&amp;VAR:DATE=19950908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Aggregates&amp;VAR:MEASURE=PE_MEAN&amp;VAR:CALC_MODE=PORTFOLIO&amp;VAR:CHGPERIOD=NA&amp;VAR:FQLFORMULA=FMA_PE&amp;VAR:CURRENCY=USD&amp;VAR:P=5","72.680000&amp;VAR:THRESH=||||||&amp;VAR:null=.html"}</definedName>
    <definedName name="_789__FDSAUDITLINK__" hidden="1">{"fdsup://directions/FAT%20Viewer?VAR:TM=NTMA&amp;VAR:PCT=0.331507&amp;VAR:Y0=1995&amp;VAR:Y1=1996&amp;VAR:V0=14.850753&amp;VAR:V1=12.971186&amp;VAR:V=13.539249&amp;VAR:AUDIT_ID=00000117&amp;VAR:DATE=19950901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Aggregates&amp;VAR:MEASURE=PE_MEAN&amp;VAR:CALC_MODE=PORTFOLIO&amp;VAR:CHGPERIOD=NA&amp;VAR:FQLFORMULA=FMA_PE&amp;VAR:CURRENCY=USD&amp;VAR:P=5","63.840000&amp;VAR:THRESH=||||||&amp;VAR:null=.html"}</definedName>
    <definedName name="_79__FDSAUDITLINK__" hidden="1">{"fdsup://directions/FAT%20Viewer?VAR:TM=NTMA&amp;VAR:PCT=0.728767&amp;VAR:Y0=2009&amp;VAR:Y1=2010&amp;VAR:V0=14.367440&amp;VAR:V1=11.383958&amp;VAR:V=13.413923&amp;VAR:AUDIT_ID=00000117&amp;VAR:DATE=20090409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Aggregates&amp;VAR:MEASURE=PE_MEAN&amp;VAR:CALC_MODE=PORTFOLIO&amp;VAR:CHGPERIOD=NA&amp;VAR:FQLFORMULA=FMA_PE&amp;VAR:CURRENCY=USD&amp;VAR:P=8","56.559664&amp;VAR:THRESH=||||||&amp;VAR:null=.html"}</definedName>
    <definedName name="_790__FDSAUDITLINK__" hidden="1">{"fdsup://directions/FAT%20Viewer?VAR:TM=NTMA&amp;VAR:PCT=0.350685&amp;VAR:Y0=1995&amp;VAR:Y1=1996&amp;VAR:V0=14.773201&amp;VAR:V1=12.941365&amp;VAR:V=13.529689&amp;VAR:AUDIT_ID=00000117&amp;VAR:DATE=19950825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Aggregates&amp;VAR:MEASURE=PE_MEAN&amp;VAR:CALC_MODE=PORTFOLIO&amp;VAR:CHGPERIOD=NA&amp;VAR:FQLFORMULA=FMA_PE&amp;VAR:CURRENCY=USD&amp;VAR:P=5","60.100000&amp;VAR:THRESH=||||||&amp;VAR:null=.html"}</definedName>
    <definedName name="_791__FDSAUDITLINK__" hidden="1">{"fdsup://directions/FAT%20Viewer?VAR:TM=NTMA&amp;VAR:PCT=0.369863&amp;VAR:Y0=1995&amp;VAR:Y1=1996&amp;VAR:V0=14.715779&amp;VAR:V1=12.887090&amp;VAR:V=13.507940&amp;VAR:AUDIT_ID=00000117&amp;VAR:DATE=19950818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Aggregates&amp;VAR:MEASURE=PE_MEAN&amp;VAR:CALC_MODE=PORTFOLIO&amp;VAR:CHGPERIOD=NA&amp;VAR:FQLFORMULA=FMA_PE&amp;VAR:CURRENCY=USD&amp;VAR:P=5","59.210000&amp;VAR:THRESH=||||||&amp;VAR:null=.html"}</definedName>
    <definedName name="_792__FDSAUDITLINK__" hidden="1">{"fdsup://directions/FAT%20Viewer?VAR:TM=NTMA&amp;VAR:PCT=0.389041&amp;VAR:Y0=1995&amp;VAR:Y1=1996&amp;VAR:V0=14.809572&amp;VAR:V1=12.955843&amp;VAR:V=13.619045&amp;VAR:AUDIT_ID=00000117&amp;VAR:DATE=19950811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Aggregates&amp;VAR:MEASURE=PE_MEAN&amp;VAR:CALC_MODE=PORTFOLIO&amp;VAR:CHGPERIOD=NA&amp;VAR:FQLFORMULA=FMA_PE&amp;VAR:CURRENCY=USD&amp;VAR:P=5","55.110000&amp;VAR:THRESH=||||||&amp;VAR:null=.html"}</definedName>
    <definedName name="_793__FDSAUDITLINK__" hidden="1">{"fdsup://directions/FAT%20Viewer?VAR:TM=NTMA&amp;VAR:PCT=0.408219&amp;VAR:Y0=1995&amp;VAR:Y1=1996&amp;VAR:V0=14.942450&amp;VAR:V1=13.076667&amp;VAR:V=13.779013&amp;VAR:AUDIT_ID=00000117&amp;VAR:DATE=19950804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Aggregates&amp;VAR:MEASURE=PE_MEAN&amp;VAR:CALC_MODE=PORTFOLIO&amp;VAR:CHGPERIOD=NA&amp;VAR:FQLFORMULA=FMA_PE&amp;VAR:CURRENCY=USD&amp;VAR:P=5","58.940000&amp;VAR:THRESH=||||||&amp;VAR:null=.html"}</definedName>
    <definedName name="_794__FDSAUDITLINK__" hidden="1">{"fdsup://directions/FAT%20Viewer?VAR:TM=NTMA&amp;VAR:PCT=0.427397&amp;VAR:Y0=1995&amp;VAR:Y1=1996&amp;VAR:V0=15.087139&amp;VAR:V1=13.203918&amp;VAR:V=13.948031&amp;VAR:AUDIT_ID=00000117&amp;VAR:DATE=19950728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Aggregates&amp;VAR:MEASURE=PE_MEAN&amp;VAR:CALC_MODE=PORTFOLIO&amp;VAR:CHGPERIOD=NA&amp;VAR:FQLFORMULA=FMA_PE&amp;VAR:CURRENCY=USD&amp;VAR:P=5","62.930000&amp;VAR:THRESH=||||||&amp;VAR:null=.html"}</definedName>
    <definedName name="_795__FDSAUDITLINK__" hidden="1">{"fdsup://directions/FAT%20Viewer?VAR:TM=NTMA&amp;VAR:PCT=0.446575&amp;VAR:Y0=1995&amp;VAR:Y1=1996&amp;VAR:V0=14.800597&amp;VAR:V1=13.003703&amp;VAR:V=13.749145&amp;VAR:AUDIT_ID=00000117&amp;VAR:DATE=19950721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Aggregates&amp;VAR:MEASURE=PE_MEAN&amp;VAR:CALC_MODE=PORTFOLIO&amp;VAR:CHGPERIOD=NA&amp;VAR:FQLFORMULA=FMA_PE&amp;VAR:CURRENCY=USD&amp;VAR:P=5","53.620000&amp;VAR:THRESH=||||||&amp;VAR:null=.html"}</definedName>
    <definedName name="_796__FDSAUDITLINK__" hidden="1">{"fdsup://directions/FAT%20Viewer?VAR:TM=NTMA&amp;VAR:PCT=0.465753&amp;VAR:Y0=1995&amp;VAR:Y1=1996&amp;VAR:V0=14.819413&amp;VAR:V1=13.062652&amp;VAR:V=13.826022&amp;VAR:AUDIT_ID=00000117&amp;VAR:DATE=19950714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Aggregates&amp;VAR:MEASURE=PE_MEAN&amp;VAR:CALC_MODE=PORTFOLIO&amp;VAR:CHGPERIOD=NA&amp;VAR:FQLFORMULA=FMA_PE&amp;VAR:CURRENCY=USD&amp;VAR:P=5","59.890000&amp;VAR:THRESH=||||||&amp;VAR:null=.html"}</definedName>
    <definedName name="_797__FDSAUDITLINK__" hidden="1">{"fdsup://directions/FAT%20Viewer?VAR:TM=NTMA&amp;VAR:PCT=0.484932&amp;VAR:Y0=1995&amp;VAR:Y1=1996&amp;VAR:V0=14.716206&amp;VAR:V1=12.945504&amp;VAR:V=13.747660&amp;VAR:AUDIT_ID=00000117&amp;VAR:DATE=19950707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Aggregates&amp;VAR:MEASURE=PE_MEAN&amp;VAR:CALC_MODE=PORTFOLIO&amp;VAR:CHGPERIOD=NA&amp;VAR:FQLFORMULA=FMA_PE&amp;VAR:CURRENCY=USD&amp;VAR:P=5","56.370000&amp;VAR:THRESH=||||||&amp;VAR:null=.html"}</definedName>
    <definedName name="_798__FDSAUDITLINK__" hidden="1">{"fdsup://directions/FAT%20Viewer?VAR:TM=NTMA&amp;VAR:PCT=0.504110&amp;VAR:Y0=1995&amp;VAR:Y1=1996&amp;VAR:V0=14.608591&amp;VAR:V1=12.737507&amp;VAR:V=13.616695&amp;VAR:AUDIT_ID=00000117&amp;VAR:DATE=19950630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Aggregates&amp;VAR:MEASURE=PE_MEAN&amp;VAR:CALC_MODE=PORTFOLIO&amp;VAR:CHGPERIOD=NA&amp;VAR:FQLFORMULA=FMA_PE&amp;VAR:CURRENCY=USD&amp;VAR:P=5","44.750000&amp;VAR:THRESH=||||||&amp;VAR:null=.html"}</definedName>
    <definedName name="_799__FDSAUDITLINK__" hidden="1">{"fdsup://directions/FAT%20Viewer?VAR:TM=NTMA&amp;VAR:PCT=0.523288&amp;VAR:Y0=1995&amp;VAR:Y1=1996&amp;VAR:V0=14.676003&amp;VAR:V1=12.700107&amp;VAR:V=13.662678&amp;VAR:AUDIT_ID=00000117&amp;VAR:DATE=19950623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Aggregates&amp;VAR:MEASURE=PE_MEAN&amp;VAR:CALC_MODE=PORTFOLIO&amp;VAR:CHGPERIOD=NA&amp;VAR:FQLFORMULA=FMA_PE&amp;VAR:CURRENCY=USD&amp;VAR:P=5","49.710000&amp;VAR:THRESH=||||||&amp;VAR:null=.html"}</definedName>
    <definedName name="_8__FDSAUDITLINK__" hidden="1">{"fdsup://directions/FAT%20Viewer?VAR:TM=NTMA&amp;VAR:PCT=0.364384&amp;VAR:Y0=2010&amp;VAR:Y1=2011&amp;VAR:V0=12.796826&amp;VAR:V1=11.117394&amp;VAR:V=11.675740&amp;VAR:AUDIT_ID=00000117&amp;VAR:DATE=20100820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Aggregates&amp;VAR:MEASURE=PE_MEAN&amp;VAR:CALC_MODE=PORTFOLIO&amp;VAR:CHGPERIOD=NA&amp;VAR:FQLFORMULA=FMA_PE&amp;VAR:CURRENCY=USD&amp;VAR:P=1","071.692217&amp;VAR:THRESH=||||||&amp;VAR:null=.html"}</definedName>
    <definedName name="_80__FDSAUDITLINK__" hidden="1">{"fdsup://directions/FAT%20Viewer?VAR:TM=NTMA&amp;VAR:PCT=0.745205&amp;VAR:Y0=2009&amp;VAR:Y1=2010&amp;VAR:V0=13.949054&amp;VAR:V1=11.086900&amp;VAR:V=13.088157&amp;VAR:AUDIT_ID=00000117&amp;VAR:DATE=20090403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Aggregates&amp;VAR:MEASURE=PE_MEAN&amp;VAR:CALC_MODE=PORTFOLIO&amp;VAR:CHGPERIOD=NA&amp;VAR:FQLFORMULA=FMA_PE&amp;VAR:CURRENCY=USD&amp;VAR:P=8","42.500407&amp;VAR:THRESH=||||||&amp;VAR:null=.html"}</definedName>
    <definedName name="_800__FDSAUDITLINK__" hidden="1">{"fdsup://directions/FAT%20Viewer?VAR:TM=NTMA&amp;VAR:PCT=0.542466&amp;VAR:Y0=1995&amp;VAR:Y1=1996&amp;VAR:V0=14.409695&amp;VAR:V1=12.457890&amp;VAR:V=13.445857&amp;VAR:AUDIT_ID=00000117&amp;VAR:DATE=19950616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Aggregates&amp;VAR:MEASURE=PE_MEAN&amp;VAR:CALC_MODE=PORTFOLIO&amp;VAR:CHGPERIOD=NA&amp;VAR:FQLFORMULA=FMA_PE&amp;VAR:CURRENCY=USD&amp;VAR:P=5","39.830000&amp;VAR:THRESH=||||||&amp;VAR:null=.html"}</definedName>
    <definedName name="_801__FDSAUDITLINK__" hidden="1">{"fdsup://directions/FAT%20Viewer?VAR:TM=NTMA&amp;VAR:PCT=0.561644&amp;VAR:Y0=1995&amp;VAR:Y1=1996&amp;VAR:V0=14.132947&amp;VAR:V1=12.204852&amp;VAR:V=13.217620&amp;VAR:AUDIT_ID=00000117&amp;VAR:DATE=19950609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Aggregates&amp;VAR:MEASURE=PE_MEAN&amp;VAR:CALC_MODE=PORTFOLIO&amp;VAR:CHGPERIOD=NA&amp;VAR:FQLFORMULA=FMA_PE&amp;VAR:CURRENCY=USD&amp;VAR:P=5","27.940000&amp;VAR:THRESH=||||||&amp;VAR:null=.html"}</definedName>
    <definedName name="_802__FDSAUDITLINK__" hidden="1">{"fdsup://directions/FAT%20Viewer?VAR:TM=NTMA&amp;VAR:PCT=0.580822&amp;VAR:Y0=1995&amp;VAR:Y1=1996&amp;VAR:V0=14.225801&amp;VAR:V1=12.283649&amp;VAR:V=13.341578&amp;VAR:AUDIT_ID=00000117&amp;VAR:DATE=19950602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Aggregates&amp;VAR:MEASURE=PE_MEAN&amp;VAR:CALC_MODE=PORTFOLIO&amp;VAR:CHGPERIOD=NA&amp;VAR:FQLFORMULA=FMA_PE&amp;VAR:CURRENCY=USD&amp;VAR:P=5","32.510000&amp;VAR:THRESH=||||||&amp;VAR:null=.html"}</definedName>
    <definedName name="_803__FDSAUDITLINK__" hidden="1">{"fdsup://directions/FAT%20Viewer?VAR:TM=NTMA&amp;VAR:PCT=0.600000&amp;VAR:Y0=1995&amp;VAR:Y1=1996&amp;VAR:V0=13.901923&amp;VAR:V1=12.011655&amp;VAR:V=13.078651&amp;VAR:AUDIT_ID=00000117&amp;VAR:DATE=19950526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Aggregates&amp;VAR:MEASURE=PE_MEAN&amp;VAR:CALC_MODE=PORTFOLIO&amp;VAR:CHGPERIOD=NA&amp;VAR:FQLFORMULA=FMA_PE&amp;VAR:CURRENCY=USD&amp;VAR:P=5","23.650000&amp;VAR:THRESH=||||||&amp;VAR:null=.html"}</definedName>
    <definedName name="_804__FDSAUDITLINK__" hidden="1">{"fdsup://directions/FAT%20Viewer?VAR:TM=NTMA&amp;VAR:PCT=0.619178&amp;VAR:Y0=1995&amp;VAR:Y1=1996&amp;VAR:V0=13.774917&amp;VAR:V1=11.802563&amp;VAR:V=12.950732&amp;VAR:AUDIT_ID=00000117&amp;VAR:DATE=19950519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Aggregates&amp;VAR:MEASURE=PE_MEAN&amp;VAR:CALC_MODE=PORTFOLIO&amp;VAR:CHGPERIOD=NA&amp;VAR:FQLFORMULA=FMA_PE&amp;VAR:CURRENCY=USD&amp;VAR:P=5","19.190000&amp;VAR:THRESH=||||||&amp;VAR:null=.html"}</definedName>
    <definedName name="_805__FDSAUDITLINK__" hidden="1">{"fdsup://directions/FAT%20Viewer?VAR:TM=NTMA&amp;VAR:PCT=0.638356&amp;VAR:Y0=1995&amp;VAR:Y1=1996&amp;VAR:V0=14.007788&amp;VAR:V1=11.988968&amp;VAR:V=13.203719&amp;VAR:AUDIT_ID=00000117&amp;VAR:DATE=19950512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Aggregates&amp;VAR:MEASURE=PE_MEAN&amp;VAR:CALC_MODE=PORTFOLIO&amp;VAR:CHGPERIOD=NA&amp;VAR:FQLFORMULA=FMA_PE&amp;VAR:CURRENCY=USD&amp;VAR:P=5","25.550000&amp;VAR:THRESH=||||||&amp;VAR:null=.html"}</definedName>
    <definedName name="_806__FDSAUDITLINK__" hidden="1">{"fdsup://directions/FAT%20Viewer?VAR:TM=NTMA&amp;VAR:PCT=0.657534&amp;VAR:Y0=1995&amp;VAR:Y1=1996&amp;VAR:V0=14.071877&amp;VAR:V1=12.068200&amp;VAR:V=13.314805&amp;VAR:AUDIT_ID=00000117&amp;VAR:DATE=19950505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Aggregates&amp;VAR:MEASURE=PE_MEAN&amp;VAR:CALC_MODE=PORTFOLIO&amp;VAR:CHGPERIOD=NA&amp;VAR:FQLFORMULA=FMA_PE&amp;VAR:CURRENCY=USD&amp;VAR:P=5","20.120000&amp;VAR:THRESH=||||||&amp;VAR:null=.html"}</definedName>
    <definedName name="_807__FDSAUDITLINK__" hidden="1">{"fdsup://directions/FAT%20Viewer?VAR:TM=NTMA&amp;VAR:PCT=0.676712&amp;VAR:Y0=1995&amp;VAR:Y1=1996&amp;VAR:V0=14.123024&amp;VAR:V1=12.074747&amp;VAR:V=13.388779&amp;VAR:AUDIT_ID=00000117&amp;VAR:DATE=19950428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Aggregates&amp;VAR:MEASURE=PE_MEAN&amp;VAR:CALC_MODE=PORTFOLIO&amp;VAR:CHGPERIOD=NA&amp;VAR:FQLFORMULA=FMA_PE&amp;VAR:CURRENCY=USD&amp;VAR:P=5","14.710000&amp;VAR:THRESH=||||||&amp;VAR:null=.html"}</definedName>
    <definedName name="_808__FDSAUDITLINK__" hidden="1">{"fdsup://directions/FAT%20Viewer?VAR:TM=NTMA&amp;VAR:PCT=0.695890&amp;VAR:Y0=1995&amp;VAR:Y1=1996&amp;VAR:V0=14.150217&amp;VAR:V1=12.147591&amp;VAR:V=13.474666&amp;VAR:AUDIT_ID=00000117&amp;VAR:DATE=19950421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Aggregates&amp;VAR:MEASURE=PE_MEAN&amp;VAR:CALC_MODE=PORTFOLIO&amp;VAR:CHGPERIOD=NA&amp;VAR:FQLFORMULA=FMA_PE&amp;VAR:CURRENCY=USD&amp;VAR:P=5","08.490000&amp;VAR:THRESH=||||||&amp;VAR:null=.html"}</definedName>
    <definedName name="_809__FDSAUDITLINK__" hidden="1">{"fdsup://directions/FAT%20Viewer?VAR:TM=NTMA&amp;VAR:PCT=0.717808&amp;VAR:Y0=1995&amp;VAR:Y1=1996&amp;VAR:V0=14.135711&amp;VAR:V1=12.064393&amp;VAR:V=13.482496&amp;VAR:AUDIT_ID=00000117&amp;VAR:DATE=19950413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Aggregates&amp;VAR:MEASURE=PE_MEAN&amp;VAR:CALC_MODE=PORTFOLIO&amp;VAR:CHGPERIOD=NA&amp;VAR:FQLFORMULA=FMA_PE&amp;VAR:CURRENCY=USD&amp;VAR:P=5","09.230000&amp;VAR:THRESH=||||||&amp;VAR:null=.html"}</definedName>
    <definedName name="_81__FDSAUDITLINK__" hidden="1">{"fdsup://directions/FAT%20Viewer?VAR:TM=NTMA&amp;VAR:PCT=0.764384&amp;VAR:Y0=2009&amp;VAR:Y1=2010&amp;VAR:V0=13.410341&amp;VAR:V1=10.673400&amp;VAR:V=12.646275&amp;VAR:AUDIT_ID=00000117&amp;VAR:DATE=20090327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Aggregates&amp;VAR:MEASURE=PE_MEAN&amp;VAR:CALC_MODE=PORTFOLIO&amp;VAR:CHGPERIOD=NA&amp;VAR:FQLFORMULA=FMA_PE&amp;VAR:CURRENCY=USD&amp;VAR:P=8","15.938461&amp;VAR:THRESH=||||||&amp;VAR:null=.html"}</definedName>
    <definedName name="_810__FDSAUDITLINK__" hidden="1">{"fdsup://directions/FAT%20Viewer?VAR:TM=NTMA&amp;VAR:PCT=0.734247&amp;VAR:Y0=1995&amp;VAR:Y1=1996&amp;VAR:V0=13.983392&amp;VAR:V1=11.899927&amp;VAR:V=13.361690&amp;VAR:AUDIT_ID=00000117&amp;VAR:DATE=19950407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Aggregates&amp;VAR:MEASURE=PE_MEAN&amp;VAR:CALC_MODE=PORTFOLIO&amp;VAR:CHGPERIOD=NA&amp;VAR:FQLFORMULA=FMA_PE&amp;VAR:CURRENCY=USD&amp;VAR:P=5","06.420000&amp;VAR:THRESH=||||||&amp;VAR:null=.html"}</definedName>
    <definedName name="_811__FDSAUDITLINK__" hidden="1">{"fdsup://directions/FAT%20Viewer?VAR:TM=NTMA&amp;VAR:PCT=0.753425&amp;VAR:Y0=1995&amp;VAR:Y1=1996&amp;VAR:V0=13.855094&amp;VAR:V1=11.783700&amp;VAR:V=13.279505&amp;VAR:AUDIT_ID=00000117&amp;VAR:DATE=19950331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Aggregates&amp;VAR:MEASURE=PE_MEAN&amp;VAR:CALC_MODE=PORTFOLIO&amp;VAR:CHGPERIOD=NA&amp;VAR:FQLFORMULA=FMA_PE&amp;VAR:CURRENCY=USD&amp;VAR:P=5","00.710000&amp;VAR:THRESH=||||||&amp;VAR:null=.html"}</definedName>
    <definedName name="_812__FDSAUDITLINK__" hidden="1">{"fdsup://directions/FAT%20Viewer?VAR:TM=NTMA&amp;VAR:PCT=0.772603&amp;VAR:Y0=1995&amp;VAR:Y1=1996&amp;VAR:V0=13.984592&amp;VAR:V1=11.881256&amp;VAR:V=13.443413&amp;VAR:AUDIT_ID=00000117&amp;VAR:DATE=19950324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Aggregates&amp;VAR:MEASURE=PE_MEAN&amp;VAR:CALC_MODE=PORTFOLIO&amp;VAR:CHGPERIOD=NA&amp;VAR:FQLFORMULA=FMA_PE&amp;VAR:CURRENCY=USD&amp;VAR:P=5","00.970000&amp;VAR:THRESH=||||||&amp;VAR:null=.html"}</definedName>
    <definedName name="_813__FDSAUDITLINK__" hidden="1">{"fdsup://directions/FAT%20Viewer?VAR:TM=NTMA&amp;VAR:PCT=0.791781&amp;VAR:Y0=1995&amp;VAR:Y1=1996&amp;VAR:V0=13.849599&amp;VAR:V1=11.755241&amp;VAR:V=13.354197&amp;VAR:AUDIT_ID=00000117&amp;VAR:DATE=19950317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Aggregates&amp;VAR:MEASURE=PE_MEAN&amp;VAR:CALC_MODE=PORTFOLIO&amp;VAR:CHGPERIOD=NA&amp;VAR:FQLFORMULA=FMA_PE&amp;VAR:CURRENCY=USD&amp;VAR:P=4","95.520000&amp;VAR:THRESH=||||||&amp;VAR:null=.html"}</definedName>
    <definedName name="_814__FDSAUDITLINK__" hidden="1">{"fdsup://directions/FAT%20Viewer?VAR:TM=NTMA&amp;VAR:PCT=0.810959&amp;VAR:Y0=1995&amp;VAR:Y1=1996&amp;VAR:V0=13.594391&amp;VAR:V1=11.540166&amp;VAR:V=13.151825&amp;VAR:AUDIT_ID=00000117&amp;VAR:DATE=19950310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Aggregates&amp;VAR:MEASURE=PE_MEAN&amp;VAR:CALC_MODE=PORTFOLIO&amp;VAR:CHGPERIOD=NA&amp;VAR:FQLFORMULA=FMA_PE&amp;VAR:CURRENCY=USD&amp;VAR:P=4","89.570000&amp;VAR:THRESH=||||||&amp;VAR:null=.html"}</definedName>
    <definedName name="_815__FDSAUDITLINK__" hidden="1">{"fdsup://directions/FAT%20Viewer?VAR:TM=NTMA&amp;VAR:PCT=0.830137&amp;VAR:Y0=1995&amp;VAR:Y1=1996&amp;VAR:V0=13.406925&amp;VAR:V1=11.427047&amp;VAR:V=13.023628&amp;VAR:AUDIT_ID=00000117&amp;VAR:DATE=19950303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Aggregates&amp;VAR:MEASURE=PE_MEAN&amp;VAR:CALC_MODE=PORTFOLIO&amp;VAR:CHGPERIOD=NA&amp;VAR:FQLFORMULA=FMA_PE&amp;VAR:CURRENCY=USD&amp;VAR:P=4","85.420000&amp;VAR:THRESH=||||||&amp;VAR:null=.html"}</definedName>
    <definedName name="_816__FDSAUDITLINK__" hidden="1">{"fdsup://directions/FAT%20Viewer?VAR:TM=NTMA&amp;VAR:PCT=0.849315&amp;VAR:Y0=1995&amp;VAR:Y1=1996&amp;VAR:V0=13.455241&amp;VAR:V1=11.428023&amp;VAR:V=13.104946&amp;VAR:AUDIT_ID=00000117&amp;VAR:DATE=19950224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Aggregates&amp;VAR:MEASURE=PE_MEAN&amp;VAR:CALC_MODE=PORTFOLIO&amp;VAR:CHGPERIOD=NA&amp;VAR:FQLFORMULA=FMA_PE&amp;VAR:CURRENCY=USD&amp;VAR:P=4","88.110000&amp;VAR:THRESH=||||||&amp;VAR:null=.html"}</definedName>
    <definedName name="_817__FDSAUDITLINK__" hidden="1">{"fdsup://directions/FAT%20Viewer?VAR:TM=NTMA&amp;VAR:PCT=0.868493&amp;VAR:Y0=1995&amp;VAR:Y1=1996&amp;VAR:V0=13.297588&amp;VAR:V1=11.137325&amp;VAR:V=12.966832&amp;VAR:AUDIT_ID=00000117&amp;VAR:DATE=19950217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Aggregates&amp;VAR:MEASURE=PE_MEAN&amp;VAR:CALC_MODE=PORTFOLIO&amp;VAR:CHGPERIOD=NA&amp;VAR:FQLFORMULA=FMA_PE&amp;VAR:CURRENCY=USD&amp;VAR:P=4","81.970000&amp;VAR:THRESH=||||||&amp;VAR:null=.html"}</definedName>
    <definedName name="_818__FDSAUDITLINK__" hidden="1">{"fdsup://directions/FAT%20Viewer?VAR:TM=NTMA&amp;VAR:PCT=0.887671&amp;VAR:Y0=1995&amp;VAR:Y1=1996&amp;VAR:V0=13.221024&amp;VAR:V1=10.991095&amp;VAR:V=12.926433&amp;VAR:AUDIT_ID=00000117&amp;VAR:DATE=19950210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Aggregates&amp;VAR:MEASURE=PE_MEAN&amp;VAR:CALC_MODE=PORTFOLIO&amp;VAR:CHGPERIOD=NA&amp;VAR:FQLFORMULA=FMA_PE&amp;VAR:CURRENCY=USD&amp;VAR:P=4","81.460000&amp;VAR:THRESH=||||||&amp;VAR:null=.html"}</definedName>
    <definedName name="_819__FDSAUDITLINK__" hidden="1">{"fdsup://directions/FAT%20Viewer?VAR:TM=NTMA&amp;VAR:PCT=0.906849&amp;VAR:Y0=1995&amp;VAR:Y1=1996&amp;VAR:V0=13.188733&amp;VAR:V1=10.756894&amp;VAR:V=12.916722&amp;VAR:AUDIT_ID=00000117&amp;VAR:DATE=19950203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Aggregates&amp;VAR:MEASURE=PE_MEAN&amp;VAR:CALC_MODE=PORTFOLIO&amp;VAR:CHGPERIOD=NA&amp;VAR:FQLFORMULA=FMA_PE&amp;VAR:CURRENCY=USD&amp;VAR:P=4","78.640000&amp;VAR:THRESH=||||||&amp;VAR:null=.html"}</definedName>
    <definedName name="_82__FDSAUDITLINK__" hidden="1">{"fdsup://directions/FAT%20Viewer?VAR:TM=NTMA&amp;VAR:PCT=0.783562&amp;VAR:Y0=2009&amp;VAR:Y1=2010&amp;VAR:V0=12.557300&amp;VAR:V1=10.003462&amp;VAR:V=11.899770&amp;VAR:AUDIT_ID=00000117&amp;VAR:DATE=20090320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Aggregates&amp;VAR:MEASURE=PE_MEAN&amp;VAR:CALC_MODE=PORTFOLIO&amp;VAR:CHGPERIOD=NA&amp;VAR:FQLFORMULA=FMA_PE&amp;VAR:CURRENCY=USD&amp;VAR:P=7","68.544110&amp;VAR:THRESH=||||||&amp;VAR:null=.html"}</definedName>
    <definedName name="_820__FDSAUDITLINK__" hidden="1">{"fdsup://directions/FAT%20Viewer?VAR:TM=NTMA&amp;VAR:PCT=0.926027&amp;VAR:Y0=1995&amp;VAR:Y1=1996&amp;VAR:V0=12.987422&amp;VAR:V1=10.284128&amp;VAR:V=12.739705&amp;VAR:AUDIT_ID=00000117&amp;VAR:DATE=19950127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Aggregates&amp;VAR:MEASURE=PE_MEAN&amp;VAR:CALC_MODE=PORTFOLIO&amp;VAR:CHGPERIOD=NA&amp;VAR:FQLFORMULA=FMA_PE&amp;VAR:CURRENCY=USD&amp;VAR:P=4","70.390000&amp;VAR:THRESH=||||||&amp;VAR:null=.html"}</definedName>
    <definedName name="_821__FDSAUDITLINK__" hidden="1">{"fdsup://directions/FAT%20Viewer?VAR:TM=NTMA&amp;VAR:PCT=0.945205&amp;VAR:Y0=1995&amp;VAR:Y1=1996&amp;VAR:V0=12.913013&amp;VAR:V1=10.160052&amp;VAR:V=12.724097&amp;VAR:AUDIT_ID=00000117&amp;VAR:DATE=19950120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Aggregates&amp;VAR:MEASURE=PE_MEAN&amp;VAR:CALC_MODE=PORTFOLIO&amp;VAR:CHGPERIOD=NA&amp;VAR:FQLFORMULA=FMA_PE&amp;VAR:CURRENCY=USD&amp;VAR:P=4","64.780000&amp;VAR:THRESH=||||||&amp;VAR:null=.html"}</definedName>
    <definedName name="_822__FDSAUDITLINK__" hidden="1">{"fdsup://directions/FAT%20Viewer?VAR:TM=NTMA&amp;VAR:PCT=0.964384&amp;VAR:Y0=1995&amp;VAR:Y1=1996&amp;VAR:V0=12.935840&amp;VAR:V1=10.232475&amp;VAR:V=12.815253&amp;VAR:AUDIT_ID=00000117&amp;VAR:DATE=19950113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Aggregates&amp;VAR:MEASURE=PE_MEAN&amp;VAR:CALC_MODE=PORTFOLIO&amp;VAR:CHGPERIOD=NA&amp;VAR:FQLFORMULA=FMA_PE&amp;VAR:CURRENCY=USD&amp;VAR:P=4","65.970000&amp;VAR:THRESH=||||||&amp;VAR:null=.html"}</definedName>
    <definedName name="_823__FDSAUDITLINK__" hidden="1">{"fdsup://directions/FAT%20Viewer?VAR:TM=NTMA&amp;VAR:PCT=0.983562&amp;VAR:Y0=1995&amp;VAR:Y1=1996&amp;VAR:V0=12.875044&amp;VAR:V1=10.264736&amp;VAR:V=12.821447&amp;VAR:AUDIT_ID=00000117&amp;VAR:DATE=19950106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Aggregates&amp;VAR:MEASURE=PE_MEAN&amp;VAR:CALC_MODE=PORTFOLIO&amp;VAR:CHGPERIOD=NA&amp;VAR:FQLFORMULA=FMA_PE&amp;VAR:CURRENCY=USD&amp;VAR:P=4","60.680000&amp;VAR:THRESH=||||||&amp;VAR:null=.html"}</definedName>
    <definedName name="_824__FDSAUDITLINK__" hidden="1">{"fdsup://directions/FAT%20Viewer?VAR:TM=NTMA&amp;VAR:PCT=0.002740&amp;VAR:Y0=1994&amp;VAR:Y1=1995&amp;VAR:V0=15.169042&amp;VAR:V1=12.816511&amp;VAR:V=12.821959&amp;VAR:AUDIT_ID=00000117&amp;VAR:DATE=19941230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Aggregates&amp;VAR:MEASURE=PE_MEAN&amp;VAR:CALC_MODE=PORTFOLIO&amp;VAR:CHGPERIOD=NA&amp;VAR:FQLFORMULA=FMA_PE&amp;VAR:CURRENCY=USD&amp;VAR:P=4","59.270000&amp;VAR:THRESH=||||||&amp;VAR:null=.html"}</definedName>
    <definedName name="_825__FDSAUDITLINK__" hidden="1">{"fdsup://directions/FAT%20Viewer?VAR:TM=NTMA&amp;VAR:PCT=0.021918&amp;VAR:Y0=1994&amp;VAR:Y1=1995&amp;VAR:V0=15.194844&amp;VAR:V1=12.861038&amp;VAR:V=12.904480&amp;VAR:AUDIT_ID=00000117&amp;VAR:DATE=19941223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Aggregates&amp;VAR:MEASURE=PE_MEAN&amp;VAR:CALC_MODE=PORTFOLIO&amp;VAR:CHGPERIOD=NA&amp;VAR:FQLFORMULA=FMA_PE&amp;VAR:CURRENCY=USD&amp;VAR:P=4","59.830000&amp;VAR:THRESH=||||||&amp;VAR:null=.html"}</definedName>
    <definedName name="_826__FDSAUDITLINK__" hidden="1">{"fdsup://directions/FAT%20Viewer?VAR:TM=NTMA&amp;VAR:PCT=0.041096&amp;VAR:Y0=1994&amp;VAR:Y1=1995&amp;VAR:V0=15.063400&amp;VAR:V1=12.772222&amp;VAR:V=12.852561&amp;VAR:AUDIT_ID=00000117&amp;VAR:DATE=19941216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Aggregates&amp;VAR:MEASURE=PE_MEAN&amp;VAR:CALC_MODE=PORTFOLIO&amp;VAR:CHGPERIOD=NA&amp;VAR:FQLFORMULA=FMA_PE&amp;VAR:CURRENCY=USD&amp;VAR:P=4","58.800000&amp;VAR:THRESH=||||||&amp;VAR:null=.html"}</definedName>
    <definedName name="_827__FDSAUDITLINK__" hidden="1">{"fdsup://directions/FAT%20Viewer?VAR:TM=NTMA&amp;VAR:PCT=0.060274&amp;VAR:Y0=1994&amp;VAR:Y1=1995&amp;VAR:V0=14.676174&amp;VAR:V1=12.444864&amp;VAR:V=12.559961&amp;VAR:AUDIT_ID=00000117&amp;VAR:DATE=19941209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Aggregates&amp;VAR:MEASURE=PE_MEAN&amp;VAR:CALC_MODE=PORTFOLIO&amp;VAR:CHGPERIOD=NA&amp;VAR:FQLFORMULA=FMA_PE&amp;VAR:CURRENCY=USD&amp;VAR:P=4","46.960000&amp;VAR:THRESH=||||||&amp;VAR:null=.html"}</definedName>
    <definedName name="_828__FDSAUDITLINK__" hidden="1">{"fdsup://directions/FAT%20Viewer?VAR:TM=NTMA&amp;VAR:PCT=0.079452&amp;VAR:Y0=1994&amp;VAR:Y1=1995&amp;VAR:V0=14.798840&amp;VAR:V1=12.547628&amp;VAR:V=12.701138&amp;VAR:AUDIT_ID=00000117&amp;VAR:DATE=19941202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Aggregates&amp;VAR:MEASURE=PE_MEAN&amp;VAR:CALC_MODE=PORTFOLIO&amp;VAR:CHGPERIOD=NA&amp;VAR:FQLFORMULA=FMA_PE&amp;VAR:CURRENCY=USD&amp;VAR:P=4","53.300000&amp;VAR:THRESH=||||||&amp;VAR:null=.html"}</definedName>
    <definedName name="_829__FDSAUDITLINK__" hidden="1">{"fdsup://directions/FAT%20Viewer?VAR:TM=NTMA&amp;VAR:PCT=0.098630&amp;VAR:Y0=1994&amp;VAR:Y1=1995&amp;VAR:V0=14.722250&amp;VAR:V1=12.495763&amp;VAR:V=12.684973&amp;VAR:AUDIT_ID=00000117&amp;VAR:DATE=19941125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Aggregates&amp;VAR:MEASURE=PE_MEAN&amp;VAR:CALC_MODE=PORTFOLIO&amp;VAR:CHGPERIOD=NA&amp;VAR:FQLFORMULA=FMA_PE&amp;VAR:CURRENCY=USD&amp;VAR:P=4","52.290000&amp;VAR:THRESH=||||||&amp;VAR:null=.html"}</definedName>
    <definedName name="_83__FDSAUDITLINK__" hidden="1">{"fdsup://directions/FAT%20Viewer?VAR:TM=NTMA&amp;VAR:PCT=0.802740&amp;VAR:Y0=2009&amp;VAR:Y1=2010&amp;VAR:V0=12.151150&amp;VAR:V1=9.705639&amp;VAR:V=11.575795&amp;VAR:AUDIT_ID=00000117&amp;VAR:DATE=20090313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Aggregates&amp;VAR:MEASURE=PE_MEAN&amp;VAR:CALC_MODE=PORTFOLIO&amp;VAR:CHGPERIOD=NA&amp;VAR:FQLFORMULA=FMA_PE&amp;VAR:CURRENCY=USD&amp;VAR:P=75","6.553170&amp;VAR:THRESH=||||||&amp;VAR:null=.html"}</definedName>
    <definedName name="_830__FDSAUDITLINK__" hidden="1">{"fdsup://directions/FAT%20Viewer?VAR:TM=NTMA&amp;VAR:PCT=0.117808&amp;VAR:Y0=1994&amp;VAR:Y1=1995&amp;VAR:V0=15.128084&amp;VAR:V1=12.835382&amp;VAR:V=13.068713&amp;VAR:AUDIT_ID=00000117&amp;VAR:DATE=19941118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Aggregates&amp;VAR:MEASURE=PE_MEAN&amp;VAR:CALC_MODE=PORTFOLIO&amp;VAR:CHGPERIOD=NA&amp;VAR:FQLFORMULA=FMA_PE&amp;VAR:CURRENCY=USD&amp;VAR:P=4","61.470000&amp;VAR:THRESH=||||||&amp;VAR:null=.html"}</definedName>
    <definedName name="_831__FDSAUDITLINK__" hidden="1">{"fdsup://directions/FAT%20Viewer?VAR:TM=NTMA&amp;VAR:PCT=0.136986&amp;VAR:Y0=1994&amp;VAR:Y1=1995&amp;VAR:V0=14.986210&amp;VAR:V1=12.738070&amp;VAR:V=13.005328&amp;VAR:AUDIT_ID=00000117&amp;VAR:DATE=19941111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Aggregates&amp;VAR:MEASURE=PE_MEAN&amp;VAR:CALC_MODE=PORTFOLIO&amp;VAR:CHGPERIOD=NA&amp;VAR:FQLFORMULA=FMA_PE&amp;VAR:CURRENCY=USD&amp;VAR:P=4","62.350000&amp;VAR:THRESH=||||||&amp;VAR:null=.html"}</definedName>
    <definedName name="_832__FDSAUDITLINK__" hidden="1">{"fdsup://directions/FAT%20Viewer?VAR:TM=NTMA&amp;VAR:PCT=0.156164&amp;VAR:Y0=1994&amp;VAR:Y1=1995&amp;VAR:V0=14.902886&amp;VAR:V1=12.646651&amp;VAR:V=12.952892&amp;VAR:AUDIT_ID=00000117&amp;VAR:DATE=19941104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Aggregates&amp;VAR:MEASURE=PE_MEAN&amp;VAR:CALC_MODE=PORTFOLIO&amp;VAR:CHGPERIOD=NA&amp;VAR:FQLFORMULA=FMA_PE&amp;VAR:CURRENCY=USD&amp;VAR:P=4","62.280000&amp;VAR:THRESH=||||||&amp;VAR:null=.html"}</definedName>
    <definedName name="_833__FDSAUDITLINK__" hidden="1">{"fdsup://directions/FAT%20Viewer?VAR:TM=NTMA&amp;VAR:PCT=0.175342&amp;VAR:Y0=1994&amp;VAR:Y1=1995&amp;VAR:V0=15.353969&amp;VAR:V1=13.060858&amp;VAR:V=13.412085&amp;VAR:AUDIT_ID=00000117&amp;VAR:DATE=19941028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Aggregates&amp;VAR:MEASURE=PE_MEAN&amp;VAR:CALC_MODE=PORTFOLIO&amp;VAR:CHGPERIOD=NA&amp;VAR:FQLFORMULA=FMA_PE&amp;VAR:CURRENCY=USD&amp;VAR:P=4","73.770000&amp;VAR:THRESH=||||||&amp;VAR:null=.html"}</definedName>
    <definedName name="_834__FDSAUDITLINK__" hidden="1">{"fdsup://directions/FAT%20Viewer?VAR:TM=NTMA&amp;VAR:PCT=0.194521&amp;VAR:Y0=1994&amp;VAR:Y1=1995&amp;VAR:V0=15.127408&amp;VAR:V1=12.905177&amp;VAR:V=13.284793&amp;VAR:AUDIT_ID=00000117&amp;VAR:DATE=19941021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Aggregates&amp;VAR:MEASURE=PE_MEAN&amp;VAR:CALC_MODE=PORTFOLIO&amp;VAR:CHGPERIOD=NA&amp;VAR:FQLFORMULA=FMA_PE&amp;VAR:CURRENCY=USD&amp;VAR:P=4","64.890000&amp;VAR:THRESH=||||||&amp;VAR:null=.html"}</definedName>
    <definedName name="_835__FDSAUDITLINK__" hidden="1">{"fdsup://directions/FAT%20Viewer?VAR:TM=NTMA&amp;VAR:PCT=0.213699&amp;VAR:Y0=1994&amp;VAR:Y1=1995&amp;VAR:V0=15.233327&amp;VAR:V1=13.019963&amp;VAR:V=13.437186&amp;VAR:AUDIT_ID=00000117&amp;VAR:DATE=19941014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Aggregates&amp;VAR:MEASURE=PE_MEAN&amp;VAR:CALC_MODE=PORTFOLIO&amp;VAR:CHGPERIOD=NA&amp;VAR:FQLFORMULA=FMA_PE&amp;VAR:CURRENCY=USD&amp;VAR:P=4","69.100000&amp;VAR:THRESH=||||||&amp;VAR:null=.html"}</definedName>
    <definedName name="_836__FDSAUDITLINK__" hidden="1">{"fdsup://directions/FAT%20Viewer?VAR:TM=NTMA&amp;VAR:PCT=0.232877&amp;VAR:Y0=1994&amp;VAR:Y1=1995&amp;VAR:V0=14.750242&amp;VAR:V1=12.602770&amp;VAR:V=13.045053&amp;VAR:AUDIT_ID=00000117&amp;VAR:DATE=19941007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Aggregates&amp;VAR:MEASURE=PE_MEAN&amp;VAR:CALC_MODE=PORTFOLIO&amp;VAR:CHGPERIOD=NA&amp;VAR:FQLFORMULA=FMA_PE&amp;VAR:CURRENCY=USD&amp;VAR:P=4","55.100000&amp;VAR:THRESH=||||||&amp;VAR:null=.html"}</definedName>
    <definedName name="_837__FDSAUDITLINK__" hidden="1">{"fdsup://directions/FAT%20Viewer?VAR:TM=NTMA&amp;VAR:PCT=0.252055&amp;VAR:Y0=1994&amp;VAR:Y1=1995&amp;VAR:V0=14.922802&amp;VAR:V1=12.737734&amp;VAR:V=13.225862&amp;VAR:AUDIT_ID=00000117&amp;VAR:DATE=19940930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Aggregates&amp;VAR:MEASURE=PE_MEAN&amp;VAR:CALC_MODE=PORTFOLIO&amp;VAR:CHGPERIOD=NA&amp;VAR:FQLFORMULA=FMA_PE&amp;VAR:CURRENCY=USD&amp;VAR:P=4","62.690000&amp;VAR:THRESH=||||||&amp;VAR:null=.html"}</definedName>
    <definedName name="_838__FDSAUDITLINK__" hidden="1">{"fdsup://directions/FAT%20Viewer?VAR:TM=NTMA&amp;VAR:PCT=0.271233&amp;VAR:Y0=1994&amp;VAR:Y1=1995&amp;VAR:V0=14.824052&amp;VAR:V1=12.725533&amp;VAR:V=13.233655&amp;VAR:AUDIT_ID=00000117&amp;VAR:DATE=19940923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Aggregates&amp;VAR:MEASURE=PE_MEAN&amp;VAR:CALC_MODE=PORTFOLIO&amp;VAR:CHGPERIOD=NA&amp;VAR:FQLFORMULA=FMA_PE&amp;VAR:CURRENCY=USD&amp;VAR:P=4","59.670000&amp;VAR:THRESH=||||||&amp;VAR:null=.html"}</definedName>
    <definedName name="_839__FDSAUDITLINK__" hidden="1">{"fdsup://directions/FAT%20Viewer?VAR:TM=NTMA&amp;VAR:PCT=0.290411&amp;VAR:Y0=1994&amp;VAR:Y1=1995&amp;VAR:V0=15.118115&amp;VAR:V1=12.989599&amp;VAR:V=13.543355&amp;VAR:AUDIT_ID=00000117&amp;VAR:DATE=19940916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Aggregates&amp;VAR:MEASURE=PE_MEAN&amp;VAR:CALC_MODE=PORTFOLIO&amp;VAR:CHGPERIOD=NA&amp;VAR:FQLFORMULA=FMA_PE&amp;VAR:CURRENCY=USD&amp;VAR:P=4","71.190000&amp;VAR:THRESH=||||||&amp;VAR:null=.html"}</definedName>
    <definedName name="_84__FDSAUDITLINK__" hidden="1">{"fdsup://directions/FAT%20Viewer?VAR:TM=NTMA&amp;VAR:PCT=0.821918&amp;VAR:Y0=2009&amp;VAR:Y1=2010&amp;VAR:V0=10.873647&amp;VAR:V1=8.628825&amp;VAR:V=10.392190&amp;VAR:AUDIT_ID=00000117&amp;VAR:DATE=20090306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Aggregates&amp;VAR:MEASURE=PE_MEAN&amp;VAR:CALC_MODE=PORTFOLIO&amp;VAR:CHGPERIOD=NA&amp;VAR:FQLFORMULA=FMA_PE&amp;VAR:CURRENCY=USD&amp;VAR:P=68","3.384059&amp;VAR:THRESH=||||||&amp;VAR:null=.html"}</definedName>
    <definedName name="_840__FDSAUDITLINK__" hidden="1">{"fdsup://directions/FAT%20Viewer?VAR:TM=NTMA&amp;VAR:PCT=0.309589&amp;VAR:Y0=1994&amp;VAR:Y1=1995&amp;VAR:V0=14.925870&amp;VAR:V1=12.812052&amp;VAR:V=13.399546&amp;VAR:AUDIT_ID=00000117&amp;VAR:DATE=19940909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Aggregates&amp;VAR:MEASURE=PE_MEAN&amp;VAR:CALC_MODE=PORTFOLIO&amp;VAR:CHGPERIOD=NA&amp;VAR:FQLFORMULA=FMA_PE&amp;VAR:CURRENCY=USD&amp;VAR:P=4","68.180000&amp;VAR:THRESH=||||||&amp;VAR:null=.html"}</definedName>
    <definedName name="_841__FDSAUDITLINK__" hidden="1">{"fdsup://directions/FAT%20Viewer?VAR:TM=NTMA&amp;VAR:PCT=0.328767&amp;VAR:Y0=1994&amp;VAR:Y1=1995&amp;VAR:V0=15.024598&amp;VAR:V1=12.879258&amp;VAR:V=13.513645&amp;VAR:AUDIT_ID=00000117&amp;VAR:DATE=19940902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Aggregates&amp;VAR:MEASURE=PE_MEAN&amp;VAR:CALC_MODE=PORTFOLIO&amp;VAR:CHGPERIOD=NA&amp;VAR:FQLFORMULA=FMA_PE&amp;VAR:CURRENCY=USD&amp;VAR:P=4","70.990000&amp;VAR:THRESH=||||||&amp;VAR:null=.html"}</definedName>
    <definedName name="_842__FDSAUDITLINK__" hidden="1">{"fdsup://directions/FAT%20Viewer?VAR:TM=NTMA&amp;VAR:PCT=0.347945&amp;VAR:Y0=1994&amp;VAR:Y1=1995&amp;VAR:V0=15.112433&amp;VAR:V1=12.956115&amp;VAR:V=13.632944&amp;VAR:AUDIT_ID=00000117&amp;VAR:DATE=19940826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Aggregates&amp;VAR:MEASURE=PE_MEAN&amp;VAR:CALC_MODE=PORTFOLIO&amp;VAR:CHGPERIOD=NA&amp;VAR:FQLFORMULA=FMA_PE&amp;VAR:CURRENCY=USD&amp;VAR:P=4","73.800000&amp;VAR:THRESH=||||||&amp;VAR:null=.html"}</definedName>
    <definedName name="_843__FDSAUDITLINK__" hidden="1">{"fdsup://directions/FAT%20Viewer?VAR:TM=NTMA&amp;VAR:PCT=0.367123&amp;VAR:Y0=1994&amp;VAR:Y1=1995&amp;VAR:V0=14.798714&amp;VAR:V1=12.676858&amp;VAR:V=13.381226&amp;VAR:AUDIT_ID=00000117&amp;VAR:DATE=19940819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Aggregates&amp;VAR:MEASURE=PE_MEAN&amp;VAR:CALC_MODE=PORTFOLIO&amp;VAR:CHGPERIOD=NA&amp;VAR:FQLFORMULA=FMA_PE&amp;VAR:CURRENCY=USD&amp;VAR:P=4","63.680000&amp;VAR:THRESH=||||||&amp;VAR:null=.html"}</definedName>
    <definedName name="_844__FDSAUDITLINK__" hidden="1">{"fdsup://directions/FAT%20Viewer?VAR:TM=NTMA&amp;VAR:PCT=0.386301&amp;VAR:Y0=1994&amp;VAR:Y1=1995&amp;VAR:V0=14.642952&amp;VAR:V1=12.552670&amp;VAR:V=13.285281&amp;VAR:AUDIT_ID=00000117&amp;VAR:DATE=19940812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Aggregates&amp;VAR:MEASURE=PE_MEAN&amp;VAR:CALC_MODE=PORTFOLIO&amp;VAR:CHGPERIOD=NA&amp;VAR:FQLFORMULA=FMA_PE&amp;VAR:CURRENCY=USD&amp;VAR:P=4","61.940000&amp;VAR:THRESH=||||||&amp;VAR:null=.html"}</definedName>
    <definedName name="_845__FDSAUDITLINK__" hidden="1">{"fdsup://directions/FAT%20Viewer?VAR:TM=NTMA&amp;VAR:PCT=0.405479&amp;VAR:Y0=1994&amp;VAR:Y1=1995&amp;VAR:V0=14.389737&amp;VAR:V1=12.332446&amp;VAR:V=13.091367&amp;VAR:AUDIT_ID=00000117&amp;VAR:DATE=19940805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Aggregates&amp;VAR:MEASURE=PE_MEAN&amp;VAR:CALC_MODE=PORTFOLIO&amp;VAR:CHGPERIOD=NA&amp;VAR:FQLFORMULA=FMA_PE&amp;VAR:CURRENCY=USD&amp;VAR:P=4","57.090000&amp;VAR:THRESH=||||||&amp;VAR:null=.html"}</definedName>
    <definedName name="_846__FDSAUDITLINK__" hidden="1">{"fdsup://directions/FAT%20Viewer?VAR:TM=NTMA&amp;VAR:PCT=0.424658&amp;VAR:Y0=1994&amp;VAR:Y1=1995&amp;VAR:V0=14.397713&amp;VAR:V1=12.348475&amp;VAR:V=13.142853&amp;VAR:AUDIT_ID=00000117&amp;VAR:DATE=19940729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Aggregates&amp;VAR:MEASURE=PE_MEAN&amp;VAR:CALC_MODE=PORTFOLIO&amp;VAR:CHGPERIOD=NA&amp;VAR:FQLFORMULA=FMA_PE&amp;VAR:CURRENCY=USD&amp;VAR:P=4","58.260000&amp;VAR:THRESH=||||||&amp;VAR:null=.html"}</definedName>
    <definedName name="_847__FDSAUDITLINK__" hidden="1">{"fdsup://directions/FAT%20Viewer?VAR:TM=NTMA&amp;VAR:PCT=0.443836&amp;VAR:Y0=1994&amp;VAR:Y1=1995&amp;VAR:V0=14.317582&amp;VAR:V1=12.167079&amp;VAR:V=13.036121&amp;VAR:AUDIT_ID=00000117&amp;VAR:DATE=19940722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Aggregates&amp;VAR:MEASURE=PE_MEAN&amp;VAR:CALC_MODE=PORTFOLIO&amp;VAR:CHGPERIOD=NA&amp;VAR:FQLFORMULA=FMA_PE&amp;VAR:CURRENCY=USD&amp;VAR:P=4","53.110000&amp;VAR:THRESH=||||||&amp;VAR:null=.html"}</definedName>
    <definedName name="_848__FDSAUDITLINK__" hidden="1">{"fdsup://directions/FAT%20Viewer?VAR:TM=NTMA&amp;VAR:PCT=0.463014&amp;VAR:Y0=1994&amp;VAR:Y1=1995&amp;VAR:V0=14.381948&amp;VAR:V1=12.154979&amp;VAR:V=13.093738&amp;VAR:AUDIT_ID=00000117&amp;VAR:DATE=19940715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Aggregates&amp;VAR:MEASURE=PE_MEAN&amp;VAR:CALC_MODE=PORTFOLIO&amp;VAR:CHGPERIOD=NA&amp;VAR:FQLFORMULA=FMA_PE&amp;VAR:CURRENCY=USD&amp;VAR:P=4","54.160000&amp;VAR:THRESH=||||||&amp;VAR:null=.html"}</definedName>
    <definedName name="_849__FDSAUDITLINK__" hidden="1">{"fdsup://directions/FAT%20Viewer?VAR:TM=NTMA&amp;VAR:PCT=0.482192&amp;VAR:Y0=1994&amp;VAR:Y1=1995&amp;VAR:V0=14.326757&amp;VAR:V1=12.120199&amp;VAR:V=13.092522&amp;VAR:AUDIT_ID=00000117&amp;VAR:DATE=19940708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Aggregates&amp;VAR:MEASURE=PE_MEAN&amp;VAR:CALC_MODE=PORTFOLIO&amp;VAR:CHGPERIOD=NA&amp;VAR:FQLFORMULA=FMA_PE&amp;VAR:CURRENCY=USD&amp;VAR:P=4","49.550000&amp;VAR:THRESH=||||||&amp;VAR:null=.html"}</definedName>
    <definedName name="_85__FDSAUDITLINK__" hidden="1">{"fdsup://directions/FAT%20Viewer?VAR:TM=NTMA&amp;VAR:PCT=0.841096&amp;VAR:Y0=2009&amp;VAR:Y1=2010&amp;VAR:V0=11.600349&amp;VAR:V1=9.188040&amp;VAR:V=11.135764&amp;VAR:AUDIT_ID=00000117&amp;VAR:DATE=20090227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Aggregates&amp;VAR:MEASURE=PE_MEAN&amp;VAR:CALC_MODE=PORTFOLIO&amp;VAR:CHGPERIOD=NA&amp;VAR:FQLFORMULA=FMA_PE&amp;VAR:CURRENCY=USD&amp;VAR:P=73","5.092182&amp;VAR:THRESH=||||||&amp;VAR:null=.html"}</definedName>
    <definedName name="_850__FDSAUDITLINK__" hidden="1">{"fdsup://directions/FAT%20Viewer?VAR:TM=NTMA&amp;VAR:PCT=0.501370&amp;VAR:Y0=1994&amp;VAR:Y1=1995&amp;VAR:V0=14.158194&amp;VAR:V1=11.993519&amp;VAR:V=12.989213&amp;VAR:AUDIT_ID=00000117&amp;VAR:DATE=19940701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Aggregates&amp;VAR:MEASURE=PE_MEAN&amp;VAR:CALC_MODE=PORTFOLIO&amp;VAR:CHGPERIOD=NA&amp;VAR:FQLFORMULA=FMA_PE&amp;VAR:CURRENCY=USD&amp;VAR:P=4","46.200000&amp;VAR:THRESH=||||||&amp;VAR:null=.html"}</definedName>
    <definedName name="_851__FDSAUDITLINK__" hidden="1">{"fdsup://directions/FAT%20Viewer?VAR:TM=NTMA&amp;VAR:PCT=0.520548&amp;VAR:Y0=1994&amp;VAR:Y1=1995&amp;VAR:V0=14.114883&amp;VAR:V1=11.963117&amp;VAR:V=12.994289&amp;VAR:AUDIT_ID=00000117&amp;VAR:DATE=19940624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Aggregates&amp;VAR:MEASURE=PE_MEAN&amp;VAR:CALC_MODE=PORTFOLIO&amp;VAR:CHGPERIOD=NA&amp;VAR:FQLFORMULA=FMA_PE&amp;VAR:CURRENCY=USD&amp;VAR:P=4","42.800000&amp;VAR:THRESH=||||||&amp;VAR:null=.html"}</definedName>
    <definedName name="_852__FDSAUDITLINK__" hidden="1">{"fdsup://directions/FAT%20Viewer?VAR:TM=NTMA&amp;VAR:PCT=0.539726&amp;VAR:Y0=1994&amp;VAR:Y1=1995&amp;VAR:V0=14.599699&amp;VAR:V1=12.361090&amp;VAR:V=13.476361&amp;VAR:AUDIT_ID=00000117&amp;VAR:DATE=19940617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Aggregates&amp;VAR:MEASURE=PE_MEAN&amp;VAR:CALC_MODE=PORTFOLIO&amp;VAR:CHGPERIOD=NA&amp;VAR:FQLFORMULA=FMA_PE&amp;VAR:CURRENCY=USD&amp;VAR:P=4","58.450000&amp;VAR:THRESH=||||||&amp;VAR:null=.html"}</definedName>
    <definedName name="_853__FDSAUDITLINK__" hidden="1">{"fdsup://directions/FAT%20Viewer?VAR:TM=NTMA&amp;VAR:PCT=0.558904&amp;VAR:Y0=1994&amp;VAR:Y1=1995&amp;VAR:V0=14.625396&amp;VAR:V1=12.400076&amp;VAR:V=13.552585&amp;VAR:AUDIT_ID=00000117&amp;VAR:DATE=19940610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Aggregates&amp;VAR:MEASURE=PE_MEAN&amp;VAR:CALC_MODE=PORTFOLIO&amp;VAR:CHGPERIOD=NA&amp;VAR:FQLFORMULA=FMA_PE&amp;VAR:CURRENCY=USD&amp;VAR:P=4","58.670000&amp;VAR:THRESH=||||||&amp;VAR:null=.html"}</definedName>
    <definedName name="_854__FDSAUDITLINK__" hidden="1">{"fdsup://directions/FAT%20Viewer?VAR:TM=NTMA&amp;VAR:PCT=0.578082&amp;VAR:Y0=1994&amp;VAR:Y1=1995&amp;VAR:V0=14.735913&amp;VAR:V1=12.519796&amp;VAR:V=13.711866&amp;VAR:AUDIT_ID=00000117&amp;VAR:DATE=19940603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Aggregates&amp;VAR:MEASURE=PE_MEAN&amp;VAR:CALC_MODE=PORTFOLIO&amp;VAR:CHGPERIOD=NA&amp;VAR:FQLFORMULA=FMA_PE&amp;VAR:CURRENCY=USD&amp;VAR:P=4","60.130000&amp;VAR:THRESH=||||||&amp;VAR:null=.html"}</definedName>
    <definedName name="_855__FDSAUDITLINK__" hidden="1">{"fdsup://directions/FAT%20Viewer?VAR:TM=NTMA&amp;VAR:PCT=0.597260&amp;VAR:Y0=1994&amp;VAR:Y1=1995&amp;VAR:V0=14.667652&amp;VAR:V1=12.481005&amp;VAR:V=13.700926&amp;VAR:AUDIT_ID=00000117&amp;VAR:DATE=19940527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Aggregates&amp;VAR:MEASURE=PE_MEAN&amp;VAR:CALC_MODE=PORTFOLIO&amp;VAR:CHGPERIOD=NA&amp;VAR:FQLFORMULA=FMA_PE&amp;VAR:CURRENCY=USD&amp;VAR:P=4","57.330000&amp;VAR:THRESH=||||||&amp;VAR:null=.html"}</definedName>
    <definedName name="_856__FDSAUDITLINK__" hidden="1">{"fdsup://directions/FAT%20Viewer?VAR:TM=NTMA&amp;VAR:PCT=0.616438&amp;VAR:Y0=1994&amp;VAR:Y1=1995&amp;VAR:V0=14.539228&amp;VAR:V1=12.377218&amp;VAR:V=13.626278&amp;VAR:AUDIT_ID=00000117&amp;VAR:DATE=19940520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Aggregates&amp;VAR:MEASURE=PE_MEAN&amp;VAR:CALC_MODE=PORTFOLIO&amp;VAR:CHGPERIOD=NA&amp;VAR:FQLFORMULA=FMA_PE&amp;VAR:CURRENCY=USD&amp;VAR:P=4","54.920000&amp;VAR:THRESH=||||||&amp;VAR:null=.html"}</definedName>
    <definedName name="_857__FDSAUDITLINK__" hidden="1">{"fdsup://directions/FAT%20Viewer?VAR:TM=NTMA&amp;VAR:PCT=0.635616&amp;VAR:Y0=1994&amp;VAR:Y1=1995&amp;VAR:V0=14.226004&amp;VAR:V1=12.115283&amp;VAR:V=13.376807&amp;VAR:AUDIT_ID=00000117&amp;VAR:DATE=19940513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Aggregates&amp;VAR:MEASURE=PE_MEAN&amp;VAR:CALC_MODE=PORTFOLIO&amp;VAR:CHGPERIOD=NA&amp;VAR:FQLFORMULA=FMA_PE&amp;VAR:CURRENCY=USD&amp;VAR:P=4","44.140000&amp;VAR:THRESH=||||||&amp;VAR:null=.html"}</definedName>
    <definedName name="_858__FDSAUDITLINK__" hidden="1">{"fdsup://directions/FAT%20Viewer?VAR:TM=NTMA&amp;VAR:PCT=0.654795&amp;VAR:Y0=1994&amp;VAR:Y1=1995&amp;VAR:V0=14.278486&amp;VAR:V1=12.202192&amp;VAR:V=13.486310&amp;VAR:AUDIT_ID=00000117&amp;VAR:DATE=19940506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Aggregates&amp;VAR:MEASURE=PE_MEAN&amp;VAR:CALC_MODE=PORTFOLIO&amp;VAR:CHGPERIOD=NA&amp;VAR:FQLFORMULA=FMA_PE&amp;VAR:CURRENCY=USD&amp;VAR:P=4","47.820000&amp;VAR:THRESH=||||||&amp;VAR:null=.html"}</definedName>
    <definedName name="_859__FDSAUDITLINK__" hidden="1">{"fdsup://directions/FAT%20Viewer?VAR:TM=NTMA&amp;VAR:PCT=0.673973&amp;VAR:Y0=1994&amp;VAR:Y1=1995&amp;VAR:V0=14.372841&amp;VAR:V1=12.264744&amp;VAR:V=13.610149&amp;VAR:AUDIT_ID=00000117&amp;VAR:DATE=19940429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Aggregates&amp;VAR:MEASURE=PE_MEAN&amp;VAR:CALC_MODE=PORTFOLIO&amp;VAR:CHGPERIOD=NA&amp;VAR:FQLFORMULA=FMA_PE&amp;VAR:CURRENCY=USD&amp;VAR:P=4","50.910000&amp;VAR:THRESH=||||||&amp;VAR:null=.html"}</definedName>
    <definedName name="_86__FDSAUDITLINK__" hidden="1">{"fdsup://directions/FAT%20Viewer?VAR:TM=NTMA&amp;VAR:PCT=0.860274&amp;VAR:Y0=2009&amp;VAR:Y1=2010&amp;VAR:V0=12.138169&amp;VAR:V1=9.509950&amp;VAR:V=11.686876&amp;VAR:AUDIT_ID=00000117&amp;VAR:DATE=20090220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Aggregates&amp;VAR:MEASURE=PE_MEAN&amp;VAR:CALC_MODE=PORTFOLIO&amp;VAR:CHGPERIOD=NA&amp;VAR:FQLFORMULA=FMA_PE&amp;VAR:CURRENCY=USD&amp;VAR:P=77","0.047285&amp;VAR:THRESH=||||||&amp;VAR:null=.html"}</definedName>
    <definedName name="_860__FDSAUDITLINK__" hidden="1">{"fdsup://directions/FAT%20Viewer?VAR:TM=NTMA&amp;VAR:PCT=0.693151&amp;VAR:Y0=1994&amp;VAR:Y1=1995&amp;VAR:V0=14.331847&amp;VAR:V1=12.184798&amp;VAR:V=13.596687&amp;VAR:AUDIT_ID=00000117&amp;VAR:DATE=19940422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Aggregates&amp;VAR:MEASURE=PE_MEAN&amp;VAR:CALC_MODE=PORTFOLIO&amp;VAR:CHGPERIOD=NA&amp;VAR:FQLFORMULA=FMA_PE&amp;VAR:CURRENCY=USD&amp;VAR:P=4","47.630000&amp;VAR:THRESH=||||||&amp;VAR:null=.html"}</definedName>
    <definedName name="_861__FDSAUDITLINK__" hidden="1">{"fdsup://directions/FAT%20Viewer?VAR:TM=NTMA&amp;VAR:PCT=0.712329&amp;VAR:Y0=1994&amp;VAR:Y1=1995&amp;VAR:V0=14.202864&amp;VAR:V1=12.079447&amp;VAR:V=13.519211&amp;VAR:AUDIT_ID=00000117&amp;VAR:DATE=19940415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Aggregates&amp;VAR:MEASURE=PE_MEAN&amp;VAR:CALC_MODE=PORTFOLIO&amp;VAR:CHGPERIOD=NA&amp;VAR:FQLFORMULA=FMA_PE&amp;VAR:CURRENCY=USD&amp;VAR:P=4","46.180000&amp;VAR:THRESH=||||||&amp;VAR:null=.html"}</definedName>
    <definedName name="_862__FDSAUDITLINK__" hidden="1">{"fdsup://directions/FAT%20Viewer?VAR:TM=NTMA&amp;VAR:PCT=0.731507&amp;VAR:Y0=1994&amp;VAR:Y1=1995&amp;VAR:V0=14.159051&amp;VAR:V1=12.087064&amp;VAR:V=13.536046&amp;VAR:AUDIT_ID=00000117&amp;VAR:DATE=19940408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Aggregates&amp;VAR:MEASURE=PE_MEAN&amp;VAR:CALC_MODE=PORTFOLIO&amp;VAR:CHGPERIOD=NA&amp;VAR:FQLFORMULA=FMA_PE&amp;VAR:CURRENCY=USD&amp;VAR:P=4","47.100000&amp;VAR:THRESH=||||||&amp;VAR:null=.html"}</definedName>
    <definedName name="_863__FDSAUDITLINK__" hidden="1">{"fdsup://directions/FAT%20Viewer?VAR:TM=NTMA&amp;VAR:PCT=0.753425&amp;VAR:Y0=1994&amp;VAR:Y1=1995&amp;VAR:V0=14.153227&amp;VAR:V1=12.053061&amp;VAR:V=13.570196&amp;VAR:AUDIT_ID=00000117&amp;VAR:DATE=19940331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Aggregates&amp;VAR:MEASURE=PE_MEAN&amp;VAR:CALC_MODE=PORTFOLIO&amp;VAR:CHGPERIOD=NA&amp;VAR:FQLFORMULA=FMA_PE&amp;VAR:CURRENCY=USD&amp;VAR:P=4","45.770000&amp;VAR:THRESH=||||||&amp;VAR:null=.html"}</definedName>
    <definedName name="_864__FDSAUDITLINK__" hidden="1">{"fdsup://directions/FAT%20Viewer?VAR:TM=NTMA&amp;VAR:PCT=0.769863&amp;VAR:Y0=1994&amp;VAR:Y1=1995&amp;VAR:V0=14.517449&amp;VAR:V1=12.386169&amp;VAR:V=13.964463&amp;VAR:AUDIT_ID=00000117&amp;VAR:DATE=19940325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Aggregates&amp;VAR:MEASURE=PE_MEAN&amp;VAR:CALC_MODE=PORTFOLIO&amp;VAR:CHGPERIOD=NA&amp;VAR:FQLFORMULA=FMA_PE&amp;VAR:CURRENCY=USD&amp;VAR:P=4","60.580000&amp;VAR:THRESH=||||||&amp;VAR:null=.html"}</definedName>
    <definedName name="_865__FDSAUDITLINK__" hidden="1">{"fdsup://directions/FAT%20Viewer?VAR:TM=NTMA&amp;VAR:PCT=0.789041&amp;VAR:Y0=1994&amp;VAR:Y1=1995&amp;VAR:V0=14.920795&amp;VAR:V1=12.728683&amp;VAR:V=14.397712&amp;VAR:AUDIT_ID=00000117&amp;VAR:DATE=19940318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Aggregates&amp;VAR:MEASURE=PE_MEAN&amp;VAR:CALC_MODE=PORTFOLIO&amp;VAR:CHGPERIOD=NA&amp;VAR:FQLFORMULA=FMA_PE&amp;VAR:CURRENCY=USD&amp;VAR:P=4","71.060000&amp;VAR:THRESH=||||||&amp;VAR:null=.html"}</definedName>
    <definedName name="_866__FDSAUDITLINK__" hidden="1">{"fdsup://directions/FAT%20Viewer?VAR:TM=NTMA&amp;VAR:PCT=0.808219&amp;VAR:Y0=1994&amp;VAR:Y1=1995&amp;VAR:V0=14.825487&amp;VAR:V1=12.668568&amp;VAR:V=14.356710&amp;VAR:AUDIT_ID=00000117&amp;VAR:DATE=19940311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Aggregates&amp;VAR:MEASURE=PE_MEAN&amp;VAR:CALC_MODE=PORTFOLIO&amp;VAR:CHGPERIOD=NA&amp;VAR:FQLFORMULA=FMA_PE&amp;VAR:CURRENCY=USD&amp;VAR:P=4","66.440000&amp;VAR:THRESH=||||||&amp;VAR:null=.html"}</definedName>
    <definedName name="_867__FDSAUDITLINK__" hidden="1">{"fdsup://directions/FAT%20Viewer?VAR:TM=NTMA&amp;VAR:PCT=0.827397&amp;VAR:Y0=1994&amp;VAR:Y1=1995&amp;VAR:V0=14.748204&amp;VAR:V1=12.596446&amp;VAR:V=14.325815&amp;VAR:AUDIT_ID=00000117&amp;VAR:DATE=19940304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Aggregates&amp;VAR:MEASURE=PE_MEAN&amp;VAR:CALC_MODE=PORTFOLIO&amp;VAR:CHGPERIOD=NA&amp;VAR:FQLFORMULA=FMA_PE&amp;VAR:CURRENCY=USD&amp;VAR:P=4","64.740000&amp;VAR:THRESH=||||||&amp;VAR:null=.html"}</definedName>
    <definedName name="_868__FDSAUDITLINK__" hidden="1">{"fdsup://directions/FAT%20Viewer?VAR:TM=NTMA&amp;VAR:PCT=0.846575&amp;VAR:Y0=1994&amp;VAR:Y1=1995&amp;VAR:V0=14.804842&amp;VAR:V1=12.522840&amp;VAR:V=14.402184&amp;VAR:AUDIT_ID=00000117&amp;VAR:DATE=19940225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Aggregates&amp;VAR:MEASURE=PE_MEAN&amp;VAR:CALC_MODE=PORTFOLIO&amp;VAR:CHGPERIOD=NA&amp;VAR:FQLFORMULA=FMA_PE&amp;VAR:CURRENCY=USD&amp;VAR:P=4","66.070000&amp;VAR:THRESH=||||||&amp;VAR:null=.html"}</definedName>
    <definedName name="_869__FDSAUDITLINK__" hidden="1">{"fdsup://directions/FAT%20Viewer?VAR:TM=NTMA&amp;VAR:PCT=0.865753&amp;VAR:Y0=1994&amp;VAR:Y1=1995&amp;VAR:V0=14.900204&amp;VAR:V1=12.620867&amp;VAR:V=14.547500&amp;VAR:AUDIT_ID=00000117&amp;VAR:DATE=19940218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Aggregates&amp;VAR:MEASURE=PE_MEAN&amp;VAR:CALC_MODE=PORTFOLIO&amp;VAR:CHGPERIOD=NA&amp;VAR:FQLFORMULA=FMA_PE&amp;VAR:CURRENCY=USD&amp;VAR:P=4","67.690000&amp;VAR:THRESH=||||||&amp;VAR:null=.html"}</definedName>
    <definedName name="_87__FDSAUDITLINK__" hidden="1">{"fdsup://directions/FAT%20Viewer?VAR:TM=NTMA&amp;VAR:PCT=0.879452&amp;VAR:Y0=2009&amp;VAR:Y1=2010&amp;VAR:V0=12.911613&amp;VAR:V1=10.085974&amp;VAR:V=12.489805&amp;VAR:AUDIT_ID=00000117&amp;VAR:DATE=20090213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Aggregates&amp;VAR:MEASURE=PE_MEAN&amp;VAR:CALC_MODE=PORTFOLIO&amp;VAR:CHGPERIOD=NA&amp;VAR:FQLFORMULA=FMA_PE&amp;VAR:CURRENCY=USD&amp;VAR:P=8","26.843487&amp;VAR:THRESH=||||||&amp;VAR:null=.html"}</definedName>
    <definedName name="_870__FDSAUDITLINK__" hidden="1">{"fdsup://directions/FAT%20Viewer?VAR:TM=NTMA&amp;VAR:PCT=0.884932&amp;VAR:Y0=1994&amp;VAR:Y1=1995&amp;VAR:V0=15.016991&amp;VAR:V1=12.705725&amp;VAR:V=14.709103&amp;VAR:AUDIT_ID=00000117&amp;VAR:DATE=19940211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Aggregates&amp;VAR:MEASURE=PE_MEAN&amp;VAR:CALC_MODE=PORTFOLIO&amp;VAR:CHGPERIOD=NA&amp;VAR:FQLFORMULA=FMA_PE&amp;VAR:CURRENCY=USD&amp;VAR:P=4","70.180000&amp;VAR:THRESH=||||||&amp;VAR:null=.html"}</definedName>
    <definedName name="_871__FDSAUDITLINK__" hidden="1">{"fdsup://directions/FAT%20Viewer?VAR:TM=NTMA&amp;VAR:PCT=0.904110&amp;VAR:Y0=1994&amp;VAR:Y1=1995&amp;VAR:V0=14.973080&amp;VAR:V1=12.693437&amp;VAR:V=14.719591&amp;VAR:AUDIT_ID=00000117&amp;VAR:DATE=19940204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Aggregates&amp;VAR:MEASURE=PE_MEAN&amp;VAR:CALC_MODE=PORTFOLIO&amp;VAR:CHGPERIOD=NA&amp;VAR:FQLFORMULA=FMA_PE&amp;VAR:CURRENCY=USD&amp;VAR:P=4","69.810000&amp;VAR:THRESH=||||||&amp;VAR:null=.html"}</definedName>
    <definedName name="_872__FDSAUDITLINK__" hidden="1">{"fdsup://directions/FAT%20Viewer?VAR:TM=NTMA&amp;VAR:PCT=0.923288&amp;VAR:Y0=1994&amp;VAR:Y1=1995&amp;VAR:V0=15.279545&amp;VAR:V1=12.891762&amp;VAR:V=15.065487&amp;VAR:AUDIT_ID=00000117&amp;VAR:DATE=19940128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Aggregates&amp;VAR:MEASURE=PE_MEAN&amp;VAR:CALC_MODE=PORTFOLIO&amp;VAR:CHGPERIOD=NA&amp;VAR:FQLFORMULA=FMA_PE&amp;VAR:CURRENCY=USD&amp;VAR:P=4","78.700000&amp;VAR:THRESH=||||||&amp;VAR:null=.html"}</definedName>
    <definedName name="_873__FDSAUDITLINK__" hidden="1">{"fdsup://directions/FAT%20Viewer?VAR:TM=NTMA&amp;VAR:PCT=0.942466&amp;VAR:Y0=1994&amp;VAR:Y1=1995&amp;VAR:V0=15.141704&amp;VAR:V1=12.619863&amp;VAR:V=14.969597&amp;VAR:AUDIT_ID=00000117&amp;VAR:DATE=19940121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Aggregates&amp;VAR:MEASURE=PE_MEAN&amp;VAR:CALC_MODE=PORTFOLIO&amp;VAR:CHGPERIOD=NA&amp;VAR:FQLFORMULA=FMA_PE&amp;VAR:CURRENCY=USD&amp;VAR:P=4","74.720000&amp;VAR:THRESH=||||||&amp;VAR:null=.html"}</definedName>
    <definedName name="_874__FDSAUDITLINK__" hidden="1">{"fdsup://directions/FAT%20Viewer?VAR:TM=NTMA&amp;VAR:PCT=0.961644&amp;VAR:Y0=1994&amp;VAR:Y1=1995&amp;VAR:V0=15.066935&amp;VAR:V1=12.501016&amp;VAR:V=14.949242&amp;VAR:AUDIT_ID=00000117&amp;VAR:DATE=19940114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Aggregates&amp;VAR:MEASURE=PE_MEAN&amp;VAR:CALC_MODE=PORTFOLIO&amp;VAR:CHGPERIOD=NA&amp;VAR:FQLFORMULA=FMA_PE&amp;VAR:CURRENCY=USD&amp;VAR:P=4","74.910000&amp;VAR:THRESH=||||||&amp;VAR:null=.html"}</definedName>
    <definedName name="_875__FDSAUDITLINK__" hidden="1">{"fdsup://directions/FAT%20Viewer?VAR:TM=NTMA&amp;VAR:PCT=0.980822&amp;VAR:Y0=1994&amp;VAR:Y1=1995&amp;VAR:V0=14.820850&amp;VAR:V1=12.326214&amp;VAR:V=14.763548&amp;VAR:AUDIT_ID=00000117&amp;VAR:DATE=19940107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Aggregates&amp;VAR:MEASURE=PE_MEAN&amp;VAR:CALC_MODE=PORTFOLIO&amp;VAR:CHGPERIOD=NA&amp;VAR:FQLFORMULA=FMA_PE&amp;VAR:CURRENCY=USD&amp;VAR:P=4","69.900000&amp;VAR:THRESH=||||||&amp;VAR:null=.html"}</definedName>
    <definedName name="_876__FDSAUDITLINK__" hidden="1">{"fdsup://directions/FAT%20Viewer?VAR:TM=NTMA&amp;VAR:PCT=0.000000&amp;VAR:Y0=1993&amp;VAR:Y1=1994&amp;VAR:V0=17.217178&amp;VAR:V1=14.664143&amp;VAR:V=14.664143&amp;VAR:AUDIT_ID=00000117&amp;VAR:DATE=19931231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Aggregates&amp;VAR:MEASURE=PE_MEAN&amp;VAR:CALC_MODE=PORTFOLIO&amp;VAR:CHGPERIOD=NA&amp;VAR:FQLFORMULA=FMA_PE&amp;VAR:CURRENCY=USD&amp;VAR:P=4","66.450000&amp;VAR:THRESH=||||||&amp;VAR:null=.html"}</definedName>
    <definedName name="_877__FDSAUDITLINK__" hidden="1">{"fdsup://directions/FAT%20Viewer?VAR:TM=NTMA&amp;VAR:PCT=0.021918&amp;VAR:Y0=1993&amp;VAR:Y1=1994&amp;VAR:V0=17.066057&amp;VAR:V1=14.242799&amp;VAR:V=14.294630&amp;VAR:AUDIT_ID=00000117&amp;VAR:DATE=19931223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Aggregates&amp;VAR:MEASURE=PE_MEAN&amp;VAR:CALC_MODE=PORTFOLIO&amp;VAR:CHGPERIOD=NA&amp;VAR:FQLFORMULA=FMA_PE&amp;VAR:CURRENCY=USD&amp;VAR:P=4","67.380000&amp;VAR:THRESH=||||||&amp;VAR:null=.html"}</definedName>
    <definedName name="_878__FDSAUDITLINK__" hidden="1">{"fdsup://directions/FAT%20Viewer?VAR:TM=NTMA&amp;VAR:PCT=0.038356&amp;VAR:Y0=1993&amp;VAR:Y1=1994&amp;VAR:V0=16.837004&amp;VAR:V1=14.004192&amp;VAR:V=14.095154&amp;VAR:AUDIT_ID=00000117&amp;VAR:DATE=19931217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Aggregates&amp;VAR:MEASURE=PE_MEAN&amp;VAR:CALC_MODE=PORTFOLIO&amp;VAR:CHGPERIOD=NA&amp;VAR:FQLFORMULA=FMA_PE&amp;VAR:CURRENCY=USD&amp;VAR:P=4","66.380000&amp;VAR:THRESH=||||||&amp;VAR:null=.html"}</definedName>
    <definedName name="_879__FDSAUDITLINK__" hidden="1">{"fdsup://directions/FAT%20Viewer?VAR:TM=NTMA&amp;VAR:PCT=0.057534&amp;VAR:Y0=1993&amp;VAR:Y1=1994&amp;VAR:V0=16.971928&amp;VAR:V1=14.144347&amp;VAR:V=14.281238&amp;VAR:AUDIT_ID=00000117&amp;VAR:DATE=19931210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Aggregates&amp;VAR:MEASURE=PE_MEAN&amp;VAR:CALC_MODE=PORTFOLIO&amp;VAR:CHGPERIOD=NA&amp;VAR:FQLFORMULA=FMA_PE&amp;VAR:CURRENCY=USD&amp;VAR:P=4","63.930000&amp;VAR:THRESH=||||||&amp;VAR:null=.html"}</definedName>
    <definedName name="_88__FDSAUDITLINK__" hidden="1">{"fdsup://directions/FAT%20Viewer?VAR:TM=NTMA&amp;VAR:PCT=0.898630&amp;VAR:Y0=2009&amp;VAR:Y1=2010&amp;VAR:V0=13.436274&amp;VAR:V1=10.511009&amp;VAR:V=13.067614&amp;VAR:AUDIT_ID=00000117&amp;VAR:DATE=20090206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Aggregates&amp;VAR:MEASURE=PE_MEAN&amp;VAR:CALC_MODE=PORTFOLIO&amp;VAR:CHGPERIOD=NA&amp;VAR:FQLFORMULA=FMA_PE&amp;VAR:CURRENCY=USD&amp;VAR:P=8","68.603258&amp;VAR:THRESH=||||||&amp;VAR:null=.html"}</definedName>
    <definedName name="_880__FDSAUDITLINK__" hidden="1">{"fdsup://directions/FAT%20Viewer?VAR:TM=NTMA&amp;VAR:PCT=0.076712&amp;VAR:Y0=1993&amp;VAR:Y1=1994&amp;VAR:V0=16.976004&amp;VAR:V1=14.190391&amp;VAR:V=14.371294&amp;VAR:AUDIT_ID=00000117&amp;VAR:DATE=19931203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Aggregates&amp;VAR:MEASURE=PE_MEAN&amp;VAR:CALC_MODE=PORTFOLIO&amp;VAR:CHGPERIOD=NA&amp;VAR:FQLFORMULA=FMA_PE&amp;VAR:CURRENCY=USD&amp;VAR:P=4","64.890000&amp;VAR:THRESH=||||||&amp;VAR:null=.html"}</definedName>
    <definedName name="_881__FDSAUDITLINK__" hidden="1">{"fdsup://directions/FAT%20Viewer?VAR:TM=NTMA&amp;VAR:PCT=0.095890&amp;VAR:Y0=1993&amp;VAR:Y1=1994&amp;VAR:V0=16.387363&amp;VAR:V1=13.932010&amp;VAR:V=14.135095&amp;VAR:AUDIT_ID=00000117&amp;VAR:DATE=19931126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Aggregates&amp;VAR:MEASURE=PE_MEAN&amp;VAR:CALC_MODE=PORTFOLIO&amp;VAR:CHGPERIOD=NA&amp;VAR:FQLFORMULA=FMA_PE&amp;VAR:CURRENCY=USD&amp;VAR:P=4","63.060000&amp;VAR:THRESH=||||||&amp;VAR:null=.html"}</definedName>
    <definedName name="_882__FDSAUDITLINK__" hidden="1">{"fdsup://directions/FAT%20Viewer?VAR:TM=NTMA&amp;VAR:PCT=0.115068&amp;VAR:Y0=1993&amp;VAR:Y1=1994&amp;VAR:V0=16.423508&amp;VAR:V1=13.979870&amp;VAR:V=14.223388&amp;VAR:AUDIT_ID=00000117&amp;VAR:DATE=19931119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Aggregates&amp;VAR:MEASURE=PE_MEAN&amp;VAR:CALC_MODE=PORTFOLIO&amp;VAR:CHGPERIOD=NA&amp;VAR:FQLFORMULA=FMA_PE&amp;VAR:CURRENCY=USD&amp;VAR:P=4","62.600000&amp;VAR:THRESH=||||||&amp;VAR:null=.html"}</definedName>
    <definedName name="_883__FDSAUDITLINK__" hidden="1">{"fdsup://directions/FAT%20Viewer?VAR:TM=NTMA&amp;VAR:PCT=0.134247&amp;VAR:Y0=1993&amp;VAR:Y1=1994&amp;VAR:V0=16.162159&amp;VAR:V1=13.760329&amp;VAR:V=14.040438&amp;VAR:AUDIT_ID=00000117&amp;VAR:DATE=19931112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Aggregates&amp;VAR:MEASURE=PE_MEAN&amp;VAR:CALC_MODE=PORTFOLIO&amp;VAR:CHGPERIOD=NA&amp;VAR:FQLFORMULA=FMA_PE&amp;VAR:CURRENCY=USD&amp;VAR:P=4","65.390000&amp;VAR:THRESH=||||||&amp;VAR:null=.html"}</definedName>
    <definedName name="_884__FDSAUDITLINK__" hidden="1">{"fdsup://directions/FAT%20Viewer?VAR:TM=NTMA&amp;VAR:PCT=0.153425&amp;VAR:Y0=1993&amp;VAR:Y1=1994&amp;VAR:V0=15.971780&amp;VAR:V1=13.609172&amp;VAR:V=13.925207&amp;VAR:AUDIT_ID=00000117&amp;VAR:DATE=19931105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Aggregates&amp;VAR:MEASURE=PE_MEAN&amp;VAR:CALC_MODE=PORTFOLIO&amp;VAR:CHGPERIOD=NA&amp;VAR:FQLFORMULA=FMA_PE&amp;VAR:CURRENCY=USD&amp;VAR:P=4","59.570000&amp;VAR:THRESH=||||||&amp;VAR:null=.html"}</definedName>
    <definedName name="_885__FDSAUDITLINK__" hidden="1">{"fdsup://directions/FAT%20Viewer?VAR:TM=NTMA&amp;VAR:PCT=0.172603&amp;VAR:Y0=1993&amp;VAR:Y1=1994&amp;VAR:V0=16.096080&amp;VAR:V1=13.634439&amp;VAR:V=14.004103&amp;VAR:AUDIT_ID=00000117&amp;VAR:DATE=19931029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Aggregates&amp;VAR:MEASURE=PE_MEAN&amp;VAR:CALC_MODE=PORTFOLIO&amp;VAR:CHGPERIOD=NA&amp;VAR:FQLFORMULA=FMA_PE&amp;VAR:CURRENCY=USD&amp;VAR:P=4","67.830000&amp;VAR:THRESH=||||||&amp;VAR:null=.html"}</definedName>
    <definedName name="_886__FDSAUDITLINK__" hidden="1">{"fdsup://directions/FAT%20Viewer?VAR:TM=NTMA&amp;VAR:PCT=0.191781&amp;VAR:Y0=1993&amp;VAR:Y1=1994&amp;VAR:V0=16.062168&amp;VAR:V1=13.291693&amp;VAR:V=13.746414&amp;VAR:AUDIT_ID=00000117&amp;VAR:DATE=19931022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Aggregates&amp;VAR:MEASURE=PE_MEAN&amp;VAR:CALC_MODE=PORTFOLIO&amp;VAR:CHGPERIOD=NA&amp;VAR:FQLFORMULA=FMA_PE&amp;VAR:CURRENCY=USD&amp;VAR:P=4","63.270000&amp;VAR:THRESH=||||||&amp;VAR:null=.html"}</definedName>
    <definedName name="_887__FDSAUDITLINK__" hidden="1">{"fdsup://directions/FAT%20Viewer?VAR:TM=NTMA&amp;VAR:PCT=0.210959&amp;VAR:Y0=1993&amp;VAR:Y1=1994&amp;VAR:V0=16.135569&amp;VAR:V1=13.289050&amp;VAR:V=13.802730&amp;VAR:AUDIT_ID=00000117&amp;VAR:DATE=19931015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Aggregates&amp;VAR:MEASURE=PE_MEAN&amp;VAR:CALC_MODE=PORTFOLIO&amp;VAR:CHGPERIOD=NA&amp;VAR:FQLFORMULA=FMA_PE&amp;VAR:CURRENCY=USD&amp;VAR:P=4","69.500000&amp;VAR:THRESH=||||||&amp;VAR:null=.html"}</definedName>
    <definedName name="_888__FDSAUDITLINK__" hidden="1">{"fdsup://directions/FAT%20Viewer?VAR:TM=NTMA&amp;VAR:PCT=0.230137&amp;VAR:Y0=1993&amp;VAR:Y1=1994&amp;VAR:V0=15.245688&amp;VAR:V1=12.507647&amp;VAR:V=13.046893&amp;VAR:AUDIT_ID=00000117&amp;VAR:DATE=19931008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Aggregates&amp;VAR:MEASURE=PE_MEAN&amp;VAR:CALC_MODE=PORTFOLIO&amp;VAR:CHGPERIOD=NA&amp;VAR:FQLFORMULA=FMA_PE&amp;VAR:CURRENCY=USD&amp;VAR:P=4","60.310000&amp;VAR:THRESH=||||||&amp;VAR:null=.html"}</definedName>
    <definedName name="_889__FDSAUDITLINK__" hidden="1">{"fdsup://directions/FAT%20Viewer?VAR:TM=NTMA&amp;VAR:PCT=0.249315&amp;VAR:Y0=1993&amp;VAR:Y1=1994&amp;VAR:V0=15.295330&amp;VAR:V1=12.493234&amp;VAR:V=13.091165&amp;VAR:AUDIT_ID=00000117&amp;VAR:DATE=19931001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Aggregates&amp;VAR:MEASURE=PE_MEAN&amp;VAR:CALC_MODE=PORTFOLIO&amp;VAR:CHGPERIOD=NA&amp;VAR:FQLFORMULA=FMA_PE&amp;VAR:CURRENCY=USD&amp;VAR:P=4","61.290000&amp;VAR:THRESH=||||||&amp;VAR:null=.html"}</definedName>
    <definedName name="_89__FDSAUDITLINK__" hidden="1">{"fdsup://directions/FAT%20Viewer?VAR:TM=NTMA&amp;VAR:PCT=0.917808&amp;VAR:Y0=2009&amp;VAR:Y1=2010&amp;VAR:V0=12.450606&amp;VAR:V1=9.844510&amp;VAR:V=12.185471&amp;VAR:AUDIT_ID=00000117&amp;VAR:DATE=20090130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Aggregates&amp;VAR:MEASURE=PE_MEAN&amp;VAR:CALC_MODE=PORTFOLIO&amp;VAR:CHGPERIOD=NA&amp;VAR:FQLFORMULA=FMA_PE&amp;VAR:CURRENCY=USD&amp;VAR:P=82","5.881653&amp;VAR:THRESH=||||||&amp;VAR:null=.html"}</definedName>
    <definedName name="_890__FDSAUDITLINK__" hidden="1">{"fdsup://directions/FAT%20Viewer?VAR:TM=NTMA&amp;VAR:PCT=0.268493&amp;VAR:Y0=1993&amp;VAR:Y1=1994&amp;VAR:V0=15.557338&amp;VAR:V1=12.654983&amp;VAR:V=13.322293&amp;VAR:AUDIT_ID=00000117&amp;VAR:DATE=19930924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Aggregates&amp;VAR:MEASURE=PE_MEAN&amp;VAR:CALC_MODE=PORTFOLIO&amp;VAR:CHGPERIOD=NA&amp;VAR:FQLFORMULA=FMA_PE&amp;VAR:CURRENCY=USD&amp;VAR:P=4","57.630000&amp;VAR:THRESH=||||||&amp;VAR:null=.html"}</definedName>
    <definedName name="_891__FDSAUDITLINK__" hidden="1">{"fdsup://directions/FAT%20Viewer?VAR:TM=NTMA&amp;VAR:PCT=0.287671&amp;VAR:Y0=1993&amp;VAR:Y1=1994&amp;VAR:V0=15.475013&amp;VAR:V1=12.587043&amp;VAR:V=13.301122&amp;VAR:AUDIT_ID=00000117&amp;VAR:DATE=19930917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Aggregates&amp;VAR:MEASURE=PE_MEAN&amp;VAR:CALC_MODE=PORTFOLIO&amp;VAR:CHGPERIOD=NA&amp;VAR:FQLFORMULA=FMA_PE&amp;VAR:CURRENCY=USD&amp;VAR:P=4","58.830000&amp;VAR:THRESH=||||||&amp;VAR:null=.html"}</definedName>
    <definedName name="_892__FDSAUDITLINK__" hidden="1">{"fdsup://directions/FAT%20Viewer?VAR:TM=NTMA&amp;VAR:PCT=0.306849&amp;VAR:Y0=1993&amp;VAR:Y1=1994&amp;VAR:V0=15.494812&amp;VAR:V1=12.588416&amp;VAR:V=13.357209&amp;VAR:AUDIT_ID=00000117&amp;VAR:DATE=19930910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Aggregates&amp;VAR:MEASURE=PE_MEAN&amp;VAR:CALC_MODE=PORTFOLIO&amp;VAR:CHGPERIOD=NA&amp;VAR:FQLFORMULA=FMA_PE&amp;VAR:CURRENCY=USD&amp;VAR:P=4","61.720000&amp;VAR:THRESH=||||||&amp;VAR:null=.html"}</definedName>
    <definedName name="_893__FDSAUDITLINK__" hidden="1">{"fdsup://directions/FAT%20Viewer?VAR:TM=NTMA&amp;VAR:PCT=0.326027&amp;VAR:Y0=1993&amp;VAR:Y1=1994&amp;VAR:V0=15.711490&amp;VAR:V1=13.826396&amp;VAR:V=14.389266&amp;VAR:AUDIT_ID=00000117&amp;VAR:DATE=19930903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Aggregates&amp;VAR:MEASURE=PE_MEAN&amp;VAR:CALC_MODE=PORTFOLIO&amp;VAR:CHGPERIOD=NA&amp;VAR:FQLFORMULA=FMA_PE&amp;VAR:CURRENCY=USD&amp;VAR:P=4","61.340000&amp;VAR:THRESH=||||||&amp;VAR:null=.html"}</definedName>
    <definedName name="_894__FDSAUDITLINK__" hidden="1">{"fdsup://directions/FAT%20Viewer?VAR:TM=NTMA&amp;VAR:PCT=0.345205&amp;VAR:Y0=1993&amp;VAR:Y1=1994&amp;VAR:V0=15.622368&amp;VAR:V1=13.704906&amp;VAR:V=14.311273&amp;VAR:AUDIT_ID=00000117&amp;VAR:DATE=19930827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Aggregates&amp;VAR:MEASURE=PE_MEAN&amp;VAR:CALC_MODE=PORTFOLIO&amp;VAR:CHGPERIOD=NA&amp;VAR:FQLFORMULA=FMA_PE&amp;VAR:CURRENCY=USD&amp;VAR:P=4","60.540000&amp;VAR:THRESH=||||||&amp;VAR:null=.html"}</definedName>
    <definedName name="_895__FDSAUDITLINK__" hidden="1">{"fdsup://directions/FAT%20Viewer?VAR:TM=NTMA&amp;VAR:PCT=0.364384&amp;VAR:Y0=1993&amp;VAR:Y1=1994&amp;VAR:V0=15.573754&amp;VAR:V1=13.662187&amp;VAR:V=14.301844&amp;VAR:AUDIT_ID=00000117&amp;VAR:DATE=19930820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Aggregates&amp;VAR:MEASURE=PE_MEAN&amp;VAR:CALC_MODE=PORTFOLIO&amp;VAR:CHGPERIOD=NA&amp;VAR:FQLFORMULA=FMA_PE&amp;VAR:CURRENCY=USD&amp;VAR:P=4","56.160000&amp;VAR:THRESH=||||||&amp;VAR:null=.html"}</definedName>
    <definedName name="_896__FDSAUDITLINK__" hidden="1">{"fdsup://directions/FAT%20Viewer?VAR:TM=NTMA&amp;VAR:PCT=0.383562&amp;VAR:Y0=1993&amp;VAR:Y1=1994&amp;VAR:V0=14.928517&amp;VAR:V1=13.104024&amp;VAR:V=13.748514&amp;VAR:AUDIT_ID=00000117&amp;VAR:DATE=19930813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Aggregates&amp;VAR:MEASURE=PE_MEAN&amp;VAR:CALC_MODE=PORTFOLIO&amp;VAR:CHGPERIOD=NA&amp;VAR:FQLFORMULA=FMA_PE&amp;VAR:CURRENCY=USD&amp;VAR:P=4","50.140000&amp;VAR:THRESH=||||||&amp;VAR:null=.html"}</definedName>
    <definedName name="_897__FDSAUDITLINK__" hidden="1">{"fdsup://directions/FAT%20Viewer?VAR:TM=NTMA&amp;VAR:PCT=0.402740&amp;VAR:Y0=1993&amp;VAR:Y1=1994&amp;VAR:V0=15.122287&amp;VAR:V1=13.298378&amp;VAR:V=13.977322&amp;VAR:AUDIT_ID=00000117&amp;VAR:DATE=19930806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Aggregates&amp;VAR:MEASURE=PE_MEAN&amp;VAR:CALC_MODE=PORTFOLIO&amp;VAR:CHGPERIOD=NA&amp;VAR:FQLFORMULA=FMA_PE&amp;VAR:CURRENCY=USD&amp;VAR:P=4","48.680000&amp;VAR:THRESH=||||||&amp;VAR:null=.html"}</definedName>
    <definedName name="_898__FDSAUDITLINK__" hidden="1">{"fdsup://directions/FAT%20Viewer?VAR:TM=NTMA&amp;VAR:PCT=0.421918&amp;VAR:Y0=1993&amp;VAR:Y1=1994&amp;VAR:V0=15.248082&amp;VAR:V1=13.390096&amp;VAR:V=14.115802&amp;VAR:AUDIT_ID=00000117&amp;VAR:DATE=19930730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Aggregates&amp;VAR:MEASURE=PE_MEAN&amp;VAR:CALC_MODE=PORTFOLIO&amp;VAR:CHGPERIOD=NA&amp;VAR:FQLFORMULA=FMA_PE&amp;VAR:CURRENCY=USD&amp;VAR:P=4","48.130000&amp;VAR:THRESH=||||||&amp;VAR:null=.html"}</definedName>
    <definedName name="_899__FDSAUDITLINK__" hidden="1">{"fdsup://directions/FAT%20Viewer?VAR:TM=NTMA&amp;VAR:PCT=0.441096&amp;VAR:Y0=1993&amp;VAR:Y1=1994&amp;VAR:V0=15.494120&amp;VAR:V1=13.602416&amp;VAR:V=14.376659&amp;VAR:AUDIT_ID=00000117&amp;VAR:DATE=19930723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Aggregates&amp;VAR:MEASURE=PE_MEAN&amp;VAR:CALC_MODE=PORTFOLIO&amp;VAR:CHGPERIOD=NA&amp;VAR:FQLFORMULA=FMA_PE&amp;VAR:CURRENCY=USD&amp;VAR:P=4","47.100000&amp;VAR:THRESH=||||||&amp;VAR:null=.html"}</definedName>
    <definedName name="_9__FDSAUDITLINK__" hidden="1">{"fdsup://directions/FAT%20Viewer?VAR:TM=NTMA&amp;VAR:PCT=0.383562&amp;VAR:Y0=2010&amp;VAR:Y1=2011&amp;VAR:V0=12.893812&amp;VAR:V1=11.197005&amp;VAR:V=11.792232&amp;VAR:AUDIT_ID=00000117&amp;VAR:DATE=20100813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Aggregates&amp;VAR:MEASURE=PE_MEAN&amp;VAR:CALC_MODE=PORTFOLIO&amp;VAR:CHGPERIOD=NA&amp;VAR:FQLFORMULA=FMA_PE&amp;VAR:CURRENCY=USD&amp;VAR:P=1","079.246441&amp;VAR:THRESH=||||||&amp;VAR:null=.html"}</definedName>
    <definedName name="_90__FDSAUDITLINK__" hidden="1">{"fdsup://directions/FAT%20Viewer?VAR:TM=NTMA&amp;VAR:PCT=0.936986&amp;VAR:Y0=2009&amp;VAR:Y1=2010&amp;VAR:V0=11.862979&amp;VAR:V1=9.654763&amp;VAR:V=11.694435&amp;VAR:AUDIT_ID=00000117&amp;VAR:DATE=20090123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Aggregates&amp;VAR:MEASURE=PE_MEAN&amp;VAR:CALC_MODE=PORTFOLIO&amp;VAR:CHGPERIOD=NA&amp;VAR:FQLFORMULA=FMA_PE&amp;VAR:CURRENCY=USD&amp;VAR:P=83","1.951671&amp;VAR:THRESH=||||||&amp;VAR:null=.html"}</definedName>
    <definedName name="_900__FDSAUDITLINK__" hidden="1">{"fdsup://directions/FAT%20Viewer?VAR:TM=NTMA&amp;VAR:PCT=0.460274&amp;VAR:Y0=1993&amp;VAR:Y1=1994&amp;VAR:V0=14.631104&amp;VAR:V1=13.953912&amp;VAR:V=14.257650&amp;VAR:AUDIT_ID=00000117&amp;VAR:DATE=19930716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Aggregates&amp;VAR:MEASURE=PE_MEAN&amp;VAR:CALC_MODE=PORTFOLIO&amp;VAR:CHGPERIOD=NA&amp;VAR:FQLFORMULA=FMA_PE&amp;VAR:CURRENCY=USD&amp;VAR:P=4","45.750000&amp;VAR:THRESH=||||||&amp;VAR:null=.html"}</definedName>
    <definedName name="_901__FDSAUDITLINK__" hidden="1">{"fdsup://directions/FAT%20Viewer?VAR:TM=NTMA&amp;VAR:PCT=0.479452&amp;VAR:Y0=1993&amp;VAR:Y1=1994&amp;VAR:V0=14.824929&amp;VAR:V1=14.139152&amp;VAR:V=14.459852&amp;VAR:AUDIT_ID=00000117&amp;VAR:DATE=19930709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Aggregates&amp;VAR:MEASURE=PE_MEAN&amp;VAR:CALC_MODE=PORTFOLIO&amp;VAR:CHGPERIOD=NA&amp;VAR:FQLFORMULA=FMA_PE&amp;VAR:CURRENCY=USD&amp;VAR:P=4","48.130000&amp;VAR:THRESH=||||||&amp;VAR:null=.html"}</definedName>
    <definedName name="_902__FDSAUDITLINK__" hidden="1">{"fdsup://directions/FAT%20Viewer?VAR:TM=NTMA&amp;VAR:PCT=0.498630&amp;VAR:Y0=1993&amp;VAR:Y1=1994&amp;VAR:V0=14.769375&amp;VAR:V1=14.068171&amp;VAR:V=14.409288&amp;VAR:AUDIT_ID=00000117&amp;VAR:DATE=19930702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Aggregates&amp;VAR:MEASURE=PE_MEAN&amp;VAR:CALC_MODE=PORTFOLIO&amp;VAR:CHGPERIOD=NA&amp;VAR:FQLFORMULA=FMA_PE&amp;VAR:CURRENCY=USD&amp;VAR:P=4","45.840000&amp;VAR:THRESH=||||||&amp;VAR:null=.html"}</definedName>
    <definedName name="_903__FDSAUDITLINK__" hidden="1">{"fdsup://directions/FAT%20Viewer?VAR:TM=NTMA&amp;VAR:PCT=0.517808&amp;VAR:Y0=1993&amp;VAR:Y1=1994&amp;VAR:V0=15.161476&amp;VAR:V1=14.417113&amp;VAR:V=14.793188&amp;VAR:AUDIT_ID=00000117&amp;VAR:DATE=19930625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Aggregates&amp;VAR:MEASURE=PE_MEAN&amp;VAR:CALC_MODE=PORTFOLIO&amp;VAR:CHGPERIOD=NA&amp;VAR:FQLFORMULA=FMA_PE&amp;VAR:CURRENCY=USD&amp;VAR:P=4","47.600000&amp;VAR:THRESH=||||||&amp;VAR:null=.html"}</definedName>
    <definedName name="_904__FDSAUDITLINK__" hidden="1">{"fdsup://directions/FAT%20Viewer?VAR:TM=NTMA&amp;VAR:PCT=0.536986&amp;VAR:Y0=1993&amp;VAR:Y1=1994&amp;VAR:V0=15.156214&amp;VAR:V1=14.481919&amp;VAR:V=14.836365&amp;VAR:AUDIT_ID=00000117&amp;VAR:DATE=19930618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Aggregates&amp;VAR:MEASURE=PE_MEAN&amp;VAR:CALC_MODE=PORTFOLIO&amp;VAR:CHGPERIOD=NA&amp;VAR:FQLFORMULA=FMA_PE&amp;VAR:CURRENCY=USD&amp;VAR:P=4","43.680000&amp;VAR:THRESH=||||||&amp;VAR:null=.html"}</definedName>
    <definedName name="_905__FDSAUDITLINK__" hidden="1">{"fdsup://directions/FAT%20Viewer?VAR:TM=NTMA&amp;VAR:PCT=0.556164&amp;VAR:Y0=1993&amp;VAR:Y1=1994&amp;VAR:V0=15.264205&amp;VAR:V1=14.595527&amp;VAR:V=14.960011&amp;VAR:AUDIT_ID=00000117&amp;VAR:DATE=19930611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Aggregates&amp;VAR:MEASURE=PE_MEAN&amp;VAR:CALC_MODE=PORTFOLIO&amp;VAR:CHGPERIOD=NA&amp;VAR:FQLFORMULA=FMA_PE&amp;VAR:CURRENCY=USD&amp;VAR:P=4","47.260000&amp;VAR:THRESH=||||||&amp;VAR:null=.html"}</definedName>
    <definedName name="_906__FDSAUDITLINK__" hidden="1">{"fdsup://directions/FAT%20Viewer?VAR:TM=NTMA&amp;VAR:PCT=0.575342&amp;VAR:Y0=1993&amp;VAR:Y1=1994&amp;VAR:V0=15.109090&amp;VAR:V1=14.452317&amp;VAR:V=14.823032&amp;VAR:AUDIT_ID=00000117&amp;VAR:DATE=19930604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Aggregates&amp;VAR:MEASURE=PE_MEAN&amp;VAR:CALC_MODE=PORTFOLIO&amp;VAR:CHGPERIOD=NA&amp;VAR:FQLFORMULA=FMA_PE&amp;VAR:CURRENCY=USD&amp;VAR:P=4","50.060000&amp;VAR:THRESH=||||||&amp;VAR:null=.html"}</definedName>
    <definedName name="_907__FDSAUDITLINK__" hidden="1">{"fdsup://directions/FAT%20Viewer?VAR:TM=NTMA&amp;VAR:PCT=0.594521&amp;VAR:Y0=1993&amp;VAR:Y1=1994&amp;VAR:V0=15.309871&amp;VAR:V1=14.613229&amp;VAR:V=15.019543&amp;VAR:AUDIT_ID=00000117&amp;VAR:DATE=19930528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Aggregates&amp;VAR:MEASURE=PE_MEAN&amp;VAR:CALC_MODE=PORTFOLIO&amp;VAR:CHGPERIOD=NA&amp;VAR:FQLFORMULA=FMA_PE&amp;VAR:CURRENCY=USD&amp;VAR:P=4","50.190000&amp;VAR:THRESH=||||||&amp;VAR:null=.html"}</definedName>
    <definedName name="_908__FDSAUDITLINK__" hidden="1">{"fdsup://directions/FAT%20Viewer?VAR:TM=NTMA&amp;VAR:PCT=0.613699&amp;VAR:Y0=1993&amp;VAR:Y1=1994&amp;VAR:V0=15.302828&amp;VAR:V1=14.594190&amp;VAR:V=15.021073&amp;VAR:AUDIT_ID=00000117&amp;VAR:DATE=19930521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Aggregates&amp;VAR:MEASURE=PE_MEAN&amp;VAR:CALC_MODE=PORTFOLIO&amp;VAR:CHGPERIOD=NA&amp;VAR:FQLFORMULA=FMA_PE&amp;VAR:CURRENCY=USD&amp;VAR:P=4","45.840000&amp;VAR:THRESH=||||||&amp;VAR:null=.html"}</definedName>
    <definedName name="_909__FDSAUDITLINK__" hidden="1">{"fdsup://directions/FAT%20Viewer?VAR:TM=NTMA&amp;VAR:PCT=0.632877&amp;VAR:Y0=1993&amp;VAR:Y1=1994&amp;VAR:V0=15.064156&amp;VAR:V1=14.372561&amp;VAR:V=14.802657&amp;VAR:AUDIT_ID=00000117&amp;VAR:DATE=19930514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Aggregates&amp;VAR:MEASURE=PE_MEAN&amp;VAR:CALC_MODE=PORTFOLIO&amp;VAR:CHGPERIOD=NA&amp;VAR:FQLFORMULA=FMA_PE&amp;VAR:CURRENCY=USD&amp;VAR:P=4","39.560000&amp;VAR:THRESH=||||||&amp;VAR:null=.html"}</definedName>
    <definedName name="_91__FDSAUDITLINK__" hidden="1">{"fdsup://directions/FAT%20Viewer?VAR:TM=NTMA&amp;VAR:PCT=0.956164&amp;VAR:Y0=2009&amp;VAR:Y1=2010&amp;VAR:V0=11.665396&amp;VAR:V1=9.614187&amp;VAR:V=11.557307&amp;VAR:AUDIT_ID=00000117&amp;VAR:DATE=20090116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Aggregates&amp;VAR:MEASURE=PE_MEAN&amp;VAR:CALC_MODE=PORTFOLIO&amp;VAR:CHGPERIOD=NA&amp;VAR:FQLFORMULA=FMA_PE&amp;VAR:CURRENCY=USD&amp;VAR:P=85","0.120455&amp;VAR:THRESH=||||||&amp;VAR:null=.html"}</definedName>
    <definedName name="_910__FDSAUDITLINK__" hidden="1">{"fdsup://directions/FAT%20Viewer?VAR:TM=NTMA&amp;VAR:PCT=0.652055&amp;VAR:Y0=1993&amp;VAR:Y1=1994&amp;VAR:V0=15.134258&amp;VAR:V1=14.421806&amp;VAR:V=14.878513&amp;VAR:AUDIT_ID=00000117&amp;VAR:DATE=19930507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Aggregates&amp;VAR:MEASURE=PE_MEAN&amp;VAR:CALC_MODE=PORTFOLIO&amp;VAR:CHGPERIOD=NA&amp;VAR:FQLFORMULA=FMA_PE&amp;VAR:CURRENCY=USD&amp;VAR:P=4","42.310000&amp;VAR:THRESH=||||||&amp;VAR:null=.html"}</definedName>
    <definedName name="_911__FDSAUDITLINK__" hidden="1">{"fdsup://directions/FAT%20Viewer?VAR:TM=NTMA&amp;VAR:PCT=0.671233&amp;VAR:Y0=1993&amp;VAR:Y1=1994&amp;VAR:V0=15.060266&amp;VAR:V1=14.422495&amp;VAR:V=14.844453&amp;VAR:AUDIT_ID=00000117&amp;VAR:DATE=19930430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Aggregates&amp;VAR:MEASURE=PE_MEAN&amp;VAR:CALC_MODE=PORTFOLIO&amp;VAR:CHGPERIOD=NA&amp;VAR:FQLFORMULA=FMA_PE&amp;VAR:CURRENCY=USD&amp;VAR:P=4","40.190000&amp;VAR:THRESH=||||||&amp;VAR:null=.html"}</definedName>
    <definedName name="_912__FDSAUDITLINK__" hidden="1">{"fdsup://directions/FAT%20Viewer?VAR:TM=NTMA&amp;VAR:PCT=0.690411&amp;VAR:Y0=1993&amp;VAR:Y1=1994&amp;VAR:V0=14.707965&amp;VAR:V1=14.283726&amp;VAR:V=14.573957&amp;VAR:AUDIT_ID=00000117&amp;VAR:DATE=19930423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Aggregates&amp;VAR:MEASURE=PE_MEAN&amp;VAR:CALC_MODE=PORTFOLIO&amp;VAR:CHGPERIOD=NA&amp;VAR:FQLFORMULA=FMA_PE&amp;VAR:CURRENCY=USD&amp;VAR:P=4","37.030000&amp;VAR:THRESH=||||||&amp;VAR:null=.html"}</definedName>
    <definedName name="_913__FDSAUDITLINK__" hidden="1">{"fdsup://directions/FAT%20Viewer?VAR:TM=NTMA&amp;VAR:PCT=0.709589&amp;VAR:Y0=1993&amp;VAR:Y1=1994&amp;VAR:V0=14.838941&amp;VAR:V1=14.514972&amp;VAR:V=14.743376&amp;VAR:AUDIT_ID=00000117&amp;VAR:DATE=19930416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Aggregates&amp;VAR:MEASURE=PE_MEAN&amp;VAR:CALC_MODE=PORTFOLIO&amp;VAR:CHGPERIOD=NA&amp;VAR:FQLFORMULA=FMA_PE&amp;VAR:CURRENCY=USD&amp;VAR:P=4","48.940000&amp;VAR:THRESH=||||||&amp;VAR:null=.html"}</definedName>
    <definedName name="_914__FDSAUDITLINK__" hidden="1">{"fdsup://directions/FAT%20Viewer?VAR:TM=NTMA&amp;VAR:PCT=0.731507&amp;VAR:Y0=1993&amp;VAR:Y1=1994&amp;VAR:V0=14.450232&amp;VAR:V1=14.133998&amp;VAR:V=14.363944&amp;VAR:AUDIT_ID=00000117&amp;VAR:DATE=19930408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Aggregates&amp;VAR:MEASURE=PE_MEAN&amp;VAR:CALC_MODE=PORTFOLIO&amp;VAR:CHGPERIOD=NA&amp;VAR:FQLFORMULA=FMA_PE&amp;VAR:CURRENCY=USD&amp;VAR:P=4","41.840000&amp;VAR:THRESH=||||||&amp;VAR:null=.html"}</definedName>
    <definedName name="_915__FDSAUDITLINK__" hidden="1">{"fdsup://directions/FAT%20Viewer?VAR:TM=NTMA&amp;VAR:PCT=0.747945&amp;VAR:Y0=1993&amp;VAR:Y1=1994&amp;VAR:V0=14.474814&amp;VAR:V1=14.129442&amp;VAR:V=14.386180&amp;VAR:AUDIT_ID=00000117&amp;VAR:DATE=19930402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Aggregates&amp;VAR:MEASURE=PE_MEAN&amp;VAR:CALC_MODE=PORTFOLIO&amp;VAR:CHGPERIOD=NA&amp;VAR:FQLFORMULA=FMA_PE&amp;VAR:CURRENCY=USD&amp;VAR:P=4","41.390000&amp;VAR:THRESH=||||||&amp;VAR:null=.html"}</definedName>
    <definedName name="_916__FDSAUDITLINK__" hidden="1">{"fdsup://directions/FAT%20Viewer?VAR:TM=NTMA&amp;VAR:PCT=0.767123&amp;VAR:Y0=1993&amp;VAR:Y1=1994&amp;VAR:V0=14.458385&amp;VAR:V1=14.123867&amp;VAR:V=14.379076&amp;VAR:AUDIT_ID=00000117&amp;VAR:DATE=19930326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Aggregates&amp;VAR:MEASURE=PE_MEAN&amp;VAR:CALC_MODE=PORTFOLIO&amp;VAR:CHGPERIOD=NA&amp;VAR:FQLFORMULA=FMA_PE&amp;VAR:CURRENCY=USD&amp;VAR:P=4","47.780000&amp;VAR:THRESH=||||||&amp;VAR:null=.html"}</definedName>
    <definedName name="_917__FDSAUDITLINK__" hidden="1">{"fdsup://directions/FAT%20Viewer?VAR:TM=NTMA&amp;VAR:PCT=0.786301&amp;VAR:Y0=1993&amp;VAR:Y1=1994&amp;VAR:V0=14.577355&amp;VAR:V1=15.225871&amp;VAR:V=14.711258&amp;VAR:AUDIT_ID=00000117&amp;VAR:DATE=19930319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Aggregates&amp;VAR:MEASURE=PE_MEAN&amp;VAR:CALC_MODE=PORTFOLIO&amp;VAR:CHGPERIOD=NA&amp;VAR:FQLFORMULA=FMA_PE&amp;VAR:CURRENCY=USD&amp;VAR:P=4","50.180000&amp;VAR:THRESH=||||||&amp;VAR:null=.html"}</definedName>
    <definedName name="_918__FDSAUDITLINK__" hidden="1">{"fdsup://directions/FAT%20Viewer?VAR:TM=NTMA&amp;VAR:PCT=0.805479&amp;VAR:Y0=1993&amp;VAR:Y1=1994&amp;VAR:V0=14.690136&amp;VAR:V1=15.078710&amp;VAR:V=14.764145&amp;VAR:AUDIT_ID=00000117&amp;VAR:DATE=19930312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Aggregates&amp;VAR:MEASURE=PE_MEAN&amp;VAR:CALC_MODE=PORTFOLIO&amp;VAR:CHGPERIOD=NA&amp;VAR:FQLFORMULA=FMA_PE&amp;VAR:CURRENCY=USD&amp;VAR:P=4","49.830000&amp;VAR:THRESH=||||||&amp;VAR:null=.html"}</definedName>
    <definedName name="_919__FDSAUDITLINK__" hidden="1">{"fdsup://directions/FAT%20Viewer?VAR:TM=NTMA&amp;VAR:PCT=0.000000&amp;VAR:Y0=1992&amp;VAR:Y1=1993&amp;VAR:V0=16.861986&amp;VAR:V1=15.013749&amp;VAR:V=15.013749&amp;VAR:AUDIT_ID=00000117&amp;VAR:DATE=19921231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Aggregates&amp;VAR:MEASURE=PE_MEAN&amp;VAR:CALC_MODE=PORTFOLIO&amp;VAR:CHGPERIOD=NA&amp;VAR:FQLFORMULA=FMA_PE&amp;VAR:CURRENCY=USD&amp;VAR:P=4","35.710000&amp;VAR:THRESH=||||||&amp;VAR:null=.html"}</definedName>
    <definedName name="_92__FDSAUDITLINK__" hidden="1">{"fdsup://directions/FAT%20Viewer?VAR:TM=NTMA&amp;VAR:PCT=0.975342&amp;VAR:Y0=2009&amp;VAR:Y1=2010&amp;VAR:V0=11.871811&amp;VAR:V1=9.875048&amp;VAR:V=11.812914&amp;VAR:AUDIT_ID=00000117&amp;VAR:DATE=20090109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Aggregates&amp;VAR:MEASURE=PE_MEAN&amp;VAR:CALC_MODE=PORTFOLIO&amp;VAR:CHGPERIOD=NA&amp;VAR:FQLFORMULA=FMA_PE&amp;VAR:CURRENCY=USD&amp;VAR:P=89","0.349957&amp;VAR:THRESH=||||||&amp;VAR:null=.html"}</definedName>
    <definedName name="_920__FDSAUDITLINK__" hidden="1">{"fdsup://directions/FAT%20Viewer?VAR:TM=NTMA&amp;VAR:PCT=0.019126&amp;VAR:Y0=1992&amp;VAR:Y1=1993&amp;VAR:V0=17.233278&amp;VAR:V1=15.362102&amp;VAR:V=15.394070&amp;VAR:AUDIT_ID=00000117&amp;VAR:DATE=19921224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Aggregates&amp;VAR:MEASURE=PE_MEAN&amp;VAR:CALC_MODE=PORTFOLIO&amp;VAR:CHGPERIOD=NA&amp;VAR:FQLFORMULA=FMA_PE&amp;VAR:CURRENCY=USD&amp;VAR:P=4","39.770000&amp;VAR:THRESH=||||||&amp;VAR:null=.html"}</definedName>
    <definedName name="_921__FDSAUDITLINK__" hidden="1">{"fdsup://directions/FAT%20Viewer?VAR:TM=NTMA&amp;VAR:PCT=0.035519&amp;VAR:Y0=1992&amp;VAR:Y1=1993&amp;VAR:V0=18.123980&amp;VAR:V1=16.169022&amp;VAR:V=16.231209&amp;VAR:AUDIT_ID=00000117&amp;VAR:DATE=19921218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Aggregates&amp;VAR:MEASURE=PE_MEAN&amp;VAR:CALC_MODE=PORTFOLIO&amp;VAR:CHGPERIOD=NA&amp;VAR:FQLFORMULA=FMA_PE&amp;VAR:CURRENCY=USD&amp;VAR:P=4","41.280000&amp;VAR:THRESH=||||||&amp;VAR:null=.html"}</definedName>
    <definedName name="_922__FDSAUDITLINK__" hidden="1">{"fdsup://directions/FAT%20Viewer?VAR:TM=NTMA&amp;VAR:PCT=0.054645&amp;VAR:Y0=1992&amp;VAR:Y1=1993&amp;VAR:V0=18.009708&amp;VAR:V1=16.048223&amp;VAR:V=16.144306&amp;VAR:AUDIT_ID=00000117&amp;VAR:DATE=19921211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Aggregates&amp;VAR:MEASURE=PE_MEAN&amp;VAR:CALC_MODE=PORTFOLIO&amp;VAR:CHGPERIOD=NA&amp;VAR:FQLFORMULA=FMA_PE&amp;VAR:CURRENCY=USD&amp;VAR:P=4","33.730000&amp;VAR:THRESH=||||||&amp;VAR:null=.html"}</definedName>
    <definedName name="_923__FDSAUDITLINK__" hidden="1">{"fdsup://directions/FAT%20Viewer?VAR:TM=NTMA&amp;VAR:PCT=0.073770&amp;VAR:Y0=1992&amp;VAR:Y1=1993&amp;VAR:V0=17.547058&amp;VAR:V1=15.627371&amp;VAR:V=15.754520&amp;VAR:AUDIT_ID=00000117&amp;VAR:DATE=19921204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Aggregates&amp;VAR:MEASURE=PE_MEAN&amp;VAR:CALC_MODE=PORTFOLIO&amp;VAR:CHGPERIOD=NA&amp;VAR:FQLFORMULA=FMA_PE&amp;VAR:CURRENCY=USD&amp;VAR:P=4","32.060000&amp;VAR:THRESH=||||||&amp;VAR:null=.html"}</definedName>
    <definedName name="_924__FDSAUDITLINK__" hidden="1">{"fdsup://directions/FAT%20Viewer?VAR:TM=NTMA&amp;VAR:PCT=0.092896&amp;VAR:Y0=1992&amp;VAR:Y1=1993&amp;VAR:V0=17.564192&amp;VAR:V1=15.666612&amp;VAR:V=15.825439&amp;VAR:AUDIT_ID=00000117&amp;VAR:DATE=19921127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Aggregates&amp;VAR:MEASURE=PE_MEAN&amp;VAR:CALC_MODE=PORTFOLIO&amp;VAR:CHGPERIOD=NA&amp;VAR:FQLFORMULA=FMA_PE&amp;VAR:CURRENCY=USD&amp;VAR:P=4","30.160000&amp;VAR:THRESH=||||||&amp;VAR:null=.html"}</definedName>
    <definedName name="_925__FDSAUDITLINK__" hidden="1">{"fdsup://directions/FAT%20Viewer?VAR:TM=NTMA&amp;VAR:PCT=0.112022&amp;VAR:Y0=1992&amp;VAR:Y1=1993&amp;VAR:V0=17.737656&amp;VAR:V1=15.770934&amp;VAR:V=15.969285&amp;VAR:AUDIT_ID=00000117&amp;VAR:DATE=19921120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Aggregates&amp;VAR:MEASURE=PE_MEAN&amp;VAR:CALC_MODE=PORTFOLIO&amp;VAR:CHGPERIOD=NA&amp;VAR:FQLFORMULA=FMA_PE&amp;VAR:CURRENCY=USD&amp;VAR:P=4","26.650000&amp;VAR:THRESH=||||||&amp;VAR:null=.html"}</definedName>
    <definedName name="_926__FDSAUDITLINK__" hidden="1">{"fdsup://directions/FAT%20Viewer?VAR:TM=NTMA&amp;VAR:PCT=0.131148&amp;VAR:Y0=1992&amp;VAR:Y1=1993&amp;VAR:V0=12.158203&amp;VAR:V1=10.732758&amp;VAR:V=10.900362&amp;VAR:AUDIT_ID=00000117&amp;VAR:DATE=19921113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Aggregates&amp;VAR:MEASURE=PE_MEAN&amp;VAR:CALC_MODE=PORTFOLIO&amp;VAR:CHGPERIOD=NA&amp;VAR:FQLFORMULA=FMA_PE&amp;VAR:CURRENCY=USD&amp;VAR:P=4","22.430000&amp;VAR:THRESH=||||||&amp;VAR:null=.html"}</definedName>
    <definedName name="_927__FDSAUDITLINK__" hidden="1">{"fdsup://directions/FAT%20Viewer?VAR:TM=NTMA&amp;VAR:PCT=0.150273&amp;VAR:Y0=1992&amp;VAR:Y1=1993&amp;VAR:V0=11.987305&amp;VAR:V1=10.581897&amp;VAR:V=10.771675&amp;VAR:AUDIT_ID=00000117&amp;VAR:DATE=19921106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Aggregates&amp;VAR:MEASURE=PE_MEAN&amp;VAR:CALC_MODE=PORTFOLIO&amp;VAR:CHGPERIOD=NA&amp;VAR:FQLFORMULA=FMA_PE&amp;VAR:CURRENCY=USD&amp;VAR:P=4","17.580000&amp;VAR:THRESH=||||||&amp;VAR:null=.html"}</definedName>
    <definedName name="_928__FDSAUDITLINK__" hidden="1">{"fdsup://directions/FAT%20Viewer?VAR:TM=NTMA&amp;VAR:PCT=0.169399&amp;VAR:Y0=1992&amp;VAR:Y1=1993&amp;VAR:V0=12.036133&amp;VAR:V1=10.625000&amp;VAR:V=10.840294&amp;VAR:AUDIT_ID=00000117&amp;VAR:DATE=19921030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Aggregates&amp;VAR:MEASURE=PE_MEAN&amp;VAR:CALC_MODE=PORTFOLIO&amp;VAR:CHGPERIOD=NA&amp;VAR:FQLFORMULA=FMA_PE&amp;VAR:CURRENCY=USD&amp;VAR:P=4","18.680000&amp;VAR:THRESH=||||||&amp;VAR:null=.html"}</definedName>
    <definedName name="_929__FDSAUDITLINK__" hidden="1">{"fdsup://directions/FAT%20Viewer?VAR:TM=NTMA&amp;VAR:PCT=0.188525&amp;VAR:Y0=1992&amp;VAR:Y1=1993&amp;VAR:V0=11.499023&amp;VAR:V1=10.150862&amp;VAR:V=10.380296&amp;VAR:AUDIT_ID=00000117&amp;VAR:DATE=19921023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Aggregates&amp;VAR:MEASURE=PE_MEAN&amp;VAR:CALC_MODE=PORTFOLIO&amp;VAR:CHGPERIOD=NA&amp;VAR:FQLFORMULA=FMA_PE&amp;VAR:CURRENCY=USD&amp;VAR:P=4","14.100000&amp;VAR:THRESH=||||||&amp;VAR:null=.html"}</definedName>
    <definedName name="_93__FDSAUDITLINK__" hidden="1">{"fdsup://directions/FAT%20Viewer?VAR:TM=NTMA&amp;VAR:PCT=0.994521&amp;VAR:Y0=2009&amp;VAR:Y1=2010&amp;VAR:V0=12.068336&amp;VAR:V1=10.085959&amp;VAR:V=12.055353&amp;VAR:AUDIT_ID=00000117&amp;VAR:DATE=20090102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Aggregates&amp;VAR:MEASURE=PE_MEAN&amp;VAR:CALC_MODE=PORTFOLIO&amp;VAR:CHGPERIOD=NA&amp;VAR:FQLFORMULA=FMA_PE&amp;VAR:CURRENCY=USD&amp;VAR:P=9","31.800806&amp;VAR:THRESH=||||||&amp;VAR:null=.html"}</definedName>
    <definedName name="_930__FDSAUDITLINK__" hidden="1">{"fdsup://directions/FAT%20Viewer?VAR:TM=NTMA&amp;VAR:PCT=0.207650&amp;VAR:Y0=1992&amp;VAR:Y1=1993&amp;VAR:V0=11.718750&amp;VAR:V1=10.344828&amp;VAR:V=10.602959&amp;VAR:AUDIT_ID=00000117&amp;VAR:DATE=19921016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Aggregates&amp;VAR:MEASURE=PE_MEAN&amp;VAR:CALC_MODE=PORTFOLIO&amp;VAR:CHGPERIOD=NA&amp;VAR:FQLFORMULA=FMA_PE&amp;VAR:CURRENCY=USD&amp;VAR:P=4","11.730000&amp;VAR:THRESH=||||||&amp;VAR:null=.html"}</definedName>
    <definedName name="_931__FDSAUDITLINK__" hidden="1">{"fdsup://directions/FAT%20Viewer?VAR:TM=NTMA&amp;VAR:PCT=0.226776&amp;VAR:Y0=1992&amp;VAR:Y1=1993&amp;VAR:V0=11.621094&amp;VAR:V1=10.258620&amp;VAR:V=10.538821&amp;VAR:AUDIT_ID=00000117&amp;VAR:DATE=19921009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Aggregates&amp;VAR:MEASURE=PE_MEAN&amp;VAR:CALC_MODE=PORTFOLIO&amp;VAR:CHGPERIOD=NA&amp;VAR:FQLFORMULA=FMA_PE&amp;VAR:CURRENCY=USD&amp;VAR:P=4","02.660000&amp;VAR:THRESH=||||||&amp;VAR:null=.html"}</definedName>
    <definedName name="_932__FDSAUDITLINK__" hidden="1">{"fdsup://directions/FAT%20Viewer?VAR:TM=NTMA&amp;VAR:PCT=0.245902&amp;VAR:Y0=1992&amp;VAR:Y1=1993&amp;VAR:V0=11.840820&amp;VAR:V1=10.452586&amp;VAR:V=10.762878&amp;VAR:AUDIT_ID=00000117&amp;VAR:DATE=19921002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Aggregates&amp;VAR:MEASURE=PE_MEAN&amp;VAR:CALC_MODE=PORTFOLIO&amp;VAR:CHGPERIOD=NA&amp;VAR:FQLFORMULA=FMA_PE&amp;VAR:CURRENCY=USD&amp;VAR:P=4","10.470000&amp;VAR:THRESH=||||||&amp;VAR:null=.html"}</definedName>
    <definedName name="_933__FDSAUDITLINK__" hidden="1">{"fdsup://directions/FAT%20Viewer?VAR:TM=NTMA&amp;VAR:PCT=0.265027&amp;VAR:Y0=1992&amp;VAR:Y1=1993&amp;VAR:V0=12.402344&amp;VAR:V1=10.948276&amp;VAR:V=11.299372&amp;VAR:AUDIT_ID=00000117&amp;VAR:DATE=19920925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Aggregates&amp;VAR:MEASURE=PE_MEAN&amp;VAR:CALC_MODE=PORTFOLIO&amp;VAR:CHGPERIOD=NA&amp;VAR:FQLFORMULA=FMA_PE&amp;VAR:CURRENCY=USD&amp;VAR:P=4","14.350000&amp;VAR:THRESH=||||||&amp;VAR:null=.html"}</definedName>
    <definedName name="_934__FDSAUDITLINK__" hidden="1">{"fdsup://directions/FAT%20Viewer?VAR:TM=NTMA&amp;VAR:PCT=0.284153&amp;VAR:Y0=1992&amp;VAR:Y1=1993&amp;VAR:V0=13.037109&amp;VAR:V1=11.508620&amp;VAR:V=11.905237&amp;VAR:AUDIT_ID=00000117&amp;VAR:DATE=19920918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Aggregates&amp;VAR:MEASURE=PE_MEAN&amp;VAR:CALC_MODE=PORTFOLIO&amp;VAR:CHGPERIOD=NA&amp;VAR:FQLFORMULA=FMA_PE&amp;VAR:CURRENCY=USD&amp;VAR:P=4","22.930000&amp;VAR:THRESH=||||||&amp;VAR:null=.html"}</definedName>
    <definedName name="_935__FDSAUDITLINK__" hidden="1">{"fdsup://directions/FAT%20Viewer?VAR:TM=NTMA&amp;VAR:PCT=0.303279&amp;VAR:Y0=1992&amp;VAR:Y1=1993&amp;VAR:V0=13.134766&amp;VAR:V1=11.594828&amp;VAR:V=12.022303&amp;VAR:AUDIT_ID=00000117&amp;VAR:DATE=19920911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Aggregates&amp;VAR:MEASURE=PE_MEAN&amp;VAR:CALC_MODE=PORTFOLIO&amp;VAR:CHGPERIOD=NA&amp;VAR:FQLFORMULA=FMA_PE&amp;VAR:CURRENCY=USD&amp;VAR:P=4","19.580000&amp;VAR:THRESH=||||||&amp;VAR:null=.html"}</definedName>
    <definedName name="_936__FDSAUDITLINK__" hidden="1">{"fdsup://directions/FAT%20Viewer?VAR:TM=NTMA&amp;VAR:PCT=0.322404&amp;VAR:Y0=1992&amp;VAR:Y1=1993&amp;VAR:V0=12.890625&amp;VAR:V1=11.379311&amp;VAR:V=11.826336&amp;VAR:AUDIT_ID=00000117&amp;VAR:DATE=19920904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Aggregates&amp;VAR:MEASURE=PE_MEAN&amp;VAR:CALC_MODE=PORTFOLIO&amp;VAR:CHGPERIOD=NA&amp;VAR:FQLFORMULA=FMA_PE&amp;VAR:CURRENCY=USD&amp;VAR:P=4","17.080000&amp;VAR:THRESH=||||||&amp;VAR:null=.html"}</definedName>
    <definedName name="_937__FDSAUDITLINK__" hidden="1">{"fdsup://directions/FAT%20Viewer?VAR:TM=NTMA&amp;VAR:PCT=0.341530&amp;VAR:Y0=1992&amp;VAR:Y1=1993&amp;VAR:V0=12.792969&amp;VAR:V1=11.293103&amp;VAR:V=11.764157&amp;VAR:AUDIT_ID=00000117&amp;VAR:DATE=19920828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Aggregates&amp;VAR:MEASURE=PE_MEAN&amp;VAR:CALC_MODE=PORTFOLIO&amp;VAR:CHGPERIOD=NA&amp;VAR:FQLFORMULA=FMA_PE&amp;VAR:CURRENCY=USD&amp;VAR:P=4","14.840000&amp;VAR:THRESH=||||||&amp;VAR:null=.html"}</definedName>
    <definedName name="_938__FDSAUDITLINK__" hidden="1">{"fdsup://directions/FAT%20Viewer?VAR:TM=NTMA&amp;VAR:PCT=0.360656&amp;VAR:Y0=1992&amp;VAR:Y1=1993&amp;VAR:V0=13.037109&amp;VAR:V1=11.508620&amp;VAR:V=12.016733&amp;VAR:AUDIT_ID=00000117&amp;VAR:DATE=19920821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Aggregates&amp;VAR:MEASURE=PE_MEAN&amp;VAR:CALC_MODE=PORTFOLIO&amp;VAR:CHGPERIOD=NA&amp;VAR:FQLFORMULA=FMA_PE&amp;VAR:CURRENCY=USD&amp;VAR:P=4","14.850000&amp;VAR:THRESH=||||||&amp;VAR:null=.html"}</definedName>
    <definedName name="_939__FDSAUDITLINK__" hidden="1">{"fdsup://directions/FAT%20Viewer?VAR:TM=NTMA&amp;VAR:PCT=0.379781&amp;VAR:Y0=1992&amp;VAR:Y1=1993&amp;VAR:V0=13.671875&amp;VAR:V1=12.068966&amp;VAR:V=12.631392&amp;VAR:AUDIT_ID=00000117&amp;VAR:DATE=19920814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Aggregates&amp;VAR:MEASURE=PE_MEAN&amp;VAR:CALC_MODE=PORTFOLIO&amp;VAR:CHGPERIOD=NA&amp;VAR:FQLFORMULA=FMA_PE&amp;VAR:CURRENCY=USD&amp;VAR:P=4","19.910000&amp;VAR:THRESH=||||||&amp;VAR:null=.html"}</definedName>
    <definedName name="_94__FDSAUDITLINK__" hidden="1">{"fdsup://directions/FAT%20Viewer?VAR:TM=NTMA&amp;VAR:PCT=0.013661&amp;VAR:Y0=2008&amp;VAR:Y1=2009&amp;VAR:V0=12.042924&amp;VAR:V1=11.241704&amp;VAR:V=11.251931&amp;VAR:AUDIT_ID=00000117&amp;VAR:DATE=20081226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Aggregates&amp;VAR:MEASURE=PE_MEAN&amp;VAR:CALC_MODE=PORTFOLIO&amp;VAR:CHGPERIOD=NA&amp;VAR:FQLFORMULA=FMA_PE&amp;VAR:CURRENCY=USD&amp;VAR:P=8","72.797455&amp;VAR:THRESH=||||||&amp;VAR:null=.html"}</definedName>
    <definedName name="_940__FDSAUDITLINK__" hidden="1">{"fdsup://directions/FAT%20Viewer?VAR:TM=NTMA&amp;VAR:PCT=0.398907&amp;VAR:Y0=1992&amp;VAR:Y1=1993&amp;VAR:V0=13.867188&amp;VAR:V1=12.241380&amp;VAR:V=12.841979&amp;VAR:AUDIT_ID=00000117&amp;VAR:DATE=19920807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Aggregates&amp;VAR:MEASURE=PE_MEAN&amp;VAR:CALC_MODE=PORTFOLIO&amp;VAR:CHGPERIOD=NA&amp;VAR:FQLFORMULA=FMA_PE&amp;VAR:CURRENCY=USD&amp;VAR:P=4","18.880000&amp;VAR:THRESH=||||||&amp;VAR:null=.html"}</definedName>
    <definedName name="_941__FDSAUDITLINK__" hidden="1">{"fdsup://directions/FAT%20Viewer?VAR:TM=NTMA&amp;VAR:PCT=0.418033&amp;VAR:Y0=1992&amp;VAR:Y1=1993&amp;VAR:V0=13.793945&amp;VAR:V1=12.176724&amp;VAR:V=12.804271&amp;VAR:AUDIT_ID=00000117&amp;VAR:DATE=19920731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Aggregates&amp;VAR:MEASURE=PE_MEAN&amp;VAR:CALC_MODE=PORTFOLIO&amp;VAR:CHGPERIOD=NA&amp;VAR:FQLFORMULA=FMA_PE&amp;VAR:CURRENCY=USD&amp;VAR:P=4","24.210000&amp;VAR:THRESH=||||||&amp;VAR:null=.html"}</definedName>
    <definedName name="_942__FDSAUDITLINK__" hidden="1">{"fdsup://directions/FAT%20Viewer?VAR:TM=NTMA&amp;VAR:PCT=0.437158&amp;VAR:Y0=1992&amp;VAR:Y1=1993&amp;VAR:V0=13.378906&amp;VAR:V1=11.810345&amp;VAR:V=12.448361&amp;VAR:AUDIT_ID=00000117&amp;VAR:DATE=19920724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Aggregates&amp;VAR:MEASURE=PE_MEAN&amp;VAR:CALC_MODE=PORTFOLIO&amp;VAR:CHGPERIOD=NA&amp;VAR:FQLFORMULA=FMA_PE&amp;VAR:CURRENCY=USD&amp;VAR:P=4","11.600000&amp;VAR:THRESH=||||||&amp;VAR:null=.html"}</definedName>
    <definedName name="_943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0.594521&amp;VAR:V=13.076996&amp;VAR:V0=14.556887&amp;VAR:V1=12.229073&amp;VAR:Y0=2011&amp;VAR:Y1=2012&amp;VAR:P=5388.220215&amp;VAR:DATE=20110","805&amp;VAR:THRESH=-|-|-|-|-|-|-"}</definedName>
    <definedName name="_944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0.575342&amp;VAR:V=14.579122&amp;VAR:V0=16.174491&amp;VAR:V1=13.589761&amp;VAR:Y0=2011&amp;VAR:Y1=2012&amp;VAR:P=5991.818848&amp;VAR:DATE=20110","729&amp;VAR:THRESH=-|-|-|-|-|-|-"}</definedName>
    <definedName name="_945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0.556164&amp;VAR:V=15.389941&amp;VAR:V0=17.012050&amp;VAR:V1=14.301688&amp;VAR:Y0=2011&amp;VAR:Y1=2012&amp;VAR:P=6308.202148&amp;VAR:DATE=20110","722&amp;VAR:THRESH=-|-|-|-|-|-|-"}</definedName>
    <definedName name="_9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0.536986&amp;VAR:V=12.411263&amp;VAR:V0=13.398957&amp;VAR:V1=11.669549&amp;VAR:Y0=2011&amp;VAR:Y1=2012&amp;VAR:P=1316.144225&amp;VAR:DATE=20110715&amp;VAR:THRESH=-|-|","-|-|-|-|-"}</definedName>
    <definedName name="_9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0.517808&amp;VAR:V=12.714868&amp;VAR:V0=13.679311&amp;VAR:V1=11.931513&amp;VAR:Y0=2011&amp;VAR:Y1=2012&amp;VAR:P=1343.804017&amp;VAR:DATE=20110708&amp;VAR:THRESH=-|-|","-|-|-|-|-"}</definedName>
    <definedName name="_9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0.498630&amp;VAR:V=12.676946&amp;VAR:V0=13.610826&amp;VAR:V1=11.858808&amp;VAR:Y0=2011&amp;VAR:Y1=2012&amp;VAR:P=1339.668742&amp;VAR:DATE=20110701&amp;VAR:THRESH=-|-|","-|-|-|-|-"}</definedName>
    <definedName name="_9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0.479452&amp;VAR:V=11.941479&amp;VAR:V0=12.703549&amp;VAR:V1=11.211282&amp;VAR:Y0=2011&amp;VAR:Y1=2012&amp;VAR:P=1268.445198&amp;VAR:DATE=20110624&amp;VAR:THRESH=-|-|","-|-|-|-|-"}</definedName>
    <definedName name="_95__FDSAUDITLINK__" hidden="1">{"fdsup://directions/FAT%20Viewer?VAR:TM=NTMA&amp;VAR:PCT=0.032787&amp;VAR:Y0=2008&amp;VAR:Y1=2009&amp;VAR:V0=12.144395&amp;VAR:V1=11.286830&amp;VAR:V=11.313022&amp;VAR:AUDIT_ID=00000117&amp;VAR:DATE=20081219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Aggregates&amp;VAR:MEASURE=PE_MEAN&amp;VAR:CALC_MODE=PORTFOLIO&amp;VAR:CHGPERIOD=NA&amp;VAR:FQLFORMULA=FMA_PE&amp;VAR:CURRENCY=USD&amp;VAR:P=8","87.881262&amp;VAR:THRESH=||||||&amp;VAR:null=.html"}</definedName>
    <definedName name="_9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0.460274&amp;VAR:V=11.985044&amp;VAR:V0=12.720270&amp;VAR:V1=11.224296&amp;VAR:Y0=2011&amp;VAR:Y1=2012&amp;VAR:P=1271.503229&amp;VAR:DATE=20110617&amp;VAR:THRESH=-|-|","-|-|-|-|-"}</definedName>
    <definedName name="_9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0.441096&amp;VAR:V=12.005824&amp;VAR:V0=12.705725&amp;VAR:V1=11.222517&amp;VAR:Y0=2011&amp;VAR:Y1=2012&amp;VAR:P=1270.979329&amp;VAR:DATE=20110610&amp;VAR:THRESH=-|-|","-|-|-|-|-"}</definedName>
    <definedName name="_9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0.421918&amp;VAR:V=12.310556&amp;VAR:V0=12.991170&amp;VAR:V1=11.486065&amp;VAR:Y0=2011&amp;VAR:Y1=2012&amp;VAR:P=1300.162574&amp;VAR:DATE=20110603&amp;VAR:THRESH=-|-|","-|-|-|-|-"}</definedName>
    <definedName name="_9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0.402740&amp;VAR:V=12.631739&amp;VAR:V0=13.297838&amp;VAR:V1=11.758284&amp;VAR:Y0=2011&amp;VAR:Y1=2012&amp;VAR:P=1331.103823&amp;VAR:DATE=20110527&amp;VAR:THRESH=-|-|","-|-|-|-|-"}</definedName>
    <definedName name="_9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0.383562&amp;VAR:V=12.687420&amp;VAR:V0=13.323275&amp;VAR:V1=11.783604&amp;VAR:Y0=2011&amp;VAR:Y1=2012&amp;VAR:P=1333.269188&amp;VAR:DATE=20110520&amp;VAR:THRESH=-|-|","-|-|-|-|-"}</definedName>
    <definedName name="_9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0.364384&amp;VAR:V=12.771882&amp;VAR:V0=13.376473&amp;VAR:V1=11.838512&amp;VAR:Y0=2011&amp;VAR:Y1=2012&amp;VAR:P=1337.774980&amp;VAR:DATE=20110513&amp;VAR:THRESH=-|-|","-|-|-|-|-"}</definedName>
    <definedName name="_9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0.345205&amp;VAR:V=12.832180&amp;VAR:V0=13.411661&amp;VAR:V1=11.860162&amp;VAR:Y0=2011&amp;VAR:Y1=2012&amp;VAR:P=1340.202897&amp;VAR:DATE=20110506&amp;VAR:THRESH=-|-|","-|-|-|-|-"}</definedName>
    <definedName name="_9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0.326027&amp;VAR:V=13.099547&amp;VAR:V0=13.656454&amp;VAR:V1=12.081098&amp;VAR:Y0=2011&amp;VAR:Y1=2012&amp;VAR:P=1363.612210&amp;VAR:DATE=20110429&amp;VAR:THRESH=-|-|","-|-|-|-|-"}</definedName>
    <definedName name="_9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0.304110&amp;VAR:V=12.965334&amp;VAR:V0=13.487184&amp;VAR:V1=11.910765&amp;VAR:Y0=2011&amp;VAR:Y1=2012&amp;VAR:P=1337.384852&amp;VAR:DATE=20110421&amp;VAR:THRESH=-|-|","-|-|-|-|-"}</definedName>
    <definedName name="_9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0.287671&amp;VAR:V=12.897815&amp;VAR:V0=13.387047&amp;VAR:V1=11.827509&amp;VAR:Y0=2011&amp;VAR:Y1=2012&amp;VAR:P=1319.677906&amp;VAR:DATE=20110415&amp;VAR:THRESH=-|-|","-|-|-|-|-"}</definedName>
    <definedName name="_96__FDSAUDITLINK__" hidden="1">{"fdsup://directions/FAT%20Viewer?VAR:TM=NTMA&amp;VAR:PCT=0.051913&amp;VAR:Y0=2008&amp;VAR:Y1=2009&amp;VAR:V0=11.828384&amp;VAR:V1=10.890355&amp;VAR:V=10.935374&amp;VAR:AUDIT_ID=00000117&amp;VAR:DATE=20081212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Aggregates&amp;VAR:MEASURE=PE_MEAN&amp;VAR:CALC_MODE=PORTFOLIO&amp;VAR:CHGPERIOD=NA&amp;VAR:FQLFORMULA=FMA_PE&amp;VAR:CURRENCY=USD&amp;VAR:P=8","79.732876&amp;VAR:THRESH=||||||&amp;VAR:null=.html"}</definedName>
    <definedName name="_9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0.268493&amp;VAR:V=13.033998&amp;VAR:V0=13.499995&amp;VAR:V1=11.913586&amp;VAR:Y0=2011&amp;VAR:Y1=2012&amp;VAR:P=1328.166767&amp;VAR:DATE=20110408&amp;VAR:THRESH=-|-|","-|-|-|-|-"}</definedName>
    <definedName name="_9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0.249315&amp;VAR:V=13.183509&amp;VAR:V0=13.626123&amp;VAR:V1=12.008967&amp;VAR:Y0=2011&amp;VAR:Y1=2012&amp;VAR:P=1332.413123&amp;VAR:DATE=20110401&amp;VAR:THRESH=-|-|","-|-|-|-|-"}</definedName>
    <definedName name="_9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0.230137&amp;VAR:V=13.014789&amp;VAR:V0=13.410141&amp;VAR:V1=11.846456&amp;VAR:Y0=2011&amp;VAR:Y1=2012&amp;VAR:P=1313.802081&amp;VAR:DATE=20110325&amp;VAR:THRESH=-|-|","-|-|-|-|-"}</definedName>
    <definedName name="_963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0.594521&amp;VAR:V=13.076996&amp;VAR:V0=14.556887&amp;VAR:V1=12.229073&amp;VAR:Y0=2011&amp;VAR:Y1=2012&amp;VAR:P=5388.220215&amp;VAR:DATE=20110","805&amp;VAR:THRESH=-|-|-|-|-|-|-"}</definedName>
    <definedName name="_964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0.575342&amp;VAR:V=14.579122&amp;VAR:V0=16.174491&amp;VAR:V1=13.589761&amp;VAR:Y0=2011&amp;VAR:Y1=2012&amp;VAR:P=5991.818848&amp;VAR:DATE=20110","729&amp;VAR:THRESH=-|-|-|-|-|-|-"}</definedName>
    <definedName name="_965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0.556164&amp;VAR:V=15.389941&amp;VAR:V0=17.012050&amp;VAR:V1=14.301688&amp;VAR:Y0=2011&amp;VAR:Y1=2012&amp;VAR:P=6308.202148&amp;VAR:DATE=20110","722&amp;VAR:THRESH=-|-|-|-|-|-|-"}</definedName>
    <definedName name="_966__FDSAUDITLINK__" hidden="1">{"fdsup://directions/FAT%20Viewer?WINDOW=first_popup&amp;DYN_ARGS=TRUE&amp;START_MAXIMIZED=FALSE&amp;TITLEBAR=FactSet Market Aggregates&amp;ACTION=UPDATE&amp;CREATOR=FACTSET&amp;HEIGHT=450&amp;WIDTH=500&amp;DOC_NAME=FAT:FMA_AUDIT_SUMMARY.FAT&amp;VAR:CURRENCY=USD&amp;VAR:AUDIT_ID=INDEX%3APERSONAL%","3APBM.OFDB&amp;VAR:CALC_MODE=AGGREGATE&amp;VAR:CHGPERIOD=NA&amp;DISPLAY_STRING=audit&amp;VAR:FQLFORMULA=FMA_PE&amp;VAR:MEASURE=PE&amp;VAR:NULL=.HTML&amp;VAR:PED=2012&amp;VAR:PERIOD=CY&amp;VAR:THRESH=-|-|-|-|-|-&amp;VAR:PCT=N&amp;VAR:V=12.229073&amp;VAR:P=1&amp;VAR:DATE=20110805"}</definedName>
    <definedName name="_967__FDSAUDITLINK__" hidden="1">{"fdsup://directions/FAT%20Viewer?WINDOW=first_popup&amp;DYN_ARGS=TRUE&amp;START_MAXIMIZED=FALSE&amp;TITLEBAR=FactSet Market Aggregates&amp;ACTION=UPDATE&amp;CREATOR=FACTSET&amp;HEIGHT=450&amp;WIDTH=500&amp;DOC_NAME=FAT:FMA_AUDIT_SUMMARY.FAT&amp;VAR:CURRENCY=USD&amp;VAR:AUDIT_ID=INDEX%3APERSONAL%","3APBM.OFDB&amp;VAR:CALC_MODE=AGGREGATE&amp;VAR:CHGPERIOD=NA&amp;DISPLAY_STRING=audit&amp;VAR:FQLFORMULA=FMA_PE&amp;VAR:MEASURE=PE&amp;VAR:NULL=.HTML&amp;VAR:PED=2012&amp;VAR:PERIOD=CY&amp;VAR:THRESH=-|-|-|-|-|-&amp;VAR:PCT=N&amp;VAR:V=13.589761&amp;VAR:P=1&amp;VAR:DATE=20110729"}</definedName>
    <definedName name="_968__FDSAUDITLINK__" hidden="1">{"fdsup://directions/FAT%20Viewer?WINDOW=first_popup&amp;DYN_ARGS=TRUE&amp;START_MAXIMIZED=FALSE&amp;TITLEBAR=FactSet Market Aggregates&amp;ACTION=UPDATE&amp;CREATOR=FACTSET&amp;HEIGHT=450&amp;WIDTH=500&amp;DOC_NAME=FAT:FMA_AUDIT_SUMMARY.FAT&amp;VAR:CURRENCY=USD&amp;VAR:AUDIT_ID=INDEX%3APERSONAL%","3APBM.OFDB&amp;VAR:CALC_MODE=AGGREGATE&amp;VAR:CHGPERIOD=NA&amp;DISPLAY_STRING=audit&amp;VAR:FQLFORMULA=FMA_PE&amp;VAR:MEASURE=PE&amp;VAR:NULL=.HTML&amp;VAR:PED=2012&amp;VAR:PERIOD=CY&amp;VAR:THRESH=-|-|-|-|-|-&amp;VAR:PCT=N&amp;VAR:V=14.301688&amp;VAR:P=1&amp;VAR:DATE=20110722"}</definedName>
    <definedName name="_969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97__FDSAUDITLINK__" hidden="1">{"fdsup://directions/FAT%20Viewer?VAR:TM=NTMA&amp;VAR:PCT=0.071038&amp;VAR:Y0=2008&amp;VAR:Y1=2009&amp;VAR:V0=11.663338&amp;VAR:V1=10.610974&amp;VAR:V=10.679426&amp;VAR:AUDIT_ID=00000117&amp;VAR:DATE=20081205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Aggregates&amp;VAR:MEASURE=PE_MEAN&amp;VAR:CALC_MODE=PORTFOLIO&amp;VAR:CHGPERIOD=NA&amp;VAR:FQLFORMULA=FMA_PE&amp;VAR:CURRENCY=USD&amp;VAR:P=8","76.067187&amp;VAR:THRESH=||||||&amp;VAR:null=.html"}</definedName>
    <definedName name="_970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971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972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973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974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975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976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977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978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979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98__FDSAUDITLINK__" hidden="1">{"fdsup://directions/FAT%20Viewer?VAR:TM=NTMA&amp;VAR:PCT=0.090164&amp;VAR:Y0=2008&amp;VAR:Y1=2009&amp;VAR:V0=11.809280&amp;VAR:V1=10.579000&amp;VAR:V=10.679312&amp;VAR:AUDIT_ID=00000117&amp;VAR:DATE=20081128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Aggregates&amp;VAR:MEASURE=PE_MEAN&amp;VAR:CALC_MODE=PORTFOLIO&amp;VAR:CHGPERIOD=NA&amp;VAR:FQLFORMULA=FMA_PE&amp;VAR:CURRENCY=USD&amp;VAR:P=8","96.237136&amp;VAR:THRESH=||||||&amp;VAR:null=.html"}</definedName>
    <definedName name="_980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981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982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983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984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985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986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987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988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989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99__FDSAUDITLINK__" hidden="1">{"fdsup://directions/FAT%20Viewer?VAR:TM=NTMA&amp;VAR:PCT=0.109290&amp;VAR:Y0=2008&amp;VAR:Y1=2009&amp;VAR:V0=10.454008&amp;VAR:V1=9.308667&amp;VAR:V=9.421478&amp;VAR:AUDIT_ID=00000117&amp;VAR:DATE=20081121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Aggregates&amp;VAR:MEASURE=PE_MEAN&amp;VAR:CALC_MODE=PORTFOLIO&amp;VAR:CHGPERIOD=NA&amp;VAR:FQLFORMULA=FMA_PE&amp;VAR:CURRENCY=USD&amp;VAR:P=800",".032543&amp;VAR:THRESH=||||||&amp;VAR:null=.html"}</definedName>
    <definedName name="_990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991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992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993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994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995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996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997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998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999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ASM2">{9}</definedName>
    <definedName name="_bdm.06D6E5FB463548A8BD5B96D0D2E62AD4.edm" localSheetId="3" hidden="1">Model!$BS$45:$BV$45</definedName>
    <definedName name="_bdm.0D79BC7FE3214F01833C8477FC12C53A.edm" hidden="1">'[1]MHS Charts'!$1:$1048576</definedName>
    <definedName name="_bdm.0FC1A0FCB0584AA1BE80909E39C5230B.edm" hidden="1">'[2]MWA RR'!$1:$1048576</definedName>
    <definedName name="_bdm.33F3DAEA8A2841599807A6BFCA0974FC.edm" localSheetId="3" hidden="1">Model!$DQ$6:$DT$79</definedName>
    <definedName name="_bdm.389844564F81480792598AC30BF5B22B.edm" localSheetId="3" hidden="1">Model!$B$6:$CQ$45</definedName>
    <definedName name="_bdm.3AA74CC575FC45869D1E88FC9A7D45C9.edm" localSheetId="3" hidden="1">Model!$B$6:$DF$114</definedName>
    <definedName name="_bdm.53235E2AB3664AD6A16510B516B7E233.edm" localSheetId="3" hidden="1">Model!$DQ$6:$DT$113</definedName>
    <definedName name="_bdm.58ACFB49DC3F4E64A3FFF50CD70C27C9.edm" hidden="1">'[3]Pro Forma Income Statement'!$A:$IV</definedName>
    <definedName name="_bdm.595AD44E202D4E6ABF178DA8AAC0854A.edm" localSheetId="3" hidden="1">Model!$DQ$6:$DT$79</definedName>
    <definedName name="_bdm.60081E56DAC24AF58484BF0133FF6400.edm" localSheetId="3" hidden="1">Model!$B$6:$CB$114</definedName>
    <definedName name="_bdm.6431F060137344EDA2C64A4C65E63AC3.edm" localSheetId="3" hidden="1">Model!$DQ$6:$EF$113</definedName>
    <definedName name="_bdm.65EF6D6187CE4C5C870D0D539EAAB330.edm" hidden="1">'[3]Pro Forma Balance Sheet'!$A:$IV</definedName>
    <definedName name="_bdm.6D98DE44ACCE4DB7A53CE67F054CED34.edm" localSheetId="3" hidden="1">Model!$B$6:$CQ$52</definedName>
    <definedName name="_bdm.74BDC9D9EF9D4F979E90AAAA47EF3593.edm" localSheetId="3" hidden="1">Model!$DQ$6:$DT$114</definedName>
    <definedName name="_bdm.7C5E420E46DD482A883BC6BD010D9CAF.edm" hidden="1">'[3]Summary of Recent Results'!$A:$IV</definedName>
    <definedName name="_bdm.7EFB5A6CEFCD4D5D865161B948B18685.edm" localSheetId="3" hidden="1">Model!$B$6:$CQ$79</definedName>
    <definedName name="_bdm.8F4104622ABB44A0A52D757A835A8465.edm" hidden="1">'[3]Pro Forma Cash Flow'!$A:$IV</definedName>
    <definedName name="_bdm.95A082009CA34C789720340256C8F2ED.edm" localSheetId="3" hidden="1">Model!$B$6:$CQ$113</definedName>
    <definedName name="_bdm.A7B27ED70A754D05B0B5B9317F1E2A20.edm" localSheetId="3" hidden="1">Model!$B$6:$DF$45</definedName>
    <definedName name="_bdm.ACA3B6EC1C914AA9A6FB685271D182EB.edm" hidden="1">Model!$1:$1048576</definedName>
    <definedName name="_bdm.C669031EEFFA485CBA89FAB65161395F.edm" hidden="1">[2]Variance!$1:$1048576</definedName>
    <definedName name="_bdm.C7D9A1EB6B324B31A685CC495CE4683F.edm" localSheetId="3" hidden="1">Model!$B$6:$DF$79</definedName>
    <definedName name="_bdm.C84D3AE4CD674E0C8E953D8F5710E59B.edm" localSheetId="3" hidden="1">Model!$B$6:$DF$104</definedName>
    <definedName name="_bdm.CBC53F374616477E8442DD367481FDA9.edm" hidden="1">'[2]Per claim analysis'!$1:$1048576</definedName>
    <definedName name="_bdm.CD54655DCAC44D23B6519CBCDFC7E67E.edm" hidden="1">'[3]Open Platform'!$A:$IV</definedName>
    <definedName name="_bdm.D2DB327102C7432A92084FDA36A981B8.edm" hidden="1">'[1]ESRX Charts'!$A:$IV</definedName>
    <definedName name="_bdm.DBD3A8B0E6DE45A0A97346255E6F1224.edm" localSheetId="3" hidden="1">Model!$B$6:$DF$45</definedName>
    <definedName name="_bdm.DF7C79F5B2C54173AADDDE12064734A3.edm" hidden="1">[2]Valuation!$1:$1048576</definedName>
    <definedName name="_bdm.DFE56492250D4CC1BF0E949E55426164.edm" hidden="1">[2]Guidance!$1:$1048576</definedName>
    <definedName name="_bdm.E16544533BE64B4485EF4837BEC27A14.edm" localSheetId="3" hidden="1">Model!$B$6:$DF$113</definedName>
    <definedName name="_bdm.F1E05CACE1474350B627597C924AE96B.edm" hidden="1">'[4]Supply Chain Services Metrics'!$A:$IV</definedName>
    <definedName name="_bdm.F71514C84EF2402C8E98EE5D13F14935.edm" hidden="1">[2]Model!$1:$1048576</definedName>
    <definedName name="_Order1" hidden="1">255</definedName>
    <definedName name="a" hidden="1">{"Annual Income",#N/A,FALSE,"ANF"}</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_Price" localSheetId="7">OFFSET(Date_Range,0,1,,1)</definedName>
    <definedName name="Act_Price" localSheetId="8">OFFSET(Date_Range,0,1,,1)</definedName>
    <definedName name="Act_Price">OFFSET(Date_Range,0,1,,1)</definedName>
    <definedName name="Actual" hidden="1">{#N/A,#N/A,TRUE,"Historicals";#N/A,#N/A,TRUE,"Charts";#N/A,#N/A,TRUE,"Forecasts"}</definedName>
    <definedName name="ACwvu.inc.ann." localSheetId="3" hidden="1">Model!$B$1:$DF$133</definedName>
    <definedName name="AdditionalInstructions">IndexInformation!$B$42</definedName>
    <definedName name="Address" localSheetId="0">ImportantDisclosures!$A$2:$A$2</definedName>
    <definedName name="AllTables">{9}</definedName>
    <definedName name="ANA" localSheetId="13">ModPubIndex!$A$7</definedName>
    <definedName name="anscount" hidden="1">1</definedName>
    <definedName name="ASM">{9}</definedName>
    <definedName name="Authors" localSheetId="0">ImportantDisclosures!$A$7</definedName>
    <definedName name="Authors" localSheetId="12">IndexInformation!$B$18</definedName>
    <definedName name="BRO" localSheetId="13">ModPubIndex!$A$1</definedName>
    <definedName name="bs_cfs_table">[5]Model!$B$76:$AG$180</definedName>
    <definedName name="Buttons" localSheetId="1">CircularReferenceAlert!$B$13:$B$15</definedName>
    <definedName name="Cash">[6]Model!$A$105:$IV$105</definedName>
    <definedName name="cell">Cover!$A$5</definedName>
    <definedName name="Circ">Scenarios!$C$168</definedName>
    <definedName name="Circ2">'[7]Key Inputs and Scenarios'!$C$211</definedName>
    <definedName name="circularity">[8]Debt!$B$85</definedName>
    <definedName name="CompanyName">[9]summary!$J$7</definedName>
    <definedName name="CompanyTicker">[9]summary!$J$8</definedName>
    <definedName name="copy">{9}</definedName>
    <definedName name="CopyrightStamp">ImportantDisclosures!$A$27</definedName>
    <definedName name="COU" localSheetId="13">ModPubIndex!$A$5</definedName>
    <definedName name="CQEnd" localSheetId="12">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hidden="1">1000000</definedName>
    <definedName name="Currency" localSheetId="12">IndexInformation!$B$24</definedName>
    <definedName name="CurrentStockPrice" localSheetId="12">IndexInformation!$B$23</definedName>
    <definedName name="CurrQtrEPS" localSheetId="12">IndexInformation!$B$29</definedName>
    <definedName name="CurrYearEPS" localSheetId="12">IndexInformation!$B$11</definedName>
    <definedName name="CurrYearTotalRevenue" localSheetId="12">IndexInformation!$B$10</definedName>
    <definedName name="CurrYearTotalRevenueActual" localSheetId="12">IndexInformation!$B$32</definedName>
    <definedName name="CUSIP" localSheetId="12">IndexInformation!$B$20</definedName>
    <definedName name="CYEnd" localSheetId="12">IndexInformation!$B$30</definedName>
    <definedName name="Date" localSheetId="0">ImportantDisclosures!$A$8</definedName>
    <definedName name="DB">"WIRENYPROD"</definedName>
    <definedName name="Deleted" localSheetId="12">IndexInformation!$B$27</definedName>
    <definedName name="Description" localSheetId="12">IndexInformation!$B$7</definedName>
    <definedName name="DEVELOPMENT">5</definedName>
    <definedName name="dil_shares_out">[6]Model!$A$44:$IV$44</definedName>
    <definedName name="Discipline" localSheetId="12">IndexInformation!$B$3</definedName>
    <definedName name="DISCIPLINE" localSheetId="13">ModPubIndex!$A$12</definedName>
    <definedName name="DisclosuresText">ImportantDisclosures!$A$22</definedName>
    <definedName name="Distribution" localSheetId="12">IndexInformation!$B$26</definedName>
    <definedName name="DistTable" localSheetId="0">ImportantDisclosures!#REF!</definedName>
    <definedName name="DistTablePreamble" localSheetId="0">ImportantDisclosures!#REF!</definedName>
    <definedName name="DOCDAT" localSheetId="13">ModPubIndex!$A$2</definedName>
    <definedName name="DOCTIME" localSheetId="13">ModPubIndex!$A$3</definedName>
    <definedName name="DocType" localSheetId="12">IndexInformation!$B$5</definedName>
    <definedName name="Download_series" localSheetId="7">[10]!Download_series</definedName>
    <definedName name="Download_series" localSheetId="8">[10]!Download_series</definedName>
    <definedName name="Download_series">[10]!Download_series</definedName>
    <definedName name="DtLastUpdt">[9]summary!$J$14</definedName>
    <definedName name="DYNO">"TARGET"</definedName>
    <definedName name="EMAIL_ALERT" localSheetId="13">ModPubIndex!$A$10</definedName>
    <definedName name="EmailAlert" localSheetId="12">IndexInformation!$B$28</definedName>
    <definedName name="f"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ｆ" hidden="1">"iQShowAnnual"</definedName>
    <definedName name="FiveYearGrowthRate" localSheetId="12">IndexInformation!$B$16</definedName>
    <definedName name="FollowingYearEPS" localSheetId="12">IndexInformation!$B$15</definedName>
    <definedName name="FollowingYearTotalRevenue" localSheetId="12">IndexInformation!$B$14</definedName>
    <definedName name="FollowingYearTotalRevenueActual" localSheetId="12">IndexInformation!$B$34</definedName>
    <definedName name="FR_CODE_COPY_LINK">" "</definedName>
    <definedName name="FR_CODE_DOWNLOAD_START">" "</definedName>
    <definedName name="FR_CODE_STOCK_LINK">" "</definedName>
    <definedName name="FR_COM_ABBR">" "</definedName>
    <definedName name="FR_COM_ABBR_LINK">" "</definedName>
    <definedName name="FR_COM_AGG">0</definedName>
    <definedName name="FR_COM_NAME_LINK">" "</definedName>
    <definedName name="FR_COU_ABBR">" "</definedName>
    <definedName name="FR_COU_ABBR_LINK">" "</definedName>
    <definedName name="FR_COU_NAME_LINK">" "</definedName>
    <definedName name="FR_DATABOX_DOWNLOAD">"N"</definedName>
    <definedName name="FR_DISP_HIDDEN">FALSE</definedName>
    <definedName name="FR_END_DATE">"'"</definedName>
    <definedName name="FR_LINKS_OVERRUN">TRUE</definedName>
    <definedName name="FR_LOG_END_DATE">"'"</definedName>
    <definedName name="FR_LOG_START_DATE">"'"</definedName>
    <definedName name="FR_REPORT_TYPE">""</definedName>
    <definedName name="FR_RPT_AREA_LINK">" "</definedName>
    <definedName name="FR_RPT_FOOTER_LINK">" "</definedName>
    <definedName name="FR_RPT_HEADER_LINK">" "</definedName>
    <definedName name="FR_RPT_LINE_SPACING">1</definedName>
    <definedName name="FR_RPT_PAGE_BREAK">0</definedName>
    <definedName name="FR_SHOW_LINK_MARKER">TRUE</definedName>
    <definedName name="FR_START_DATE">"'"</definedName>
    <definedName name="FR_USE_BILLIONS">FALSE</definedName>
    <definedName name="FR_USE_DIMFAC">TRUE</definedName>
    <definedName name="FR_USE_LOCAL_CCY">TRUE</definedName>
    <definedName name="FR_WORKBOOK">"H:\EDGE\Biotech\ABI.xls"</definedName>
    <definedName name="HL" localSheetId="13">ModPubIndex!$A$8</definedName>
    <definedName name="inc_sta_table">[11]Model!$D$4:$AG$72</definedName>
    <definedName name="inc_statemnt_table">[6]Model!$B$8:$AR$96</definedName>
    <definedName name="IND" localSheetId="13">ModPubIndex!$A$9</definedName>
    <definedName name="Industry" localSheetId="0">ImportantDisclosures!$A$12</definedName>
    <definedName name="IndustryId">IndexInformation!$B$40</definedName>
    <definedName name="IndustryRating" localSheetId="0">ImportantDisclosures!$A$13</definedName>
    <definedName name="Inv">[2]Model!$82:$82</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CURRENCY_REUT" hidden="1">"c5437"</definedName>
    <definedName name="IQ_EST_DATE" hidden="1">"c1634"</definedName>
    <definedName name="IQ_EST_DATE_REUT" hidden="1">"c5438"</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"019802400"</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 hidden="1">800000</definedName>
    <definedName name="IQ_NAMES_REVISION_DATE_" hidden="1">41541.7844907407</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39489.6256597222</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j" hidden="1">{"Breakdown1",#N/A,FALSE,"LTD";"Breakdown2",#N/A,FALSE,"LTD";"Breakdown3",#N/A,FALSE,"LTD";"D Op. Profit",#N/A,FALSE,"LTD";"D Op Profit Continued",#N/A,FALSE,"LTD"}</definedName>
    <definedName name="k" hidden="1">{"Annual Income",#N/A,FALSE,"ANF"}</definedName>
    <definedName name="KeepVersions" localSheetId="12">IndexInformation!$B$8</definedName>
    <definedName name="LanguageCode">IndexInformation!$B$38</definedName>
    <definedName name="LastCell" localSheetId="0">ImportantDisclosures!$A$22</definedName>
    <definedName name="Linking_1">Model!$B$6:$DP$114</definedName>
    <definedName name="Linking_2">Summary!$B$6:$DZ$49</definedName>
    <definedName name="Linking_3">Model!$B$4:$EE$113</definedName>
    <definedName name="Linking_Range_10">Model!$DQ$6:$EF$113</definedName>
    <definedName name="Linking_Range_11">Model!$B$198:$DF$268</definedName>
    <definedName name="Linking_Range_12">Model!$B$355:$DF$395</definedName>
    <definedName name="Linking_Range_14">Model!$B$6:$DF$113</definedName>
    <definedName name="Linking_Range_16">Model!$B$6:$DF$112</definedName>
    <definedName name="Linking_Range_17">Model!$B$6:$DF$104</definedName>
    <definedName name="Linking_Range_18">Model!$B$6:$DF$104</definedName>
    <definedName name="Linking_Range_19">Model!$B$198:$DF$239</definedName>
    <definedName name="Linking_Range_20">Model!$B$353:$DF$393</definedName>
    <definedName name="Linking_Range_21">Model!$B$6:$DF$46</definedName>
    <definedName name="Linking_Range_22">Model!$B$6:$DF$105</definedName>
    <definedName name="Linking_Range_23">Model!$B$6:$DF$105</definedName>
    <definedName name="Linking_Range_24">Model!$B$6:$DK$105</definedName>
    <definedName name="Linking_Range_25">Model!$B$198:$DK$239</definedName>
    <definedName name="Linking_Range_26">Model!$B$353:$DK$393</definedName>
    <definedName name="Linking_Range_36">Model!$B$6:$DK$93</definedName>
    <definedName name="Linking_Range_39">Model!$B$6:$DK$113</definedName>
    <definedName name="Linking_Range_40">Model!$B$6:$DP$105</definedName>
    <definedName name="Linking_Range_41">Model!$B$198:$DP$239</definedName>
    <definedName name="Linking_Range_42">Model!$B$353:$DP$393</definedName>
    <definedName name="Linking_Range_43">Model!$B$6:$DP$393</definedName>
    <definedName name="Linking_Range_44">Model!$B$6:$DP$93</definedName>
    <definedName name="Linking_Range_45">Model!$B$6:$DP$113</definedName>
    <definedName name="Linking_Range_8">Model!$B$6:$DF$113</definedName>
    <definedName name="Linking_Range_9">Model!$DQ$6:$EF$92</definedName>
    <definedName name="LTD">[2]Model!$98:$98</definedName>
    <definedName name="ltdquarter"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MacroVersion" localSheetId="12">IndexInformation!$B$1</definedName>
    <definedName name="MACRS_schedule">[12]Analysis!$C$2</definedName>
    <definedName name="MACRSoptions">[12]MACRS!$C$4:$C$8</definedName>
    <definedName name="Mail">258.7/(258.7+1097.6)</definedName>
    <definedName name="MaxChange" localSheetId="1">CircularReferenceAlert!$B$9</definedName>
    <definedName name="MaxIterations" localSheetId="1">CircularReferenceAlert!$B$8</definedName>
    <definedName name="ModelPrice" localSheetId="0">ImportantDisclosures!$A$14</definedName>
    <definedName name="Multiplier" localSheetId="12">IndexInformation!$B$35</definedName>
    <definedName name="Name">Cover!$F$2</definedName>
    <definedName name="NetRev">[2]Model!$8:$8</definedName>
    <definedName name="NextYearEPS" localSheetId="12">IndexInformation!$B$13</definedName>
    <definedName name="NextYearTotalRevenue" localSheetId="12">IndexInformation!$B$12</definedName>
    <definedName name="NextYearTotalRevenueActual" localSheetId="12">IndexInformation!$B$33</definedName>
    <definedName name="ObjectType">IndexInformation!$B$37</definedName>
    <definedName name="PANA" localSheetId="13">ModPubIndex!$A$11</definedName>
    <definedName name="PathName" localSheetId="12">IndexInformation!$B$25</definedName>
    <definedName name="_xlnm.Print_Area" localSheetId="2">Cover!$A$1:$N$25</definedName>
    <definedName name="_xlnm.Print_Area" localSheetId="10">Guidance!$C$1:$S$39</definedName>
    <definedName name="_xlnm.Print_Area" localSheetId="7">'International Retail'!$B$4:$DZ$61</definedName>
    <definedName name="_xlnm.Print_Area" localSheetId="8">'International Wholesale'!$B$4:$DZ$42</definedName>
    <definedName name="_xlnm.Print_Area" localSheetId="3">Model!$B$4:$DU$114,Model!$B$196:$DU$239,Model!$B$351:$DU$395</definedName>
    <definedName name="_xlnm.Print_Area" localSheetId="11">Scenarios!$C$4:$AN$163</definedName>
    <definedName name="_xlnm.Print_Area" localSheetId="5">Summary!$A$1:$DP$129</definedName>
    <definedName name="_xlnm.Print_Area" localSheetId="6">'US Retail'!$B$4:$DF$223</definedName>
    <definedName name="_xlnm.Print_Area">"Formula removed, name can be deleted."</definedName>
    <definedName name="Print_ibt" localSheetId="7">[13]!Print_ibt</definedName>
    <definedName name="Print_ibt" localSheetId="8">[13]!Print_ibt</definedName>
    <definedName name="Print_ibt">[13]!Print_ibt</definedName>
    <definedName name="Print_image" localSheetId="7">[13]!Print_image</definedName>
    <definedName name="Print_image" localSheetId="8">[13]!Print_image</definedName>
    <definedName name="Print_image">[13]!Print_image</definedName>
    <definedName name="_xlnm.Print_Titles" localSheetId="7">'International Retail'!$4:$9</definedName>
    <definedName name="_xlnm.Print_Titles" localSheetId="8">'International Wholesale'!$4:$9</definedName>
    <definedName name="_xlnm.Print_Titles" localSheetId="5">Summary!$1:$7</definedName>
    <definedName name="_xlnm.Print_Titles" localSheetId="6">'US Retail'!$4:$9</definedName>
    <definedName name="_xlnm.Print_Titles">"Formula removed, name can be deleted."</definedName>
    <definedName name="Print_valmat" localSheetId="7">[13]!Print_valmat</definedName>
    <definedName name="Print_valmat" localSheetId="8">[13]!Print_valmat</definedName>
    <definedName name="Print_valmat">[13]!Print_valmat</definedName>
    <definedName name="Print_Valmax" localSheetId="7">[14]!Print_Valmax</definedName>
    <definedName name="Print_Valmax" localSheetId="8">[14]!Print_Valmax</definedName>
    <definedName name="Print_Valmax">[14]!Print_Valmax</definedName>
    <definedName name="PrintModelReports" localSheetId="7">[15]!PrintModelReports</definedName>
    <definedName name="PrintModelReports" localSheetId="8">[15]!PrintModelReports</definedName>
    <definedName name="PrintModelReports">[15]!PrintModelReports</definedName>
    <definedName name="PrintPreviewModelReports" localSheetId="7">[15]!PrintPreviewModelReports</definedName>
    <definedName name="PrintPreviewModelReports" localSheetId="8">[15]!PrintPreviewModelReports</definedName>
    <definedName name="PrintPreviewModelReports">[15]!PrintPreviewModelReports</definedName>
    <definedName name="PRODUCT" localSheetId="13">ModPubIndex!$A$6</definedName>
    <definedName name="ProjectName">{"Cereva Networks, Inc"}</definedName>
    <definedName name="PSYM" localSheetId="13">ModPubIndex!$A$4</definedName>
    <definedName name="PublishDate" localSheetId="12">IndexInformation!$B$2</definedName>
    <definedName name="Rating" localSheetId="12">IndexInformation!$B$9</definedName>
    <definedName name="Rating">[9]summary!$J$12</definedName>
    <definedName name="RatingsDefined" localSheetId="0">ImportantDisclosures!$A$21</definedName>
    <definedName name="RatingsDefs" localSheetId="0">ImportantDisclosures!#REF!</definedName>
    <definedName name="RegACDisclosure" localSheetId="0">ImportantDisclosures!#REF!</definedName>
    <definedName name="Rel_Forw" localSheetId="7">OFFSET(Date_Range,0,10,,1)</definedName>
    <definedName name="Rel_Forw" localSheetId="8">OFFSET(Date_Range,0,10,,1)</definedName>
    <definedName name="Rel_Forw">OFFSET(Date_Range,0,10,,1)</definedName>
    <definedName name="ResearchTopic" localSheetId="12">IndexInformation!$B$4</definedName>
    <definedName name="Retail">1097.6/(258.7+1097.6)</definedName>
    <definedName name="RIC" localSheetId="12">IndexInformation!$B$21</definedName>
    <definedName name="rngPriceTarget">Cover!$A$5</definedName>
    <definedName name="SECSettlement" localSheetId="0">ImportantDisclosures!#REF!</definedName>
    <definedName name="SEDOL" localSheetId="12">IndexInformation!$B$22</definedName>
    <definedName name="shrs_out_dil">[2]Model!$29:$29</definedName>
    <definedName name="SourceDefined" localSheetId="0">ImportantDisclosures!$A$19</definedName>
    <definedName name="SpecAdj">[2]Specialty!$C$28</definedName>
    <definedName name="Stand1">{"Client Name or Project Name"}</definedName>
    <definedName name="StockRating" localSheetId="0">ImportantDisclosures!$A$11</definedName>
    <definedName name="SubjectCode" localSheetId="12">IndexInformation!$B$6</definedName>
    <definedName name="SubmitterUserId">IndexInformation!$B$39</definedName>
    <definedName name="SUPPRESSED" localSheetId="13">ModPubIndex!$A$13</definedName>
    <definedName name="Swvu.inc.ann." localSheetId="3" hidden="1">Model!$B$1:$DF$133</definedName>
    <definedName name="t"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TargetPrice" localSheetId="0">ImportantDisclosures!$A$15</definedName>
    <definedName name="targetprice">Cover!$A$6</definedName>
    <definedName name="Template.WIRE">"DBACCESS"</definedName>
    <definedName name="TemplateRegion">IndexInformation!$B$36</definedName>
    <definedName name="test"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Ticker" localSheetId="0">ImportantDisclosures!$A$10</definedName>
    <definedName name="Ticker">[8]Model!$B$4</definedName>
    <definedName name="TickerRegion">IndexInformation!$B$41</definedName>
    <definedName name="Tickers" localSheetId="12">IndexInformation!$B$19</definedName>
    <definedName name="TotalEquity">[2]Model!$108:$108</definedName>
    <definedName name="trc_XLS_DATASHEET_ProtectDate">36886.46375</definedName>
    <definedName name="Update_This" localSheetId="7">[10]!Update_This</definedName>
    <definedName name="Update_This" localSheetId="8">[10]!Update_This</definedName>
    <definedName name="Update_This">[10]!Update_This</definedName>
    <definedName name="UpdateReason" localSheetId="12">IndexInformation!$B$17</definedName>
    <definedName name="USRegDisclosures" localSheetId="0">ImportantDisclosures!#REF!</definedName>
    <definedName name="Version">"June 29, 2004"</definedName>
    <definedName name="Version.WIRE">1</definedName>
    <definedName name="WAGMktShare">'[16]WAG Generic Synergies'!$A$30</definedName>
    <definedName name="wrn.2._.pagers." hidden="1">{"Cover",#N/A,FALSE,"Cover";"Summary",#N/A,FALSE,"Summarpage"}</definedName>
    <definedName name="wrn.96_model." hidden="1">{"qtr_is_94_95",#N/A,FALSE,"MA";"ann_is_96",#N/A,FALSE,"MA";"seg_sales_96",#N/A,FALSE,"MA";"seg_inc_96",#N/A,FALSE,"MA";"divisional_91_95",#N/A,FALSE,"MA";"ann_bs_96",#N/A,FALSE,"MA";"ann_cf_96",#N/A,FALSE,"MA"}</definedName>
    <definedName name="wrn.allpages." hidden="1">{#N/A,#N/A,TRUE,"Historicals";#N/A,#N/A,TRUE,"Charts";#N/A,#N/A,TRUE,"Forecasts"}</definedName>
    <definedName name="wrn.annual." hidden="1">{"Annual Income",#N/A,FALSE,"ANF"}</definedName>
    <definedName name="wrn.cn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complete." localSheetId="2" hidden="1">{"assumptions",#N/A,FALSE,"QTRTEMP";"wwsales",#N/A,FALSE,"QTRTEMP";"wwgrowth",#N/A,FALSE,"QTRTEMP";"ussales",#N/A,FALSE,"QTRTEMP";"usgrowth",#N/A,FALSE,"QTRTEMP";"nonsales",#N/A,FALSE,"QTRTEMP";"nongrowth",#N/A,FALSE,"QTRTEMP";"pl growth",#N/A,FALSE,"QTRTEMP";"cashflow",#N/A,FALSE,"QTRTEMP"}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DG"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DG."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ENTIRE." hidden="1">{"INCOMEannual1",#N/A,FALSE,"income";"INCOMEannual2",#N/A,FALSE,"income";"INCOMEquarterly1",#N/A,FALSE,"income";"INCOMEquarterly2",#N/A,FALSE,"income";"INCOMEcalendarized1",#N/A,FALSE,"income";"INCOMEcalendarized2",#N/A,FALSE,"income";"QTRSTATISTICSstatistics",#N/A,FALSE,"Qtr statistics";"YEARSTATISTICSstatistics",#N/A,FALSE,"Yr statistics";"CASHFLOWcashflow",#N/A,FALSE,"cash flow";"DEBTdebt1",#N/A,FALSE,"debt";"DEBTdebt2",#N/A,FALSE,"debt";"VALUATIONprice",#N/A,FALSE,"valuation"}</definedName>
    <definedName name="wrn.entireINCOME." hidden="1">{"INCOMEannual2",#N/A,FALSE,"income";"INCOMEannual1",#N/A,FALSE,"income";"INCOMEquarterly1",#N/A,FALSE,"income";"INCOMEquarterly2",#N/A,FALSE,"income";"INCOMEcalendarized1",#N/A,FALSE,"income"}</definedName>
    <definedName name="wrn.FT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FUZ_REP." hidden="1">{"FUZ_INC_A",#N/A,FALSE,"NOBE";"FUZ_INC_Q",#N/A,FALSE,"NOBE";"FUZ_BAL_A",#N/A,FALSE,"NOBE";"FUZ_CASH_A",#N/A,FALSE,"NOBE";"FUZ_PROD_A",#N/A,FALSE,"NOBE"}</definedName>
    <definedName name="wrn.fuz_report." hidden="1">{"fuz_inc_a",#N/A,FALSE,"BKS";"fuz_inc_q",#N/A,FALSE,"BKS";"fuz_bal_a",#N/A,FALSE,"BKS";"fuz_cash_a",#N/A,FALSE,"BKS";"fuz_prod_a",#N/A,FALSE,"BKS";"fuz_div_a",#N/A,FALSE,"BKS";"fuz_div2_a",#N/A,FALSE,"BKS"}</definedName>
    <definedName name="wrn.IBI." hidden="1">{"IBI Annual",#N/A,FALSE,"IBI";"Quarterly",#N/A,FALSE,"IBI";"Divisional",#N/A,FALSE,"IBI";"Divisional II",#N/A,FALSE,"IBI";"IBI Balance Sheet",#N/A,FALSE,"IBI";"IBI Funds",#N/A,FALSE,"IBI"}</definedName>
    <definedName name="wrn.IBI._.Divisional." hidden="1">{"Divisional",#N/A,FALSE,"IBI";"Divisional II",#N/A,FALSE,"IBI";"Breakdown",#N/A,FALSE,"IBI"}</definedName>
    <definedName name="wrn.INCOME." hidden="1">{"INCOMEquarterly1",#N/A,TRUE,"income";"INCOMEquarterly2",#N/A,TRUE,"income"}</definedName>
    <definedName name="wrn.Industry.xls." hidden="1">{#N/A,#N/A,FALSE,"Earnings";#N/A,#N/A,FALSE,"Overview";#N/A,#N/A,FALSE,"Summary";#N/A,#N/A,FALSE,"Summary II";#N/A,#N/A,FALSE,"R&amp;D";#N/A,#N/A,FALSE,"R&amp;D Forecast";#N/A,#N/A,FALSE,"Tax Adj";#N/A,#N/A,FALSE,"Goodwill";#N/A,#N/A,FALSE,"FX ";#N/A,#N/A,FALSE,"Consolidation";#N/A,#N/A,FALSE,"Provisions"}</definedName>
    <definedName name="wrn.Leases.xls." hidden="1">{#N/A,#N/A,FALSE,"Initial Year";#N/A,#N/A,FALSE,"Historical";#N/A,#N/A,FALSE,"balsheet";#N/A,#N/A,FALSE,"incstate";#N/A,#N/A,FALSE,"Fleet"}</definedName>
    <definedName name="wrn.LTD." hidden="1">{"Annual Income",#N/A,FALSE,"LTD";"D Op. Profit",#N/A,FALSE,"LTD";"D Op. Profit Continued",#N/A,FALSE,"LTD";"Segment Analysis",#N/A,FALSE,"LTD";"Segment Analysis Continued",#N/A,FALSE,"LTD";"Breakdown1",#N/A,FALSE,"LTD";"Breakdown2",#N/A,FALSE,"LTD";"Breakdown3",#N/A,FALSE,"LTD";"p",#N/A,FALSE,"LTD";"pp",#N/A,FALSE,"LTD";"ppp",#N/A,FALSE,"LTD";"Before",#N/A,FALSE,"LTD";"After",#N/A,FALSE,"LTD";"Credit",#N/A,FALSE,"LTD";"Segment Analysis Continued",#N/A,FALSE,"LTD"}</definedName>
    <definedName name="wrn.MOBIL." hidden="1">{"quarter",#N/A,FALSE,"MOB"}</definedName>
    <definedName name="wrn.Op._.inc.." hidden="1">{"D Op. Profit",#N/A,FALSE,"LTD";"D Op Profit Continued",#N/A,FALSE,"LTD"}</definedName>
    <definedName name="wrn.PETC."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PSS." hidden="1">{"Annual",#N/A,FALSE,"PSS";"Quarterly Earnings",#N/A,FALSE,"PSS";"Quarterly Margins",#N/A,FALSE,"PSS";"Balance Sheet",#N/A,FALSE,"PSS";"Funds Flow",#N/A,FALSE,"PSS";"Q Sales",#N/A,FALSE,"PSS";"Unit Analysis",#N/A,FALSE,"PSS";"Ratio Analysis",#N/A,FALSE,"PSS";"Comps",#N/A,FALSE,"PSS";"Valuation",#N/A,FALSE,"PSS";"Inventory Analysis",#N/A,FALSE,"PSS"}</definedName>
    <definedName name="wrn.Pulp." hidden="1">{"Pulp Production",#N/A,FALSE,"Pulp";"Pulp Earnings",#N/A,FALSE,"Pulp"}</definedName>
    <definedName name="wrn.Q._.Report." hidden="1">{"Quarterly Earnings",#N/A,FALSE,"FTS";"Quarterly Margins",#N/A,FALSE,"FTS";"Q Sales",#N/A,FALSE,"FTS";"Q EBIT",#N/A,FALSE,"FTS";"Unit Analysis",#N/A,FALSE,"FTS";"Inventory Analysis",#N/A,FALSE,"FTS"}</definedName>
    <definedName name="wrn.rep." hidden="1">{"Quarterly Income",#N/A,FALSE,"TLB";"Quarterly Margins",#N/A,FALSE,"TLB";"Q Sales",#N/A,FALSE,"TLB";"SQFT",#N/A,FALSE,"TLB";"Units",#N/A,FALSE,"TLB";"Comps",#N/A,FALSE,"TLB"}</definedName>
    <definedName name="wrn.Report." hidden="1">{"Breakdown1",#N/A,FALSE,"LTD";"Breakdown2",#N/A,FALSE,"LTD";"Breakdown3",#N/A,FALSE,"LTD";"D Op. Profit",#N/A,FALSE,"LTD";"D Op Profit Continued",#N/A,FALSE,"LTD"}</definedName>
    <definedName name="wrn.TIF." hidden="1">{"Quarterly Income",#N/A,FALSE,"TIF";"Annual Income",#N/A,FALSE,"TIF";"Quarterly Margins",#N/A,FALSE,"TIF";"Balance Sheet",#N/A,FALSE,"TIF";"Funds Flow",#N/A,FALSE,"TIF";"Q Sales",#N/A,FALSE,"TIF";"Units",#N/A,FALSE,"TIF";"SQFT",#N/A,FALSE,"TIF";"Inventory",#N/A,FALSE,"TIF";"Sales Analysis",#N/A,FALSE,"TIF"}</definedName>
    <definedName name="wrn.Valuation." hidden="1">{"Before",#N/A,FALSE,"LTD";"After",#N/A,FALSE,"LTD";"Credit",#N/A,FALSE,"LTD"}</definedName>
    <definedName name="wrn.wag." hidden="1">{"inc.ann",#N/A,FALSE,"WAG";"inc.quart",#N/A,FALSE,"WAG"}</definedName>
    <definedName name="wvu.inc.ann." localSheetId="3" hidden="1">{TRUE,TRUE,-1.25,-15.5,604.5,366.75,FALSE,TRUE,TRUE,TRUE,0,1,10,1,49,4,3,4,TRUE,TRUE,3,TRUE,1,FALSE,125,"Swvu.inc.ann.","ACwvu.inc.ann.",#N/A,FALSE,FALSE,0,0.245,0.007,0.291,2,"","",FALSE,FALSE,FALSE,FALSE,1,#N/A,1,1,#DIV/0!,FALSE,"Rwvu.inc.ann.","Cwvu.inc.ann.",FALSE,FALSE,FALSE,1,#N/A,#N/A,FALSE,FALSE,TRUE,TRUE,TRUE}</definedName>
    <definedName name="wvu.inc.quart." localSheetId="3" hidden="1">{TRUE,TRUE,-1.25,-15.5,604.5,366.75,FALSE,TRUE,TRUE,TRUE,0,1,50,1,49,4,3,4,TRUE,TRUE,3,TRUE,1,FALSE,125,"Swvu.inc.quart.","ACwvu.inc.quart.",#N/A,FALSE,FALSE,0,0.245,0.007,0.291,1,"","",FALSE,FALSE,FALSE,FALSE,1,#N/A,1,1,#DIV/0!,FALSE,"Rwvu.inc.quart.","Cwvu.inc.quart.",FALSE,FALSE,FALSE,1,#N/A,#N/A,FALSE,FALSE,TRUE,TRUE,TRUE}</definedName>
  </definedNames>
  <calcPr calcId="145621" iterate="1"/>
  <customWorkbookViews>
    <customWorkbookView name="inc.quart (WAG (2))" guid="{E6F209FA-D7E2-11D3-BDA1-0010A4F3BFB8}" maximized="1" xWindow="1" yWindow="-4" windowWidth="997" windowHeight="582" tabRatio="601" activeSheetId="12"/>
    <customWorkbookView name="inc.quart (WAG)" guid="{E6F209F9-D7E2-11D3-BDA1-0010A4F3BFB8}" maximized="1" xWindow="1" yWindow="-4" windowWidth="997" windowHeight="582" tabRatio="601" activeSheetId="3"/>
    <customWorkbookView name="inc.ann (WAG (2))" guid="{E6F209F8-D7E2-11D3-BDA1-0010A4F3BFB8}" maximized="1" xWindow="1" yWindow="-4" windowWidth="997" windowHeight="582" tabRatio="601" activeSheetId="12"/>
    <customWorkbookView name="inc.ann (WAG)" guid="{E6F209F7-D7E2-11D3-BDA1-0010A4F3BFB8}" maximized="1" xWindow="1" yWindow="-4" windowWidth="997" windowHeight="582" tabRatio="601" activeSheetId="3"/>
  </customWorkbookViews>
</workbook>
</file>

<file path=xl/calcChain.xml><?xml version="1.0" encoding="utf-8"?>
<calcChain xmlns="http://schemas.openxmlformats.org/spreadsheetml/2006/main">
  <c r="DU115" i="25" l="1"/>
  <c r="DT115" i="25"/>
  <c r="DS115" i="25"/>
  <c r="DR115" i="25"/>
  <c r="DS14" i="571" l="1"/>
  <c r="EG191" i="571"/>
  <c r="N28" i="614" l="1"/>
  <c r="O28" i="614"/>
  <c r="DQ262" i="25" l="1"/>
  <c r="DR262" i="25"/>
  <c r="DS262" i="25"/>
  <c r="DT262" i="25"/>
  <c r="DO262" i="25"/>
  <c r="DN262" i="25"/>
  <c r="DM262" i="25"/>
  <c r="DL262" i="25"/>
  <c r="DJ262" i="25"/>
  <c r="DI262" i="25"/>
  <c r="DH262" i="25"/>
  <c r="DG262" i="25"/>
  <c r="DV30" i="25" l="1"/>
  <c r="DW30" i="25" s="1"/>
  <c r="DX30" i="25" s="1"/>
  <c r="DY30" i="25" s="1"/>
  <c r="P43" i="614" l="1"/>
  <c r="O44" i="614" l="1"/>
  <c r="N44" i="614"/>
  <c r="O29" i="614"/>
  <c r="N29" i="614"/>
  <c r="P44" i="614" l="1"/>
  <c r="D97" i="559"/>
  <c r="D75" i="559"/>
  <c r="AO161" i="559" l="1"/>
  <c r="AO162" i="559" s="1"/>
  <c r="AO156" i="559"/>
  <c r="AO151" i="559"/>
  <c r="AO146" i="559"/>
  <c r="AO137" i="559"/>
  <c r="AO100" i="559"/>
  <c r="AO92" i="559"/>
  <c r="AO87" i="559"/>
  <c r="AO78" i="559"/>
  <c r="AN137" i="559"/>
  <c r="AN146" i="559"/>
  <c r="AN161" i="559"/>
  <c r="AN162" i="559" s="1"/>
  <c r="AM161" i="559"/>
  <c r="AM156" i="559"/>
  <c r="AM151" i="559"/>
  <c r="AM146" i="559"/>
  <c r="AM137" i="559"/>
  <c r="AM100" i="559"/>
  <c r="AM92" i="559"/>
  <c r="AM87" i="559"/>
  <c r="AM78" i="559"/>
  <c r="P27" i="614"/>
  <c r="P26" i="614"/>
  <c r="O27" i="614"/>
  <c r="N27" i="614"/>
  <c r="P25" i="614"/>
  <c r="AP27" i="559"/>
  <c r="DQ12" i="613" l="1"/>
  <c r="DQ41" i="613" l="1"/>
  <c r="DQ50" i="613"/>
  <c r="DQ47" i="613"/>
  <c r="DQ35" i="613"/>
  <c r="DQ33" i="613"/>
  <c r="DQ26" i="613"/>
  <c r="DQ16" i="613"/>
  <c r="DQ13" i="613"/>
  <c r="DQ59" i="607"/>
  <c r="DQ58" i="607"/>
  <c r="DQ57" i="607"/>
  <c r="DQ53" i="607"/>
  <c r="DQ52" i="607"/>
  <c r="DQ39" i="607"/>
  <c r="DQ27" i="607"/>
  <c r="DQ21" i="607"/>
  <c r="DQ26" i="607" s="1"/>
  <c r="DQ14" i="607"/>
  <c r="DQ12" i="607"/>
  <c r="DQ11" i="607"/>
  <c r="DQ223" i="571"/>
  <c r="DQ220" i="571"/>
  <c r="DQ219" i="571"/>
  <c r="DQ212" i="571"/>
  <c r="DQ204" i="571"/>
  <c r="DQ202" i="571"/>
  <c r="DQ193" i="571"/>
  <c r="DQ194" i="571" s="1"/>
  <c r="DQ191" i="571"/>
  <c r="DQ190" i="571"/>
  <c r="DQ158" i="571"/>
  <c r="DQ94" i="571"/>
  <c r="DQ67" i="571"/>
  <c r="DQ130" i="571" s="1"/>
  <c r="DQ57" i="571"/>
  <c r="DQ42" i="571"/>
  <c r="DQ35" i="571"/>
  <c r="DQ13" i="571"/>
  <c r="DQ7" i="571"/>
  <c r="DQ7" i="607" s="1"/>
  <c r="DQ7" i="613" s="1"/>
  <c r="DQ379" i="25"/>
  <c r="DQ387" i="25" s="1"/>
  <c r="DQ365" i="25"/>
  <c r="DQ369" i="25" s="1"/>
  <c r="DQ407" i="25"/>
  <c r="DQ405" i="25"/>
  <c r="DQ404" i="25"/>
  <c r="DQ402" i="25"/>
  <c r="DQ345" i="25" s="1"/>
  <c r="DQ377" i="25"/>
  <c r="DQ341" i="25"/>
  <c r="DQ339" i="25"/>
  <c r="DQ301" i="25"/>
  <c r="DQ294" i="25"/>
  <c r="DQ296" i="25" s="1"/>
  <c r="DQ298" i="25" s="1"/>
  <c r="DQ283" i="25"/>
  <c r="DQ281" i="25"/>
  <c r="DQ272" i="25"/>
  <c r="DQ271" i="25"/>
  <c r="DQ277" i="25" s="1"/>
  <c r="DQ257" i="25"/>
  <c r="DQ254" i="25"/>
  <c r="DQ247" i="25"/>
  <c r="DQ237" i="25"/>
  <c r="DQ238" i="25" s="1"/>
  <c r="DQ315" i="25" s="1"/>
  <c r="DQ221" i="25"/>
  <c r="DQ348" i="25" s="1"/>
  <c r="DQ225" i="25"/>
  <c r="DQ230" i="25" s="1"/>
  <c r="DQ212" i="25"/>
  <c r="DQ213" i="25"/>
  <c r="DQ206" i="25"/>
  <c r="DQ312" i="25" s="1"/>
  <c r="DQ73" i="25"/>
  <c r="DQ65" i="25"/>
  <c r="DQ59" i="25"/>
  <c r="DO59" i="25"/>
  <c r="DQ39" i="25"/>
  <c r="DQ40" i="25"/>
  <c r="DQ397" i="25" s="1"/>
  <c r="DQ21" i="25"/>
  <c r="DQ70" i="25" s="1"/>
  <c r="DQ22" i="25"/>
  <c r="DQ251" i="25" l="1"/>
  <c r="DQ311" i="25"/>
  <c r="DQ307" i="25"/>
  <c r="DQ308" i="25" s="1"/>
  <c r="DQ216" i="25"/>
  <c r="DQ309" i="25"/>
  <c r="DQ310" i="25" s="1"/>
  <c r="DQ51" i="613"/>
  <c r="DQ39" i="613"/>
  <c r="DQ40" i="613"/>
  <c r="DQ20" i="613"/>
  <c r="DQ25" i="613" s="1"/>
  <c r="DQ48" i="613"/>
  <c r="DQ49" i="613" s="1"/>
  <c r="DQ34" i="613"/>
  <c r="DQ60" i="607"/>
  <c r="DQ66" i="571"/>
  <c r="DQ205" i="571"/>
  <c r="DQ198" i="571"/>
  <c r="DQ159" i="571"/>
  <c r="DQ276" i="25"/>
  <c r="DQ370" i="25"/>
  <c r="DQ391" i="25" s="1"/>
  <c r="DQ282" i="25"/>
  <c r="DQ346" i="25"/>
  <c r="DQ275" i="25"/>
  <c r="DQ323" i="25"/>
  <c r="DQ322" i="25" s="1"/>
  <c r="DQ329" i="25" s="1"/>
  <c r="DQ239" i="25"/>
  <c r="DQ241" i="25" s="1"/>
  <c r="DQ141" i="25"/>
  <c r="DQ98" i="25"/>
  <c r="DQ96" i="25"/>
  <c r="DQ85" i="25"/>
  <c r="DQ83" i="25"/>
  <c r="DQ82" i="25"/>
  <c r="DQ74" i="25"/>
  <c r="DQ62" i="25"/>
  <c r="DQ66" i="25" s="1"/>
  <c r="DQ58" i="25"/>
  <c r="DQ60" i="25" s="1"/>
  <c r="DQ195" i="571" s="1"/>
  <c r="DQ51" i="25"/>
  <c r="DQ25" i="25"/>
  <c r="DQ28" i="25" s="1"/>
  <c r="DQ101" i="25"/>
  <c r="DQ10" i="25"/>
  <c r="AO126" i="559" l="1"/>
  <c r="AO132" i="559"/>
  <c r="DQ135" i="25"/>
  <c r="DQ136" i="25" s="1"/>
  <c r="DQ403" i="25"/>
  <c r="DQ52" i="613"/>
  <c r="DQ53" i="613" s="1"/>
  <c r="DQ42" i="613"/>
  <c r="DQ209" i="571"/>
  <c r="DQ395" i="25"/>
  <c r="DQ289" i="25"/>
  <c r="DQ99" i="25"/>
  <c r="DQ137" i="25"/>
  <c r="DQ76" i="25"/>
  <c r="DQ201" i="571" s="1"/>
  <c r="DQ213" i="571" s="1"/>
  <c r="DQ97" i="25"/>
  <c r="DQ206" i="571" s="1"/>
  <c r="O39" i="614"/>
  <c r="N39" i="614"/>
  <c r="DQ327" i="25" l="1"/>
  <c r="DQ347" i="25"/>
  <c r="P39" i="614"/>
  <c r="DQ30" i="25"/>
  <c r="DQ258" i="25" s="1"/>
  <c r="DQ253" i="25" s="1"/>
  <c r="DQ252" i="25" s="1"/>
  <c r="DQ259" i="25" s="1"/>
  <c r="DQ31" i="25"/>
  <c r="DQ33" i="25" s="1"/>
  <c r="DQ102" i="25"/>
  <c r="DQ280" i="25" l="1"/>
  <c r="DQ290" i="25"/>
  <c r="DQ291" i="25" s="1"/>
  <c r="DQ406" i="25"/>
  <c r="DQ326" i="25"/>
  <c r="DQ331" i="25" s="1"/>
  <c r="DQ325" i="25"/>
  <c r="DQ330" i="25" s="1"/>
  <c r="DQ104" i="25"/>
  <c r="DQ332" i="25" l="1"/>
  <c r="DQ285" i="25"/>
  <c r="DQ43" i="25"/>
  <c r="DQ41" i="25"/>
  <c r="DQ398" i="25" s="1"/>
  <c r="DQ105" i="25" l="1"/>
  <c r="DQ46" i="25"/>
  <c r="DQ45" i="25"/>
  <c r="DO397" i="25"/>
  <c r="DN397" i="25"/>
  <c r="DM397" i="25"/>
  <c r="DJ397" i="25"/>
  <c r="DH397" i="25"/>
  <c r="DG397" i="25"/>
  <c r="DE397" i="25"/>
  <c r="DD397" i="25"/>
  <c r="DC397" i="25"/>
  <c r="DB397" i="25"/>
  <c r="CZ397" i="25"/>
  <c r="CY397" i="25"/>
  <c r="CX397" i="25"/>
  <c r="CW397" i="25"/>
  <c r="CU397" i="25"/>
  <c r="CT397" i="25"/>
  <c r="CS397" i="25"/>
  <c r="CR397" i="25"/>
  <c r="CP397" i="25"/>
  <c r="CN397" i="25"/>
  <c r="CM397" i="25"/>
  <c r="CK397" i="25"/>
  <c r="CJ397" i="25"/>
  <c r="CI397" i="25"/>
  <c r="CH397" i="25"/>
  <c r="CF397" i="25"/>
  <c r="CE397" i="25"/>
  <c r="CD397" i="25"/>
  <c r="CC397" i="25"/>
  <c r="CA397" i="25"/>
  <c r="BZ397" i="25"/>
  <c r="BY397" i="25"/>
  <c r="BX397" i="25"/>
  <c r="BW397" i="25"/>
  <c r="BV397" i="25"/>
  <c r="BU397" i="25"/>
  <c r="BT397" i="25"/>
  <c r="BS397" i="25"/>
  <c r="BR397" i="25"/>
  <c r="BQ397" i="25"/>
  <c r="BP397" i="25"/>
  <c r="BO397" i="25"/>
  <c r="BN397" i="25"/>
  <c r="BL397" i="25"/>
  <c r="BK397" i="25"/>
  <c r="BJ397" i="25"/>
  <c r="BI397" i="25"/>
  <c r="BH397" i="25"/>
  <c r="BG397" i="25"/>
  <c r="BF397" i="25"/>
  <c r="BE397" i="25"/>
  <c r="BD397" i="25"/>
  <c r="BB397" i="25"/>
  <c r="BA397" i="25"/>
  <c r="AY397" i="25"/>
  <c r="AW397" i="25"/>
  <c r="AV397" i="25"/>
  <c r="AU397" i="25"/>
  <c r="AT397" i="25"/>
  <c r="AS397" i="25"/>
  <c r="AR397" i="25"/>
  <c r="AQ397" i="25"/>
  <c r="AP397" i="25"/>
  <c r="AO397" i="25"/>
  <c r="AM397" i="25"/>
  <c r="AL397" i="25"/>
  <c r="AK397" i="25"/>
  <c r="AJ397" i="25"/>
  <c r="AH397" i="25"/>
  <c r="AG397" i="25"/>
  <c r="AF397" i="25"/>
  <c r="AE397" i="25"/>
  <c r="AC397" i="25"/>
  <c r="AB397" i="25"/>
  <c r="AA397" i="25"/>
  <c r="Z397" i="25"/>
  <c r="X397" i="25"/>
  <c r="W397" i="25"/>
  <c r="V397" i="25"/>
  <c r="U397" i="25"/>
  <c r="S397" i="25"/>
  <c r="R397" i="25"/>
  <c r="Q397" i="25"/>
  <c r="P397" i="25"/>
  <c r="N397" i="25"/>
  <c r="M397" i="25"/>
  <c r="L397" i="25"/>
  <c r="K397" i="25"/>
  <c r="J397" i="25"/>
  <c r="I397" i="25"/>
  <c r="H397" i="25"/>
  <c r="G397" i="25"/>
  <c r="F397" i="25"/>
  <c r="E397" i="25"/>
  <c r="D397" i="25"/>
  <c r="DO25" i="25" l="1"/>
  <c r="DY38" i="25" l="1"/>
  <c r="DX38" i="25"/>
  <c r="DW38" i="25"/>
  <c r="DV38" i="25"/>
  <c r="DT38" i="25"/>
  <c r="DS38" i="25"/>
  <c r="DR38" i="25"/>
  <c r="DT181" i="571" l="1"/>
  <c r="DS181" i="571"/>
  <c r="BB103" i="559" l="1"/>
  <c r="BA103" i="559"/>
  <c r="AZ103" i="559"/>
  <c r="AY103" i="559"/>
  <c r="AW103" i="559"/>
  <c r="AV103" i="559"/>
  <c r="AU103" i="559"/>
  <c r="AT103" i="559"/>
  <c r="AR103" i="559"/>
  <c r="BB117" i="559" l="1"/>
  <c r="BA117" i="559"/>
  <c r="AZ117" i="559"/>
  <c r="AY117" i="559"/>
  <c r="AW117" i="559"/>
  <c r="AV117" i="559"/>
  <c r="AU117" i="559"/>
  <c r="AT117" i="559"/>
  <c r="DZ15" i="571" l="1"/>
  <c r="DU15" i="571"/>
  <c r="AW150" i="559" l="1"/>
  <c r="AV150" i="559"/>
  <c r="AU150" i="559"/>
  <c r="AT150" i="559"/>
  <c r="AW152" i="559"/>
  <c r="AV152" i="559"/>
  <c r="AU152" i="559"/>
  <c r="AT152" i="559"/>
  <c r="AZ151" i="559"/>
  <c r="AZ152" i="559" s="1"/>
  <c r="BA151" i="559"/>
  <c r="BA152" i="559" s="1"/>
  <c r="BB151" i="559"/>
  <c r="BB152" i="559" s="1"/>
  <c r="AY151" i="559"/>
  <c r="AY150" i="559" s="1"/>
  <c r="BB93" i="559"/>
  <c r="BA93" i="559"/>
  <c r="AZ93" i="559"/>
  <c r="AY93" i="559"/>
  <c r="AW93" i="559"/>
  <c r="AV93" i="559"/>
  <c r="AU93" i="559"/>
  <c r="AT93" i="559"/>
  <c r="BB91" i="559"/>
  <c r="BA91" i="559"/>
  <c r="AZ91" i="559"/>
  <c r="AY91" i="559"/>
  <c r="AW91" i="559"/>
  <c r="AV91" i="559"/>
  <c r="AU91" i="559"/>
  <c r="AT91" i="559"/>
  <c r="AU78" i="559"/>
  <c r="DO237" i="25"/>
  <c r="DO235" i="25"/>
  <c r="EF235" i="25" s="1"/>
  <c r="DO35" i="613"/>
  <c r="AY152" i="559" l="1"/>
  <c r="BA150" i="559"/>
  <c r="BB150" i="559"/>
  <c r="AZ150" i="559"/>
  <c r="DR295" i="25"/>
  <c r="DS295" i="25" s="1"/>
  <c r="DT295" i="25" s="1"/>
  <c r="U36" i="614"/>
  <c r="U35" i="614"/>
  <c r="U34" i="614"/>
  <c r="U33" i="614"/>
  <c r="U32" i="614"/>
  <c r="DO59" i="607"/>
  <c r="DT59" i="607" s="1"/>
  <c r="DO58" i="607"/>
  <c r="DO57" i="607"/>
  <c r="DT57" i="607" s="1"/>
  <c r="DO53" i="607"/>
  <c r="DO52" i="607"/>
  <c r="DO39" i="607"/>
  <c r="DO11" i="607" s="1"/>
  <c r="DO30" i="607"/>
  <c r="DO35" i="607" s="1"/>
  <c r="DO27" i="607"/>
  <c r="DO21" i="607"/>
  <c r="DO26" i="607" s="1"/>
  <c r="DO14" i="607"/>
  <c r="DO12" i="607"/>
  <c r="DO14" i="613"/>
  <c r="DO12" i="613"/>
  <c r="DO41" i="613" l="1"/>
  <c r="DO39" i="613"/>
  <c r="DT39" i="613" s="1"/>
  <c r="DT55" i="613" s="1"/>
  <c r="DO60" i="607"/>
  <c r="DO31" i="607"/>
  <c r="DO223" i="571" l="1"/>
  <c r="DO158" i="571" s="1"/>
  <c r="DO220" i="571"/>
  <c r="DO219" i="571"/>
  <c r="DO212" i="571"/>
  <c r="DO204" i="571"/>
  <c r="DO202" i="571"/>
  <c r="DO193" i="571"/>
  <c r="DO194" i="571" s="1"/>
  <c r="DO205" i="571" s="1"/>
  <c r="DO191" i="571"/>
  <c r="DO190" i="571"/>
  <c r="DO94" i="571"/>
  <c r="DO67" i="571"/>
  <c r="DO130" i="571" s="1"/>
  <c r="DO60" i="571"/>
  <c r="DO57" i="571"/>
  <c r="DO13" i="571"/>
  <c r="DN307" i="25"/>
  <c r="DO307" i="25"/>
  <c r="DN335" i="25"/>
  <c r="DO335" i="25"/>
  <c r="DN339" i="25"/>
  <c r="DO339" i="25"/>
  <c r="DN341" i="25"/>
  <c r="DO341" i="25"/>
  <c r="DO213" i="25"/>
  <c r="DO212" i="25"/>
  <c r="DO199" i="25"/>
  <c r="DO73" i="25"/>
  <c r="DO65" i="25"/>
  <c r="DO51" i="25"/>
  <c r="DO39" i="25"/>
  <c r="DO66" i="571" l="1"/>
  <c r="DO159" i="571"/>
  <c r="DO198" i="571"/>
  <c r="DS199" i="25"/>
  <c r="DN199" i="25"/>
  <c r="DO257" i="25"/>
  <c r="DO301" i="25"/>
  <c r="DO273" i="25"/>
  <c r="DO254" i="25"/>
  <c r="DO247" i="25"/>
  <c r="DO238" i="25"/>
  <c r="DO315" i="25" s="1"/>
  <c r="DO225" i="25"/>
  <c r="DO230" i="25" s="1"/>
  <c r="DO206" i="25"/>
  <c r="DO188" i="25"/>
  <c r="DO187" i="25"/>
  <c r="DO146" i="25"/>
  <c r="DO142" i="25"/>
  <c r="DO141" i="25"/>
  <c r="DO117" i="25"/>
  <c r="DO98" i="25"/>
  <c r="DO96" i="25"/>
  <c r="DO85" i="25"/>
  <c r="DO83" i="25"/>
  <c r="DO82" i="25"/>
  <c r="DO70" i="25"/>
  <c r="DO74" i="25" s="1"/>
  <c r="DO62" i="25"/>
  <c r="DO66" i="25" s="1"/>
  <c r="DO58" i="25"/>
  <c r="DO22" i="25"/>
  <c r="DO10" i="25"/>
  <c r="DO135" i="25" s="1"/>
  <c r="DO136" i="25" s="1"/>
  <c r="AM132" i="559" l="1"/>
  <c r="AM126" i="559"/>
  <c r="DO143" i="25"/>
  <c r="DO209" i="571"/>
  <c r="DO311" i="25"/>
  <c r="DO309" i="25"/>
  <c r="DO312" i="25"/>
  <c r="DO189" i="25"/>
  <c r="DO28" i="25"/>
  <c r="DO31" i="25" s="1"/>
  <c r="DO104" i="25" s="1"/>
  <c r="DO60" i="25"/>
  <c r="DO101" i="25"/>
  <c r="DO251" i="25"/>
  <c r="DO239" i="25"/>
  <c r="DO137" i="25"/>
  <c r="DO99" i="25"/>
  <c r="DO216" i="25"/>
  <c r="DO17" i="617"/>
  <c r="DO97" i="25" l="1"/>
  <c r="DO206" i="571" s="1"/>
  <c r="DO195" i="571"/>
  <c r="DO76" i="25"/>
  <c r="DO201" i="571" s="1"/>
  <c r="DO213" i="571" s="1"/>
  <c r="DO33" i="25"/>
  <c r="DO43" i="25" s="1"/>
  <c r="DO30" i="25"/>
  <c r="DO258" i="25" s="1"/>
  <c r="DO253" i="25" s="1"/>
  <c r="DO252" i="25" s="1"/>
  <c r="DO259" i="25" s="1"/>
  <c r="DO241" i="25"/>
  <c r="EE389" i="25"/>
  <c r="EE386" i="25"/>
  <c r="EE385" i="25"/>
  <c r="EE384" i="25"/>
  <c r="EE383" i="25"/>
  <c r="ED382" i="25"/>
  <c r="EC382" i="25"/>
  <c r="EB382" i="25"/>
  <c r="EA382" i="25"/>
  <c r="EE381" i="25"/>
  <c r="EE376" i="25"/>
  <c r="EE374" i="25"/>
  <c r="EE373" i="25"/>
  <c r="EE360" i="25"/>
  <c r="EE359" i="25"/>
  <c r="ED357" i="25"/>
  <c r="EC357" i="25"/>
  <c r="EB357" i="25"/>
  <c r="EA357" i="25"/>
  <c r="EE297" i="25"/>
  <c r="EE294" i="25"/>
  <c r="EE223" i="25"/>
  <c r="EE202" i="25"/>
  <c r="EE73" i="25"/>
  <c r="EE72" i="25"/>
  <c r="EE71" i="25"/>
  <c r="ED70" i="25"/>
  <c r="ED74" i="25" s="1"/>
  <c r="ED14" i="617" s="1"/>
  <c r="EC70" i="25"/>
  <c r="EC74" i="25" s="1"/>
  <c r="EC14" i="617" s="1"/>
  <c r="EB70" i="25"/>
  <c r="EB74" i="25" s="1"/>
  <c r="EB14" i="617" s="1"/>
  <c r="EA70" i="25"/>
  <c r="EA74" i="25" s="1"/>
  <c r="EA14" i="617" s="1"/>
  <c r="EE65" i="25"/>
  <c r="EE64" i="25"/>
  <c r="EE44" i="25"/>
  <c r="EE39" i="25"/>
  <c r="EE38" i="25"/>
  <c r="EE37" i="25"/>
  <c r="ED32" i="25"/>
  <c r="EC32" i="25"/>
  <c r="EB32" i="25"/>
  <c r="EA32" i="25"/>
  <c r="EE26" i="25"/>
  <c r="EE21" i="25"/>
  <c r="EE20" i="25"/>
  <c r="BB162" i="559"/>
  <c r="BA162" i="559"/>
  <c r="AZ162" i="559"/>
  <c r="AY162" i="559"/>
  <c r="BC161" i="559"/>
  <c r="BC160" i="559" s="1"/>
  <c r="BB160" i="559"/>
  <c r="BA160" i="559"/>
  <c r="AZ160" i="559"/>
  <c r="AY160" i="559"/>
  <c r="BB157" i="559"/>
  <c r="BA157" i="559"/>
  <c r="AZ157" i="559"/>
  <c r="AY157" i="559"/>
  <c r="BB156" i="559"/>
  <c r="BB44" i="559" s="1"/>
  <c r="ED93" i="571" s="1"/>
  <c r="ED94" i="571" s="1"/>
  <c r="BA156" i="559"/>
  <c r="AZ156" i="559"/>
  <c r="AY156" i="559"/>
  <c r="BB155" i="559"/>
  <c r="BA155" i="559"/>
  <c r="AZ155" i="559"/>
  <c r="AY155" i="559"/>
  <c r="BB147" i="559"/>
  <c r="BA147" i="559"/>
  <c r="AZ147" i="559"/>
  <c r="AY147" i="559"/>
  <c r="BC127" i="559"/>
  <c r="BC126" i="559"/>
  <c r="BC125" i="559"/>
  <c r="BB119" i="559"/>
  <c r="BA119" i="559"/>
  <c r="AZ119" i="559"/>
  <c r="AY119" i="559"/>
  <c r="BB110" i="559"/>
  <c r="BA110" i="559"/>
  <c r="AZ110" i="559"/>
  <c r="AY110" i="559"/>
  <c r="BB108" i="559"/>
  <c r="BA108" i="559"/>
  <c r="AZ108" i="559"/>
  <c r="AY108" i="559"/>
  <c r="BB101" i="559"/>
  <c r="BA101" i="559"/>
  <c r="AZ101" i="559"/>
  <c r="AY101" i="559"/>
  <c r="BB88" i="559"/>
  <c r="BA88" i="559"/>
  <c r="AZ88" i="559"/>
  <c r="AY88" i="559"/>
  <c r="BB86" i="559"/>
  <c r="BA86" i="559"/>
  <c r="AZ86" i="559"/>
  <c r="AY86" i="559"/>
  <c r="BB79" i="559"/>
  <c r="BA79" i="559"/>
  <c r="AZ79" i="559"/>
  <c r="AY79" i="559"/>
  <c r="BB77" i="559"/>
  <c r="BA77" i="559"/>
  <c r="AZ77" i="559"/>
  <c r="AY77" i="559"/>
  <c r="BC48" i="559"/>
  <c r="BB48" i="559"/>
  <c r="BA48" i="559"/>
  <c r="AZ48" i="559"/>
  <c r="AY48" i="559"/>
  <c r="BC45" i="559"/>
  <c r="BB45" i="559"/>
  <c r="BA45" i="559"/>
  <c r="AZ45" i="559"/>
  <c r="AY45" i="559"/>
  <c r="BC44" i="559"/>
  <c r="BA44" i="559"/>
  <c r="EC93" i="571" s="1"/>
  <c r="EC94" i="571" s="1"/>
  <c r="AZ44" i="559"/>
  <c r="EB93" i="571" s="1"/>
  <c r="AY44" i="559"/>
  <c r="EA93" i="571" s="1"/>
  <c r="BC43" i="559"/>
  <c r="BB43" i="559"/>
  <c r="BA43" i="559"/>
  <c r="AZ43" i="559"/>
  <c r="EB92" i="571" s="1"/>
  <c r="AY43" i="559"/>
  <c r="EA92" i="571" s="1"/>
  <c r="BC39" i="559"/>
  <c r="BB39" i="559"/>
  <c r="ED68" i="25" s="1"/>
  <c r="BA39" i="559"/>
  <c r="EC68" i="25" s="1"/>
  <c r="AZ39" i="559"/>
  <c r="EB68" i="25" s="1"/>
  <c r="AY39" i="559"/>
  <c r="EA68" i="25" s="1"/>
  <c r="BC37" i="559"/>
  <c r="BB37" i="559"/>
  <c r="ED169" i="571" s="1"/>
  <c r="BB57" i="559" s="1"/>
  <c r="BA37" i="559"/>
  <c r="AZ37" i="559"/>
  <c r="AY37" i="559"/>
  <c r="BC35" i="559"/>
  <c r="BB35" i="559"/>
  <c r="BA35" i="559"/>
  <c r="EC171" i="571" s="1"/>
  <c r="EC220" i="571" s="1"/>
  <c r="BA14" i="559" s="1"/>
  <c r="AZ35" i="559"/>
  <c r="AY35" i="559"/>
  <c r="EA171" i="571" s="1"/>
  <c r="BC31" i="559"/>
  <c r="BB31" i="559"/>
  <c r="BA31" i="559"/>
  <c r="AZ31" i="559"/>
  <c r="AY31" i="559"/>
  <c r="BC30" i="559"/>
  <c r="BB30" i="559"/>
  <c r="BA30" i="559"/>
  <c r="AZ30" i="559"/>
  <c r="AY30" i="559"/>
  <c r="BC27" i="559"/>
  <c r="BB27" i="559"/>
  <c r="BA27" i="559"/>
  <c r="AZ27" i="559"/>
  <c r="AY27" i="559"/>
  <c r="EA45" i="571" s="1"/>
  <c r="EA48" i="617" s="1"/>
  <c r="ED32" i="613"/>
  <c r="EC32" i="613"/>
  <c r="EB32" i="613"/>
  <c r="EA32" i="613"/>
  <c r="EB22" i="613"/>
  <c r="EC22" i="613" s="1"/>
  <c r="ED22" i="613" s="1"/>
  <c r="EE31" i="607"/>
  <c r="ED171" i="571"/>
  <c r="ED220" i="571" s="1"/>
  <c r="BB14" i="559" s="1"/>
  <c r="EB171" i="571"/>
  <c r="EB220" i="571" s="1"/>
  <c r="AZ14" i="559" s="1"/>
  <c r="EC169" i="571"/>
  <c r="EB169" i="571"/>
  <c r="EA169" i="571"/>
  <c r="AY57" i="559" s="1"/>
  <c r="ED45" i="571"/>
  <c r="ED48" i="617" s="1"/>
  <c r="EC45" i="571"/>
  <c r="EC48" i="617" s="1"/>
  <c r="EB45" i="571"/>
  <c r="EB48" i="617" s="1"/>
  <c r="ED19" i="571"/>
  <c r="EC19" i="571" s="1"/>
  <c r="EB19" i="571" s="1"/>
  <c r="EA19" i="571" s="1"/>
  <c r="EE15" i="571"/>
  <c r="EE14" i="571"/>
  <c r="EE32" i="25" l="1"/>
  <c r="DO102" i="25"/>
  <c r="EB94" i="571"/>
  <c r="ED176" i="571"/>
  <c r="BC162" i="559"/>
  <c r="ED49" i="617"/>
  <c r="EB49" i="617"/>
  <c r="EC49" i="617"/>
  <c r="DO280" i="25"/>
  <c r="DO290" i="25"/>
  <c r="DO41" i="25"/>
  <c r="EE357" i="25"/>
  <c r="EE382" i="25"/>
  <c r="EE240" i="25" s="1"/>
  <c r="DO45" i="25"/>
  <c r="EE74" i="25"/>
  <c r="EE14" i="617" s="1"/>
  <c r="EE70" i="25"/>
  <c r="EE93" i="571"/>
  <c r="EA176" i="571"/>
  <c r="EC176" i="571"/>
  <c r="BA57" i="559"/>
  <c r="EE92" i="571"/>
  <c r="AZ57" i="559"/>
  <c r="EE22" i="613"/>
  <c r="EB176" i="571"/>
  <c r="EA94" i="571"/>
  <c r="EA220" i="571"/>
  <c r="DO105" i="25" l="1"/>
  <c r="DO398" i="25"/>
  <c r="EE94" i="571"/>
  <c r="AY14" i="559"/>
  <c r="EA49" i="617"/>
  <c r="DO46" i="25"/>
  <c r="AW162" i="559" l="1"/>
  <c r="AV162" i="559"/>
  <c r="AU162" i="559"/>
  <c r="AT162" i="559"/>
  <c r="AR162" i="559"/>
  <c r="AQ162" i="559"/>
  <c r="AP162" i="559"/>
  <c r="AM162" i="559"/>
  <c r="AW160" i="559"/>
  <c r="AV160" i="559"/>
  <c r="AU160" i="559"/>
  <c r="AT160" i="559"/>
  <c r="AR160" i="559"/>
  <c r="AQ160" i="559"/>
  <c r="AP160" i="559"/>
  <c r="AR117" i="559"/>
  <c r="AQ117" i="559"/>
  <c r="AP117" i="559"/>
  <c r="AW108" i="559"/>
  <c r="AV108" i="559"/>
  <c r="AU108" i="559"/>
  <c r="AT108" i="559"/>
  <c r="AR91" i="559"/>
  <c r="AQ91" i="559"/>
  <c r="AP91" i="559"/>
  <c r="AW86" i="559"/>
  <c r="AV86" i="559"/>
  <c r="AU86" i="559"/>
  <c r="AT86" i="559"/>
  <c r="AR86" i="559"/>
  <c r="AQ86" i="559"/>
  <c r="AP86" i="559"/>
  <c r="DN26" i="613" l="1"/>
  <c r="DM26" i="613"/>
  <c r="DL26" i="613"/>
  <c r="DJ26" i="613"/>
  <c r="DH26" i="613"/>
  <c r="DG26" i="613"/>
  <c r="DE26" i="613"/>
  <c r="DD26" i="613"/>
  <c r="DN27" i="607"/>
  <c r="DM27" i="607"/>
  <c r="DL27" i="607"/>
  <c r="DJ27" i="607"/>
  <c r="DI27" i="607"/>
  <c r="DH27" i="607"/>
  <c r="DG27" i="607"/>
  <c r="DE27" i="607"/>
  <c r="DD27" i="607"/>
  <c r="DC27" i="607"/>
  <c r="DN202" i="571"/>
  <c r="DM202" i="571"/>
  <c r="DL202" i="571"/>
  <c r="A144" i="559" l="1"/>
  <c r="DZ14" i="571" l="1"/>
  <c r="DU14" i="571"/>
  <c r="DP15" i="571"/>
  <c r="DP14" i="571"/>
  <c r="DO166" i="25"/>
  <c r="AL161" i="559" l="1"/>
  <c r="AL151" i="559"/>
  <c r="AL146" i="559"/>
  <c r="AL137" i="559"/>
  <c r="AL100" i="559"/>
  <c r="AL92" i="559"/>
  <c r="AL87" i="559"/>
  <c r="AL78" i="559"/>
  <c r="AR101" i="559" l="1"/>
  <c r="AQ101" i="559"/>
  <c r="AP101" i="559"/>
  <c r="DN25" i="25" l="1"/>
  <c r="DN32" i="25" l="1"/>
  <c r="DN155" i="611" l="1"/>
  <c r="DO153" i="611" s="1"/>
  <c r="DO155" i="611" s="1"/>
  <c r="DQ153" i="611" s="1"/>
  <c r="DQ155" i="611" s="1"/>
  <c r="DR153" i="611" s="1"/>
  <c r="DR155" i="611" s="1"/>
  <c r="DS153" i="611" s="1"/>
  <c r="DS155" i="611" s="1"/>
  <c r="DT153" i="611" s="1"/>
  <c r="DT155" i="611" s="1"/>
  <c r="DV153" i="611" s="1"/>
  <c r="DV155" i="611" s="1"/>
  <c r="DW153" i="611" s="1"/>
  <c r="DW155" i="611" s="1"/>
  <c r="DX153" i="611" s="1"/>
  <c r="DX155" i="611" s="1"/>
  <c r="DY153" i="611" s="1"/>
  <c r="DY155" i="611" s="1"/>
  <c r="EA153" i="611" s="1"/>
  <c r="EA155" i="611" s="1"/>
  <c r="EB153" i="611" s="1"/>
  <c r="EB155" i="611" s="1"/>
  <c r="EC153" i="611" s="1"/>
  <c r="EC155" i="611" s="1"/>
  <c r="ED153" i="611" s="1"/>
  <c r="ED155" i="611" s="1"/>
  <c r="DI120" i="611"/>
  <c r="DJ118" i="611" s="1"/>
  <c r="DJ120" i="611" s="1"/>
  <c r="DL118" i="611" s="1"/>
  <c r="DL120" i="611" s="1"/>
  <c r="DM118" i="611" s="1"/>
  <c r="DM120" i="611" s="1"/>
  <c r="DN118" i="611" s="1"/>
  <c r="DN120" i="611" s="1"/>
  <c r="DO118" i="611" s="1"/>
  <c r="DO120" i="611" s="1"/>
  <c r="DQ118" i="611" s="1"/>
  <c r="DQ120" i="611" s="1"/>
  <c r="DR118" i="611" s="1"/>
  <c r="DR120" i="611" s="1"/>
  <c r="DS118" i="611" s="1"/>
  <c r="DS120" i="611" s="1"/>
  <c r="DT118" i="611" s="1"/>
  <c r="DT120" i="611" s="1"/>
  <c r="DV118" i="611" s="1"/>
  <c r="DV120" i="611" s="1"/>
  <c r="DW118" i="611" s="1"/>
  <c r="DW120" i="611" s="1"/>
  <c r="DX118" i="611" s="1"/>
  <c r="DX120" i="611" s="1"/>
  <c r="DY118" i="611" s="1"/>
  <c r="DY120" i="611" s="1"/>
  <c r="EA118" i="611" s="1"/>
  <c r="EA120" i="611" s="1"/>
  <c r="EB118" i="611" s="1"/>
  <c r="EB120" i="611" s="1"/>
  <c r="EC118" i="611" s="1"/>
  <c r="EC120" i="611" s="1"/>
  <c r="ED118" i="611" s="1"/>
  <c r="ED120" i="611" s="1"/>
  <c r="DN12" i="613"/>
  <c r="DN20" i="613" l="1"/>
  <c r="DN25" i="613" s="1"/>
  <c r="DM20" i="613"/>
  <c r="DL20" i="613"/>
  <c r="DN40" i="613"/>
  <c r="DN35" i="613"/>
  <c r="DN59" i="607"/>
  <c r="DS59" i="607" s="1"/>
  <c r="DN58" i="607"/>
  <c r="DN57" i="607"/>
  <c r="DS57" i="607" s="1"/>
  <c r="DN53" i="607"/>
  <c r="DN52" i="607"/>
  <c r="DN39" i="607"/>
  <c r="DN11" i="607" s="1"/>
  <c r="DN30" i="607"/>
  <c r="DN35" i="607" s="1"/>
  <c r="DN21" i="607"/>
  <c r="DN26" i="607" s="1"/>
  <c r="DN14" i="607"/>
  <c r="DN12" i="607"/>
  <c r="DN223" i="571"/>
  <c r="DN158" i="571" s="1"/>
  <c r="DN159" i="571" s="1"/>
  <c r="DN220" i="571"/>
  <c r="DN219" i="571"/>
  <c r="DN212" i="571"/>
  <c r="DN204" i="571"/>
  <c r="DN191" i="571"/>
  <c r="DN190" i="571"/>
  <c r="DN67" i="571"/>
  <c r="DN130" i="571" s="1"/>
  <c r="DN60" i="571"/>
  <c r="DN57" i="571"/>
  <c r="DN42" i="571"/>
  <c r="DN35" i="571"/>
  <c r="DN13" i="571"/>
  <c r="DN31" i="607" l="1"/>
  <c r="DI121" i="611"/>
  <c r="DN42" i="613"/>
  <c r="DN39" i="613"/>
  <c r="DS39" i="613" s="1"/>
  <c r="DS55" i="613" s="1"/>
  <c r="DN41" i="613"/>
  <c r="DN13" i="613"/>
  <c r="DN60" i="607"/>
  <c r="DN66" i="571"/>
  <c r="DN39" i="25"/>
  <c r="DN273" i="25"/>
  <c r="DN237" i="25"/>
  <c r="DN238" i="25" s="1"/>
  <c r="DN213" i="25"/>
  <c r="DN212" i="25"/>
  <c r="DN225" i="25"/>
  <c r="DN230" i="25" s="1"/>
  <c r="DN206" i="25"/>
  <c r="DN146" i="25"/>
  <c r="DN142" i="25"/>
  <c r="DN141" i="25"/>
  <c r="DN117" i="25"/>
  <c r="DN98" i="25"/>
  <c r="DN96" i="25"/>
  <c r="DO127" i="25" s="1"/>
  <c r="DN85" i="25"/>
  <c r="DN83" i="25"/>
  <c r="DN82" i="25"/>
  <c r="DN70" i="25"/>
  <c r="DN74" i="25" s="1"/>
  <c r="DN62" i="25"/>
  <c r="DN66" i="25" s="1"/>
  <c r="DO119" i="25" s="1"/>
  <c r="DN59" i="25"/>
  <c r="DN193" i="571" s="1"/>
  <c r="DN194" i="571" s="1"/>
  <c r="DN58" i="25"/>
  <c r="DN52" i="25"/>
  <c r="DN22" i="25"/>
  <c r="DN10" i="25"/>
  <c r="DN135" i="25" s="1"/>
  <c r="DN136" i="25" s="1"/>
  <c r="DN309" i="25" l="1"/>
  <c r="DN312" i="25"/>
  <c r="DN311" i="25"/>
  <c r="DN315" i="25"/>
  <c r="DN198" i="571"/>
  <c r="AL126" i="559"/>
  <c r="AL132" i="559"/>
  <c r="DN143" i="25"/>
  <c r="DN205" i="571"/>
  <c r="DO216" i="571" s="1"/>
  <c r="DJ117" i="611"/>
  <c r="DJ121" i="611" s="1"/>
  <c r="DN216" i="25"/>
  <c r="DN239" i="25"/>
  <c r="DN60" i="25"/>
  <c r="DO118" i="25" s="1"/>
  <c r="DN137" i="25"/>
  <c r="DN99" i="25"/>
  <c r="DO129" i="25" s="1"/>
  <c r="DN28" i="25"/>
  <c r="DN101" i="25"/>
  <c r="DL117" i="611" l="1"/>
  <c r="DN97" i="25"/>
  <c r="DN206" i="571" s="1"/>
  <c r="DN76" i="25"/>
  <c r="DO121" i="25" s="1"/>
  <c r="DN209" i="571"/>
  <c r="DN195" i="571"/>
  <c r="DM117" i="611"/>
  <c r="DL121" i="611"/>
  <c r="DN30" i="25"/>
  <c r="DN31" i="25"/>
  <c r="DN201" i="571" l="1"/>
  <c r="DN213" i="571" s="1"/>
  <c r="DN102" i="25"/>
  <c r="DO131" i="25" s="1"/>
  <c r="DO128" i="25"/>
  <c r="DM121" i="611"/>
  <c r="DN117" i="611"/>
  <c r="DN33" i="25"/>
  <c r="DN280" i="25" s="1"/>
  <c r="DN104" i="25"/>
  <c r="DN121" i="611" l="1"/>
  <c r="DO117" i="611"/>
  <c r="DN41" i="25"/>
  <c r="DN43" i="25"/>
  <c r="DO123" i="25" s="1"/>
  <c r="DO122" i="25" l="1"/>
  <c r="DN398" i="25"/>
  <c r="DO121" i="611"/>
  <c r="DQ117" i="611"/>
  <c r="DN45" i="25"/>
  <c r="DN46" i="25"/>
  <c r="DO124" i="25" s="1"/>
  <c r="DN105" i="25"/>
  <c r="DO132" i="25" s="1"/>
  <c r="DU294" i="25"/>
  <c r="DN156" i="611" l="1"/>
  <c r="DO152" i="611"/>
  <c r="DR117" i="611"/>
  <c r="DQ121" i="611"/>
  <c r="DO156" i="611" l="1"/>
  <c r="DQ152" i="611"/>
  <c r="DR121" i="611"/>
  <c r="DS117" i="611"/>
  <c r="DQ156" i="611" l="1"/>
  <c r="DR152" i="611"/>
  <c r="DS121" i="611"/>
  <c r="DT117" i="611"/>
  <c r="DS152" i="611" l="1"/>
  <c r="DR156" i="611"/>
  <c r="DT121" i="611"/>
  <c r="DV117" i="611"/>
  <c r="DT152" i="611" l="1"/>
  <c r="DS156" i="611"/>
  <c r="DW117" i="611"/>
  <c r="DV121" i="611"/>
  <c r="DT156" i="611" l="1"/>
  <c r="DV152" i="611"/>
  <c r="DW121" i="611"/>
  <c r="DX117" i="611"/>
  <c r="DK40" i="25"/>
  <c r="DW152" i="611" l="1"/>
  <c r="DV156" i="611"/>
  <c r="DX121" i="611"/>
  <c r="DY117" i="611"/>
  <c r="DY121" i="611" l="1"/>
  <c r="EA117" i="611"/>
  <c r="DX152" i="611"/>
  <c r="DW156" i="611"/>
  <c r="EB117" i="611" l="1"/>
  <c r="EA121" i="611"/>
  <c r="DX156" i="611"/>
  <c r="DY152" i="611"/>
  <c r="DY32" i="25"/>
  <c r="DX32" i="25"/>
  <c r="DW32" i="25"/>
  <c r="DV32" i="25"/>
  <c r="DT32" i="25"/>
  <c r="DS32" i="25"/>
  <c r="DR32" i="25"/>
  <c r="DY156" i="611" l="1"/>
  <c r="EA152" i="611"/>
  <c r="EB121" i="611"/>
  <c r="EC117" i="611"/>
  <c r="ED117" i="611" l="1"/>
  <c r="ED121" i="611" s="1"/>
  <c r="EC121" i="611"/>
  <c r="EA156" i="611"/>
  <c r="EB152" i="611"/>
  <c r="EB156" i="611" l="1"/>
  <c r="EC152" i="611"/>
  <c r="DM385" i="25"/>
  <c r="R36" i="614"/>
  <c r="R35" i="614"/>
  <c r="R34" i="614"/>
  <c r="R33" i="614"/>
  <c r="R32" i="614"/>
  <c r="O32" i="614"/>
  <c r="O33" i="614"/>
  <c r="O34" i="614"/>
  <c r="O35" i="614"/>
  <c r="O36" i="614"/>
  <c r="DL12" i="613"/>
  <c r="DL13" i="607"/>
  <c r="DQ51" i="607" s="1"/>
  <c r="DM12" i="613"/>
  <c r="DM59" i="607"/>
  <c r="DR59" i="607" s="1"/>
  <c r="DW59" i="607" s="1"/>
  <c r="EB59" i="607" s="1"/>
  <c r="DM58" i="607"/>
  <c r="DM57" i="607"/>
  <c r="DR57" i="607" s="1"/>
  <c r="DM53" i="607"/>
  <c r="DM52" i="607"/>
  <c r="DH31" i="607"/>
  <c r="DM31" i="607"/>
  <c r="AK78" i="559"/>
  <c r="AK87" i="559"/>
  <c r="AK30" i="559" s="1"/>
  <c r="AK92" i="559"/>
  <c r="AK31" i="559" s="1"/>
  <c r="AK100" i="559"/>
  <c r="AK35" i="559" s="1"/>
  <c r="AK137" i="559"/>
  <c r="AK146" i="559"/>
  <c r="AK42" i="559" s="1"/>
  <c r="AK151" i="559"/>
  <c r="AK43" i="559" s="1"/>
  <c r="AK161" i="559"/>
  <c r="AK45" i="559" s="1"/>
  <c r="DM41" i="613"/>
  <c r="DR41" i="613" s="1"/>
  <c r="DR57" i="613" s="1"/>
  <c r="DM40" i="613"/>
  <c r="DM39" i="613"/>
  <c r="DR39" i="613" s="1"/>
  <c r="DR55" i="613" s="1"/>
  <c r="DM35" i="613"/>
  <c r="DM34" i="613"/>
  <c r="DM25" i="613"/>
  <c r="DM42" i="613" s="1"/>
  <c r="DR42" i="613" s="1"/>
  <c r="DM13" i="613"/>
  <c r="DM39" i="607"/>
  <c r="DM11" i="607"/>
  <c r="DM30" i="607"/>
  <c r="DM35" i="607"/>
  <c r="DR35" i="607" s="1"/>
  <c r="DW35" i="607" s="1"/>
  <c r="EB35" i="607" s="1"/>
  <c r="DM21" i="607"/>
  <c r="DM26" i="607"/>
  <c r="DM60" i="607" s="1"/>
  <c r="DM14" i="607"/>
  <c r="DM12" i="607"/>
  <c r="DM237" i="25"/>
  <c r="DM238" i="25" s="1"/>
  <c r="DM389" i="25"/>
  <c r="DM380" i="25"/>
  <c r="DM382" i="25"/>
  <c r="DM376" i="25"/>
  <c r="DM375" i="25"/>
  <c r="DM372" i="25"/>
  <c r="DM357" i="25"/>
  <c r="DM365" i="25"/>
  <c r="DM368" i="25"/>
  <c r="DM366" i="25"/>
  <c r="DM364" i="25"/>
  <c r="DM363" i="25"/>
  <c r="DM362" i="25"/>
  <c r="DM361" i="25"/>
  <c r="DM360" i="25"/>
  <c r="DM358" i="25"/>
  <c r="DM356" i="25"/>
  <c r="DM212" i="25"/>
  <c r="DM213" i="25"/>
  <c r="DM273" i="25"/>
  <c r="DL272" i="25"/>
  <c r="DL275" i="25" s="1"/>
  <c r="DV275" i="25" s="1"/>
  <c r="EA275" i="25" s="1"/>
  <c r="DL271" i="25"/>
  <c r="DM341" i="25"/>
  <c r="DM257" i="25" s="1"/>
  <c r="DM339" i="25"/>
  <c r="DM335" i="25"/>
  <c r="DM307" i="25"/>
  <c r="DM301" i="25"/>
  <c r="DM300" i="25"/>
  <c r="DR300" i="25" s="1"/>
  <c r="DW300" i="25" s="1"/>
  <c r="EB300" i="25" s="1"/>
  <c r="DM225" i="25"/>
  <c r="DM230" i="25" s="1"/>
  <c r="DM206" i="25"/>
  <c r="DM312" i="25" s="1"/>
  <c r="DM39" i="25"/>
  <c r="DM146" i="25"/>
  <c r="DM142" i="25"/>
  <c r="DM141" i="25"/>
  <c r="DM117" i="25"/>
  <c r="DM98" i="25"/>
  <c r="DM96" i="25"/>
  <c r="DN127" i="25" s="1"/>
  <c r="DM85" i="25"/>
  <c r="DM83" i="25"/>
  <c r="DM82" i="25"/>
  <c r="DM70" i="25"/>
  <c r="DM74" i="25" s="1"/>
  <c r="DM62" i="25"/>
  <c r="DM66" i="25" s="1"/>
  <c r="DM59" i="25"/>
  <c r="DM193" i="571" s="1"/>
  <c r="DM194" i="571" s="1"/>
  <c r="DM58" i="25"/>
  <c r="DM52" i="25"/>
  <c r="DM25" i="25"/>
  <c r="DM22" i="25"/>
  <c r="DM101" i="25" s="1"/>
  <c r="DM10" i="25"/>
  <c r="DM135" i="25" s="1"/>
  <c r="DM136" i="25" s="1"/>
  <c r="DM223" i="571"/>
  <c r="DM158" i="571" s="1"/>
  <c r="DM220" i="571"/>
  <c r="DM219" i="571"/>
  <c r="AK13" i="559" s="1"/>
  <c r="DM212" i="571"/>
  <c r="DM204" i="571"/>
  <c r="DM67" i="571"/>
  <c r="DM130" i="571" s="1"/>
  <c r="DM60" i="571"/>
  <c r="DM57" i="571"/>
  <c r="DM52" i="571"/>
  <c r="DO52" i="571" s="1"/>
  <c r="DQ52" i="571" s="1"/>
  <c r="DM42" i="571"/>
  <c r="DM35" i="571"/>
  <c r="DM13" i="571"/>
  <c r="AJ161" i="559"/>
  <c r="AJ45" i="559" s="1"/>
  <c r="AJ151" i="559"/>
  <c r="AJ43" i="559" s="1"/>
  <c r="AJ146" i="559"/>
  <c r="AJ42" i="559" s="1"/>
  <c r="AJ137" i="559"/>
  <c r="AJ100" i="559"/>
  <c r="AJ35" i="559" s="1"/>
  <c r="AJ92" i="559"/>
  <c r="AJ31" i="559" s="1"/>
  <c r="AJ87" i="559"/>
  <c r="AJ30" i="559" s="1"/>
  <c r="AJ78" i="559"/>
  <c r="DL40" i="25"/>
  <c r="DL397" i="25" s="1"/>
  <c r="DL39" i="25"/>
  <c r="DL59" i="25"/>
  <c r="DL193" i="571" s="1"/>
  <c r="DL194" i="571" s="1"/>
  <c r="DQ196" i="571" s="1"/>
  <c r="DJ59" i="25"/>
  <c r="DL35" i="613"/>
  <c r="DL34" i="613"/>
  <c r="DL25" i="613"/>
  <c r="DQ36" i="613" s="1"/>
  <c r="DL32" i="613"/>
  <c r="DL53" i="607"/>
  <c r="DL52" i="607"/>
  <c r="DL40" i="607"/>
  <c r="DL30" i="607"/>
  <c r="DL21" i="607"/>
  <c r="DL26" i="607"/>
  <c r="DQ54" i="607" s="1"/>
  <c r="DL59" i="607"/>
  <c r="DL11" i="607"/>
  <c r="DL223" i="571"/>
  <c r="DL158" i="571" s="1"/>
  <c r="DL220" i="571"/>
  <c r="DL219" i="571"/>
  <c r="DL212" i="571"/>
  <c r="DL204" i="571"/>
  <c r="DL191" i="571"/>
  <c r="DL190" i="571"/>
  <c r="DL67" i="571"/>
  <c r="DL130" i="571" s="1"/>
  <c r="DL57" i="571"/>
  <c r="DL42" i="571"/>
  <c r="DL13" i="571"/>
  <c r="DL379" i="25"/>
  <c r="DL374" i="25"/>
  <c r="DM374" i="25" s="1"/>
  <c r="DL367" i="25"/>
  <c r="DL341" i="25"/>
  <c r="DL339" i="25"/>
  <c r="DL307" i="25"/>
  <c r="DL237" i="25"/>
  <c r="DL238" i="25" s="1"/>
  <c r="DL212" i="25"/>
  <c r="DL213" i="25"/>
  <c r="DL225" i="25"/>
  <c r="DL230" i="25" s="1"/>
  <c r="DL206" i="25"/>
  <c r="DL25" i="25"/>
  <c r="DL98" i="25"/>
  <c r="DL96" i="25"/>
  <c r="DL85" i="25"/>
  <c r="DL83" i="25"/>
  <c r="DL82" i="25"/>
  <c r="DL78" i="25"/>
  <c r="DL70" i="25"/>
  <c r="DL74" i="25" s="1"/>
  <c r="DL62" i="25"/>
  <c r="DL66" i="25" s="1"/>
  <c r="DL58" i="25"/>
  <c r="DL52" i="25"/>
  <c r="DL24" i="617" s="1"/>
  <c r="DL141" i="25"/>
  <c r="DL22" i="25"/>
  <c r="DL10" i="25"/>
  <c r="DL135" i="25" s="1"/>
  <c r="DL136" i="25" s="1"/>
  <c r="DQ138" i="25" s="1"/>
  <c r="DL60" i="607"/>
  <c r="DL12" i="607"/>
  <c r="DL57" i="607"/>
  <c r="DL58" i="607"/>
  <c r="DL14" i="607"/>
  <c r="DS134" i="25"/>
  <c r="DX134" i="25" s="1"/>
  <c r="EC134" i="25" s="1"/>
  <c r="DR134" i="25"/>
  <c r="DW134" i="25" s="1"/>
  <c r="EB134" i="25" s="1"/>
  <c r="DV134" i="25"/>
  <c r="EA134" i="25" s="1"/>
  <c r="DT134" i="25"/>
  <c r="DY134" i="25" s="1"/>
  <c r="ED134" i="25" s="1"/>
  <c r="AX161" i="559"/>
  <c r="AS161" i="559"/>
  <c r="AS45" i="559" s="1"/>
  <c r="DI35" i="613"/>
  <c r="DJ35" i="613"/>
  <c r="DJ34" i="613"/>
  <c r="DY32" i="613"/>
  <c r="DX32" i="613"/>
  <c r="DW32" i="613"/>
  <c r="DV32" i="613"/>
  <c r="DT32" i="613"/>
  <c r="DS32" i="613"/>
  <c r="DS12" i="613" s="1"/>
  <c r="DR32" i="613"/>
  <c r="DJ12" i="613"/>
  <c r="DO32" i="613" s="1"/>
  <c r="DJ13" i="607"/>
  <c r="DO51" i="607" s="1"/>
  <c r="DW22" i="613"/>
  <c r="DX22" i="613" s="1"/>
  <c r="DR22" i="613"/>
  <c r="DS22" i="613" s="1"/>
  <c r="DT22" i="613" s="1"/>
  <c r="DP22" i="613"/>
  <c r="DJ39" i="25"/>
  <c r="DJ40" i="613"/>
  <c r="DJ53" i="607"/>
  <c r="DJ52" i="607"/>
  <c r="DJ40" i="607"/>
  <c r="DJ12" i="607" s="1"/>
  <c r="DJ30" i="607"/>
  <c r="DJ35" i="607" s="1"/>
  <c r="DJ21" i="607"/>
  <c r="DJ26" i="607"/>
  <c r="DJ14" i="607"/>
  <c r="DJ59" i="607"/>
  <c r="DJ11" i="607"/>
  <c r="AH78" i="559"/>
  <c r="AH27" i="559" s="1"/>
  <c r="AH87" i="559"/>
  <c r="AH30" i="559" s="1"/>
  <c r="AH92" i="559"/>
  <c r="AH100" i="559"/>
  <c r="AH35" i="559" s="1"/>
  <c r="AH137" i="559"/>
  <c r="AH146" i="559"/>
  <c r="AH42" i="559" s="1"/>
  <c r="AH151" i="559"/>
  <c r="AH43" i="559" s="1"/>
  <c r="DJ14" i="613" s="1"/>
  <c r="AH161" i="559"/>
  <c r="AH45" i="559" s="1"/>
  <c r="DJ223" i="571"/>
  <c r="DJ158" i="571" s="1"/>
  <c r="DJ220" i="571"/>
  <c r="DJ219" i="571"/>
  <c r="DJ212" i="571"/>
  <c r="DJ204" i="571"/>
  <c r="DJ191" i="571"/>
  <c r="DJ190" i="571"/>
  <c r="DJ34" i="571"/>
  <c r="DJ57" i="571"/>
  <c r="DJ42" i="571"/>
  <c r="DJ13" i="571"/>
  <c r="DK379" i="25"/>
  <c r="DJ373" i="25"/>
  <c r="DK376" i="25"/>
  <c r="DK362" i="25"/>
  <c r="DK367" i="25"/>
  <c r="DJ237" i="25"/>
  <c r="DJ51" i="607"/>
  <c r="DJ57" i="607"/>
  <c r="DJ58" i="607"/>
  <c r="DJ206" i="25"/>
  <c r="DJ341" i="25"/>
  <c r="DJ257" i="25" s="1"/>
  <c r="DJ339" i="25"/>
  <c r="DJ335" i="25"/>
  <c r="DJ307" i="25"/>
  <c r="DJ301" i="25"/>
  <c r="DJ273" i="25"/>
  <c r="DJ254" i="25"/>
  <c r="DJ247" i="25"/>
  <c r="DJ238" i="25"/>
  <c r="DJ251" i="25" s="1"/>
  <c r="DJ225" i="25"/>
  <c r="DJ312" i="25" s="1"/>
  <c r="DJ212" i="25"/>
  <c r="DJ213" i="25"/>
  <c r="DJ65" i="25"/>
  <c r="DJ32" i="25"/>
  <c r="DJ146" i="25"/>
  <c r="DJ142" i="25"/>
  <c r="DJ117" i="25"/>
  <c r="DJ98" i="25"/>
  <c r="DJ96" i="25"/>
  <c r="DO108" i="25" s="1"/>
  <c r="DJ85" i="25"/>
  <c r="DJ83" i="25"/>
  <c r="DJ82" i="25"/>
  <c r="DJ70" i="25"/>
  <c r="DJ74" i="25" s="1"/>
  <c r="DJ62" i="25"/>
  <c r="DJ58" i="25"/>
  <c r="DJ52" i="25"/>
  <c r="DJ315" i="25" s="1"/>
  <c r="DJ23" i="25"/>
  <c r="DJ22" i="25"/>
  <c r="DO88" i="25" s="1"/>
  <c r="DJ10" i="25"/>
  <c r="DJ135" i="25" s="1"/>
  <c r="DJ136" i="25" s="1"/>
  <c r="DO138" i="25" s="1"/>
  <c r="DJ101" i="25"/>
  <c r="DE13" i="607"/>
  <c r="DE12" i="613"/>
  <c r="DC13" i="607"/>
  <c r="DC24" i="613"/>
  <c r="DC26" i="613" s="1"/>
  <c r="DC12" i="613"/>
  <c r="DG13" i="607"/>
  <c r="DG12" i="613"/>
  <c r="DI16" i="613"/>
  <c r="DN34" i="613" s="1"/>
  <c r="DI13" i="607"/>
  <c r="DN51" i="607" s="1"/>
  <c r="DI12" i="613"/>
  <c r="DH13" i="607"/>
  <c r="DM51" i="607" s="1"/>
  <c r="DH12" i="613"/>
  <c r="DM32" i="613" s="1"/>
  <c r="DI24" i="613"/>
  <c r="DI26" i="613" s="1"/>
  <c r="AW45" i="559"/>
  <c r="AW157" i="559"/>
  <c r="AV157" i="559"/>
  <c r="AU157" i="559"/>
  <c r="AT157" i="559"/>
  <c r="AW155" i="559"/>
  <c r="AV155" i="559"/>
  <c r="AU155" i="559"/>
  <c r="AT155" i="559"/>
  <c r="AW147" i="559"/>
  <c r="AV147" i="559"/>
  <c r="AU147" i="559"/>
  <c r="AT147" i="559"/>
  <c r="AX127" i="559"/>
  <c r="AX126" i="559"/>
  <c r="AX125" i="559"/>
  <c r="AW119" i="559"/>
  <c r="AV119" i="559"/>
  <c r="AU119" i="559"/>
  <c r="AT119" i="559"/>
  <c r="AW110" i="559"/>
  <c r="AV110" i="559"/>
  <c r="AU110" i="559"/>
  <c r="AT110" i="559"/>
  <c r="AW101" i="559"/>
  <c r="AV101" i="559"/>
  <c r="AU101" i="559"/>
  <c r="AT101" i="559"/>
  <c r="AW88" i="559"/>
  <c r="AV88" i="559"/>
  <c r="AU88" i="559"/>
  <c r="AT88" i="559"/>
  <c r="AW79" i="559"/>
  <c r="AV79" i="559"/>
  <c r="AU79" i="559"/>
  <c r="AT79" i="559"/>
  <c r="AW77" i="559"/>
  <c r="AV77" i="559"/>
  <c r="AU77" i="559"/>
  <c r="AT77" i="559"/>
  <c r="AX48" i="559"/>
  <c r="AW48" i="559"/>
  <c r="AV48" i="559"/>
  <c r="AU48" i="559"/>
  <c r="AT48" i="559"/>
  <c r="AX45" i="559"/>
  <c r="AV45" i="559"/>
  <c r="AU45" i="559"/>
  <c r="AT45" i="559"/>
  <c r="AX44" i="559"/>
  <c r="AX39" i="559"/>
  <c r="AW39" i="559"/>
  <c r="DY68" i="25" s="1"/>
  <c r="AV39" i="559"/>
  <c r="DX68" i="25" s="1"/>
  <c r="AU39" i="559"/>
  <c r="DW68" i="25" s="1"/>
  <c r="AT39" i="559"/>
  <c r="DV68" i="25" s="1"/>
  <c r="AX37" i="559"/>
  <c r="AW37" i="559"/>
  <c r="DY169" i="571" s="1"/>
  <c r="AW57" i="559" s="1"/>
  <c r="AV37" i="559"/>
  <c r="DX169" i="571" s="1"/>
  <c r="AV57" i="559" s="1"/>
  <c r="AU37" i="559"/>
  <c r="DW169" i="571" s="1"/>
  <c r="AU57" i="559" s="1"/>
  <c r="AT37" i="559"/>
  <c r="DV169" i="571" s="1"/>
  <c r="AT57" i="559" s="1"/>
  <c r="AX35" i="559"/>
  <c r="AW35" i="559"/>
  <c r="DY171" i="571" s="1"/>
  <c r="AV35" i="559"/>
  <c r="DX171" i="571" s="1"/>
  <c r="DX220" i="571" s="1"/>
  <c r="AU35" i="559"/>
  <c r="DW171" i="571" s="1"/>
  <c r="DW220" i="571" s="1"/>
  <c r="AT35" i="559"/>
  <c r="DV171" i="571" s="1"/>
  <c r="AX31" i="559"/>
  <c r="AW31" i="559"/>
  <c r="AV31" i="559"/>
  <c r="AU31" i="559"/>
  <c r="AT31" i="559"/>
  <c r="AX30" i="559"/>
  <c r="AW30" i="559"/>
  <c r="AV30" i="559"/>
  <c r="AU30" i="559"/>
  <c r="AT30" i="559"/>
  <c r="AW27" i="559"/>
  <c r="DY45" i="571" s="1"/>
  <c r="DY48" i="617" s="1"/>
  <c r="AV27" i="559"/>
  <c r="AU27" i="559"/>
  <c r="DW45" i="571" s="1"/>
  <c r="DW48" i="617" s="1"/>
  <c r="AT27" i="559"/>
  <c r="DZ389" i="25"/>
  <c r="DZ386" i="25"/>
  <c r="DZ385" i="25"/>
  <c r="DZ384" i="25"/>
  <c r="DZ383" i="25"/>
  <c r="DY382" i="25"/>
  <c r="DX382" i="25"/>
  <c r="DW382" i="25"/>
  <c r="DV382" i="25"/>
  <c r="DZ381" i="25"/>
  <c r="DZ376" i="25"/>
  <c r="DZ374" i="25"/>
  <c r="DZ373" i="25"/>
  <c r="DZ360" i="25"/>
  <c r="DZ359" i="25"/>
  <c r="DY357" i="25"/>
  <c r="DX357" i="25"/>
  <c r="DW357" i="25"/>
  <c r="DV357" i="25"/>
  <c r="DZ297" i="25"/>
  <c r="DZ294" i="25"/>
  <c r="EA248" i="25"/>
  <c r="DZ223" i="25"/>
  <c r="DZ202" i="25"/>
  <c r="DZ73" i="25"/>
  <c r="DZ72" i="25"/>
  <c r="DZ71" i="25"/>
  <c r="DY70" i="25"/>
  <c r="DY74" i="25" s="1"/>
  <c r="DY14" i="617" s="1"/>
  <c r="DX70" i="25"/>
  <c r="DX74" i="25" s="1"/>
  <c r="DX14" i="617" s="1"/>
  <c r="DW70" i="25"/>
  <c r="DW74" i="25" s="1"/>
  <c r="DV70" i="25"/>
  <c r="DV74" i="25" s="1"/>
  <c r="DV14" i="617" s="1"/>
  <c r="DZ65" i="25"/>
  <c r="DZ64" i="25"/>
  <c r="DZ44" i="25"/>
  <c r="DZ39" i="25"/>
  <c r="DZ38" i="25"/>
  <c r="DZ37" i="25"/>
  <c r="DZ32" i="25"/>
  <c r="DZ26" i="25"/>
  <c r="DZ21" i="25"/>
  <c r="DZ20" i="25"/>
  <c r="DZ31" i="607"/>
  <c r="DY19" i="571"/>
  <c r="DX19" i="571" s="1"/>
  <c r="DW19" i="571" s="1"/>
  <c r="DV19" i="571" s="1"/>
  <c r="DC253" i="571"/>
  <c r="DI29" i="25"/>
  <c r="DI397" i="25" s="1"/>
  <c r="AG161" i="559"/>
  <c r="AG45" i="559" s="1"/>
  <c r="AG151" i="559"/>
  <c r="AG43" i="559" s="1"/>
  <c r="DI14" i="613" s="1"/>
  <c r="AG146" i="559"/>
  <c r="AG42" i="559" s="1"/>
  <c r="AG137" i="559"/>
  <c r="AG100" i="559"/>
  <c r="AG35" i="559" s="1"/>
  <c r="AG92" i="559"/>
  <c r="AG31" i="559" s="1"/>
  <c r="AG87" i="559"/>
  <c r="AG30" i="559" s="1"/>
  <c r="AG78" i="559"/>
  <c r="AG27" i="559" s="1"/>
  <c r="AF161" i="559"/>
  <c r="AF45" i="559" s="1"/>
  <c r="AF151" i="559"/>
  <c r="AF146" i="559"/>
  <c r="AF42" i="559" s="1"/>
  <c r="AF137" i="559"/>
  <c r="AF100" i="559"/>
  <c r="AF35" i="559" s="1"/>
  <c r="AF92" i="559"/>
  <c r="AF31" i="559" s="1"/>
  <c r="AF87" i="559"/>
  <c r="AF30" i="559" s="1"/>
  <c r="AF78" i="559"/>
  <c r="AF27" i="559" s="1"/>
  <c r="DI53" i="607"/>
  <c r="DI17" i="607"/>
  <c r="DI21" i="607"/>
  <c r="DI26" i="607" s="1"/>
  <c r="DI59" i="607"/>
  <c r="DI57" i="607"/>
  <c r="DI40" i="607"/>
  <c r="DI12" i="607" s="1"/>
  <c r="DI35" i="607"/>
  <c r="DI30" i="607"/>
  <c r="DI31" i="607" s="1"/>
  <c r="DI14" i="607"/>
  <c r="DI11" i="607"/>
  <c r="DI223" i="571"/>
  <c r="DI158" i="571" s="1"/>
  <c r="DI220" i="571"/>
  <c r="DI219" i="571"/>
  <c r="DI212" i="571"/>
  <c r="DI204" i="571"/>
  <c r="DI191" i="571"/>
  <c r="DI190" i="571"/>
  <c r="DI67" i="571"/>
  <c r="DI66" i="571" s="1"/>
  <c r="DN68" i="571" s="1"/>
  <c r="DI60" i="571"/>
  <c r="DI57" i="571"/>
  <c r="DI42" i="571"/>
  <c r="DI35" i="571"/>
  <c r="DI19" i="571"/>
  <c r="DI13" i="571"/>
  <c r="DI22" i="571" s="1"/>
  <c r="DI392" i="25"/>
  <c r="DI341" i="25"/>
  <c r="DI339" i="25"/>
  <c r="DI335" i="25"/>
  <c r="DI307" i="25"/>
  <c r="DI273" i="25"/>
  <c r="DI237" i="25"/>
  <c r="DI213" i="25"/>
  <c r="DI238" i="25"/>
  <c r="DI225" i="25"/>
  <c r="DI230" i="25" s="1"/>
  <c r="DI206" i="25"/>
  <c r="DI39" i="25"/>
  <c r="DI32" i="25"/>
  <c r="DI146" i="25"/>
  <c r="DI142" i="25"/>
  <c r="DI117" i="25"/>
  <c r="DI98" i="25"/>
  <c r="DI96" i="25"/>
  <c r="DN108" i="25" s="1"/>
  <c r="DI85" i="25"/>
  <c r="DI83" i="25"/>
  <c r="DI82" i="25"/>
  <c r="DI70" i="25"/>
  <c r="DI74" i="25" s="1"/>
  <c r="DI14" i="617" s="1"/>
  <c r="DI62" i="25"/>
  <c r="DI66" i="25" s="1"/>
  <c r="DI59" i="25"/>
  <c r="DI193" i="571" s="1"/>
  <c r="DI58" i="25"/>
  <c r="DI60" i="25" s="1"/>
  <c r="DN84" i="25" s="1"/>
  <c r="DI52" i="25"/>
  <c r="DI24" i="617" s="1"/>
  <c r="DI23" i="25"/>
  <c r="DI22" i="25"/>
  <c r="DN88" i="25" s="1"/>
  <c r="DI10" i="25"/>
  <c r="DI135" i="25" s="1"/>
  <c r="DI136" i="25" s="1"/>
  <c r="DI58" i="607"/>
  <c r="AR119" i="559"/>
  <c r="AQ119" i="559"/>
  <c r="AP119" i="559"/>
  <c r="AR77" i="559"/>
  <c r="AQ77" i="559"/>
  <c r="AP77" i="559"/>
  <c r="DH9" i="617"/>
  <c r="DH17" i="617"/>
  <c r="DH46" i="617"/>
  <c r="DH48" i="617"/>
  <c r="DH59" i="617"/>
  <c r="DH65" i="617"/>
  <c r="DH68" i="617"/>
  <c r="DH41" i="613"/>
  <c r="DH40" i="613"/>
  <c r="DH59" i="607"/>
  <c r="DH58" i="607"/>
  <c r="DH57" i="607"/>
  <c r="DH40" i="607"/>
  <c r="DH12" i="607"/>
  <c r="DH30" i="607"/>
  <c r="DH35" i="607" s="1"/>
  <c r="DH26" i="607"/>
  <c r="DH60" i="607"/>
  <c r="DH14" i="607"/>
  <c r="DH11" i="607"/>
  <c r="DH223" i="571"/>
  <c r="DH220" i="571"/>
  <c r="DH49" i="617" s="1"/>
  <c r="DH219" i="571"/>
  <c r="DH47" i="617" s="1"/>
  <c r="DH212" i="571"/>
  <c r="DH204" i="571"/>
  <c r="DH191" i="571"/>
  <c r="DH190" i="571"/>
  <c r="DH158" i="571"/>
  <c r="DH52" i="617" s="1"/>
  <c r="DH67" i="571"/>
  <c r="DM73" i="571" s="1"/>
  <c r="DH60" i="571"/>
  <c r="DH57" i="571"/>
  <c r="DH52" i="571"/>
  <c r="DH42" i="571"/>
  <c r="DH35" i="571"/>
  <c r="DH19" i="571"/>
  <c r="DH13" i="571"/>
  <c r="DH22" i="571" s="1"/>
  <c r="DH392" i="25"/>
  <c r="DH375" i="25"/>
  <c r="DH389" i="25"/>
  <c r="DH385" i="25"/>
  <c r="DI385" i="25" s="1"/>
  <c r="DH380" i="25"/>
  <c r="DI380" i="25" s="1"/>
  <c r="DH381" i="25"/>
  <c r="DH382" i="25"/>
  <c r="DH372" i="25"/>
  <c r="DI372" i="25" s="1"/>
  <c r="DH368" i="25"/>
  <c r="DH365" i="25"/>
  <c r="DH366" i="25"/>
  <c r="DH364" i="25"/>
  <c r="DI364" i="25" s="1"/>
  <c r="DH363" i="25"/>
  <c r="DI363" i="25" s="1"/>
  <c r="DH361" i="25"/>
  <c r="DI361" i="25" s="1"/>
  <c r="DH360" i="25"/>
  <c r="DI360" i="25" s="1"/>
  <c r="DH358" i="25"/>
  <c r="DH356" i="25"/>
  <c r="DH341" i="25"/>
  <c r="DH339" i="25"/>
  <c r="DH335" i="25"/>
  <c r="DH307" i="25"/>
  <c r="DH301" i="25"/>
  <c r="DH302" i="25" s="1"/>
  <c r="DH286" i="25" s="1"/>
  <c r="DH237" i="25"/>
  <c r="DH213" i="25"/>
  <c r="DH273" i="25"/>
  <c r="DH257" i="25"/>
  <c r="DH254" i="25"/>
  <c r="DH247" i="25"/>
  <c r="DH238" i="25"/>
  <c r="DH251" i="25" s="1"/>
  <c r="DH225" i="25"/>
  <c r="DH230" i="25" s="1"/>
  <c r="DH206" i="25"/>
  <c r="DH59" i="25"/>
  <c r="DH193" i="571" s="1"/>
  <c r="DH65" i="25"/>
  <c r="DK65" i="25" s="1"/>
  <c r="DH52" i="25"/>
  <c r="DH24" i="617" s="1"/>
  <c r="DH39" i="25"/>
  <c r="DH146" i="25"/>
  <c r="DH142" i="25"/>
  <c r="DH117" i="25"/>
  <c r="DH98" i="25"/>
  <c r="DH96" i="25"/>
  <c r="DH85" i="25"/>
  <c r="DH83" i="25"/>
  <c r="DH82" i="25"/>
  <c r="DH70" i="25"/>
  <c r="DH74" i="25" s="1"/>
  <c r="DH62" i="25"/>
  <c r="DH66" i="25" s="1"/>
  <c r="DH58" i="25"/>
  <c r="DH60" i="25" s="1"/>
  <c r="DH23" i="25"/>
  <c r="DH22" i="25"/>
  <c r="DH10" i="25"/>
  <c r="DH135" i="25" s="1"/>
  <c r="DH136" i="25" s="1"/>
  <c r="DH137" i="25" s="1"/>
  <c r="DH66" i="571"/>
  <c r="DG59" i="617"/>
  <c r="CD9" i="617"/>
  <c r="CE9" i="617"/>
  <c r="CF9" i="617"/>
  <c r="CH9" i="617"/>
  <c r="CI9" i="617"/>
  <c r="CI28" i="617" s="1"/>
  <c r="CJ9" i="617"/>
  <c r="CK9" i="617"/>
  <c r="CM9" i="617"/>
  <c r="CM28" i="617" s="1"/>
  <c r="CN9" i="617"/>
  <c r="CO9" i="617"/>
  <c r="CP9" i="617"/>
  <c r="CR9" i="617"/>
  <c r="CS9" i="617"/>
  <c r="CT9" i="617"/>
  <c r="CT28" i="617" s="1"/>
  <c r="CU9" i="617"/>
  <c r="CD14" i="617"/>
  <c r="CE14" i="617"/>
  <c r="CF14" i="617"/>
  <c r="CG14" i="617"/>
  <c r="CH14" i="617"/>
  <c r="CI14" i="617"/>
  <c r="CJ14" i="617"/>
  <c r="CK14" i="617"/>
  <c r="CL14" i="617"/>
  <c r="CM14" i="617"/>
  <c r="CN14" i="617"/>
  <c r="CO14" i="617"/>
  <c r="CP14" i="617"/>
  <c r="CQ14" i="617"/>
  <c r="CD17" i="617"/>
  <c r="CE17" i="617"/>
  <c r="CF17" i="617"/>
  <c r="CH17" i="617"/>
  <c r="CI17" i="617"/>
  <c r="CJ17" i="617"/>
  <c r="CK17" i="617"/>
  <c r="CM17" i="617"/>
  <c r="CN17" i="617"/>
  <c r="CO17" i="617"/>
  <c r="CP17" i="617"/>
  <c r="CR17" i="617"/>
  <c r="CS17" i="617"/>
  <c r="CT17" i="617"/>
  <c r="CU17" i="617"/>
  <c r="CJ24" i="617"/>
  <c r="CK24" i="617"/>
  <c r="CM24" i="617"/>
  <c r="CN24" i="617"/>
  <c r="CO24" i="617"/>
  <c r="CP24" i="617"/>
  <c r="CD46" i="617"/>
  <c r="CE46" i="617"/>
  <c r="CF46" i="617"/>
  <c r="CG46" i="617"/>
  <c r="CH46" i="617"/>
  <c r="CI46" i="617"/>
  <c r="CJ46" i="617"/>
  <c r="CK46" i="617"/>
  <c r="CD47" i="617"/>
  <c r="CE47" i="617"/>
  <c r="CF47" i="617"/>
  <c r="CH47" i="617"/>
  <c r="CI47" i="617"/>
  <c r="CJ47" i="617"/>
  <c r="CD48" i="617"/>
  <c r="CE48" i="617"/>
  <c r="CF48" i="617"/>
  <c r="CH48" i="617"/>
  <c r="CI48" i="617"/>
  <c r="CJ48" i="617"/>
  <c r="CK48" i="617"/>
  <c r="CM48" i="617"/>
  <c r="CN48" i="617"/>
  <c r="CO48" i="617"/>
  <c r="CP48" i="617"/>
  <c r="CR48" i="617"/>
  <c r="CS48" i="617"/>
  <c r="CT48" i="617"/>
  <c r="CU48" i="617"/>
  <c r="CD49" i="617"/>
  <c r="CE49" i="617"/>
  <c r="CF49" i="617"/>
  <c r="CH49" i="617"/>
  <c r="CI49" i="617"/>
  <c r="CJ49" i="617"/>
  <c r="CD59" i="617"/>
  <c r="CE59" i="617"/>
  <c r="CF59" i="617"/>
  <c r="CD60" i="617"/>
  <c r="CE60" i="617"/>
  <c r="CF60" i="617"/>
  <c r="CD63" i="617"/>
  <c r="CE63" i="617"/>
  <c r="CF63" i="617"/>
  <c r="CG63" i="617"/>
  <c r="CH63" i="617"/>
  <c r="CI63" i="617"/>
  <c r="CJ63" i="617"/>
  <c r="CK63" i="617"/>
  <c r="CL63" i="617"/>
  <c r="CM63" i="617"/>
  <c r="CN63" i="617"/>
  <c r="CO63" i="617"/>
  <c r="CP63" i="617"/>
  <c r="CQ63" i="617"/>
  <c r="CD65" i="617"/>
  <c r="CE65" i="617"/>
  <c r="CF65" i="617"/>
  <c r="CG65" i="617"/>
  <c r="CH65" i="617"/>
  <c r="CI65" i="617"/>
  <c r="CJ65" i="617"/>
  <c r="CK65" i="617"/>
  <c r="CL65" i="617"/>
  <c r="CM65" i="617"/>
  <c r="CN65" i="617"/>
  <c r="CO65" i="617"/>
  <c r="CP65" i="617"/>
  <c r="CQ65" i="617"/>
  <c r="CD68" i="617"/>
  <c r="CE68" i="617"/>
  <c r="CF68" i="617"/>
  <c r="CG68" i="617"/>
  <c r="CH68" i="617"/>
  <c r="CI68" i="617"/>
  <c r="CJ68" i="617"/>
  <c r="CK68" i="617"/>
  <c r="CM68" i="617"/>
  <c r="CN68" i="617"/>
  <c r="CO68" i="617"/>
  <c r="CR68" i="617"/>
  <c r="CS68" i="617"/>
  <c r="CT68" i="617"/>
  <c r="CU68" i="617"/>
  <c r="CD69" i="617"/>
  <c r="CE69" i="617"/>
  <c r="CF69" i="617"/>
  <c r="CH69" i="617"/>
  <c r="CI69" i="617"/>
  <c r="CJ69" i="617"/>
  <c r="CK69" i="617"/>
  <c r="CM69" i="617"/>
  <c r="CN69" i="617"/>
  <c r="CO69" i="617"/>
  <c r="CP69" i="617"/>
  <c r="CR69" i="617"/>
  <c r="CS69" i="617"/>
  <c r="CT69" i="617"/>
  <c r="CU69" i="617"/>
  <c r="CC69" i="617"/>
  <c r="CC68" i="617"/>
  <c r="CC65" i="617"/>
  <c r="CC63" i="617"/>
  <c r="CH76" i="617" s="1"/>
  <c r="CC60" i="617"/>
  <c r="CC59" i="617"/>
  <c r="CC49" i="617"/>
  <c r="CC48" i="617"/>
  <c r="CC47" i="617"/>
  <c r="CC46" i="617"/>
  <c r="CC17" i="617"/>
  <c r="CC14" i="617"/>
  <c r="CC9" i="617"/>
  <c r="DG110" i="617"/>
  <c r="DD112" i="617"/>
  <c r="DE112" i="617"/>
  <c r="DG112" i="617"/>
  <c r="DC112" i="617"/>
  <c r="DC110" i="617"/>
  <c r="DE88" i="617"/>
  <c r="DD90" i="617"/>
  <c r="DE90" i="617"/>
  <c r="DG90" i="617"/>
  <c r="DC90" i="617"/>
  <c r="DC88" i="617"/>
  <c r="CX68" i="617"/>
  <c r="CY68" i="617"/>
  <c r="CZ68" i="617"/>
  <c r="DC68" i="617"/>
  <c r="DD68" i="617"/>
  <c r="DE68" i="617"/>
  <c r="DG68" i="617"/>
  <c r="CX69" i="617"/>
  <c r="CY69" i="617"/>
  <c r="CZ69" i="617"/>
  <c r="CW69" i="617"/>
  <c r="CW68" i="617"/>
  <c r="DD65" i="617"/>
  <c r="DE65" i="617"/>
  <c r="DG65" i="617"/>
  <c r="DB59" i="617"/>
  <c r="DC59" i="617"/>
  <c r="DD59" i="617"/>
  <c r="DE59" i="617"/>
  <c r="DG46" i="617"/>
  <c r="CX48" i="617"/>
  <c r="CY48" i="617"/>
  <c r="CZ48" i="617"/>
  <c r="DB48" i="617"/>
  <c r="DC48" i="617"/>
  <c r="DD48" i="617"/>
  <c r="DE48" i="617"/>
  <c r="DG48" i="617"/>
  <c r="CW48" i="617"/>
  <c r="CX17" i="617"/>
  <c r="DG17" i="617"/>
  <c r="DE17" i="617"/>
  <c r="DD17" i="617"/>
  <c r="DC17" i="617"/>
  <c r="DB17" i="617"/>
  <c r="CZ17" i="617"/>
  <c r="CY17" i="617"/>
  <c r="CW17" i="617"/>
  <c r="DB11" i="617"/>
  <c r="DG9" i="617"/>
  <c r="DE9" i="617"/>
  <c r="DD9" i="617"/>
  <c r="DC9" i="617"/>
  <c r="DB9" i="617"/>
  <c r="CZ9" i="617"/>
  <c r="CY9" i="617"/>
  <c r="CX9" i="617"/>
  <c r="CW9" i="617"/>
  <c r="E7" i="617"/>
  <c r="F7" i="617" s="1"/>
  <c r="G7" i="617" s="1"/>
  <c r="H7" i="617" s="1"/>
  <c r="I7" i="617" s="1"/>
  <c r="J7" i="617" s="1"/>
  <c r="O7" i="617" s="1"/>
  <c r="T7" i="617" s="1"/>
  <c r="Y7" i="617" s="1"/>
  <c r="AD7" i="617" s="1"/>
  <c r="AI7" i="617" s="1"/>
  <c r="AN7" i="617" s="1"/>
  <c r="AS7" i="617" s="1"/>
  <c r="AX7" i="617" s="1"/>
  <c r="BC7" i="617" s="1"/>
  <c r="BH7" i="617" s="1"/>
  <c r="BM7" i="617" s="1"/>
  <c r="BR7" i="617" s="1"/>
  <c r="BW7" i="617" s="1"/>
  <c r="CB7" i="617" s="1"/>
  <c r="CG7" i="617" s="1"/>
  <c r="CL7" i="617" s="1"/>
  <c r="CQ7" i="617" s="1"/>
  <c r="CV7" i="617" s="1"/>
  <c r="DA7" i="617" s="1"/>
  <c r="DF7" i="617" s="1"/>
  <c r="DK7" i="617" s="1"/>
  <c r="DP7" i="617" s="1"/>
  <c r="DU7" i="617" s="1"/>
  <c r="DZ7" i="617" s="1"/>
  <c r="EE7" i="617" s="1"/>
  <c r="AE161" i="559"/>
  <c r="AE151" i="559"/>
  <c r="AE146" i="559"/>
  <c r="AE137" i="559"/>
  <c r="AE100" i="559"/>
  <c r="AE35" i="559" s="1"/>
  <c r="AE92" i="559"/>
  <c r="AE87" i="559"/>
  <c r="AE30" i="559" s="1"/>
  <c r="AE78" i="559"/>
  <c r="AE27" i="559" s="1"/>
  <c r="AC161" i="559"/>
  <c r="AC45" i="559" s="1"/>
  <c r="AC151" i="559"/>
  <c r="AC43" i="559" s="1"/>
  <c r="DE14" i="613" s="1"/>
  <c r="DE20" i="613" s="1"/>
  <c r="DE25" i="613" s="1"/>
  <c r="AC146" i="559"/>
  <c r="AC42" i="559" s="1"/>
  <c r="AC137" i="559"/>
  <c r="AC100" i="559"/>
  <c r="AC35" i="559" s="1"/>
  <c r="AC92" i="559"/>
  <c r="AC31" i="559" s="1"/>
  <c r="AC87" i="559"/>
  <c r="AC30" i="559" s="1"/>
  <c r="AC78" i="559"/>
  <c r="AC27" i="559" s="1"/>
  <c r="DE57" i="607"/>
  <c r="DV57" i="607"/>
  <c r="EA57" i="607" s="1"/>
  <c r="DW57" i="607"/>
  <c r="EB57" i="607" s="1"/>
  <c r="DG50" i="613"/>
  <c r="DG48" i="613"/>
  <c r="DG41" i="613"/>
  <c r="DG40" i="613"/>
  <c r="DG14" i="613"/>
  <c r="DG39" i="613" s="1"/>
  <c r="DG40" i="607"/>
  <c r="DG26" i="607"/>
  <c r="DC52" i="571"/>
  <c r="DY57" i="607"/>
  <c r="ED57" i="607" s="1"/>
  <c r="DK23" i="613"/>
  <c r="DG223" i="571"/>
  <c r="DG158" i="571" s="1"/>
  <c r="DG52" i="617" s="1"/>
  <c r="DG220" i="571"/>
  <c r="DG49" i="617" s="1"/>
  <c r="DG219" i="571"/>
  <c r="DG47" i="617" s="1"/>
  <c r="DG212" i="571"/>
  <c r="DG204" i="571"/>
  <c r="DG191" i="571"/>
  <c r="DG190" i="571"/>
  <c r="DG93" i="571"/>
  <c r="DG94" i="571" s="1"/>
  <c r="DG67" i="571"/>
  <c r="DG57" i="571"/>
  <c r="DG19" i="571"/>
  <c r="DG13" i="571"/>
  <c r="DG22" i="571" s="1"/>
  <c r="DG237" i="25"/>
  <c r="DG238" i="25" s="1"/>
  <c r="DG379" i="25"/>
  <c r="DG376" i="25"/>
  <c r="DG374" i="25"/>
  <c r="DG367" i="25"/>
  <c r="DG369" i="25" s="1"/>
  <c r="DG282" i="25" s="1"/>
  <c r="DG362" i="25"/>
  <c r="DG392" i="25"/>
  <c r="DG387" i="25"/>
  <c r="DG357" i="25"/>
  <c r="DH357" i="25" s="1"/>
  <c r="DG341" i="25"/>
  <c r="DG339" i="25"/>
  <c r="DG307" i="25"/>
  <c r="DG303" i="25"/>
  <c r="DG213" i="25"/>
  <c r="DG225" i="25"/>
  <c r="DG230" i="25" s="1"/>
  <c r="DG206" i="25"/>
  <c r="DG59" i="25"/>
  <c r="DG193" i="571" s="1"/>
  <c r="DE59" i="25"/>
  <c r="DE193" i="571" s="1"/>
  <c r="DG39" i="25"/>
  <c r="DG98" i="25"/>
  <c r="DG96" i="25"/>
  <c r="DG85" i="25"/>
  <c r="DG83" i="25"/>
  <c r="DG82" i="25"/>
  <c r="DG70" i="25"/>
  <c r="DG74" i="25" s="1"/>
  <c r="DG62" i="25"/>
  <c r="DG66" i="25" s="1"/>
  <c r="DG58" i="25"/>
  <c r="DG52" i="25"/>
  <c r="DG23" i="25"/>
  <c r="DG22" i="25"/>
  <c r="DG28" i="25" s="1"/>
  <c r="DG10" i="25"/>
  <c r="DG135" i="25"/>
  <c r="DG136" i="25" s="1"/>
  <c r="DO23" i="613"/>
  <c r="DP23" i="613"/>
  <c r="DG166" i="611"/>
  <c r="DH166" i="611" s="1"/>
  <c r="DI166" i="611" s="1"/>
  <c r="DJ166" i="611" s="1"/>
  <c r="DL166" i="611" s="1"/>
  <c r="DM166" i="611" s="1"/>
  <c r="DN166" i="611" s="1"/>
  <c r="DO166" i="611" s="1"/>
  <c r="DQ166" i="611" s="1"/>
  <c r="DR166" i="611" s="1"/>
  <c r="DS166" i="611" s="1"/>
  <c r="DT166" i="611" s="1"/>
  <c r="DV166" i="611" s="1"/>
  <c r="DW166" i="611" s="1"/>
  <c r="DX166" i="611" s="1"/>
  <c r="DY166" i="611" s="1"/>
  <c r="EA166" i="611" s="1"/>
  <c r="EB166" i="611" s="1"/>
  <c r="EC166" i="611" s="1"/>
  <c r="ED166" i="611" s="1"/>
  <c r="DL10" i="611"/>
  <c r="DM10" i="611" s="1"/>
  <c r="DN10" i="611" s="1"/>
  <c r="DO10" i="611" s="1"/>
  <c r="DQ10" i="611" s="1"/>
  <c r="DR10" i="611" s="1"/>
  <c r="DS10" i="611" s="1"/>
  <c r="DT10" i="611" s="1"/>
  <c r="DV10" i="611" s="1"/>
  <c r="DW10" i="611" s="1"/>
  <c r="DX10" i="611" s="1"/>
  <c r="DY10" i="611" s="1"/>
  <c r="EA10" i="611" s="1"/>
  <c r="EB10" i="611" s="1"/>
  <c r="EC10" i="611" s="1"/>
  <c r="ED10" i="611" s="1"/>
  <c r="AR110" i="559"/>
  <c r="AQ110" i="559"/>
  <c r="AP110" i="559"/>
  <c r="AR88" i="559"/>
  <c r="AQ88" i="559"/>
  <c r="AP88" i="559"/>
  <c r="AR93" i="559"/>
  <c r="AQ93" i="559"/>
  <c r="AP93" i="559"/>
  <c r="AR79" i="559"/>
  <c r="AQ79" i="559"/>
  <c r="AP79" i="559"/>
  <c r="DW41" i="613"/>
  <c r="EB41" i="613" s="1"/>
  <c r="DS41" i="613"/>
  <c r="DV41" i="613"/>
  <c r="EA41" i="613" s="1"/>
  <c r="DV39" i="613"/>
  <c r="EA39" i="613" s="1"/>
  <c r="DX59" i="607"/>
  <c r="EC59" i="607" s="1"/>
  <c r="DV59" i="607"/>
  <c r="EA59" i="607" s="1"/>
  <c r="DF24" i="607"/>
  <c r="DF23" i="607"/>
  <c r="DT70" i="25"/>
  <c r="DT74" i="25" s="1"/>
  <c r="DT14" i="617" s="1"/>
  <c r="DP20" i="25"/>
  <c r="DK20" i="25"/>
  <c r="AR45" i="559"/>
  <c r="AQ45" i="559"/>
  <c r="AP45" i="559"/>
  <c r="AO45" i="559"/>
  <c r="AR157" i="559"/>
  <c r="AQ157" i="559"/>
  <c r="AP157" i="559"/>
  <c r="AR155" i="559"/>
  <c r="AQ155" i="559"/>
  <c r="AP155" i="559"/>
  <c r="AR147" i="559"/>
  <c r="AQ147" i="559"/>
  <c r="AP147" i="559"/>
  <c r="AS127" i="559"/>
  <c r="AS126" i="559"/>
  <c r="AS48" i="559" s="1"/>
  <c r="AS125" i="559"/>
  <c r="AR48" i="559"/>
  <c r="AQ48" i="559"/>
  <c r="AP48" i="559"/>
  <c r="AO48" i="559"/>
  <c r="AS44" i="559"/>
  <c r="AS39" i="559"/>
  <c r="AR39" i="559"/>
  <c r="DT68" i="25" s="1"/>
  <c r="AQ39" i="559"/>
  <c r="DS68" i="25" s="1"/>
  <c r="AP39" i="559"/>
  <c r="DR68" i="25" s="1"/>
  <c r="AS37" i="559"/>
  <c r="AR37" i="559"/>
  <c r="DT169" i="571" s="1"/>
  <c r="AR57" i="559" s="1"/>
  <c r="AQ37" i="559"/>
  <c r="DS169" i="571" s="1"/>
  <c r="AQ57" i="559" s="1"/>
  <c r="AP37" i="559"/>
  <c r="DR169" i="571" s="1"/>
  <c r="AP57" i="559" s="1"/>
  <c r="AS35" i="559"/>
  <c r="AR35" i="559"/>
  <c r="DT171" i="571" s="1"/>
  <c r="AQ35" i="559"/>
  <c r="DS171" i="571" s="1"/>
  <c r="AP35" i="559"/>
  <c r="AO35" i="559"/>
  <c r="AS31" i="559"/>
  <c r="AR31" i="559"/>
  <c r="AQ31" i="559"/>
  <c r="AP31" i="559"/>
  <c r="AO31" i="559"/>
  <c r="AS30" i="559"/>
  <c r="AR30" i="559"/>
  <c r="AQ30" i="559"/>
  <c r="AP30" i="559"/>
  <c r="AO30" i="559"/>
  <c r="AR27" i="559"/>
  <c r="DT45" i="571" s="1"/>
  <c r="AQ27" i="559"/>
  <c r="DS45" i="571" s="1"/>
  <c r="AO27" i="559"/>
  <c r="DT19" i="571"/>
  <c r="DS19" i="571" s="1"/>
  <c r="DR19" i="571" s="1"/>
  <c r="DU389" i="25"/>
  <c r="DU386" i="25"/>
  <c r="DU385" i="25"/>
  <c r="DU384" i="25"/>
  <c r="DU383" i="25"/>
  <c r="DT382" i="25"/>
  <c r="DS382" i="25"/>
  <c r="DR382" i="25"/>
  <c r="DU381" i="25"/>
  <c r="DU376" i="25"/>
  <c r="DU374" i="25"/>
  <c r="DU373" i="25"/>
  <c r="DU360" i="25"/>
  <c r="DU359" i="25"/>
  <c r="DU297" i="25"/>
  <c r="DV248" i="25"/>
  <c r="DW248" i="25" s="1"/>
  <c r="DU223" i="25"/>
  <c r="DU202" i="25"/>
  <c r="DU73" i="25"/>
  <c r="DU72" i="25"/>
  <c r="DU71" i="25"/>
  <c r="DU65" i="25"/>
  <c r="DU64" i="25"/>
  <c r="DU44" i="25"/>
  <c r="DU39" i="25"/>
  <c r="DU38" i="25"/>
  <c r="DU37" i="25"/>
  <c r="DU32" i="25"/>
  <c r="DU26" i="25"/>
  <c r="DU20" i="25"/>
  <c r="AL45" i="559"/>
  <c r="DE237" i="25"/>
  <c r="DE238" i="25"/>
  <c r="DE40" i="607"/>
  <c r="DE12" i="607" s="1"/>
  <c r="DE30" i="607"/>
  <c r="DE35" i="607"/>
  <c r="DE26" i="607"/>
  <c r="DE59" i="607"/>
  <c r="DE223" i="571"/>
  <c r="DE158" i="571" s="1"/>
  <c r="DE220" i="571"/>
  <c r="DE219" i="571"/>
  <c r="DE47" i="617" s="1"/>
  <c r="DE212" i="571"/>
  <c r="DE204" i="571"/>
  <c r="DE191" i="571"/>
  <c r="DE190" i="571"/>
  <c r="DE67" i="571"/>
  <c r="DJ73" i="571" s="1"/>
  <c r="DE60" i="571"/>
  <c r="DE57" i="571"/>
  <c r="DE42" i="571"/>
  <c r="DE35" i="571"/>
  <c r="DE13" i="571"/>
  <c r="DE22" i="571" s="1"/>
  <c r="DD67" i="571"/>
  <c r="DE389" i="25"/>
  <c r="DF389" i="25" s="1"/>
  <c r="DE357" i="25"/>
  <c r="DD307" i="25"/>
  <c r="DE307" i="25"/>
  <c r="DD335" i="25"/>
  <c r="DE335" i="25"/>
  <c r="DD339" i="25"/>
  <c r="DE339" i="25"/>
  <c r="DD341" i="25"/>
  <c r="DD257" i="25" s="1"/>
  <c r="DE341" i="25"/>
  <c r="DE273" i="25"/>
  <c r="DE213" i="25"/>
  <c r="DE225" i="25"/>
  <c r="DE230" i="25" s="1"/>
  <c r="DE206" i="25"/>
  <c r="DE65" i="25"/>
  <c r="DE39" i="25"/>
  <c r="DF39" i="25" s="1"/>
  <c r="DE26" i="25"/>
  <c r="DE146" i="25"/>
  <c r="DE142" i="25"/>
  <c r="DE117" i="25"/>
  <c r="DE98" i="25"/>
  <c r="DE96" i="25"/>
  <c r="DE85" i="25"/>
  <c r="DE82" i="25"/>
  <c r="DE70" i="25"/>
  <c r="DE74" i="25" s="1"/>
  <c r="DE14" i="617" s="1"/>
  <c r="DE62" i="25"/>
  <c r="DE66" i="25" s="1"/>
  <c r="DE58" i="25"/>
  <c r="DE52" i="25"/>
  <c r="DE24" i="617" s="1"/>
  <c r="DE23" i="25"/>
  <c r="DE22" i="25"/>
  <c r="DE101" i="25" s="1"/>
  <c r="DE10" i="25"/>
  <c r="DE135" i="25" s="1"/>
  <c r="DE136" i="25" s="1"/>
  <c r="DQ14" i="617"/>
  <c r="DR357" i="25"/>
  <c r="DR70" i="25"/>
  <c r="DR74" i="25" s="1"/>
  <c r="DS357" i="25"/>
  <c r="DS70" i="25"/>
  <c r="DS74" i="25" s="1"/>
  <c r="DS14" i="617" s="1"/>
  <c r="DT41" i="613"/>
  <c r="DE14" i="607"/>
  <c r="DE11" i="607"/>
  <c r="DE58" i="607"/>
  <c r="DC58" i="607"/>
  <c r="DD21" i="607"/>
  <c r="DD26" i="607" s="1"/>
  <c r="DC21" i="607"/>
  <c r="DC26" i="607" s="1"/>
  <c r="DF30" i="607"/>
  <c r="DC11" i="607"/>
  <c r="DD40" i="607"/>
  <c r="DC40" i="607"/>
  <c r="DC12" i="607" s="1"/>
  <c r="DE27" i="611"/>
  <c r="DD27" i="611"/>
  <c r="DD15" i="611"/>
  <c r="DD12" i="611"/>
  <c r="DE11" i="611" s="1"/>
  <c r="DC12" i="611"/>
  <c r="DD11" i="611" s="1"/>
  <c r="DB12" i="611"/>
  <c r="DC11" i="611" s="1"/>
  <c r="DB11" i="611"/>
  <c r="DR40" i="607"/>
  <c r="DS40" i="607" s="1"/>
  <c r="DT40" i="607" s="1"/>
  <c r="DV40" i="607" s="1"/>
  <c r="DW40" i="607" s="1"/>
  <c r="DX40" i="607" s="1"/>
  <c r="DY40" i="607" s="1"/>
  <c r="EA40" i="607" s="1"/>
  <c r="EB40" i="607" s="1"/>
  <c r="EC40" i="607" s="1"/>
  <c r="ED40" i="607" s="1"/>
  <c r="DE159" i="611"/>
  <c r="DD12" i="613"/>
  <c r="DD110" i="617" s="1"/>
  <c r="DD13" i="607"/>
  <c r="DD50" i="613"/>
  <c r="DC50" i="613"/>
  <c r="DC47" i="613"/>
  <c r="DC51" i="613" s="1"/>
  <c r="AM48" i="559"/>
  <c r="AL48" i="559"/>
  <c r="AM45" i="559"/>
  <c r="AM35" i="559"/>
  <c r="AL35" i="559"/>
  <c r="AM31" i="559"/>
  <c r="AL31" i="559"/>
  <c r="AM30" i="559"/>
  <c r="AL30" i="559"/>
  <c r="AM27" i="559"/>
  <c r="AL27" i="559"/>
  <c r="AK27" i="559"/>
  <c r="AJ27" i="559"/>
  <c r="DC40" i="613"/>
  <c r="DP386" i="25"/>
  <c r="DP384" i="25"/>
  <c r="DP383" i="25"/>
  <c r="DP381" i="25"/>
  <c r="DP373" i="25"/>
  <c r="DP359" i="25"/>
  <c r="DP297" i="25"/>
  <c r="DP223" i="25"/>
  <c r="DP202" i="25"/>
  <c r="DP73" i="25"/>
  <c r="DP72" i="25"/>
  <c r="DP71" i="25"/>
  <c r="DP65" i="25"/>
  <c r="DP64" i="25"/>
  <c r="DP44" i="25"/>
  <c r="DP38" i="25"/>
  <c r="DP37" i="25"/>
  <c r="DP32" i="25"/>
  <c r="DP26" i="25"/>
  <c r="DK386" i="25"/>
  <c r="DK384" i="25"/>
  <c r="DK383" i="25"/>
  <c r="DK359" i="25"/>
  <c r="DK297" i="25"/>
  <c r="DK223" i="25"/>
  <c r="DK202" i="25"/>
  <c r="DK73" i="25"/>
  <c r="DK72" i="25"/>
  <c r="DK71" i="25"/>
  <c r="DK64" i="25"/>
  <c r="DK44" i="25"/>
  <c r="DK39" i="25"/>
  <c r="DK38" i="25"/>
  <c r="DK37" i="25"/>
  <c r="DK32" i="25"/>
  <c r="DK26" i="25"/>
  <c r="DL300" i="25"/>
  <c r="DQ300" i="25" s="1"/>
  <c r="DI151" i="25"/>
  <c r="DN151" i="25" s="1"/>
  <c r="DF12" i="613"/>
  <c r="DD41" i="613"/>
  <c r="DC41" i="613"/>
  <c r="CW8" i="613"/>
  <c r="CX8" i="613" s="1"/>
  <c r="CY8" i="613" s="1"/>
  <c r="CZ8" i="613" s="1"/>
  <c r="DA8" i="613"/>
  <c r="CV8" i="613"/>
  <c r="CQ8" i="613"/>
  <c r="CL8" i="613"/>
  <c r="E7" i="613"/>
  <c r="F7" i="613" s="1"/>
  <c r="G7" i="613" s="1"/>
  <c r="H7" i="613" s="1"/>
  <c r="I7" i="613" s="1"/>
  <c r="J7" i="613" s="1"/>
  <c r="O7" i="613" s="1"/>
  <c r="T7" i="613" s="1"/>
  <c r="Y7" i="613" s="1"/>
  <c r="AD7" i="613" s="1"/>
  <c r="AI7" i="613" s="1"/>
  <c r="AN7" i="613" s="1"/>
  <c r="AS7" i="613" s="1"/>
  <c r="AX7" i="613" s="1"/>
  <c r="BC7" i="613" s="1"/>
  <c r="BH7" i="613" s="1"/>
  <c r="BM7" i="613"/>
  <c r="BR7" i="613" s="1"/>
  <c r="BW7" i="613" s="1"/>
  <c r="CB7" i="613" s="1"/>
  <c r="CG7" i="613" s="1"/>
  <c r="CL7" i="613" s="1"/>
  <c r="CQ7" i="613" s="1"/>
  <c r="CV7" i="613" s="1"/>
  <c r="DA7" i="613" s="1"/>
  <c r="DF7" i="613" s="1"/>
  <c r="DK7" i="613" s="1"/>
  <c r="DP7" i="613" s="1"/>
  <c r="DU7" i="613" s="1"/>
  <c r="DZ7" i="613" s="1"/>
  <c r="EE7" i="613" s="1"/>
  <c r="DC59" i="607"/>
  <c r="CZ35" i="607"/>
  <c r="CX35" i="607"/>
  <c r="DC35" i="607" s="1"/>
  <c r="DD30" i="607"/>
  <c r="DG47" i="611"/>
  <c r="DH47" i="611" s="1"/>
  <c r="DI47" i="611" s="1"/>
  <c r="DJ47" i="611" s="1"/>
  <c r="DL47" i="611" s="1"/>
  <c r="DM47" i="611" s="1"/>
  <c r="DN47" i="611" s="1"/>
  <c r="DO47" i="611" s="1"/>
  <c r="DQ47" i="611" s="1"/>
  <c r="DR47" i="611" s="1"/>
  <c r="DS47" i="611" s="1"/>
  <c r="DT47" i="611" s="1"/>
  <c r="DV47" i="611" s="1"/>
  <c r="DW47" i="611" s="1"/>
  <c r="DX47" i="611" s="1"/>
  <c r="DY47" i="611" s="1"/>
  <c r="EA47" i="611" s="1"/>
  <c r="DC3" i="611"/>
  <c r="DD2" i="611" s="1"/>
  <c r="DF2" i="611" s="1"/>
  <c r="DG159" i="611"/>
  <c r="DH159" i="611" s="1"/>
  <c r="DI159" i="611" s="1"/>
  <c r="DG40" i="611"/>
  <c r="DE40" i="611"/>
  <c r="DH37" i="611"/>
  <c r="DH40" i="611" s="1"/>
  <c r="DF32" i="607"/>
  <c r="DP21" i="25"/>
  <c r="DW39" i="613"/>
  <c r="EB39" i="613" s="1"/>
  <c r="DB8" i="613"/>
  <c r="DC8" i="613" s="1"/>
  <c r="DD8" i="613" s="1"/>
  <c r="DE8" i="613" s="1"/>
  <c r="DF8" i="613" s="1"/>
  <c r="DK8" i="613" s="1"/>
  <c r="DP8" i="613" s="1"/>
  <c r="DU8" i="613" s="1"/>
  <c r="DZ8" i="613" s="1"/>
  <c r="EE8" i="613" s="1"/>
  <c r="DE54" i="611"/>
  <c r="DG54" i="611" s="1"/>
  <c r="DE55" i="611"/>
  <c r="DE57" i="611"/>
  <c r="DG55" i="611" s="1"/>
  <c r="CY162" i="611"/>
  <c r="CY26" i="611" s="1"/>
  <c r="CY28" i="611" s="1"/>
  <c r="DD162" i="611"/>
  <c r="DD26" i="611"/>
  <c r="DD28" i="611" s="1"/>
  <c r="DD20" i="611"/>
  <c r="DC20" i="611"/>
  <c r="DB20" i="611"/>
  <c r="DE41" i="611"/>
  <c r="DE48" i="611"/>
  <c r="DE50" i="611" s="1"/>
  <c r="DG48" i="611" s="1"/>
  <c r="DG50" i="611" s="1"/>
  <c r="DG51" i="611" s="1"/>
  <c r="DE146" i="611"/>
  <c r="DE148" i="611" s="1"/>
  <c r="DG146" i="611" s="1"/>
  <c r="DG148" i="611" s="1"/>
  <c r="DH146" i="611" s="1"/>
  <c r="DH148" i="611" s="1"/>
  <c r="DI146" i="611" s="1"/>
  <c r="DI148" i="611" s="1"/>
  <c r="DJ146" i="611" s="1"/>
  <c r="DJ148" i="611" s="1"/>
  <c r="DL146" i="611" s="1"/>
  <c r="DL148" i="611" s="1"/>
  <c r="DM146" i="611" s="1"/>
  <c r="DM148" i="611" s="1"/>
  <c r="DN146" i="611" s="1"/>
  <c r="DN148" i="611" s="1"/>
  <c r="DO146" i="611" s="1"/>
  <c r="DO148" i="611" s="1"/>
  <c r="DQ146" i="611" s="1"/>
  <c r="DQ148" i="611" s="1"/>
  <c r="DR146" i="611" s="1"/>
  <c r="DR148" i="611" s="1"/>
  <c r="DS146" i="611" s="1"/>
  <c r="DS148" i="611" s="1"/>
  <c r="DT146" i="611" s="1"/>
  <c r="DT148" i="611" s="1"/>
  <c r="DV146" i="611" s="1"/>
  <c r="DV148" i="611" s="1"/>
  <c r="DW146" i="611" s="1"/>
  <c r="DW148" i="611" s="1"/>
  <c r="DX146" i="611" s="1"/>
  <c r="DX148" i="611" s="1"/>
  <c r="DY146" i="611" s="1"/>
  <c r="DY148" i="611" s="1"/>
  <c r="EA146" i="611" s="1"/>
  <c r="EA148" i="611" s="1"/>
  <c r="EB146" i="611" s="1"/>
  <c r="EB148" i="611" s="1"/>
  <c r="EC146" i="611" s="1"/>
  <c r="EC148" i="611" s="1"/>
  <c r="ED146" i="611" s="1"/>
  <c r="ED148" i="611" s="1"/>
  <c r="DE139" i="611"/>
  <c r="DE141" i="611"/>
  <c r="DG139" i="611" s="1"/>
  <c r="DE132" i="611"/>
  <c r="DE134" i="611" s="1"/>
  <c r="DG132" i="611" s="1"/>
  <c r="DE125" i="611"/>
  <c r="DE127" i="611" s="1"/>
  <c r="DG125" i="611" s="1"/>
  <c r="DG127" i="611" s="1"/>
  <c r="DH125" i="611" s="1"/>
  <c r="DH127" i="611" s="1"/>
  <c r="DI125" i="611" s="1"/>
  <c r="DE111" i="611"/>
  <c r="DE113" i="611" s="1"/>
  <c r="DG111" i="611" s="1"/>
  <c r="DG113" i="611" s="1"/>
  <c r="DH111" i="611" s="1"/>
  <c r="DH113" i="611" s="1"/>
  <c r="DI111" i="611" s="1"/>
  <c r="DI113" i="611" s="1"/>
  <c r="DJ111" i="611" s="1"/>
  <c r="DJ113" i="611" s="1"/>
  <c r="DL111" i="611" s="1"/>
  <c r="DL113" i="611" s="1"/>
  <c r="DM111" i="611" s="1"/>
  <c r="DM113" i="611" s="1"/>
  <c r="DN111" i="611" s="1"/>
  <c r="DE104" i="611"/>
  <c r="DE106" i="611"/>
  <c r="DE97" i="611"/>
  <c r="DE90" i="611"/>
  <c r="DE92" i="611" s="1"/>
  <c r="DG90" i="611" s="1"/>
  <c r="DE83" i="611"/>
  <c r="DE76" i="611"/>
  <c r="DE78" i="611" s="1"/>
  <c r="DG76" i="611" s="1"/>
  <c r="DG78" i="611" s="1"/>
  <c r="DE69" i="611"/>
  <c r="DE62" i="611"/>
  <c r="DE64" i="611" s="1"/>
  <c r="DG62" i="611" s="1"/>
  <c r="DE145" i="611"/>
  <c r="DG145" i="611" s="1"/>
  <c r="DE138" i="611"/>
  <c r="DG138" i="611" s="1"/>
  <c r="DH138" i="611" s="1"/>
  <c r="DE131" i="611"/>
  <c r="DE124" i="611"/>
  <c r="DG124" i="611" s="1"/>
  <c r="DE110" i="611"/>
  <c r="DG110" i="611" s="1"/>
  <c r="DE103" i="611"/>
  <c r="DG103" i="611" s="1"/>
  <c r="DH103" i="611" s="1"/>
  <c r="DE96" i="611"/>
  <c r="DE89" i="611"/>
  <c r="DG89" i="611" s="1"/>
  <c r="DH89" i="611" s="1"/>
  <c r="DE82" i="611"/>
  <c r="DE75" i="611"/>
  <c r="DE68" i="611"/>
  <c r="DG68" i="611" s="1"/>
  <c r="DH68" i="611" s="1"/>
  <c r="DI68" i="611" s="1"/>
  <c r="DJ68" i="611" s="1"/>
  <c r="DL68" i="611" s="1"/>
  <c r="DE61" i="611"/>
  <c r="AD145" i="559"/>
  <c r="AD147" i="559"/>
  <c r="AD150" i="559"/>
  <c r="AD152" i="559"/>
  <c r="AD155" i="559"/>
  <c r="AD157" i="559"/>
  <c r="AD160" i="559"/>
  <c r="AD162" i="559"/>
  <c r="AF43" i="559"/>
  <c r="AH31" i="559"/>
  <c r="AE31" i="559"/>
  <c r="E7" i="611"/>
  <c r="F7" i="611" s="1"/>
  <c r="G7" i="611" s="1"/>
  <c r="H7" i="611" s="1"/>
  <c r="I7" i="611" s="1"/>
  <c r="J7" i="611" s="1"/>
  <c r="O7" i="611" s="1"/>
  <c r="T7" i="611" s="1"/>
  <c r="Y7" i="611" s="1"/>
  <c r="AD7" i="611" s="1"/>
  <c r="AI7" i="611" s="1"/>
  <c r="AN7" i="611" s="1"/>
  <c r="AS7" i="611" s="1"/>
  <c r="AX7" i="611" s="1"/>
  <c r="BC7" i="611" s="1"/>
  <c r="BH7" i="611" s="1"/>
  <c r="BM7" i="611" s="1"/>
  <c r="BR7" i="611" s="1"/>
  <c r="BW7" i="611" s="1"/>
  <c r="CB7" i="611" s="1"/>
  <c r="CG7" i="611" s="1"/>
  <c r="CL7" i="611" s="1"/>
  <c r="CQ7" i="611" s="1"/>
  <c r="CV7" i="611" s="1"/>
  <c r="DA7" i="611" s="1"/>
  <c r="DF7" i="611" s="1"/>
  <c r="DK7" i="611" s="1"/>
  <c r="DP7" i="611" s="1"/>
  <c r="DU7" i="611" s="1"/>
  <c r="DZ7" i="611" s="1"/>
  <c r="EE7" i="611" s="1"/>
  <c r="DB68" i="607"/>
  <c r="DB70" i="607" s="1"/>
  <c r="DC67" i="607"/>
  <c r="DC66" i="607"/>
  <c r="DC68" i="607" s="1"/>
  <c r="DC65" i="607"/>
  <c r="CW8" i="607"/>
  <c r="CX8" i="607" s="1"/>
  <c r="CY8" i="607" s="1"/>
  <c r="CZ8" i="607" s="1"/>
  <c r="CV8" i="607"/>
  <c r="CQ8" i="607"/>
  <c r="CL8" i="607"/>
  <c r="E7" i="607"/>
  <c r="F7" i="607"/>
  <c r="G7" i="607" s="1"/>
  <c r="H7" i="607"/>
  <c r="I7" i="607" s="1"/>
  <c r="J7" i="607" s="1"/>
  <c r="O7" i="607" s="1"/>
  <c r="T7" i="607" s="1"/>
  <c r="Y7" i="607" s="1"/>
  <c r="AD7" i="607" s="1"/>
  <c r="AI7" i="607" s="1"/>
  <c r="AN7" i="607" s="1"/>
  <c r="AS7" i="607" s="1"/>
  <c r="AX7" i="607" s="1"/>
  <c r="BC7" i="607" s="1"/>
  <c r="BH7" i="607" s="1"/>
  <c r="BM7" i="607" s="1"/>
  <c r="BR7" i="607" s="1"/>
  <c r="BW7" i="607" s="1"/>
  <c r="CB7" i="607"/>
  <c r="CG7" i="607" s="1"/>
  <c r="CL7" i="607" s="1"/>
  <c r="CQ7" i="607" s="1"/>
  <c r="CV7" i="607" s="1"/>
  <c r="DA7" i="607" s="1"/>
  <c r="DF7" i="607" s="1"/>
  <c r="DK7" i="607" s="1"/>
  <c r="DP7" i="607" s="1"/>
  <c r="DU7" i="607" s="1"/>
  <c r="DZ7" i="607" s="1"/>
  <c r="EE7" i="607" s="1"/>
  <c r="DD23" i="25"/>
  <c r="AI39" i="559"/>
  <c r="AB161" i="559"/>
  <c r="AB45" i="559" s="1"/>
  <c r="DD15" i="607"/>
  <c r="DI52" i="607" s="1"/>
  <c r="AB151" i="559"/>
  <c r="AB146" i="559"/>
  <c r="AB42" i="559" s="1"/>
  <c r="AB137" i="559"/>
  <c r="AB100" i="559"/>
  <c r="AB35" i="559" s="1"/>
  <c r="AB92" i="559"/>
  <c r="AB31" i="559" s="1"/>
  <c r="AB87" i="559"/>
  <c r="AB30" i="559" s="1"/>
  <c r="AB78" i="559"/>
  <c r="AB27" i="559" s="1"/>
  <c r="DD237" i="25"/>
  <c r="DD213" i="25"/>
  <c r="DD65" i="25"/>
  <c r="DD62" i="25"/>
  <c r="DD39" i="25"/>
  <c r="DD32" i="25"/>
  <c r="CX17" i="25"/>
  <c r="DB385" i="25"/>
  <c r="DB392" i="25"/>
  <c r="DC381" i="25"/>
  <c r="DC380" i="25"/>
  <c r="DD380" i="25" s="1"/>
  <c r="DC379" i="25"/>
  <c r="DD379" i="25" s="1"/>
  <c r="DF229" i="25"/>
  <c r="DC368" i="25"/>
  <c r="DD368" i="25" s="1"/>
  <c r="DC367" i="25"/>
  <c r="DD367" i="25" s="1"/>
  <c r="DC366" i="25"/>
  <c r="DD366" i="25" s="1"/>
  <c r="DC365" i="25"/>
  <c r="DC364" i="25"/>
  <c r="DD364" i="25" s="1"/>
  <c r="DC363" i="25"/>
  <c r="DC360" i="25"/>
  <c r="DC361" i="25"/>
  <c r="DD361" i="25"/>
  <c r="DC358" i="25"/>
  <c r="DC281" i="25" s="1"/>
  <c r="DC375" i="25"/>
  <c r="DC376" i="25"/>
  <c r="DC374" i="25"/>
  <c r="DD374" i="25" s="1"/>
  <c r="DC372" i="25"/>
  <c r="DD372" i="25" s="1"/>
  <c r="DB237" i="25"/>
  <c r="DC237" i="25"/>
  <c r="DC213" i="25"/>
  <c r="DC62" i="25"/>
  <c r="DC52" i="25"/>
  <c r="DC55" i="25"/>
  <c r="DC301" i="25" s="1"/>
  <c r="DC302" i="25" s="1"/>
  <c r="DC286" i="25" s="1"/>
  <c r="DC382" i="25"/>
  <c r="DC294" i="25" s="1"/>
  <c r="DC296" i="25" s="1"/>
  <c r="DC298" i="25" s="1"/>
  <c r="DC54" i="25" s="1"/>
  <c r="DC39" i="25"/>
  <c r="DC32" i="25"/>
  <c r="DF32" i="25" s="1"/>
  <c r="DC26" i="25"/>
  <c r="DF26" i="25"/>
  <c r="DC10" i="25"/>
  <c r="DC403" i="25" s="1"/>
  <c r="DC338" i="25" s="1"/>
  <c r="DC65" i="25"/>
  <c r="DC199" i="571"/>
  <c r="DC197" i="571" s="1"/>
  <c r="DC208" i="571" s="1"/>
  <c r="DC200" i="571"/>
  <c r="AA100" i="559"/>
  <c r="AA35" i="559" s="1"/>
  <c r="AA92" i="559"/>
  <c r="AA31" i="559" s="1"/>
  <c r="AA87" i="559"/>
  <c r="AA30" i="559" s="1"/>
  <c r="AA78" i="559"/>
  <c r="AA27" i="559" s="1"/>
  <c r="AA137" i="559"/>
  <c r="DC70" i="25"/>
  <c r="DC74" i="25" s="1"/>
  <c r="DC14" i="617" s="1"/>
  <c r="AA161" i="559"/>
  <c r="AA45" i="559" s="1"/>
  <c r="AA156" i="559"/>
  <c r="AA44" i="559" s="1"/>
  <c r="AA151" i="559"/>
  <c r="AA43" i="559" s="1"/>
  <c r="DC14" i="613" s="1"/>
  <c r="AA146" i="559"/>
  <c r="AA42" i="559" s="1"/>
  <c r="DD19" i="571"/>
  <c r="DC19" i="571"/>
  <c r="BM404" i="25"/>
  <c r="BM348" i="25" s="1"/>
  <c r="BH404" i="25"/>
  <c r="BH348" i="25" s="1"/>
  <c r="BC404" i="25"/>
  <c r="BC348" i="25" s="1"/>
  <c r="AX404" i="25"/>
  <c r="AX348" i="25" s="1"/>
  <c r="AS404" i="25"/>
  <c r="AS348" i="25" s="1"/>
  <c r="AN407" i="25"/>
  <c r="AN404" i="25"/>
  <c r="AN348" i="25" s="1"/>
  <c r="AN402" i="25"/>
  <c r="AI407" i="25"/>
  <c r="AI404" i="25"/>
  <c r="AI348" i="25" s="1"/>
  <c r="AD407" i="25"/>
  <c r="AD404" i="25"/>
  <c r="AD348" i="25" s="1"/>
  <c r="Y407" i="25"/>
  <c r="Y404" i="25"/>
  <c r="T404" i="25"/>
  <c r="O404" i="25"/>
  <c r="O348" i="25" s="1"/>
  <c r="CS407" i="25"/>
  <c r="CR407" i="25"/>
  <c r="CP407" i="25"/>
  <c r="CO407" i="25"/>
  <c r="CN407" i="25"/>
  <c r="CM407" i="25"/>
  <c r="CD407" i="25"/>
  <c r="CC407" i="25"/>
  <c r="CA407" i="25"/>
  <c r="BZ407" i="25"/>
  <c r="BY407" i="25"/>
  <c r="BX407" i="25"/>
  <c r="BV407" i="25"/>
  <c r="BU407" i="25"/>
  <c r="BT407" i="25"/>
  <c r="BS407" i="25"/>
  <c r="DB405" i="25"/>
  <c r="DB404" i="25"/>
  <c r="DB348" i="25" s="1"/>
  <c r="DB402" i="25"/>
  <c r="CZ404" i="25"/>
  <c r="CZ348" i="25" s="1"/>
  <c r="CY404" i="25"/>
  <c r="CY348" i="25" s="1"/>
  <c r="CX404" i="25"/>
  <c r="CX348" i="25" s="1"/>
  <c r="CW404" i="25"/>
  <c r="CW348" i="25" s="1"/>
  <c r="CU404" i="25"/>
  <c r="CU348" i="25" s="1"/>
  <c r="CT404" i="25"/>
  <c r="CT348" i="25" s="1"/>
  <c r="CS404" i="25"/>
  <c r="CS348" i="25" s="1"/>
  <c r="CR404" i="25"/>
  <c r="CR348" i="25" s="1"/>
  <c r="CP404" i="25"/>
  <c r="CP348" i="25" s="1"/>
  <c r="CO404" i="25"/>
  <c r="CO348" i="25" s="1"/>
  <c r="CN404" i="25"/>
  <c r="CN348" i="25" s="1"/>
  <c r="CM404" i="25"/>
  <c r="CM348" i="25" s="1"/>
  <c r="CK404" i="25"/>
  <c r="CK348" i="25" s="1"/>
  <c r="CJ404" i="25"/>
  <c r="CJ348" i="25" s="1"/>
  <c r="CI404" i="25"/>
  <c r="CI348" i="25" s="1"/>
  <c r="CH404" i="25"/>
  <c r="CH348" i="25" s="1"/>
  <c r="CF404" i="25"/>
  <c r="CF348" i="25" s="1"/>
  <c r="CE404" i="25"/>
  <c r="CD404" i="25"/>
  <c r="CD348" i="25" s="1"/>
  <c r="CC404" i="25"/>
  <c r="CC348" i="25" s="1"/>
  <c r="CA404" i="25"/>
  <c r="BZ404" i="25"/>
  <c r="BZ348" i="25" s="1"/>
  <c r="BY404" i="25"/>
  <c r="BY348" i="25" s="1"/>
  <c r="BX404" i="25"/>
  <c r="BX348" i="25" s="1"/>
  <c r="BV404" i="25"/>
  <c r="BU404" i="25"/>
  <c r="BU348" i="25" s="1"/>
  <c r="BT404" i="25"/>
  <c r="BT348" i="25" s="1"/>
  <c r="BS404" i="25"/>
  <c r="BS348" i="25" s="1"/>
  <c r="CZ403" i="25"/>
  <c r="CY403" i="25"/>
  <c r="CX403" i="25"/>
  <c r="CX347" i="25" s="1"/>
  <c r="CW403" i="25"/>
  <c r="CU403" i="25"/>
  <c r="CT403" i="25"/>
  <c r="CS403" i="25"/>
  <c r="CS347" i="25" s="1"/>
  <c r="CR403" i="25"/>
  <c r="CP403" i="25"/>
  <c r="CO403" i="25"/>
  <c r="CN403" i="25"/>
  <c r="CN319" i="25" s="1"/>
  <c r="CM403" i="25"/>
  <c r="CM338" i="25" s="1"/>
  <c r="CK403" i="25"/>
  <c r="CJ403" i="25"/>
  <c r="CJ319" i="25" s="1"/>
  <c r="CI403" i="25"/>
  <c r="CI336" i="25" s="1"/>
  <c r="CH403" i="25"/>
  <c r="CH319" i="25" s="1"/>
  <c r="CF403" i="25"/>
  <c r="CE403" i="25"/>
  <c r="CD403" i="25"/>
  <c r="CD336" i="25" s="1"/>
  <c r="CC403" i="25"/>
  <c r="CA403" i="25"/>
  <c r="BZ403" i="25"/>
  <c r="BZ347" i="25" s="1"/>
  <c r="BY403" i="25"/>
  <c r="BY336" i="25" s="1"/>
  <c r="BX403" i="25"/>
  <c r="BX320" i="25" s="1"/>
  <c r="BV403" i="25"/>
  <c r="BU403" i="25"/>
  <c r="BU319" i="25" s="1"/>
  <c r="BT403" i="25"/>
  <c r="BT347" i="25" s="1"/>
  <c r="BS403" i="25"/>
  <c r="BS336" i="25" s="1"/>
  <c r="CZ402" i="25"/>
  <c r="CZ346" i="25" s="1"/>
  <c r="CY402" i="25"/>
  <c r="CY334" i="25" s="1"/>
  <c r="CX402" i="25"/>
  <c r="CW402" i="25"/>
  <c r="CU402" i="25"/>
  <c r="CT402" i="25"/>
  <c r="CT323" i="25" s="1"/>
  <c r="CT322" i="25" s="1"/>
  <c r="CT329" i="25" s="1"/>
  <c r="CS402" i="25"/>
  <c r="CS334" i="25" s="1"/>
  <c r="CR402" i="25"/>
  <c r="CP402" i="25"/>
  <c r="CO402" i="25"/>
  <c r="CO334" i="25" s="1"/>
  <c r="CN402" i="25"/>
  <c r="CN346" i="25" s="1"/>
  <c r="CM402" i="25"/>
  <c r="CK402" i="25"/>
  <c r="CK318" i="25" s="1"/>
  <c r="CJ402" i="25"/>
  <c r="CI402" i="25"/>
  <c r="CI318" i="25" s="1"/>
  <c r="CH402" i="25"/>
  <c r="CF402" i="25"/>
  <c r="CE402" i="25"/>
  <c r="CD402" i="25"/>
  <c r="CC402" i="25"/>
  <c r="CA402" i="25"/>
  <c r="BZ402" i="25"/>
  <c r="BY402" i="25"/>
  <c r="BY345" i="25" s="1"/>
  <c r="BX402" i="25"/>
  <c r="BV402" i="25"/>
  <c r="BU402" i="25"/>
  <c r="BU346" i="25" s="1"/>
  <c r="BT402" i="25"/>
  <c r="BT345" i="25" s="1"/>
  <c r="BS402" i="25"/>
  <c r="J407" i="25"/>
  <c r="I407" i="25"/>
  <c r="H407" i="25"/>
  <c r="G407" i="25"/>
  <c r="F407" i="25"/>
  <c r="J404" i="25"/>
  <c r="J348" i="25" s="1"/>
  <c r="I404" i="25"/>
  <c r="H404" i="25"/>
  <c r="H348" i="25" s="1"/>
  <c r="G404" i="25"/>
  <c r="G348" i="25" s="1"/>
  <c r="F404" i="25"/>
  <c r="F348" i="25" s="1"/>
  <c r="J403" i="25"/>
  <c r="J319" i="25" s="1"/>
  <c r="I403" i="25"/>
  <c r="I336" i="25" s="1"/>
  <c r="H403" i="25"/>
  <c r="G403" i="25"/>
  <c r="G327" i="25" s="1"/>
  <c r="G326" i="25" s="1"/>
  <c r="G331" i="25" s="1"/>
  <c r="F403" i="25"/>
  <c r="J402" i="25"/>
  <c r="I402" i="25"/>
  <c r="H402" i="25"/>
  <c r="G402" i="25"/>
  <c r="F402" i="25"/>
  <c r="O392" i="25"/>
  <c r="H392" i="25"/>
  <c r="CW387" i="25"/>
  <c r="CM387" i="25"/>
  <c r="CH387" i="25"/>
  <c r="CC387" i="25"/>
  <c r="BX387" i="25"/>
  <c r="AX387" i="25"/>
  <c r="AS387" i="25"/>
  <c r="AN387" i="25"/>
  <c r="AI387" i="25"/>
  <c r="AD387" i="25"/>
  <c r="Y387" i="25"/>
  <c r="T387" i="25"/>
  <c r="O387" i="25"/>
  <c r="J387" i="25"/>
  <c r="I387" i="25"/>
  <c r="H387" i="25"/>
  <c r="G387" i="25"/>
  <c r="F387" i="25"/>
  <c r="DF386" i="25"/>
  <c r="DF384" i="25"/>
  <c r="DF383" i="25"/>
  <c r="DA386" i="25"/>
  <c r="DA384" i="25"/>
  <c r="DA383" i="25"/>
  <c r="DA379" i="25"/>
  <c r="CV386" i="25"/>
  <c r="CV384" i="25"/>
  <c r="CV383" i="25"/>
  <c r="CQ386" i="25"/>
  <c r="CQ384" i="25"/>
  <c r="CQ383" i="25"/>
  <c r="CL386" i="25"/>
  <c r="CL384" i="25"/>
  <c r="CL383" i="25"/>
  <c r="CL379" i="25"/>
  <c r="CG386" i="25"/>
  <c r="CG384" i="25"/>
  <c r="CG383" i="25"/>
  <c r="BR386" i="25"/>
  <c r="BR385" i="25"/>
  <c r="CX385" i="25"/>
  <c r="CY385" i="25" s="1"/>
  <c r="CZ385" i="25" s="1"/>
  <c r="DA385" i="25" s="1"/>
  <c r="CS385" i="25"/>
  <c r="CN385" i="25"/>
  <c r="CO385" i="25" s="1"/>
  <c r="CP385" i="25" s="1"/>
  <c r="CI385" i="25"/>
  <c r="CJ385" i="25" s="1"/>
  <c r="CD385" i="25"/>
  <c r="CE385" i="25" s="1"/>
  <c r="BY385" i="25"/>
  <c r="BZ385" i="25" s="1"/>
  <c r="CA385" i="25" s="1"/>
  <c r="BU385" i="25"/>
  <c r="BV385" i="25" s="1"/>
  <c r="BH385" i="25"/>
  <c r="CA383" i="25"/>
  <c r="BT383" i="25"/>
  <c r="BV383" i="25" s="1"/>
  <c r="BT382" i="25"/>
  <c r="BU382" i="25" s="1"/>
  <c r="BV382" i="25" s="1"/>
  <c r="BT381" i="25"/>
  <c r="BT380" i="25"/>
  <c r="CX382" i="25"/>
  <c r="CX381" i="25"/>
  <c r="CX380" i="25"/>
  <c r="CN382" i="25"/>
  <c r="CO382" i="25" s="1"/>
  <c r="CN381" i="25"/>
  <c r="CN380" i="25"/>
  <c r="CI382" i="25"/>
  <c r="CI381" i="25"/>
  <c r="CI380" i="25"/>
  <c r="CD382" i="25"/>
  <c r="CD381" i="25"/>
  <c r="CD380" i="25"/>
  <c r="CS382" i="25"/>
  <c r="CS381" i="25"/>
  <c r="CT381" i="25" s="1"/>
  <c r="CS380" i="25"/>
  <c r="CR379" i="25"/>
  <c r="CS379" i="25" s="1"/>
  <c r="CT379" i="25" s="1"/>
  <c r="CU379" i="25" s="1"/>
  <c r="CP379" i="25"/>
  <c r="CQ379" i="25" s="1"/>
  <c r="CE379" i="25"/>
  <c r="CF379" i="25" s="1"/>
  <c r="CG379" i="25" s="1"/>
  <c r="CB379" i="25"/>
  <c r="CB387" i="25" s="1"/>
  <c r="BY382" i="25"/>
  <c r="BY381" i="25"/>
  <c r="BY380" i="25"/>
  <c r="BY379" i="25"/>
  <c r="BZ379" i="25" s="1"/>
  <c r="BW379" i="25"/>
  <c r="BS379" i="25"/>
  <c r="BT379" i="25" s="1"/>
  <c r="BR379" i="25"/>
  <c r="BM379" i="25"/>
  <c r="BM387" i="25" s="1"/>
  <c r="BH379" i="25"/>
  <c r="BH387" i="25" s="1"/>
  <c r="BC379" i="25"/>
  <c r="BC387" i="25" s="1"/>
  <c r="CR377" i="25"/>
  <c r="CH377" i="25"/>
  <c r="BX377" i="25"/>
  <c r="BW377" i="25"/>
  <c r="BS377" i="25"/>
  <c r="BM377" i="25"/>
  <c r="BC377" i="25"/>
  <c r="AX377" i="25"/>
  <c r="AS376" i="25"/>
  <c r="AS377" i="25" s="1"/>
  <c r="AN377" i="25"/>
  <c r="AD377" i="25"/>
  <c r="T377" i="25"/>
  <c r="O377" i="25"/>
  <c r="CW376" i="25"/>
  <c r="CX376" i="25"/>
  <c r="CY376" i="25" s="1"/>
  <c r="CZ376" i="25" s="1"/>
  <c r="DA376" i="25" s="1"/>
  <c r="CS376" i="25"/>
  <c r="CI376" i="25"/>
  <c r="CB376" i="25"/>
  <c r="CB377" i="25"/>
  <c r="BY376" i="25"/>
  <c r="BZ376" i="25" s="1"/>
  <c r="CA376" i="25" s="1"/>
  <c r="J376" i="25"/>
  <c r="J377" i="25" s="1"/>
  <c r="I376" i="25"/>
  <c r="I377" i="25" s="1"/>
  <c r="H376" i="25"/>
  <c r="H377" i="25" s="1"/>
  <c r="G376" i="25"/>
  <c r="G377" i="25" s="1"/>
  <c r="F376" i="25"/>
  <c r="F377" i="25" s="1"/>
  <c r="CN376" i="25"/>
  <c r="CM375" i="25"/>
  <c r="CN375" i="25" s="1"/>
  <c r="CO375" i="25" s="1"/>
  <c r="CI375" i="25"/>
  <c r="CJ375" i="25" s="1"/>
  <c r="CK375" i="25" s="1"/>
  <c r="CD375" i="25"/>
  <c r="CD374" i="25"/>
  <c r="CE374" i="25" s="1"/>
  <c r="CF374" i="25" s="1"/>
  <c r="CG374" i="25" s="1"/>
  <c r="CD372" i="25"/>
  <c r="CD271" i="25" s="1"/>
  <c r="CX375" i="25"/>
  <c r="CY375" i="25" s="1"/>
  <c r="CX374" i="25"/>
  <c r="CS375" i="25"/>
  <c r="CT375" i="25" s="1"/>
  <c r="CS374" i="25"/>
  <c r="CO374" i="25"/>
  <c r="CI374" i="25"/>
  <c r="BY375" i="25"/>
  <c r="BZ375" i="25" s="1"/>
  <c r="BY374" i="25"/>
  <c r="DB373" i="25"/>
  <c r="CW373" i="25"/>
  <c r="CV373" i="25"/>
  <c r="CQ373" i="25"/>
  <c r="CL373" i="25"/>
  <c r="CC373" i="25"/>
  <c r="CD373" i="25" s="1"/>
  <c r="CA373" i="25"/>
  <c r="AI373" i="25"/>
  <c r="AI377" i="25" s="1"/>
  <c r="Y373" i="25"/>
  <c r="Y377" i="25" s="1"/>
  <c r="CX372" i="25"/>
  <c r="CY372" i="25" s="1"/>
  <c r="CY271" i="25" s="1"/>
  <c r="CY277" i="25" s="1"/>
  <c r="CS372" i="25"/>
  <c r="CN372" i="25"/>
  <c r="CI372" i="25"/>
  <c r="CE376" i="25"/>
  <c r="BY372" i="25"/>
  <c r="BZ372" i="25" s="1"/>
  <c r="BZ271" i="25" s="1"/>
  <c r="BT375" i="25"/>
  <c r="BT374" i="25"/>
  <c r="BT373" i="25"/>
  <c r="BU373" i="25" s="1"/>
  <c r="BT372" i="25"/>
  <c r="BR372" i="25"/>
  <c r="Y368" i="25"/>
  <c r="Y367" i="25"/>
  <c r="T369" i="25"/>
  <c r="T282" i="25" s="1"/>
  <c r="DB369" i="25"/>
  <c r="DB282" i="25" s="1"/>
  <c r="CW369" i="25"/>
  <c r="CW282" i="25" s="1"/>
  <c r="CR369" i="25"/>
  <c r="CR282" i="25" s="1"/>
  <c r="BW369" i="25"/>
  <c r="BW282" i="25" s="1"/>
  <c r="H369" i="25"/>
  <c r="H282" i="25" s="1"/>
  <c r="G369" i="25"/>
  <c r="G282" i="25" s="1"/>
  <c r="F369" i="25"/>
  <c r="F282" i="25" s="1"/>
  <c r="BX367" i="25"/>
  <c r="BS367" i="25"/>
  <c r="BM367" i="25"/>
  <c r="BM369" i="25" s="1"/>
  <c r="BM282" i="25" s="1"/>
  <c r="BH367" i="25"/>
  <c r="BH369" i="25"/>
  <c r="BH282" i="25" s="1"/>
  <c r="BC367" i="25"/>
  <c r="BC369" i="25" s="1"/>
  <c r="BC282" i="25" s="1"/>
  <c r="AX367" i="25"/>
  <c r="AX369" i="25" s="1"/>
  <c r="AX282" i="25" s="1"/>
  <c r="AS367" i="25"/>
  <c r="AS369" i="25" s="1"/>
  <c r="AS282" i="25" s="1"/>
  <c r="AN367" i="25"/>
  <c r="AN369" i="25"/>
  <c r="AN282" i="25" s="1"/>
  <c r="AI367" i="25"/>
  <c r="AI369" i="25" s="1"/>
  <c r="AI282" i="25" s="1"/>
  <c r="AD367" i="25"/>
  <c r="AD369" i="25" s="1"/>
  <c r="AD282" i="25" s="1"/>
  <c r="O367" i="25"/>
  <c r="O369" i="25"/>
  <c r="O282" i="25" s="1"/>
  <c r="J367" i="25"/>
  <c r="J369" i="25" s="1"/>
  <c r="J282" i="25" s="1"/>
  <c r="CM365" i="25"/>
  <c r="CH365" i="25"/>
  <c r="CI365" i="25" s="1"/>
  <c r="CC365" i="25"/>
  <c r="CB365" i="25"/>
  <c r="CB369" i="25"/>
  <c r="CB282" i="25" s="1"/>
  <c r="BR365" i="25"/>
  <c r="BR369" i="25" s="1"/>
  <c r="BR282" i="25" s="1"/>
  <c r="I364" i="25"/>
  <c r="I369" i="25" s="1"/>
  <c r="CX368" i="25"/>
  <c r="CX367" i="25"/>
  <c r="CX366" i="25"/>
  <c r="CY366" i="25" s="1"/>
  <c r="CZ366" i="25" s="1"/>
  <c r="CX365" i="25"/>
  <c r="CY365" i="25" s="1"/>
  <c r="CZ365" i="25" s="1"/>
  <c r="DA365" i="25" s="1"/>
  <c r="CX364" i="25"/>
  <c r="CX363" i="25"/>
  <c r="CY363" i="25" s="1"/>
  <c r="CZ363" i="25" s="1"/>
  <c r="CS368" i="25"/>
  <c r="CS367" i="25"/>
  <c r="CS366" i="25"/>
  <c r="CS365" i="25"/>
  <c r="CT365" i="25" s="1"/>
  <c r="CU365" i="25" s="1"/>
  <c r="CV365" i="25" s="1"/>
  <c r="CS364" i="25"/>
  <c r="CS363" i="25"/>
  <c r="CT363" i="25" s="1"/>
  <c r="CU363" i="25" s="1"/>
  <c r="CN368" i="25"/>
  <c r="CN367" i="25"/>
  <c r="CO367" i="25" s="1"/>
  <c r="CP367" i="25" s="1"/>
  <c r="CN366" i="25"/>
  <c r="CN364" i="25"/>
  <c r="CN363" i="25"/>
  <c r="CI368" i="25"/>
  <c r="CJ368" i="25" s="1"/>
  <c r="CK368" i="25" s="1"/>
  <c r="CI367" i="25"/>
  <c r="CJ367" i="25" s="1"/>
  <c r="CK367" i="25" s="1"/>
  <c r="CL367" i="25" s="1"/>
  <c r="CI366" i="25"/>
  <c r="CJ366" i="25" s="1"/>
  <c r="CI364" i="25"/>
  <c r="CI363" i="25"/>
  <c r="CJ363" i="25" s="1"/>
  <c r="CD368" i="25"/>
  <c r="CE368" i="25" s="1"/>
  <c r="CD367" i="25"/>
  <c r="CD366" i="25"/>
  <c r="CD364" i="25"/>
  <c r="CE364" i="25" s="1"/>
  <c r="CF364" i="25" s="1"/>
  <c r="CD363" i="25"/>
  <c r="BY368" i="25"/>
  <c r="BY366" i="25"/>
  <c r="BY365" i="25"/>
  <c r="BZ365" i="25" s="1"/>
  <c r="BY364" i="25"/>
  <c r="BZ364" i="25" s="1"/>
  <c r="BY363" i="25"/>
  <c r="BZ363" i="25" s="1"/>
  <c r="BT368" i="25"/>
  <c r="BU368" i="25" s="1"/>
  <c r="BV368" i="25" s="1"/>
  <c r="BT366" i="25"/>
  <c r="BT365" i="25"/>
  <c r="BU365" i="25" s="1"/>
  <c r="BV365" i="25" s="1"/>
  <c r="BT364" i="25"/>
  <c r="BU364" i="25" s="1"/>
  <c r="BT363" i="25"/>
  <c r="DB362" i="25"/>
  <c r="CW362" i="25"/>
  <c r="CS362" i="25"/>
  <c r="CT362" i="25" s="1"/>
  <c r="CC362" i="25"/>
  <c r="CD362" i="25"/>
  <c r="CE362" i="25" s="1"/>
  <c r="CB362" i="25"/>
  <c r="BY362" i="25"/>
  <c r="BZ362" i="25" s="1"/>
  <c r="BW362" i="25"/>
  <c r="BT362" i="25"/>
  <c r="BU362" i="25" s="1"/>
  <c r="BV362" i="25" s="1"/>
  <c r="BR362" i="25"/>
  <c r="BM362" i="25"/>
  <c r="BH362" i="25"/>
  <c r="BC362" i="25"/>
  <c r="AX362" i="25"/>
  <c r="AS362" i="25"/>
  <c r="AN362" i="25"/>
  <c r="AI362" i="25"/>
  <c r="AD362" i="25"/>
  <c r="T362" i="25"/>
  <c r="O362" i="25"/>
  <c r="J362" i="25"/>
  <c r="H362" i="25"/>
  <c r="BS361" i="25"/>
  <c r="DF359" i="25"/>
  <c r="CX361" i="25"/>
  <c r="CY361" i="25" s="1"/>
  <c r="CX360" i="25"/>
  <c r="CS361" i="25"/>
  <c r="CT361" i="25" s="1"/>
  <c r="CU361" i="25" s="1"/>
  <c r="CV361" i="25" s="1"/>
  <c r="CS360" i="25"/>
  <c r="CN362" i="25"/>
  <c r="CO362" i="25" s="1"/>
  <c r="CP362" i="25" s="1"/>
  <c r="CN361" i="25"/>
  <c r="CN360" i="25"/>
  <c r="CO360" i="25" s="1"/>
  <c r="CI362" i="25"/>
  <c r="CI361" i="25"/>
  <c r="CJ361" i="25" s="1"/>
  <c r="CK361" i="25" s="1"/>
  <c r="CL361" i="25" s="1"/>
  <c r="CI360" i="25"/>
  <c r="CJ360" i="25" s="1"/>
  <c r="CK360" i="25" s="1"/>
  <c r="CD361" i="25"/>
  <c r="CD360" i="25"/>
  <c r="CE360" i="25" s="1"/>
  <c r="BY361" i="25"/>
  <c r="BZ361" i="25" s="1"/>
  <c r="BY360" i="25"/>
  <c r="BT360" i="25"/>
  <c r="BU360" i="25" s="1"/>
  <c r="BV360" i="25" s="1"/>
  <c r="DA359" i="25"/>
  <c r="CV359" i="25"/>
  <c r="CQ359" i="25"/>
  <c r="CL359" i="25"/>
  <c r="CG359" i="25"/>
  <c r="CA359" i="25"/>
  <c r="CA357" i="25"/>
  <c r="AX359" i="25"/>
  <c r="BW358" i="25"/>
  <c r="BW281" i="25" s="1"/>
  <c r="BT358" i="25"/>
  <c r="BT78" i="25" s="1"/>
  <c r="BR358" i="25"/>
  <c r="AI358" i="25"/>
  <c r="AI272" i="25" s="1"/>
  <c r="AD358" i="25"/>
  <c r="AD281" i="25" s="1"/>
  <c r="J358" i="25"/>
  <c r="J281" i="25" s="1"/>
  <c r="I358" i="25"/>
  <c r="H358" i="25"/>
  <c r="H281" i="25" s="1"/>
  <c r="G358" i="25"/>
  <c r="G272" i="25" s="1"/>
  <c r="F358" i="25"/>
  <c r="F272" i="25" s="1"/>
  <c r="DB357" i="25"/>
  <c r="DC357" i="25" s="1"/>
  <c r="CW357" i="25"/>
  <c r="CX357" i="25" s="1"/>
  <c r="CM357" i="25"/>
  <c r="CH357" i="25"/>
  <c r="CC357" i="25"/>
  <c r="BX357" i="25"/>
  <c r="BV357" i="25"/>
  <c r="BU357" i="25"/>
  <c r="BT357" i="25"/>
  <c r="BS357" i="25"/>
  <c r="CX358" i="25"/>
  <c r="CX281" i="25" s="1"/>
  <c r="CS358" i="25"/>
  <c r="CS357" i="25"/>
  <c r="CT357" i="25" s="1"/>
  <c r="CU357" i="25" s="1"/>
  <c r="CV357" i="25" s="1"/>
  <c r="CN358" i="25"/>
  <c r="CN272" i="25" s="1"/>
  <c r="CN274" i="25" s="1"/>
  <c r="CP357" i="25"/>
  <c r="CO357" i="25"/>
  <c r="CN357" i="25"/>
  <c r="CI358" i="25"/>
  <c r="CJ358" i="25" s="1"/>
  <c r="CK357" i="25"/>
  <c r="CJ357" i="25"/>
  <c r="CI357" i="25"/>
  <c r="CD358" i="25"/>
  <c r="CD272" i="25" s="1"/>
  <c r="CF357" i="25"/>
  <c r="CE357" i="25"/>
  <c r="CD357" i="25"/>
  <c r="BY358" i="25"/>
  <c r="BZ357" i="25"/>
  <c r="BY357" i="25"/>
  <c r="BT356" i="25"/>
  <c r="BU356" i="25" s="1"/>
  <c r="BV356" i="25" s="1"/>
  <c r="E354" i="25"/>
  <c r="F354" i="25" s="1"/>
  <c r="G354" i="25" s="1"/>
  <c r="H354" i="25" s="1"/>
  <c r="I354" i="25" s="1"/>
  <c r="J354" i="25" s="1"/>
  <c r="O354" i="25" s="1"/>
  <c r="T354" i="25" s="1"/>
  <c r="Y354" i="25" s="1"/>
  <c r="AD354" i="25" s="1"/>
  <c r="AI354" i="25" s="1"/>
  <c r="AN354" i="25" s="1"/>
  <c r="AS354" i="25" s="1"/>
  <c r="AX354" i="25" s="1"/>
  <c r="BC354" i="25" s="1"/>
  <c r="BH354" i="25" s="1"/>
  <c r="BM354" i="25" s="1"/>
  <c r="BR354" i="25" s="1"/>
  <c r="BW354" i="25" s="1"/>
  <c r="CB354" i="25" s="1"/>
  <c r="CG354" i="25" s="1"/>
  <c r="CL354" i="25" s="1"/>
  <c r="CQ354" i="25" s="1"/>
  <c r="CV354" i="25" s="1"/>
  <c r="DA354" i="25" s="1"/>
  <c r="DF354" i="25" s="1"/>
  <c r="DK354" i="25" s="1"/>
  <c r="DP354" i="25" s="1"/>
  <c r="DU354" i="25" s="1"/>
  <c r="DZ354" i="25" s="1"/>
  <c r="EE354" i="25" s="1"/>
  <c r="CE348" i="25"/>
  <c r="BH343" i="25"/>
  <c r="BC343" i="25"/>
  <c r="AX343" i="25"/>
  <c r="AS343" i="25"/>
  <c r="AN343" i="25"/>
  <c r="DC341" i="25"/>
  <c r="DC257" i="25" s="1"/>
  <c r="DB341" i="25"/>
  <c r="DB257" i="25" s="1"/>
  <c r="CZ341" i="25"/>
  <c r="CZ257" i="25" s="1"/>
  <c r="CY341" i="25"/>
  <c r="CY257" i="25" s="1"/>
  <c r="CX341" i="25"/>
  <c r="CX257" i="25" s="1"/>
  <c r="CU341" i="25"/>
  <c r="CU257" i="25" s="1"/>
  <c r="CT341" i="25"/>
  <c r="CT257" i="25" s="1"/>
  <c r="CS341" i="25"/>
  <c r="CS257" i="25" s="1"/>
  <c r="CR341" i="25"/>
  <c r="CR257" i="25" s="1"/>
  <c r="CP341" i="25"/>
  <c r="CP257" i="25" s="1"/>
  <c r="CO341" i="25"/>
  <c r="CO257" i="25" s="1"/>
  <c r="CN341" i="25"/>
  <c r="CN257" i="25" s="1"/>
  <c r="CM341" i="25"/>
  <c r="CM257" i="25" s="1"/>
  <c r="CK341" i="25"/>
  <c r="CK257" i="25" s="1"/>
  <c r="CJ341" i="25"/>
  <c r="CJ257" i="25" s="1"/>
  <c r="CI341" i="25"/>
  <c r="CI257" i="25" s="1"/>
  <c r="CH341" i="25"/>
  <c r="CH257" i="25" s="1"/>
  <c r="CF341" i="25"/>
  <c r="CF257" i="25" s="1"/>
  <c r="CE341" i="25"/>
  <c r="CE257" i="25" s="1"/>
  <c r="CD341" i="25"/>
  <c r="CD257" i="25" s="1"/>
  <c r="CC341" i="25"/>
  <c r="CB341" i="25"/>
  <c r="CA341" i="25"/>
  <c r="CA257" i="25" s="1"/>
  <c r="BZ341" i="25"/>
  <c r="BZ257" i="25" s="1"/>
  <c r="BY341" i="25"/>
  <c r="BY257" i="25" s="1"/>
  <c r="BV341" i="25"/>
  <c r="BV257" i="25" s="1"/>
  <c r="BU341" i="25"/>
  <c r="BU257" i="25" s="1"/>
  <c r="BT341" i="25"/>
  <c r="BT257" i="25" s="1"/>
  <c r="J341" i="25"/>
  <c r="I341" i="25"/>
  <c r="H341" i="25"/>
  <c r="G341" i="25"/>
  <c r="F341" i="25"/>
  <c r="CL339" i="25"/>
  <c r="CK339" i="25"/>
  <c r="CJ339" i="25"/>
  <c r="CI339" i="25"/>
  <c r="CG339" i="25"/>
  <c r="CE339" i="25"/>
  <c r="CD339" i="25"/>
  <c r="CB339" i="25"/>
  <c r="BZ339" i="25"/>
  <c r="BY339" i="25"/>
  <c r="BW339" i="25"/>
  <c r="BR339" i="25"/>
  <c r="BM339" i="25"/>
  <c r="BH339" i="25"/>
  <c r="BC339" i="25"/>
  <c r="AX339" i="25"/>
  <c r="AS339" i="25"/>
  <c r="AN339" i="25"/>
  <c r="AI339" i="25"/>
  <c r="AD339" i="25"/>
  <c r="Y339" i="25"/>
  <c r="T339" i="25"/>
  <c r="O339" i="25"/>
  <c r="DB339" i="25"/>
  <c r="CZ339" i="25"/>
  <c r="CY339" i="25"/>
  <c r="CX339" i="25"/>
  <c r="CW339" i="25"/>
  <c r="CU339" i="25"/>
  <c r="CT339" i="25"/>
  <c r="CS339" i="25"/>
  <c r="CR339" i="25"/>
  <c r="CP339" i="25"/>
  <c r="CO339" i="25"/>
  <c r="CN339" i="25"/>
  <c r="BZ338" i="25"/>
  <c r="J339" i="25"/>
  <c r="I339" i="25"/>
  <c r="H339" i="25"/>
  <c r="G339" i="25"/>
  <c r="BM335" i="25"/>
  <c r="BH335" i="25"/>
  <c r="BC335" i="25"/>
  <c r="AX335" i="25"/>
  <c r="AS335" i="25"/>
  <c r="AN335" i="25"/>
  <c r="AI335" i="25"/>
  <c r="AD335" i="25"/>
  <c r="Y335" i="25"/>
  <c r="T335" i="25"/>
  <c r="O335" i="25"/>
  <c r="CZ335" i="25"/>
  <c r="CY335" i="25"/>
  <c r="CX335" i="25"/>
  <c r="CU335" i="25"/>
  <c r="CT335" i="25"/>
  <c r="CS335" i="25"/>
  <c r="CP335" i="25"/>
  <c r="CO335" i="25"/>
  <c r="CN335" i="25"/>
  <c r="CM335" i="25"/>
  <c r="CL335" i="25"/>
  <c r="CK335" i="25"/>
  <c r="CJ335" i="25"/>
  <c r="CI335" i="25"/>
  <c r="CH335" i="25"/>
  <c r="CG335" i="25"/>
  <c r="CF335" i="25"/>
  <c r="CE335" i="25"/>
  <c r="CD335" i="25"/>
  <c r="CC335" i="25"/>
  <c r="CB335" i="25"/>
  <c r="BZ335" i="25"/>
  <c r="BY335" i="25"/>
  <c r="BX335" i="25"/>
  <c r="BW335" i="25"/>
  <c r="BU335" i="25"/>
  <c r="BT335" i="25"/>
  <c r="BS335" i="25"/>
  <c r="BR335" i="25"/>
  <c r="J335" i="25"/>
  <c r="I335" i="25"/>
  <c r="H335" i="25"/>
  <c r="G335" i="25"/>
  <c r="F335" i="25"/>
  <c r="H334" i="25"/>
  <c r="CE327" i="25"/>
  <c r="BM307" i="25"/>
  <c r="BH307" i="25"/>
  <c r="BC307" i="25"/>
  <c r="AX307" i="25"/>
  <c r="AS307" i="25"/>
  <c r="AN307" i="25"/>
  <c r="AI307" i="25"/>
  <c r="AD307" i="25"/>
  <c r="O307" i="25"/>
  <c r="BU315" i="25"/>
  <c r="BT315" i="25"/>
  <c r="BS315" i="25"/>
  <c r="DB307" i="25"/>
  <c r="CZ307" i="25"/>
  <c r="CZ308" i="25" s="1"/>
  <c r="CY307" i="25"/>
  <c r="CY308" i="25" s="1"/>
  <c r="CX307" i="25"/>
  <c r="CW307" i="25"/>
  <c r="CU307" i="25"/>
  <c r="CU308" i="25" s="1"/>
  <c r="CT307" i="25"/>
  <c r="CT308" i="25" s="1"/>
  <c r="CS307" i="25"/>
  <c r="CR307" i="25"/>
  <c r="CP307" i="25"/>
  <c r="CP308" i="25" s="1"/>
  <c r="CO307" i="25"/>
  <c r="CN307" i="25"/>
  <c r="CM307" i="25"/>
  <c r="CL307" i="25"/>
  <c r="CK307" i="25"/>
  <c r="CJ307" i="25"/>
  <c r="CI307" i="25"/>
  <c r="CH307" i="25"/>
  <c r="CG307" i="25"/>
  <c r="CF307" i="25"/>
  <c r="CE307" i="25"/>
  <c r="CE308" i="25" s="1"/>
  <c r="CD307" i="25"/>
  <c r="CC307" i="25"/>
  <c r="CB307" i="25"/>
  <c r="BZ307" i="25"/>
  <c r="BZ308" i="25" s="1"/>
  <c r="BY307" i="25"/>
  <c r="BX307" i="25"/>
  <c r="BX308" i="25" s="1"/>
  <c r="BW307" i="25"/>
  <c r="BU307" i="25"/>
  <c r="BT307" i="25"/>
  <c r="BS307" i="25"/>
  <c r="BS308" i="25" s="1"/>
  <c r="BR307" i="25"/>
  <c r="J315" i="25"/>
  <c r="I315" i="25"/>
  <c r="H315" i="25"/>
  <c r="J307" i="25"/>
  <c r="H307" i="25"/>
  <c r="H308" i="25" s="1"/>
  <c r="G307" i="25"/>
  <c r="F307" i="25"/>
  <c r="F308" i="25" s="1"/>
  <c r="CP304" i="25"/>
  <c r="CM304" i="25"/>
  <c r="BW302" i="25"/>
  <c r="BW301" i="25"/>
  <c r="BR302" i="25"/>
  <c r="BR301" i="25"/>
  <c r="BR300" i="25" s="1"/>
  <c r="BM302" i="25"/>
  <c r="BM301" i="25"/>
  <c r="BM300" i="25" s="1"/>
  <c r="CZ303" i="25"/>
  <c r="CU303" i="25"/>
  <c r="CS303" i="25"/>
  <c r="CR303" i="25"/>
  <c r="CP303" i="25"/>
  <c r="CN303" i="25"/>
  <c r="CM303" i="25"/>
  <c r="CK303" i="25"/>
  <c r="CJ303" i="25"/>
  <c r="CI303" i="25"/>
  <c r="CH303" i="25"/>
  <c r="CB302" i="25"/>
  <c r="CB301" i="25"/>
  <c r="BH302" i="25"/>
  <c r="BH301" i="25"/>
  <c r="CW302" i="25"/>
  <c r="CW286" i="25" s="1"/>
  <c r="CR302" i="25"/>
  <c r="CR286" i="25" s="1"/>
  <c r="CM302" i="25"/>
  <c r="CH302" i="25"/>
  <c r="CH301" i="25" s="1"/>
  <c r="CC302" i="25"/>
  <c r="CZ301" i="25"/>
  <c r="CZ302" i="25" s="1"/>
  <c r="CZ286" i="25" s="1"/>
  <c r="CY301" i="25"/>
  <c r="CX301" i="25"/>
  <c r="CW301" i="25"/>
  <c r="CU301" i="25"/>
  <c r="CT301" i="25"/>
  <c r="CS301" i="25"/>
  <c r="CR301" i="25"/>
  <c r="CP301" i="25"/>
  <c r="CO301" i="25"/>
  <c r="CN301" i="25"/>
  <c r="CM301" i="25"/>
  <c r="CF301" i="25"/>
  <c r="CE301" i="25"/>
  <c r="CD301" i="25"/>
  <c r="CC301" i="25"/>
  <c r="DC300" i="25"/>
  <c r="DH303" i="25" s="1"/>
  <c r="CW300" i="25"/>
  <c r="DB303" i="25" s="1"/>
  <c r="CV300" i="25"/>
  <c r="CS298" i="25"/>
  <c r="CR298" i="25"/>
  <c r="CB298" i="25"/>
  <c r="BW298" i="25"/>
  <c r="DF297" i="25"/>
  <c r="DF295" i="25"/>
  <c r="DA295" i="25"/>
  <c r="CZ296" i="25"/>
  <c r="CZ298" i="25" s="1"/>
  <c r="CY296" i="25"/>
  <c r="CI296" i="25"/>
  <c r="CH296" i="25"/>
  <c r="CO295" i="25"/>
  <c r="CP295" i="25" s="1"/>
  <c r="CM295" i="25"/>
  <c r="CM296" i="25" s="1"/>
  <c r="CB294" i="25"/>
  <c r="CB295" i="25" s="1"/>
  <c r="BW294" i="25"/>
  <c r="BW295" i="25" s="1"/>
  <c r="BR294" i="25"/>
  <c r="BR295" i="25" s="1"/>
  <c r="BM294" i="25"/>
  <c r="BM295" i="25" s="1"/>
  <c r="BH294" i="25"/>
  <c r="BH295" i="25" s="1"/>
  <c r="DB294" i="25"/>
  <c r="DB296" i="25" s="1"/>
  <c r="DB298" i="25" s="1"/>
  <c r="DB54" i="25" s="1"/>
  <c r="CW294" i="25"/>
  <c r="CR294" i="25"/>
  <c r="CN294" i="25"/>
  <c r="CJ294" i="25"/>
  <c r="CC294" i="25"/>
  <c r="CC296" i="25" s="1"/>
  <c r="BX294" i="25"/>
  <c r="BC294" i="25"/>
  <c r="AX294" i="25"/>
  <c r="AS294" i="25"/>
  <c r="AN294" i="25"/>
  <c r="AI294" i="25"/>
  <c r="AD294" i="25"/>
  <c r="Y294" i="25"/>
  <c r="T294" i="25"/>
  <c r="O294" i="25"/>
  <c r="J294" i="25"/>
  <c r="I294" i="25"/>
  <c r="H294" i="25"/>
  <c r="G294" i="25"/>
  <c r="F294" i="25"/>
  <c r="BM286" i="25"/>
  <c r="BH286" i="25"/>
  <c r="BC286" i="25"/>
  <c r="AX286" i="25"/>
  <c r="AS286" i="25"/>
  <c r="AN286" i="25"/>
  <c r="AI286" i="25"/>
  <c r="AD286" i="25"/>
  <c r="Y286" i="25"/>
  <c r="T286" i="25"/>
  <c r="O286" i="25"/>
  <c r="CM286" i="25"/>
  <c r="CH286" i="25"/>
  <c r="CC286" i="25"/>
  <c r="CB286" i="25"/>
  <c r="BX286" i="25"/>
  <c r="BW286" i="25"/>
  <c r="BS286" i="25"/>
  <c r="BR286" i="25"/>
  <c r="J286" i="25"/>
  <c r="I286" i="25"/>
  <c r="H286" i="25"/>
  <c r="G286" i="25"/>
  <c r="F286" i="25"/>
  <c r="BM283" i="25"/>
  <c r="BC283" i="25"/>
  <c r="BC281" i="25"/>
  <c r="AX283" i="25"/>
  <c r="AX281" i="25"/>
  <c r="AS283" i="25"/>
  <c r="AS281" i="25"/>
  <c r="AN283" i="25"/>
  <c r="AN281" i="25"/>
  <c r="AI283" i="25"/>
  <c r="AD283" i="25"/>
  <c r="Y283" i="25"/>
  <c r="T283" i="25"/>
  <c r="O283" i="25"/>
  <c r="DB283" i="25"/>
  <c r="CW283" i="25"/>
  <c r="CR283" i="25"/>
  <c r="CM283" i="25"/>
  <c r="CH283" i="25"/>
  <c r="CC283" i="25"/>
  <c r="CB283" i="25"/>
  <c r="BX283" i="25"/>
  <c r="BW283" i="25"/>
  <c r="BS283" i="25"/>
  <c r="DB281" i="25"/>
  <c r="CW281" i="25"/>
  <c r="CR281" i="25"/>
  <c r="CM281" i="25"/>
  <c r="CH281" i="25"/>
  <c r="CC281" i="25"/>
  <c r="CB281" i="25"/>
  <c r="BX281" i="25"/>
  <c r="BS281" i="25"/>
  <c r="J283" i="25"/>
  <c r="I283" i="25"/>
  <c r="H283" i="25"/>
  <c r="G283" i="25"/>
  <c r="F283" i="25"/>
  <c r="BM273" i="25"/>
  <c r="BM271" i="25"/>
  <c r="BH273" i="25"/>
  <c r="BC271" i="25"/>
  <c r="AX271" i="25"/>
  <c r="AS272" i="25"/>
  <c r="AS271" i="25"/>
  <c r="AN272" i="25"/>
  <c r="AN276" i="25" s="1"/>
  <c r="AN271" i="25"/>
  <c r="AI271" i="25"/>
  <c r="AD271" i="25"/>
  <c r="Y273" i="25"/>
  <c r="Y271" i="25"/>
  <c r="T273" i="25"/>
  <c r="T271" i="25"/>
  <c r="O273" i="25"/>
  <c r="O271" i="25"/>
  <c r="F271" i="25"/>
  <c r="DC273" i="25"/>
  <c r="DB273" i="25"/>
  <c r="CZ273" i="25"/>
  <c r="CY273" i="25"/>
  <c r="CW273" i="25"/>
  <c r="CU273" i="25"/>
  <c r="CT273" i="25"/>
  <c r="CS273" i="25"/>
  <c r="CR273" i="25"/>
  <c r="CQ273" i="25"/>
  <c r="CP273" i="25"/>
  <c r="CO273" i="25"/>
  <c r="CN273" i="25"/>
  <c r="CM273" i="25"/>
  <c r="CL273" i="25"/>
  <c r="CK273" i="25"/>
  <c r="CJ273" i="25"/>
  <c r="CI273" i="25"/>
  <c r="CH273" i="25"/>
  <c r="CG273" i="25"/>
  <c r="CF273" i="25"/>
  <c r="CE273" i="25"/>
  <c r="CD273" i="25"/>
  <c r="CB273" i="25"/>
  <c r="CA273" i="25"/>
  <c r="BZ273" i="25"/>
  <c r="BY273" i="25"/>
  <c r="BW273" i="25"/>
  <c r="BV273" i="25"/>
  <c r="BU273" i="25"/>
  <c r="BT273" i="25"/>
  <c r="BS273" i="25"/>
  <c r="BR273" i="25"/>
  <c r="DB272" i="25"/>
  <c r="CW272" i="25"/>
  <c r="CR272" i="25"/>
  <c r="CR274" i="25" s="1"/>
  <c r="CM272" i="25"/>
  <c r="CH272" i="25"/>
  <c r="CC272" i="25"/>
  <c r="CB272" i="25"/>
  <c r="BX272" i="25"/>
  <c r="BS272" i="25"/>
  <c r="DB271" i="25"/>
  <c r="CX271" i="25"/>
  <c r="CW271" i="25"/>
  <c r="CR271" i="25"/>
  <c r="CM271" i="25"/>
  <c r="CH271" i="25"/>
  <c r="CC271" i="25"/>
  <c r="CB271" i="25"/>
  <c r="BX271" i="25"/>
  <c r="BW271" i="25"/>
  <c r="BS271" i="25"/>
  <c r="J273" i="25"/>
  <c r="I273" i="25"/>
  <c r="H273" i="25"/>
  <c r="G273" i="25"/>
  <c r="J271" i="25"/>
  <c r="I271" i="25"/>
  <c r="H271" i="25"/>
  <c r="H277" i="25" s="1"/>
  <c r="G271" i="25"/>
  <c r="BH257" i="25"/>
  <c r="BC257" i="25"/>
  <c r="BC254" i="25"/>
  <c r="AX257" i="25"/>
  <c r="AX254" i="25"/>
  <c r="AS257" i="25"/>
  <c r="AN257" i="25"/>
  <c r="AN254" i="25"/>
  <c r="CC257" i="25"/>
  <c r="CZ254" i="25"/>
  <c r="CY254" i="25"/>
  <c r="CX254" i="25"/>
  <c r="CW254" i="25"/>
  <c r="CU254" i="25"/>
  <c r="CR254" i="25"/>
  <c r="CL254" i="25"/>
  <c r="CH254" i="25"/>
  <c r="CG254" i="25"/>
  <c r="BW254" i="25"/>
  <c r="BU251" i="25"/>
  <c r="BT251" i="25"/>
  <c r="BS251" i="25"/>
  <c r="AN247" i="25"/>
  <c r="AI247" i="25"/>
  <c r="AD247" i="25"/>
  <c r="Y247" i="25"/>
  <c r="T247" i="25"/>
  <c r="DB247" i="25"/>
  <c r="CZ247" i="25"/>
  <c r="CY247" i="25"/>
  <c r="CX247" i="25"/>
  <c r="CW247" i="25"/>
  <c r="CU247" i="25"/>
  <c r="CL247" i="25"/>
  <c r="CG247" i="25"/>
  <c r="BU247" i="25"/>
  <c r="BT247" i="25"/>
  <c r="BS247" i="25"/>
  <c r="O247" i="25"/>
  <c r="J247" i="25"/>
  <c r="H247" i="25"/>
  <c r="G247" i="25"/>
  <c r="F247" i="25"/>
  <c r="BM240" i="25"/>
  <c r="BH240" i="25"/>
  <c r="BC240" i="25"/>
  <c r="BC238" i="25"/>
  <c r="AX240" i="25"/>
  <c r="AX238" i="25"/>
  <c r="AS240" i="25"/>
  <c r="AN240" i="25"/>
  <c r="AN238" i="25"/>
  <c r="AI240" i="25"/>
  <c r="AI238" i="25"/>
  <c r="AI315" i="25" s="1"/>
  <c r="DA236" i="25"/>
  <c r="DA235" i="25"/>
  <c r="DA234" i="25"/>
  <c r="DA238" i="25" s="1"/>
  <c r="DA233" i="25"/>
  <c r="DA232" i="25"/>
  <c r="CV237" i="25"/>
  <c r="CV236" i="25"/>
  <c r="CV235" i="25"/>
  <c r="CV234" i="25"/>
  <c r="CV233" i="25"/>
  <c r="CV232" i="25"/>
  <c r="CH240" i="25"/>
  <c r="CC240" i="25"/>
  <c r="CB240" i="25"/>
  <c r="BW240" i="25"/>
  <c r="BW238" i="25"/>
  <c r="BW251" i="25" s="1"/>
  <c r="BR240" i="25"/>
  <c r="AD238" i="25"/>
  <c r="CU238" i="25"/>
  <c r="CU251" i="25" s="1"/>
  <c r="CO238" i="25"/>
  <c r="CO251" i="25"/>
  <c r="CN238" i="25"/>
  <c r="CN251" i="25" s="1"/>
  <c r="CL238" i="25"/>
  <c r="CL251" i="25" s="1"/>
  <c r="CH238" i="25"/>
  <c r="CG238" i="25"/>
  <c r="BV237" i="25"/>
  <c r="CZ237" i="25"/>
  <c r="DA237" i="25" s="1"/>
  <c r="CY237" i="25"/>
  <c r="CY238" i="25" s="1"/>
  <c r="CY251" i="25" s="1"/>
  <c r="CX237" i="25"/>
  <c r="CX238" i="25" s="1"/>
  <c r="CA237" i="25"/>
  <c r="BS237" i="25"/>
  <c r="CW236" i="25"/>
  <c r="CW238" i="25" s="1"/>
  <c r="CT236" i="25"/>
  <c r="CS236" i="25"/>
  <c r="CR236" i="25"/>
  <c r="CR238" i="25" s="1"/>
  <c r="CA235" i="25"/>
  <c r="BV235" i="25"/>
  <c r="BR235" i="25"/>
  <c r="BM235" i="25"/>
  <c r="BH235" i="25"/>
  <c r="AS235" i="25"/>
  <c r="AS238" i="25" s="1"/>
  <c r="Y235" i="25"/>
  <c r="Y238" i="25" s="1"/>
  <c r="T235" i="25"/>
  <c r="T238" i="25"/>
  <c r="CM233" i="25"/>
  <c r="CK233" i="25"/>
  <c r="CJ233" i="25"/>
  <c r="CI233" i="25"/>
  <c r="CI254" i="25" s="1"/>
  <c r="CD233" i="25"/>
  <c r="CA233" i="25"/>
  <c r="BV233" i="25"/>
  <c r="BV232" i="25"/>
  <c r="BS233" i="25"/>
  <c r="CS232" i="25"/>
  <c r="CS238" i="25" s="1"/>
  <c r="CS251" i="25" s="1"/>
  <c r="CO234" i="25"/>
  <c r="CP234" i="25" s="1"/>
  <c r="CQ234" i="25" s="1"/>
  <c r="CO232" i="25"/>
  <c r="CF232" i="25"/>
  <c r="CE232" i="25"/>
  <c r="CE254" i="25" s="1"/>
  <c r="CC232" i="25"/>
  <c r="CC254" i="25" s="1"/>
  <c r="CB232" i="25"/>
  <c r="CA232" i="25" s="1"/>
  <c r="BX232" i="25"/>
  <c r="BH232" i="25"/>
  <c r="BH238" i="25" s="1"/>
  <c r="BM229" i="25"/>
  <c r="BH229" i="25"/>
  <c r="BC229" i="25"/>
  <c r="AX229" i="25"/>
  <c r="AS229" i="25"/>
  <c r="AN229" i="25"/>
  <c r="AI229" i="25"/>
  <c r="AD229" i="25"/>
  <c r="Y229" i="25"/>
  <c r="T229" i="25"/>
  <c r="O229" i="25"/>
  <c r="DA229" i="25"/>
  <c r="DA228" i="25"/>
  <c r="DA227" i="25"/>
  <c r="CV229" i="25"/>
  <c r="CV228" i="25"/>
  <c r="CV227" i="25"/>
  <c r="CQ229" i="25"/>
  <c r="CQ228" i="25"/>
  <c r="CQ227" i="25"/>
  <c r="CA229" i="25"/>
  <c r="CA228" i="25"/>
  <c r="CA227" i="25"/>
  <c r="BV229" i="25"/>
  <c r="BV347" i="25" s="1"/>
  <c r="BV228" i="25"/>
  <c r="BV227" i="25"/>
  <c r="BR229" i="25"/>
  <c r="J229" i="25"/>
  <c r="I229" i="25"/>
  <c r="H229" i="25"/>
  <c r="G229" i="25"/>
  <c r="F229" i="25"/>
  <c r="DB225" i="25"/>
  <c r="DB230" i="25" s="1"/>
  <c r="CZ225" i="25"/>
  <c r="CY225" i="25"/>
  <c r="CX225" i="25"/>
  <c r="CX230" i="25" s="1"/>
  <c r="CW225" i="25"/>
  <c r="CW230" i="25" s="1"/>
  <c r="CU225" i="25"/>
  <c r="CT225" i="25"/>
  <c r="CT230" i="25" s="1"/>
  <c r="CS225" i="25"/>
  <c r="CS230" i="25" s="1"/>
  <c r="CR225" i="25"/>
  <c r="CR230" i="25" s="1"/>
  <c r="CP225" i="25"/>
  <c r="CP230" i="25" s="1"/>
  <c r="CO225" i="25"/>
  <c r="CO230" i="25" s="1"/>
  <c r="CN225" i="25"/>
  <c r="CN230" i="25" s="1"/>
  <c r="CN239" i="25" s="1"/>
  <c r="CM225" i="25"/>
  <c r="CM230" i="25" s="1"/>
  <c r="CL225" i="25"/>
  <c r="CK225" i="25"/>
  <c r="CK230" i="25" s="1"/>
  <c r="CJ225" i="25"/>
  <c r="CJ230" i="25" s="1"/>
  <c r="CI225" i="25"/>
  <c r="CI230" i="25" s="1"/>
  <c r="CH225" i="25"/>
  <c r="CH230" i="25"/>
  <c r="CH239" i="25" s="1"/>
  <c r="CG225" i="25"/>
  <c r="CF225" i="25"/>
  <c r="CF230" i="25" s="1"/>
  <c r="CE225" i="25"/>
  <c r="CE230" i="25" s="1"/>
  <c r="CD225" i="25"/>
  <c r="CD230" i="25" s="1"/>
  <c r="CC225" i="25"/>
  <c r="CC230" i="25" s="1"/>
  <c r="CB225" i="25"/>
  <c r="CB230" i="25" s="1"/>
  <c r="BZ225" i="25"/>
  <c r="BZ230" i="25" s="1"/>
  <c r="BY225" i="25"/>
  <c r="BY230" i="25" s="1"/>
  <c r="BX225" i="25"/>
  <c r="BX230" i="25" s="1"/>
  <c r="BW225" i="25"/>
  <c r="BW230" i="25" s="1"/>
  <c r="BW239" i="25" s="1"/>
  <c r="BV239" i="25" s="1"/>
  <c r="BU225" i="25"/>
  <c r="BT225" i="25"/>
  <c r="BS225" i="25"/>
  <c r="BS311" i="25" s="1"/>
  <c r="BR225" i="25"/>
  <c r="BM225" i="25"/>
  <c r="BH225" i="25"/>
  <c r="BH230" i="25" s="1"/>
  <c r="BC225" i="25"/>
  <c r="AX225" i="25"/>
  <c r="AS225" i="25"/>
  <c r="AN225" i="25"/>
  <c r="AI225" i="25"/>
  <c r="AD225" i="25"/>
  <c r="O225" i="25"/>
  <c r="J225" i="25"/>
  <c r="H225" i="25"/>
  <c r="G225" i="25"/>
  <c r="F225" i="25"/>
  <c r="DA224" i="25"/>
  <c r="DA223" i="25"/>
  <c r="CV224" i="25"/>
  <c r="CV223" i="25"/>
  <c r="CQ224" i="25"/>
  <c r="CQ223" i="25"/>
  <c r="CA224" i="25"/>
  <c r="BV224" i="25"/>
  <c r="DF223" i="25"/>
  <c r="DA221" i="25"/>
  <c r="DA220" i="25"/>
  <c r="DA219" i="25"/>
  <c r="CV221" i="25"/>
  <c r="CV220" i="25"/>
  <c r="CV219" i="25"/>
  <c r="CQ221" i="25"/>
  <c r="CQ220" i="25"/>
  <c r="CQ219" i="25"/>
  <c r="CA221" i="25"/>
  <c r="CA220" i="25"/>
  <c r="CA219" i="25"/>
  <c r="BV221" i="25"/>
  <c r="BV220" i="25"/>
  <c r="BV320" i="25" s="1"/>
  <c r="BV219" i="25"/>
  <c r="Y221" i="25"/>
  <c r="T221" i="25"/>
  <c r="I221" i="25"/>
  <c r="I225" i="25" s="1"/>
  <c r="I230" i="25" s="1"/>
  <c r="I239" i="25" s="1"/>
  <c r="DA213" i="25"/>
  <c r="DA212" i="25"/>
  <c r="DA211" i="25"/>
  <c r="CV213" i="25"/>
  <c r="CV211" i="25"/>
  <c r="CQ213" i="25"/>
  <c r="CA213" i="25"/>
  <c r="CA212" i="25"/>
  <c r="BV213" i="25"/>
  <c r="BV212" i="25"/>
  <c r="CY212" i="25"/>
  <c r="CY346" i="25" s="1"/>
  <c r="CU212" i="25"/>
  <c r="CT212" i="25"/>
  <c r="CS212" i="25"/>
  <c r="CP212" i="25"/>
  <c r="CQ212" i="25" s="1"/>
  <c r="CP211" i="25"/>
  <c r="CQ211" i="25" s="1"/>
  <c r="CX211" i="25"/>
  <c r="CW211" i="25"/>
  <c r="CR211" i="25"/>
  <c r="DA208" i="25"/>
  <c r="CV208" i="25"/>
  <c r="CQ208" i="25"/>
  <c r="CA208" i="25"/>
  <c r="CC273" i="25" s="1"/>
  <c r="BV208" i="25"/>
  <c r="BX273" i="25" s="1"/>
  <c r="BX274" i="25" s="1"/>
  <c r="AX208" i="25"/>
  <c r="AS208" i="25"/>
  <c r="AN208" i="25"/>
  <c r="AS273" i="25" s="1"/>
  <c r="AI208" i="25"/>
  <c r="AN273" i="25" s="1"/>
  <c r="AN274" i="25" s="1"/>
  <c r="AD208" i="25"/>
  <c r="AI273" i="25" s="1"/>
  <c r="Y208" i="25"/>
  <c r="AD273" i="25" s="1"/>
  <c r="DB206" i="25"/>
  <c r="CZ206" i="25"/>
  <c r="CY206" i="25"/>
  <c r="CX206" i="25"/>
  <c r="CW206" i="25"/>
  <c r="CU206" i="25"/>
  <c r="CU311" i="25" s="1"/>
  <c r="CL206" i="25"/>
  <c r="CG206" i="25"/>
  <c r="BU206" i="25"/>
  <c r="BU216" i="25" s="1"/>
  <c r="BT206" i="25"/>
  <c r="BT216" i="25" s="1"/>
  <c r="BS206" i="25"/>
  <c r="BH205" i="25"/>
  <c r="AN206" i="25"/>
  <c r="AI206" i="25"/>
  <c r="AD206" i="25"/>
  <c r="Y206" i="25"/>
  <c r="T206" i="25"/>
  <c r="T216" i="25" s="1"/>
  <c r="O206" i="25"/>
  <c r="O216" i="25" s="1"/>
  <c r="J206" i="25"/>
  <c r="H206" i="25"/>
  <c r="H216" i="25" s="1"/>
  <c r="G206" i="25"/>
  <c r="G216" i="25" s="1"/>
  <c r="F206" i="25"/>
  <c r="F312" i="25" s="1"/>
  <c r="DA205" i="25"/>
  <c r="DA204" i="25"/>
  <c r="DA203" i="25"/>
  <c r="DA202" i="25"/>
  <c r="DF146" i="25" s="1"/>
  <c r="DA201" i="25"/>
  <c r="CV205" i="25"/>
  <c r="CV204" i="25"/>
  <c r="CV203" i="25"/>
  <c r="CV202" i="25"/>
  <c r="CV201" i="25"/>
  <c r="CQ205" i="25"/>
  <c r="CQ204" i="25"/>
  <c r="CQ203" i="25"/>
  <c r="CQ202" i="25"/>
  <c r="CA205" i="25"/>
  <c r="CA204" i="25"/>
  <c r="CA203" i="25"/>
  <c r="CA202" i="25"/>
  <c r="BV205" i="25"/>
  <c r="BV204" i="25"/>
  <c r="BV319" i="25" s="1"/>
  <c r="BV203" i="25"/>
  <c r="CE202" i="25"/>
  <c r="DF202" i="25"/>
  <c r="I201" i="25"/>
  <c r="E199" i="25"/>
  <c r="F199" i="25" s="1"/>
  <c r="G199" i="25" s="1"/>
  <c r="H199" i="25" s="1"/>
  <c r="I199" i="25" s="1"/>
  <c r="J199" i="25" s="1"/>
  <c r="O199" i="25" s="1"/>
  <c r="T199" i="25" s="1"/>
  <c r="Y199" i="25" s="1"/>
  <c r="AD199" i="25" s="1"/>
  <c r="AI199" i="25" s="1"/>
  <c r="AN199" i="25" s="1"/>
  <c r="AS199" i="25" s="1"/>
  <c r="AX199" i="25" s="1"/>
  <c r="BC199" i="25" s="1"/>
  <c r="BH199" i="25" s="1"/>
  <c r="BM199" i="25" s="1"/>
  <c r="BR199" i="25" s="1"/>
  <c r="BW199" i="25" s="1"/>
  <c r="CB199" i="25" s="1"/>
  <c r="CG199" i="25" s="1"/>
  <c r="CL199" i="25" s="1"/>
  <c r="CQ199" i="25" s="1"/>
  <c r="CV199" i="25" s="1"/>
  <c r="DA199" i="25" s="1"/>
  <c r="DF199" i="25" s="1"/>
  <c r="DK199" i="25" s="1"/>
  <c r="DP199" i="25" s="1"/>
  <c r="DU199" i="25" s="1"/>
  <c r="DZ199" i="25" s="1"/>
  <c r="EE199" i="25" s="1"/>
  <c r="DB187" i="25"/>
  <c r="CZ187" i="25"/>
  <c r="CY187" i="25"/>
  <c r="CX187" i="25"/>
  <c r="CW187" i="25"/>
  <c r="CU187" i="25"/>
  <c r="CT187" i="25"/>
  <c r="CS187" i="25"/>
  <c r="CR187" i="25"/>
  <c r="CP187" i="25"/>
  <c r="CO187" i="25"/>
  <c r="CN187" i="25"/>
  <c r="CM187" i="25"/>
  <c r="CK187" i="25"/>
  <c r="CJ187" i="25"/>
  <c r="CI187" i="25"/>
  <c r="CH187" i="25"/>
  <c r="CF187" i="25"/>
  <c r="CE187" i="25"/>
  <c r="CD187" i="25"/>
  <c r="CC187" i="25"/>
  <c r="CA187" i="25"/>
  <c r="BZ187" i="25"/>
  <c r="BY187" i="25"/>
  <c r="BX187" i="25"/>
  <c r="BV187" i="25"/>
  <c r="BU187" i="25"/>
  <c r="BT187" i="25"/>
  <c r="BS187" i="25"/>
  <c r="BQ187" i="25"/>
  <c r="BP187" i="25"/>
  <c r="BO187" i="25"/>
  <c r="BN187" i="25"/>
  <c r="BL187" i="25"/>
  <c r="BK187" i="25"/>
  <c r="BJ187" i="25"/>
  <c r="BI187" i="25"/>
  <c r="BG187" i="25"/>
  <c r="BF187" i="25"/>
  <c r="BE187" i="25"/>
  <c r="BD187" i="25"/>
  <c r="BB187" i="25"/>
  <c r="BA187" i="25"/>
  <c r="AZ187" i="25"/>
  <c r="AY187" i="25"/>
  <c r="AW187" i="25"/>
  <c r="AV187" i="25"/>
  <c r="AU187" i="25"/>
  <c r="AT187" i="25"/>
  <c r="AR187" i="25"/>
  <c r="AQ187" i="25"/>
  <c r="AP187" i="25"/>
  <c r="AO187" i="25"/>
  <c r="AM187" i="25"/>
  <c r="AL187" i="25"/>
  <c r="AK187" i="25"/>
  <c r="AJ187" i="25"/>
  <c r="AH187" i="25"/>
  <c r="AG187" i="25"/>
  <c r="AF187" i="25"/>
  <c r="AE187" i="25"/>
  <c r="AC187" i="25"/>
  <c r="AB187" i="25"/>
  <c r="AA187" i="25"/>
  <c r="Z187" i="25"/>
  <c r="X187" i="25"/>
  <c r="W187" i="25"/>
  <c r="V187" i="25"/>
  <c r="U187" i="25"/>
  <c r="S187" i="25"/>
  <c r="R187" i="25"/>
  <c r="Q187" i="25"/>
  <c r="P187" i="25"/>
  <c r="AS180" i="25"/>
  <c r="CL174" i="25"/>
  <c r="CQ174" i="25" s="1"/>
  <c r="CV174" i="25" s="1"/>
  <c r="CG175" i="25"/>
  <c r="CL175" i="25" s="1"/>
  <c r="CQ175" i="25" s="1"/>
  <c r="CV175" i="25" s="1"/>
  <c r="DA175" i="25" s="1"/>
  <c r="DF175" i="25" s="1"/>
  <c r="DK175" i="25" s="1"/>
  <c r="DP175" i="25" s="1"/>
  <c r="DU175" i="25" s="1"/>
  <c r="DZ175" i="25" s="1"/>
  <c r="EE175" i="25" s="1"/>
  <c r="BM174" i="25"/>
  <c r="BR174" i="25" s="1"/>
  <c r="BW174" i="25" s="1"/>
  <c r="BC175" i="25"/>
  <c r="BH175" i="25" s="1"/>
  <c r="BM175" i="25" s="1"/>
  <c r="BR175" i="25" s="1"/>
  <c r="BC174" i="25"/>
  <c r="BO167" i="25"/>
  <c r="BN167" i="25"/>
  <c r="BL167" i="25"/>
  <c r="BK167" i="25"/>
  <c r="AS164" i="25"/>
  <c r="AN164" i="25"/>
  <c r="AI164" i="25"/>
  <c r="AD164" i="25"/>
  <c r="Y165" i="25"/>
  <c r="T167" i="25"/>
  <c r="O167" i="25"/>
  <c r="J167" i="25"/>
  <c r="I167" i="25"/>
  <c r="DB166" i="25"/>
  <c r="CZ166" i="25"/>
  <c r="CY166" i="25"/>
  <c r="CX166" i="25"/>
  <c r="CW166" i="25"/>
  <c r="CU166" i="25"/>
  <c r="CT166" i="25"/>
  <c r="CS166" i="25"/>
  <c r="CR166" i="25"/>
  <c r="CP166" i="25"/>
  <c r="CO166" i="25"/>
  <c r="CN166" i="25"/>
  <c r="CM166" i="25"/>
  <c r="CK166" i="25"/>
  <c r="CJ166" i="25"/>
  <c r="CI166" i="25"/>
  <c r="CH166" i="25"/>
  <c r="CF166" i="25"/>
  <c r="CE166" i="25"/>
  <c r="CD166" i="25"/>
  <c r="CC166" i="25"/>
  <c r="CA166" i="25"/>
  <c r="BZ166" i="25"/>
  <c r="BY166" i="25"/>
  <c r="BX166" i="25"/>
  <c r="BV166" i="25"/>
  <c r="BU166" i="25"/>
  <c r="BT166" i="25"/>
  <c r="BS166" i="25"/>
  <c r="BQ166" i="25"/>
  <c r="BP166" i="25"/>
  <c r="BP167" i="25" s="1"/>
  <c r="W166" i="25"/>
  <c r="S166" i="25"/>
  <c r="R166" i="25"/>
  <c r="Q166" i="25"/>
  <c r="P166" i="25"/>
  <c r="N166" i="25"/>
  <c r="M166" i="25"/>
  <c r="L166" i="25"/>
  <c r="K166" i="25"/>
  <c r="BG165" i="25"/>
  <c r="BE165" i="25"/>
  <c r="BD165" i="25"/>
  <c r="BB165" i="25"/>
  <c r="BA165" i="25"/>
  <c r="BC165" i="25" s="1"/>
  <c r="AW165" i="25"/>
  <c r="AV165" i="25"/>
  <c r="AU165" i="25"/>
  <c r="AT165" i="25"/>
  <c r="AX165" i="25" s="1"/>
  <c r="AR165" i="25"/>
  <c r="AQ165" i="25"/>
  <c r="AP165" i="25"/>
  <c r="AO165" i="25"/>
  <c r="AM165" i="25"/>
  <c r="AL165" i="25"/>
  <c r="AK165" i="25"/>
  <c r="AJ165" i="25"/>
  <c r="AN165" i="25" s="1"/>
  <c r="AH165" i="25"/>
  <c r="AG165" i="25"/>
  <c r="AF165" i="25"/>
  <c r="AE165" i="25"/>
  <c r="AI165" i="25" s="1"/>
  <c r="AC165" i="25"/>
  <c r="AB165" i="25"/>
  <c r="AA165" i="25"/>
  <c r="Z165" i="25"/>
  <c r="AD165" i="25" s="1"/>
  <c r="T165" i="25"/>
  <c r="T164" i="25"/>
  <c r="T163" i="25"/>
  <c r="O165" i="25"/>
  <c r="O164" i="25"/>
  <c r="O163" i="25"/>
  <c r="BC163" i="25"/>
  <c r="AT163" i="25"/>
  <c r="AX163" i="25" s="1"/>
  <c r="AX178" i="25" s="1"/>
  <c r="AB163" i="25"/>
  <c r="Z163" i="25"/>
  <c r="Y163" i="25"/>
  <c r="Y166" i="25" s="1"/>
  <c r="Y167" i="25" s="1"/>
  <c r="X163" i="25"/>
  <c r="X166" i="25" s="1"/>
  <c r="V163" i="25"/>
  <c r="V166" i="25" s="1"/>
  <c r="U163" i="25"/>
  <c r="U166" i="25" s="1"/>
  <c r="AR163" i="25"/>
  <c r="AQ163" i="25"/>
  <c r="AP163" i="25"/>
  <c r="AO163" i="25"/>
  <c r="AM163" i="25"/>
  <c r="AL163" i="25"/>
  <c r="AN163" i="25" s="1"/>
  <c r="AK163" i="25"/>
  <c r="AJ163" i="25"/>
  <c r="AH163" i="25"/>
  <c r="AG163" i="25"/>
  <c r="AI163" i="25" s="1"/>
  <c r="AF163" i="25"/>
  <c r="AE163" i="25"/>
  <c r="AM152" i="25"/>
  <c r="AL152" i="25"/>
  <c r="AK152" i="25"/>
  <c r="AJ152" i="25"/>
  <c r="AK153" i="25" s="1"/>
  <c r="AH152" i="25"/>
  <c r="AG152" i="25"/>
  <c r="AF152" i="25"/>
  <c r="AE152" i="25"/>
  <c r="AE153" i="25" s="1"/>
  <c r="AC152" i="25"/>
  <c r="AB152" i="25"/>
  <c r="AA152" i="25"/>
  <c r="Z152" i="25"/>
  <c r="X152" i="25"/>
  <c r="W152" i="25"/>
  <c r="V152" i="25"/>
  <c r="U152" i="25"/>
  <c r="S152" i="25"/>
  <c r="R152" i="25"/>
  <c r="S153" i="25" s="1"/>
  <c r="J152" i="25"/>
  <c r="I152" i="25"/>
  <c r="H152" i="25"/>
  <c r="BV151" i="25"/>
  <c r="BU151" i="25"/>
  <c r="BT151" i="25"/>
  <c r="BS151" i="25"/>
  <c r="BQ151" i="25"/>
  <c r="BP151" i="25"/>
  <c r="BO151" i="25"/>
  <c r="BN151" i="25"/>
  <c r="AR151" i="25"/>
  <c r="AS151" i="25" s="1"/>
  <c r="AN151" i="25"/>
  <c r="AI151" i="25"/>
  <c r="AD151" i="25"/>
  <c r="Y151" i="25"/>
  <c r="AD152" i="25" s="1"/>
  <c r="T151" i="25"/>
  <c r="P151" i="25"/>
  <c r="Q152" i="25" s="1"/>
  <c r="O151" i="25"/>
  <c r="O152" i="25" s="1"/>
  <c r="BP149" i="25"/>
  <c r="CW147" i="25"/>
  <c r="CX147" i="25" s="1"/>
  <c r="AS146" i="25"/>
  <c r="AN146" i="25"/>
  <c r="AN145" i="25"/>
  <c r="AI146" i="25"/>
  <c r="AI145" i="25"/>
  <c r="AD146" i="25"/>
  <c r="AD145" i="25"/>
  <c r="Y146" i="25"/>
  <c r="T146" i="25"/>
  <c r="O146" i="25"/>
  <c r="I146" i="25"/>
  <c r="H146" i="25"/>
  <c r="G146" i="25"/>
  <c r="DC146" i="25"/>
  <c r="DB146" i="25"/>
  <c r="DB145" i="25" s="1"/>
  <c r="DB24" i="25" s="1"/>
  <c r="CZ146" i="25"/>
  <c r="CZ145" i="25" s="1"/>
  <c r="CZ24" i="25" s="1"/>
  <c r="CZ23" i="25" s="1"/>
  <c r="CZ141" i="25" s="1"/>
  <c r="CZ143" i="25" s="1"/>
  <c r="CY146" i="25"/>
  <c r="CY145" i="25" s="1"/>
  <c r="CY24" i="25" s="1"/>
  <c r="CY23" i="25" s="1"/>
  <c r="CY141" i="25" s="1"/>
  <c r="CX146" i="25"/>
  <c r="CW146" i="25"/>
  <c r="CQ146" i="25"/>
  <c r="CL146" i="25"/>
  <c r="BV146" i="25"/>
  <c r="BU146" i="25"/>
  <c r="BT146" i="25"/>
  <c r="CT145" i="25"/>
  <c r="CS145" i="25"/>
  <c r="CR145" i="25"/>
  <c r="CP145" i="25"/>
  <c r="CO145" i="25"/>
  <c r="CN145" i="25"/>
  <c r="CM145" i="25"/>
  <c r="CC145" i="25"/>
  <c r="CA145" i="25"/>
  <c r="BZ145" i="25"/>
  <c r="BY145" i="25"/>
  <c r="BX145" i="25"/>
  <c r="BV145" i="25"/>
  <c r="BU145" i="25"/>
  <c r="BT145" i="25"/>
  <c r="BS145" i="25"/>
  <c r="BQ145" i="25"/>
  <c r="BP145" i="25"/>
  <c r="BO145" i="25"/>
  <c r="BN145" i="25"/>
  <c r="BL145" i="25"/>
  <c r="BK145" i="25"/>
  <c r="BJ145" i="25"/>
  <c r="BG145" i="25"/>
  <c r="BF145" i="25"/>
  <c r="BE145" i="25"/>
  <c r="BD145" i="25"/>
  <c r="BB145" i="25"/>
  <c r="BA145" i="25"/>
  <c r="AY145" i="25"/>
  <c r="AW145" i="25"/>
  <c r="AV145" i="25"/>
  <c r="AU145" i="25"/>
  <c r="AT145" i="25"/>
  <c r="AR145" i="25"/>
  <c r="AQ145" i="25"/>
  <c r="AP145" i="25"/>
  <c r="AO145" i="25"/>
  <c r="AM145" i="25"/>
  <c r="AL145" i="25"/>
  <c r="AK145" i="25"/>
  <c r="AJ145" i="25"/>
  <c r="AH145" i="25"/>
  <c r="AG145" i="25"/>
  <c r="AF145" i="25"/>
  <c r="AE145" i="25"/>
  <c r="AC145" i="25"/>
  <c r="AB145" i="25"/>
  <c r="AA145" i="25"/>
  <c r="Z145" i="25"/>
  <c r="X145" i="25"/>
  <c r="W145" i="25"/>
  <c r="V145" i="25"/>
  <c r="U145" i="25"/>
  <c r="S145" i="25"/>
  <c r="R145" i="25"/>
  <c r="Q145" i="25"/>
  <c r="P145" i="25"/>
  <c r="N145" i="25"/>
  <c r="M145" i="25"/>
  <c r="L145" i="25"/>
  <c r="K145" i="25"/>
  <c r="J145" i="25"/>
  <c r="I145" i="25"/>
  <c r="H145" i="25"/>
  <c r="G145" i="25"/>
  <c r="F145" i="25"/>
  <c r="F147" i="25" s="1"/>
  <c r="E145" i="25"/>
  <c r="E147" i="25" s="1"/>
  <c r="D145" i="25"/>
  <c r="D147" i="25" s="1"/>
  <c r="BR142" i="25"/>
  <c r="BM142" i="25"/>
  <c r="BH142" i="25"/>
  <c r="BC142" i="25"/>
  <c r="AX142" i="25"/>
  <c r="AS142" i="25"/>
  <c r="AN142" i="25"/>
  <c r="AN141" i="25"/>
  <c r="AI142" i="25"/>
  <c r="AI141" i="25"/>
  <c r="AI143" i="25" s="1"/>
  <c r="AD142" i="25"/>
  <c r="AD141" i="25"/>
  <c r="Y142" i="25"/>
  <c r="Y141" i="25"/>
  <c r="T142" i="25"/>
  <c r="O142" i="25"/>
  <c r="J142" i="25"/>
  <c r="I142" i="25"/>
  <c r="H142" i="25"/>
  <c r="G142" i="25"/>
  <c r="DC142" i="25"/>
  <c r="DB142" i="25"/>
  <c r="CZ142" i="25"/>
  <c r="CY142" i="25"/>
  <c r="CX142" i="25"/>
  <c r="CW142" i="25"/>
  <c r="CU142" i="25"/>
  <c r="CU141" i="25" s="1"/>
  <c r="CU143" i="25" s="1"/>
  <c r="CT142" i="25"/>
  <c r="CS142" i="25"/>
  <c r="CR142" i="25"/>
  <c r="CQ142" i="25"/>
  <c r="CP142" i="25"/>
  <c r="CO142" i="25"/>
  <c r="CN142" i="25"/>
  <c r="CM142" i="25"/>
  <c r="CL142" i="25"/>
  <c r="CK142" i="25"/>
  <c r="CJ142" i="25"/>
  <c r="CI142" i="25"/>
  <c r="CH142" i="25"/>
  <c r="CG142" i="25"/>
  <c r="CF142" i="25"/>
  <c r="CE142" i="25"/>
  <c r="CD142" i="25"/>
  <c r="CB142" i="25"/>
  <c r="CA142" i="25"/>
  <c r="CA143" i="25" s="1"/>
  <c r="BZ142" i="25"/>
  <c r="BY142" i="25"/>
  <c r="BW142" i="25"/>
  <c r="BV142" i="25"/>
  <c r="BU142" i="25"/>
  <c r="BT142" i="25"/>
  <c r="CS141" i="25"/>
  <c r="CS143" i="25" s="1"/>
  <c r="CR141" i="25"/>
  <c r="CR143" i="25" s="1"/>
  <c r="CP141" i="25"/>
  <c r="CO141" i="25"/>
  <c r="CN141" i="25"/>
  <c r="CM141" i="25"/>
  <c r="CD141" i="25"/>
  <c r="CC141" i="25"/>
  <c r="CA141" i="25"/>
  <c r="BZ141" i="25"/>
  <c r="BY141" i="25"/>
  <c r="BX141" i="25"/>
  <c r="BV141" i="25"/>
  <c r="BU141" i="25"/>
  <c r="BT141" i="25"/>
  <c r="BS141" i="25"/>
  <c r="BQ141" i="25"/>
  <c r="BP141" i="25"/>
  <c r="BO141" i="25"/>
  <c r="BN141" i="25"/>
  <c r="BL141" i="25"/>
  <c r="BK141" i="25"/>
  <c r="BJ141" i="25"/>
  <c r="BI141" i="25"/>
  <c r="BG141" i="25"/>
  <c r="BF141" i="25"/>
  <c r="BE141" i="25"/>
  <c r="BD141" i="25"/>
  <c r="BB141" i="25"/>
  <c r="BA141" i="25"/>
  <c r="AZ141" i="25"/>
  <c r="AY141" i="25"/>
  <c r="AW141" i="25"/>
  <c r="AV141" i="25"/>
  <c r="AU141" i="25"/>
  <c r="AT141" i="25"/>
  <c r="AR141" i="25"/>
  <c r="AQ141" i="25"/>
  <c r="AP141" i="25"/>
  <c r="AO141" i="25"/>
  <c r="AM141" i="25"/>
  <c r="AL141" i="25"/>
  <c r="AK141" i="25"/>
  <c r="AJ141" i="25"/>
  <c r="AH141" i="25"/>
  <c r="AG141" i="25"/>
  <c r="AF141" i="25"/>
  <c r="AE141" i="25"/>
  <c r="AC141" i="25"/>
  <c r="AB141" i="25"/>
  <c r="AA141" i="25"/>
  <c r="Z141" i="25"/>
  <c r="X141" i="25"/>
  <c r="W141" i="25"/>
  <c r="V141" i="25"/>
  <c r="U141" i="25"/>
  <c r="S141" i="25"/>
  <c r="R141" i="25"/>
  <c r="Q141" i="25"/>
  <c r="P141" i="25"/>
  <c r="N141" i="25"/>
  <c r="M141" i="25"/>
  <c r="L141" i="25"/>
  <c r="K141" i="25"/>
  <c r="J141" i="25"/>
  <c r="J143" i="25" s="1"/>
  <c r="I141" i="25"/>
  <c r="I143" i="25" s="1"/>
  <c r="H141" i="25"/>
  <c r="G141" i="25"/>
  <c r="G143" i="25" s="1"/>
  <c r="F141" i="25"/>
  <c r="F143" i="25" s="1"/>
  <c r="E141" i="25"/>
  <c r="E143" i="25" s="1"/>
  <c r="D141" i="25"/>
  <c r="D143" i="25" s="1"/>
  <c r="BM134" i="25"/>
  <c r="BM341" i="25" s="1"/>
  <c r="BM342" i="25" s="1"/>
  <c r="BH134" i="25"/>
  <c r="BH341" i="25" s="1"/>
  <c r="BC134" i="25"/>
  <c r="AX134" i="25"/>
  <c r="AX341" i="25" s="1"/>
  <c r="AS134" i="25"/>
  <c r="AS341" i="25" s="1"/>
  <c r="AN134" i="25"/>
  <c r="AI134" i="25"/>
  <c r="AD134" i="25"/>
  <c r="AD341" i="25" s="1"/>
  <c r="Y134" i="25"/>
  <c r="Y341" i="25" s="1"/>
  <c r="T134" i="25"/>
  <c r="O134" i="25"/>
  <c r="O341" i="25" s="1"/>
  <c r="CZ135" i="25"/>
  <c r="CZ136" i="25" s="1"/>
  <c r="CY135" i="25"/>
  <c r="CY136" i="25" s="1"/>
  <c r="CX135" i="25"/>
  <c r="CX136" i="25" s="1"/>
  <c r="CU135" i="25"/>
  <c r="CU136" i="25" s="1"/>
  <c r="CT135" i="25"/>
  <c r="CT136" i="25" s="1"/>
  <c r="CT137" i="25" s="1"/>
  <c r="CS135" i="25"/>
  <c r="CS136" i="25" s="1"/>
  <c r="CX138" i="25" s="1"/>
  <c r="CR135" i="25"/>
  <c r="CR136" i="25" s="1"/>
  <c r="CP135" i="25"/>
  <c r="CP136" i="25" s="1"/>
  <c r="CO135" i="25"/>
  <c r="CO136" i="25" s="1"/>
  <c r="CN135" i="25"/>
  <c r="CN136" i="25" s="1"/>
  <c r="CM135" i="25"/>
  <c r="CM136" i="25" s="1"/>
  <c r="CK135" i="25"/>
  <c r="CK136" i="25" s="1"/>
  <c r="CJ135" i="25"/>
  <c r="CJ136" i="25" s="1"/>
  <c r="CJ97" i="25" s="1"/>
  <c r="CJ109" i="25" s="1"/>
  <c r="CI135" i="25"/>
  <c r="CI136" i="25" s="1"/>
  <c r="CH135" i="25"/>
  <c r="CH136" i="25" s="1"/>
  <c r="CF135" i="25"/>
  <c r="CF136" i="25" s="1"/>
  <c r="CE135" i="25"/>
  <c r="CE136" i="25" s="1"/>
  <c r="CE138" i="25" s="1"/>
  <c r="CD135" i="25"/>
  <c r="CD136" i="25" s="1"/>
  <c r="CD97" i="25" s="1"/>
  <c r="CC135" i="25"/>
  <c r="CC136" i="25" s="1"/>
  <c r="CA135" i="25"/>
  <c r="CA136" i="25" s="1"/>
  <c r="BZ135" i="25"/>
  <c r="BZ136" i="25" s="1"/>
  <c r="BZ138" i="25" s="1"/>
  <c r="BY135" i="25"/>
  <c r="BY136" i="25" s="1"/>
  <c r="BV135" i="25"/>
  <c r="BV136" i="25" s="1"/>
  <c r="BV97" i="25" s="1"/>
  <c r="BU135" i="25"/>
  <c r="BU136" i="25" s="1"/>
  <c r="BU97" i="25" s="1"/>
  <c r="BT135" i="25"/>
  <c r="BT136" i="25" s="1"/>
  <c r="BQ135" i="25"/>
  <c r="BQ136" i="25" s="1"/>
  <c r="BP135" i="25"/>
  <c r="BP136" i="25" s="1"/>
  <c r="BO135" i="25"/>
  <c r="BO136" i="25" s="1"/>
  <c r="BN135" i="25"/>
  <c r="BN136" i="25" s="1"/>
  <c r="BL135" i="25"/>
  <c r="BL136" i="25" s="1"/>
  <c r="BL97" i="25" s="1"/>
  <c r="BK135" i="25"/>
  <c r="BK136" i="25" s="1"/>
  <c r="BK97" i="25" s="1"/>
  <c r="BJ135" i="25"/>
  <c r="BJ136" i="25" s="1"/>
  <c r="BJ97" i="25" s="1"/>
  <c r="BI135" i="25"/>
  <c r="BI136" i="25" s="1"/>
  <c r="BI97" i="25" s="1"/>
  <c r="BG135" i="25"/>
  <c r="BG136" i="25" s="1"/>
  <c r="BG97" i="25" s="1"/>
  <c r="BF135" i="25"/>
  <c r="BF136" i="25" s="1"/>
  <c r="BF97" i="25" s="1"/>
  <c r="BE135" i="25"/>
  <c r="BE136" i="25" s="1"/>
  <c r="BE97" i="25" s="1"/>
  <c r="BD135" i="25"/>
  <c r="BD136" i="25" s="1"/>
  <c r="BD97" i="25" s="1"/>
  <c r="BB135" i="25"/>
  <c r="BB136" i="25" s="1"/>
  <c r="BB97" i="25" s="1"/>
  <c r="BA135" i="25"/>
  <c r="BA136" i="25" s="1"/>
  <c r="BA97" i="25" s="1"/>
  <c r="AZ135" i="25"/>
  <c r="AZ136" i="25" s="1"/>
  <c r="AZ97" i="25" s="1"/>
  <c r="AY135" i="25"/>
  <c r="AY136" i="25" s="1"/>
  <c r="AY97" i="25" s="1"/>
  <c r="AY109" i="25" s="1"/>
  <c r="AW135" i="25"/>
  <c r="AW136" i="25" s="1"/>
  <c r="AW97" i="25" s="1"/>
  <c r="AV135" i="25"/>
  <c r="AV136" i="25" s="1"/>
  <c r="AV97" i="25" s="1"/>
  <c r="AK135" i="25"/>
  <c r="AK136" i="25" s="1"/>
  <c r="AK97" i="25" s="1"/>
  <c r="J135" i="25"/>
  <c r="J136" i="25" s="1"/>
  <c r="I135" i="25"/>
  <c r="I136" i="25" s="1"/>
  <c r="H135" i="25"/>
  <c r="H136" i="25" s="1"/>
  <c r="G135" i="25"/>
  <c r="G136" i="25" s="1"/>
  <c r="F135" i="25"/>
  <c r="F136" i="25" s="1"/>
  <c r="E135" i="25"/>
  <c r="E136" i="25" s="1"/>
  <c r="E137" i="25" s="1"/>
  <c r="D135" i="25"/>
  <c r="D136" i="25" s="1"/>
  <c r="D97" i="25" s="1"/>
  <c r="CW134" i="25"/>
  <c r="CV134" i="25"/>
  <c r="CV341" i="25" s="1"/>
  <c r="CQ134" i="25"/>
  <c r="CQ341" i="25" s="1"/>
  <c r="CL134" i="25"/>
  <c r="CL341" i="25" s="1"/>
  <c r="CG134" i="25"/>
  <c r="CG341" i="25" s="1"/>
  <c r="BX134" i="25"/>
  <c r="BS134" i="25"/>
  <c r="BR134" i="25"/>
  <c r="O132" i="25"/>
  <c r="BR131" i="25"/>
  <c r="BQ131" i="25"/>
  <c r="BP131" i="25"/>
  <c r="BO131" i="25"/>
  <c r="DB117" i="25"/>
  <c r="CZ117" i="25"/>
  <c r="CY117" i="25"/>
  <c r="CX117" i="25"/>
  <c r="CW117" i="25"/>
  <c r="CU117" i="25"/>
  <c r="CT117" i="25"/>
  <c r="CS117" i="25"/>
  <c r="CR117" i="25"/>
  <c r="CP124" i="25"/>
  <c r="CP117" i="25"/>
  <c r="CO117" i="25"/>
  <c r="CN117" i="25"/>
  <c r="CM117" i="25"/>
  <c r="CK117" i="25"/>
  <c r="CJ117" i="25"/>
  <c r="CI117" i="25"/>
  <c r="CH117" i="25"/>
  <c r="CF119" i="25"/>
  <c r="CE119" i="25"/>
  <c r="CD119" i="25"/>
  <c r="CC119" i="25"/>
  <c r="CF117" i="25"/>
  <c r="CE117" i="25"/>
  <c r="CD117" i="25"/>
  <c r="CC117" i="25"/>
  <c r="CA119" i="25"/>
  <c r="BZ119" i="25"/>
  <c r="BY119" i="25"/>
  <c r="BX119" i="25"/>
  <c r="CA117" i="25"/>
  <c r="BZ117" i="25"/>
  <c r="BY117" i="25"/>
  <c r="BX117" i="25"/>
  <c r="BV119" i="25"/>
  <c r="BU119" i="25"/>
  <c r="BT119" i="25"/>
  <c r="BS119" i="25"/>
  <c r="BV117" i="25"/>
  <c r="BU117" i="25"/>
  <c r="BT117" i="25"/>
  <c r="BS117" i="25"/>
  <c r="BQ119" i="25"/>
  <c r="BP119" i="25"/>
  <c r="BO119" i="25"/>
  <c r="BN119" i="25"/>
  <c r="BQ117" i="25"/>
  <c r="BP117" i="25"/>
  <c r="BO117" i="25"/>
  <c r="BN117" i="25"/>
  <c r="BL119" i="25"/>
  <c r="BK119" i="25"/>
  <c r="BJ119" i="25"/>
  <c r="BI119" i="25"/>
  <c r="BL117" i="25"/>
  <c r="BK117" i="25"/>
  <c r="BJ117" i="25"/>
  <c r="BI117" i="25"/>
  <c r="BG119" i="25"/>
  <c r="BF119" i="25"/>
  <c r="BE119" i="25"/>
  <c r="BD119" i="25"/>
  <c r="BG117" i="25"/>
  <c r="BF117" i="25"/>
  <c r="BE117" i="25"/>
  <c r="BD117" i="25"/>
  <c r="BB119" i="25"/>
  <c r="BA119" i="25"/>
  <c r="AZ119" i="25"/>
  <c r="AY119" i="25"/>
  <c r="BB117" i="25"/>
  <c r="BA117" i="25"/>
  <c r="AZ117" i="25"/>
  <c r="AY117" i="25"/>
  <c r="AW119" i="25"/>
  <c r="AV119" i="25"/>
  <c r="AU119" i="25"/>
  <c r="AT119" i="25"/>
  <c r="AW117" i="25"/>
  <c r="AV117" i="25"/>
  <c r="AU117" i="25"/>
  <c r="AT117" i="25"/>
  <c r="AR119" i="25"/>
  <c r="AQ119" i="25"/>
  <c r="AP119" i="25"/>
  <c r="AO119" i="25"/>
  <c r="AR117" i="25"/>
  <c r="AQ117" i="25"/>
  <c r="AP117" i="25"/>
  <c r="AO117" i="25"/>
  <c r="AM119" i="25"/>
  <c r="AL119" i="25"/>
  <c r="AK119" i="25"/>
  <c r="AJ119" i="25"/>
  <c r="AM117" i="25"/>
  <c r="AL117" i="25"/>
  <c r="AK117" i="25"/>
  <c r="AJ117" i="25"/>
  <c r="AH119" i="25"/>
  <c r="AG119" i="25"/>
  <c r="AF119" i="25"/>
  <c r="AE119" i="25"/>
  <c r="AH117" i="25"/>
  <c r="AG117" i="25"/>
  <c r="AF117" i="25"/>
  <c r="AE117" i="25"/>
  <c r="AC119" i="25"/>
  <c r="AB119" i="25"/>
  <c r="AA119" i="25"/>
  <c r="Z119" i="25"/>
  <c r="AC117" i="25"/>
  <c r="AB117" i="25"/>
  <c r="AA117" i="25"/>
  <c r="Z117" i="25"/>
  <c r="X119" i="25"/>
  <c r="W119" i="25"/>
  <c r="V119" i="25"/>
  <c r="U119" i="25"/>
  <c r="X117" i="25"/>
  <c r="W117" i="25"/>
  <c r="V117" i="25"/>
  <c r="U117" i="25"/>
  <c r="S119" i="25"/>
  <c r="R119" i="25"/>
  <c r="Q119" i="25"/>
  <c r="P119" i="25"/>
  <c r="S117" i="25"/>
  <c r="R117" i="25"/>
  <c r="Q117" i="25"/>
  <c r="P117" i="25"/>
  <c r="N119" i="25"/>
  <c r="M119" i="25"/>
  <c r="L119" i="25"/>
  <c r="N117" i="25"/>
  <c r="M117" i="25"/>
  <c r="L117" i="25"/>
  <c r="BV105" i="25"/>
  <c r="BU105" i="25"/>
  <c r="BT105" i="25"/>
  <c r="BS105" i="25"/>
  <c r="BQ105" i="25"/>
  <c r="BP105" i="25"/>
  <c r="BO105" i="25"/>
  <c r="BN105" i="25"/>
  <c r="BL105" i="25"/>
  <c r="BK105" i="25"/>
  <c r="BJ105" i="25"/>
  <c r="BI105" i="25"/>
  <c r="BG105" i="25"/>
  <c r="BF105" i="25"/>
  <c r="BE105" i="25"/>
  <c r="BD105" i="25"/>
  <c r="BB105" i="25"/>
  <c r="BA105" i="25"/>
  <c r="AZ105" i="25"/>
  <c r="AY105" i="25"/>
  <c r="AW105" i="25"/>
  <c r="AV105" i="25"/>
  <c r="AU105" i="25"/>
  <c r="AT105" i="25"/>
  <c r="AR105" i="25"/>
  <c r="AQ105" i="25"/>
  <c r="AP105" i="25"/>
  <c r="AO105" i="25"/>
  <c r="AN105" i="25"/>
  <c r="AM105" i="25"/>
  <c r="AL105" i="25"/>
  <c r="AK105" i="25"/>
  <c r="AJ105" i="25"/>
  <c r="AH105" i="25"/>
  <c r="AG105" i="25"/>
  <c r="AF105" i="25"/>
  <c r="AE105" i="25"/>
  <c r="AC105" i="25"/>
  <c r="AB105" i="25"/>
  <c r="AA105" i="25"/>
  <c r="Z105" i="25"/>
  <c r="X105" i="25"/>
  <c r="W105" i="25"/>
  <c r="V105" i="25"/>
  <c r="U105" i="25"/>
  <c r="S105" i="25"/>
  <c r="R105" i="25"/>
  <c r="Q105" i="25"/>
  <c r="P105" i="25"/>
  <c r="J105" i="25"/>
  <c r="I105" i="25"/>
  <c r="H105" i="25"/>
  <c r="G105" i="25"/>
  <c r="F105" i="25"/>
  <c r="E105" i="25"/>
  <c r="D105" i="25"/>
  <c r="J103" i="25"/>
  <c r="J405" i="25" s="1"/>
  <c r="I103" i="25"/>
  <c r="I405" i="25" s="1"/>
  <c r="H103" i="25"/>
  <c r="H405" i="25" s="1"/>
  <c r="G103" i="25"/>
  <c r="G405" i="25" s="1"/>
  <c r="F103" i="25"/>
  <c r="F405" i="25" s="1"/>
  <c r="E103" i="25"/>
  <c r="D103" i="25"/>
  <c r="J98" i="25"/>
  <c r="I98" i="25"/>
  <c r="J110" i="25" s="1"/>
  <c r="H98" i="25"/>
  <c r="G98" i="25"/>
  <c r="F98" i="25"/>
  <c r="E98" i="25"/>
  <c r="F110" i="25" s="1"/>
  <c r="D98" i="25"/>
  <c r="DB98" i="25"/>
  <c r="CZ98" i="25"/>
  <c r="CY98" i="25"/>
  <c r="CX98" i="25"/>
  <c r="CW98" i="25"/>
  <c r="CU98" i="25"/>
  <c r="CT98" i="25"/>
  <c r="CS98" i="25"/>
  <c r="CT129" i="25" s="1"/>
  <c r="CR98" i="25"/>
  <c r="CP98" i="25"/>
  <c r="CO98" i="25"/>
  <c r="CN98" i="25"/>
  <c r="CM98" i="25"/>
  <c r="CK98" i="25"/>
  <c r="CJ98" i="25"/>
  <c r="CI98" i="25"/>
  <c r="CI129" i="25" s="1"/>
  <c r="CH98" i="25"/>
  <c r="CF98" i="25"/>
  <c r="CE98" i="25"/>
  <c r="CF129" i="25" s="1"/>
  <c r="CD98" i="25"/>
  <c r="CC98" i="25"/>
  <c r="CA98" i="25"/>
  <c r="BZ98" i="25"/>
  <c r="BY98" i="25"/>
  <c r="BX98" i="25"/>
  <c r="DB97" i="25"/>
  <c r="DB96" i="25"/>
  <c r="BV98" i="25"/>
  <c r="BU98" i="25"/>
  <c r="BT98" i="25"/>
  <c r="BS98" i="25"/>
  <c r="BQ98" i="25"/>
  <c r="BP98" i="25"/>
  <c r="BO98" i="25"/>
  <c r="BN98" i="25"/>
  <c r="BL98" i="25"/>
  <c r="BK98" i="25"/>
  <c r="BJ98" i="25"/>
  <c r="BI98" i="25"/>
  <c r="BG98" i="25"/>
  <c r="BF98" i="25"/>
  <c r="BE98" i="25"/>
  <c r="BD98" i="25"/>
  <c r="BB98" i="25"/>
  <c r="BA98" i="25"/>
  <c r="AZ98" i="25"/>
  <c r="AY98" i="25"/>
  <c r="AW98" i="25"/>
  <c r="AV98" i="25"/>
  <c r="AU98" i="25"/>
  <c r="AT98" i="25"/>
  <c r="AR98" i="25"/>
  <c r="AQ98" i="25"/>
  <c r="AP98" i="25"/>
  <c r="AO98" i="25"/>
  <c r="AN98" i="25"/>
  <c r="AN110" i="25" s="1"/>
  <c r="AM98" i="25"/>
  <c r="AL98" i="25"/>
  <c r="AK98" i="25"/>
  <c r="AK110" i="25" s="1"/>
  <c r="AJ98" i="25"/>
  <c r="AH98" i="25"/>
  <c r="AG98" i="25"/>
  <c r="AF98" i="25"/>
  <c r="AE98" i="25"/>
  <c r="AF129" i="25" s="1"/>
  <c r="AC98" i="25"/>
  <c r="AB98" i="25"/>
  <c r="AA98" i="25"/>
  <c r="Z98" i="25"/>
  <c r="X98" i="25"/>
  <c r="W98" i="25"/>
  <c r="V98" i="25"/>
  <c r="W129" i="25" s="1"/>
  <c r="U98" i="25"/>
  <c r="S98" i="25"/>
  <c r="R98" i="25"/>
  <c r="R110" i="25" s="1"/>
  <c r="Q98" i="25"/>
  <c r="Q110" i="25" s="1"/>
  <c r="P98" i="25"/>
  <c r="J96" i="25"/>
  <c r="I96" i="25"/>
  <c r="H96" i="25"/>
  <c r="G96" i="25"/>
  <c r="F96" i="25"/>
  <c r="E96" i="25"/>
  <c r="F108" i="25" s="1"/>
  <c r="D96" i="25"/>
  <c r="E108" i="25" s="1"/>
  <c r="CU93" i="25"/>
  <c r="CT93" i="25"/>
  <c r="I92" i="25"/>
  <c r="CA85" i="25"/>
  <c r="BZ85" i="25"/>
  <c r="BY85" i="25"/>
  <c r="BX85" i="25"/>
  <c r="BV85" i="25"/>
  <c r="BU85" i="25"/>
  <c r="BT85" i="25"/>
  <c r="BS85" i="25"/>
  <c r="BQ85" i="25"/>
  <c r="BP85" i="25"/>
  <c r="BO85" i="25"/>
  <c r="BN85" i="25"/>
  <c r="BL85" i="25"/>
  <c r="BK85" i="25"/>
  <c r="BJ85" i="25"/>
  <c r="BI85" i="25"/>
  <c r="BG85" i="25"/>
  <c r="BF85" i="25"/>
  <c r="BE85" i="25"/>
  <c r="BD85" i="25"/>
  <c r="BB85" i="25"/>
  <c r="BA85" i="25"/>
  <c r="AZ85" i="25"/>
  <c r="AY85" i="25"/>
  <c r="AX85" i="25"/>
  <c r="AW85" i="25"/>
  <c r="AV85" i="25"/>
  <c r="AU85" i="25"/>
  <c r="AT85" i="25"/>
  <c r="AS85" i="25"/>
  <c r="AR85" i="25"/>
  <c r="AQ85" i="25"/>
  <c r="AP85" i="25"/>
  <c r="AO85" i="25"/>
  <c r="AN85" i="25"/>
  <c r="AM85" i="25"/>
  <c r="AL85" i="25"/>
  <c r="AK85" i="25"/>
  <c r="AJ85" i="25"/>
  <c r="AI85" i="25"/>
  <c r="AH85" i="25"/>
  <c r="AG85" i="25"/>
  <c r="AF85" i="25"/>
  <c r="AE85" i="25"/>
  <c r="AD85" i="25"/>
  <c r="AC85" i="25"/>
  <c r="AB85" i="25"/>
  <c r="AA85" i="25"/>
  <c r="Z85" i="25"/>
  <c r="Y85" i="25"/>
  <c r="X85" i="25"/>
  <c r="W85" i="25"/>
  <c r="V85" i="25"/>
  <c r="U85" i="25"/>
  <c r="T85" i="25"/>
  <c r="S85" i="25"/>
  <c r="R85" i="25"/>
  <c r="Q85" i="25"/>
  <c r="P85" i="25"/>
  <c r="O85" i="25"/>
  <c r="J85" i="25"/>
  <c r="I85" i="25"/>
  <c r="H85" i="25"/>
  <c r="G85" i="25"/>
  <c r="F85" i="25"/>
  <c r="E85" i="25"/>
  <c r="DB85" i="25"/>
  <c r="CZ85" i="25"/>
  <c r="CY85" i="25"/>
  <c r="CX85" i="25"/>
  <c r="CW85" i="25"/>
  <c r="CU85" i="25"/>
  <c r="CT85" i="25"/>
  <c r="CS85" i="25"/>
  <c r="CR85" i="25"/>
  <c r="CP85" i="25"/>
  <c r="CO85" i="25"/>
  <c r="CN85" i="25"/>
  <c r="CM85" i="25"/>
  <c r="CK85" i="25"/>
  <c r="CJ85" i="25"/>
  <c r="CI85" i="25"/>
  <c r="CH85" i="25"/>
  <c r="CF85" i="25"/>
  <c r="CE85" i="25"/>
  <c r="CD85" i="25"/>
  <c r="CC85" i="25"/>
  <c r="DB82" i="25"/>
  <c r="CZ82" i="25"/>
  <c r="CY82" i="25"/>
  <c r="CX82" i="25"/>
  <c r="CW82" i="25"/>
  <c r="CU82" i="25"/>
  <c r="CT82" i="25"/>
  <c r="CS82" i="25"/>
  <c r="CR82" i="25"/>
  <c r="CP82" i="25"/>
  <c r="CO82" i="25"/>
  <c r="CN82" i="25"/>
  <c r="CM82" i="25"/>
  <c r="CK82" i="25"/>
  <c r="CJ82" i="25"/>
  <c r="CI82" i="25"/>
  <c r="CH82" i="25"/>
  <c r="CF82" i="25"/>
  <c r="CE82" i="25"/>
  <c r="CD82" i="25"/>
  <c r="CC82" i="25"/>
  <c r="CA82" i="25"/>
  <c r="BZ82" i="25"/>
  <c r="BY82" i="25"/>
  <c r="BX82" i="25"/>
  <c r="BV82" i="25"/>
  <c r="BU82" i="25"/>
  <c r="BT82" i="25"/>
  <c r="BS82" i="25"/>
  <c r="BQ82" i="25"/>
  <c r="BP82" i="25"/>
  <c r="BO82" i="25"/>
  <c r="BN82" i="25"/>
  <c r="BL82" i="25"/>
  <c r="BK82" i="25"/>
  <c r="BJ82" i="25"/>
  <c r="BI82" i="25"/>
  <c r="BG82" i="25"/>
  <c r="BF82" i="25"/>
  <c r="BE82" i="25"/>
  <c r="BD82" i="25"/>
  <c r="BB82" i="25"/>
  <c r="BA82" i="25"/>
  <c r="AZ82" i="25"/>
  <c r="AY82" i="25"/>
  <c r="AW82" i="25"/>
  <c r="AV82" i="25"/>
  <c r="AU82" i="25"/>
  <c r="AT82" i="25"/>
  <c r="AR82" i="25"/>
  <c r="AQ82" i="25"/>
  <c r="AP82" i="25"/>
  <c r="AO82" i="25"/>
  <c r="AM82" i="25"/>
  <c r="AL82" i="25"/>
  <c r="AK82" i="25"/>
  <c r="AJ82" i="25"/>
  <c r="AH82" i="25"/>
  <c r="AG82" i="25"/>
  <c r="AF82" i="25"/>
  <c r="AE82" i="25"/>
  <c r="AC82" i="25"/>
  <c r="AB82" i="25"/>
  <c r="AA82" i="25"/>
  <c r="Z82" i="25"/>
  <c r="X82" i="25"/>
  <c r="W82" i="25"/>
  <c r="V82" i="25"/>
  <c r="U82" i="25"/>
  <c r="S82" i="25"/>
  <c r="R82" i="25"/>
  <c r="Q82" i="25"/>
  <c r="P82" i="25"/>
  <c r="J83" i="25"/>
  <c r="I83" i="25"/>
  <c r="H83" i="25"/>
  <c r="G83" i="25"/>
  <c r="F83" i="25"/>
  <c r="E83" i="25"/>
  <c r="J82" i="25"/>
  <c r="I82" i="25"/>
  <c r="H82" i="25"/>
  <c r="G82" i="25"/>
  <c r="F82" i="25"/>
  <c r="E82" i="25"/>
  <c r="J79" i="25"/>
  <c r="J100" i="25" s="1"/>
  <c r="I79" i="25"/>
  <c r="DB78" i="25"/>
  <c r="CW78" i="25"/>
  <c r="CR78" i="25"/>
  <c r="CM78" i="25"/>
  <c r="CH78" i="25"/>
  <c r="CC78" i="25"/>
  <c r="BX78" i="25"/>
  <c r="BS78" i="25"/>
  <c r="BO78" i="25"/>
  <c r="BE78" i="25"/>
  <c r="AZ78" i="25"/>
  <c r="AU78" i="25"/>
  <c r="AV78" i="25" s="1"/>
  <c r="AP78" i="25"/>
  <c r="AQ78" i="25" s="1"/>
  <c r="AK78" i="25"/>
  <c r="AL78" i="25" s="1"/>
  <c r="AF78" i="25"/>
  <c r="AG78" i="25" s="1"/>
  <c r="Y78" i="25"/>
  <c r="Q78" i="25"/>
  <c r="R78" i="25" s="1"/>
  <c r="N78" i="25"/>
  <c r="O78" i="25" s="1"/>
  <c r="CU74" i="25"/>
  <c r="S126" i="559" s="1"/>
  <c r="S48" i="559" s="1"/>
  <c r="DF73" i="25"/>
  <c r="DF72" i="25"/>
  <c r="DF71" i="25"/>
  <c r="DA73" i="25"/>
  <c r="DA71" i="25"/>
  <c r="CV73" i="25"/>
  <c r="CV72" i="25"/>
  <c r="CV71" i="25"/>
  <c r="CZ72" i="25"/>
  <c r="DB70" i="25"/>
  <c r="DB74" i="25" s="1"/>
  <c r="CZ70" i="25"/>
  <c r="CY70" i="25"/>
  <c r="CX70" i="25"/>
  <c r="CX74" i="25" s="1"/>
  <c r="CW70" i="25"/>
  <c r="CW74" i="25" s="1"/>
  <c r="CT70" i="25"/>
  <c r="CT74" i="25" s="1"/>
  <c r="CS70" i="25"/>
  <c r="CR70" i="25"/>
  <c r="DF64" i="25"/>
  <c r="CZ65" i="25"/>
  <c r="DA65" i="25"/>
  <c r="CV65" i="25"/>
  <c r="CV64" i="25"/>
  <c r="CV63" i="25"/>
  <c r="CQ65" i="25"/>
  <c r="CQ64" i="25"/>
  <c r="CQ63" i="25"/>
  <c r="CL65" i="25"/>
  <c r="CL64" i="25"/>
  <c r="CL63" i="25"/>
  <c r="CG65" i="25"/>
  <c r="CG64" i="25"/>
  <c r="CG63" i="25"/>
  <c r="CB65" i="25"/>
  <c r="CB64" i="25"/>
  <c r="CB63" i="25"/>
  <c r="BW65" i="25"/>
  <c r="BW64" i="25"/>
  <c r="BW63" i="25"/>
  <c r="BR65" i="25"/>
  <c r="BR64" i="25"/>
  <c r="BR63" i="25"/>
  <c r="BM65" i="25"/>
  <c r="BM64" i="25"/>
  <c r="BM63" i="25"/>
  <c r="BH65" i="25"/>
  <c r="BH64" i="25"/>
  <c r="BH63" i="25"/>
  <c r="BC65" i="25"/>
  <c r="BC64" i="25"/>
  <c r="BC63" i="25"/>
  <c r="AX65" i="25"/>
  <c r="AX64" i="25"/>
  <c r="AX63" i="25"/>
  <c r="AS65" i="25"/>
  <c r="AS64" i="25"/>
  <c r="AS63" i="25"/>
  <c r="AN65" i="25"/>
  <c r="AN64" i="25"/>
  <c r="AN63" i="25"/>
  <c r="AI65" i="25"/>
  <c r="AI64" i="25"/>
  <c r="AI63" i="25"/>
  <c r="AD65" i="25"/>
  <c r="AD64" i="25"/>
  <c r="AD63" i="25"/>
  <c r="Y65" i="25"/>
  <c r="Y64" i="25"/>
  <c r="Y63" i="25"/>
  <c r="T65" i="25"/>
  <c r="T64" i="25"/>
  <c r="T63" i="25"/>
  <c r="O65" i="25"/>
  <c r="O64" i="25"/>
  <c r="O63" i="25"/>
  <c r="DA64" i="25"/>
  <c r="DA63" i="25"/>
  <c r="DB62" i="25"/>
  <c r="DB66" i="25" s="1"/>
  <c r="DB13" i="617" s="1"/>
  <c r="CZ62" i="25"/>
  <c r="CY62" i="25"/>
  <c r="CY66" i="25" s="1"/>
  <c r="CX62" i="25"/>
  <c r="CW62" i="25"/>
  <c r="CW66" i="25" s="1"/>
  <c r="CW99" i="25" s="1"/>
  <c r="CU62" i="25"/>
  <c r="CU66" i="25" s="1"/>
  <c r="CT62" i="25"/>
  <c r="CT66" i="25" s="1"/>
  <c r="CS62" i="25"/>
  <c r="CR62" i="25"/>
  <c r="CR66" i="25" s="1"/>
  <c r="CP62" i="25"/>
  <c r="CO62" i="25"/>
  <c r="CO66" i="25" s="1"/>
  <c r="CO13" i="617" s="1"/>
  <c r="CN62" i="25"/>
  <c r="CM62" i="25"/>
  <c r="CM66" i="25" s="1"/>
  <c r="CM13" i="617" s="1"/>
  <c r="CK62" i="25"/>
  <c r="CK66" i="25"/>
  <c r="CK13" i="617" s="1"/>
  <c r="CJ62" i="25"/>
  <c r="CJ66" i="25" s="1"/>
  <c r="CJ13" i="617" s="1"/>
  <c r="CI62" i="25"/>
  <c r="CI66" i="25" s="1"/>
  <c r="CI13" i="617" s="1"/>
  <c r="CI37" i="617" s="1"/>
  <c r="CH62" i="25"/>
  <c r="CH66" i="25" s="1"/>
  <c r="CH13" i="617" s="1"/>
  <c r="CF62" i="25"/>
  <c r="CE62" i="25"/>
  <c r="CE66" i="25" s="1"/>
  <c r="CE13" i="617" s="1"/>
  <c r="CD62" i="25"/>
  <c r="CD66" i="25" s="1"/>
  <c r="CD99" i="25" s="1"/>
  <c r="CC62" i="25"/>
  <c r="CA62" i="25"/>
  <c r="BZ62" i="25"/>
  <c r="BZ66" i="25" s="1"/>
  <c r="BY62" i="25"/>
  <c r="BY66" i="25" s="1"/>
  <c r="BY67" i="25" s="1"/>
  <c r="BX62" i="25"/>
  <c r="BV62" i="25"/>
  <c r="BU62" i="25"/>
  <c r="BU66" i="25" s="1"/>
  <c r="BU67" i="25" s="1"/>
  <c r="BT62" i="25"/>
  <c r="BS62" i="25"/>
  <c r="BQ62" i="25"/>
  <c r="BQ66" i="25" s="1"/>
  <c r="BP62" i="25"/>
  <c r="BO62" i="25"/>
  <c r="BO66" i="25" s="1"/>
  <c r="BO67" i="25" s="1"/>
  <c r="BN62" i="25"/>
  <c r="BL62" i="25"/>
  <c r="BL66" i="25" s="1"/>
  <c r="BL67" i="25" s="1"/>
  <c r="BK62" i="25"/>
  <c r="BK66" i="25" s="1"/>
  <c r="BK67" i="25" s="1"/>
  <c r="BJ62" i="25"/>
  <c r="BI62" i="25"/>
  <c r="BI66" i="25" s="1"/>
  <c r="BG62" i="25"/>
  <c r="BG66" i="25" s="1"/>
  <c r="BG67" i="25" s="1"/>
  <c r="BF62" i="25"/>
  <c r="BE62" i="25"/>
  <c r="BE66" i="25" s="1"/>
  <c r="BD62" i="25"/>
  <c r="BD66" i="25" s="1"/>
  <c r="BD67" i="25" s="1"/>
  <c r="BB62" i="25"/>
  <c r="BB66" i="25" s="1"/>
  <c r="BB67" i="25" s="1"/>
  <c r="BG68" i="25" s="1"/>
  <c r="BA62" i="25"/>
  <c r="BA66" i="25" s="1"/>
  <c r="AZ62" i="25"/>
  <c r="AZ66" i="25" s="1"/>
  <c r="AZ67" i="25" s="1"/>
  <c r="AZ68" i="25" s="1"/>
  <c r="AY62" i="25"/>
  <c r="AY66" i="25" s="1"/>
  <c r="AY67" i="25" s="1"/>
  <c r="AW62" i="25"/>
  <c r="AW66" i="25" s="1"/>
  <c r="AW67" i="25" s="1"/>
  <c r="AV62" i="25"/>
  <c r="AV66" i="25" s="1"/>
  <c r="AV67" i="25" s="1"/>
  <c r="AU62" i="25"/>
  <c r="AU66" i="25" s="1"/>
  <c r="AU67" i="25" s="1"/>
  <c r="AT62" i="25"/>
  <c r="AT66" i="25" s="1"/>
  <c r="AR62" i="25"/>
  <c r="AR66" i="25" s="1"/>
  <c r="AR67" i="25" s="1"/>
  <c r="AQ62" i="25"/>
  <c r="AP62" i="25"/>
  <c r="AP66" i="25" s="1"/>
  <c r="AP67" i="25" s="1"/>
  <c r="AU68" i="25" s="1"/>
  <c r="AO62" i="25"/>
  <c r="AM62" i="25"/>
  <c r="AL62" i="25"/>
  <c r="AK62" i="25"/>
  <c r="AK66" i="25" s="1"/>
  <c r="AK67" i="25" s="1"/>
  <c r="AJ62" i="25"/>
  <c r="AJ66" i="25" s="1"/>
  <c r="AH62" i="25"/>
  <c r="AH66" i="25" s="1"/>
  <c r="AH67" i="25" s="1"/>
  <c r="AG62" i="25"/>
  <c r="AG66" i="25" s="1"/>
  <c r="AF62" i="25"/>
  <c r="AF66" i="25" s="1"/>
  <c r="AF67" i="25" s="1"/>
  <c r="AE62" i="25"/>
  <c r="AC62" i="25"/>
  <c r="AC66" i="25" s="1"/>
  <c r="AC67" i="25" s="1"/>
  <c r="AB62" i="25"/>
  <c r="AB66" i="25" s="1"/>
  <c r="AB67" i="25" s="1"/>
  <c r="AA62" i="25"/>
  <c r="Z62" i="25"/>
  <c r="X62" i="25"/>
  <c r="X66" i="25" s="1"/>
  <c r="X67" i="25" s="1"/>
  <c r="W62" i="25"/>
  <c r="W66" i="25" s="1"/>
  <c r="V62" i="25"/>
  <c r="V66" i="25" s="1"/>
  <c r="V67" i="25" s="1"/>
  <c r="U62" i="25"/>
  <c r="S62" i="25"/>
  <c r="S66" i="25" s="1"/>
  <c r="S67" i="25" s="1"/>
  <c r="R62" i="25"/>
  <c r="R66" i="25" s="1"/>
  <c r="R67" i="25" s="1"/>
  <c r="Q62" i="25"/>
  <c r="P62" i="25"/>
  <c r="P66" i="25" s="1"/>
  <c r="N62" i="25"/>
  <c r="N66" i="25" s="1"/>
  <c r="M62" i="25"/>
  <c r="M66" i="25" s="1"/>
  <c r="M67" i="25" s="1"/>
  <c r="L62" i="25"/>
  <c r="L66" i="25" s="1"/>
  <c r="K62" i="25"/>
  <c r="DC59" i="25"/>
  <c r="DB59" i="25"/>
  <c r="CZ59" i="25"/>
  <c r="CZ193" i="571" s="1"/>
  <c r="CZ60" i="617" s="1"/>
  <c r="CY59" i="25"/>
  <c r="CX59" i="25"/>
  <c r="CX193" i="571" s="1"/>
  <c r="CX60" i="617" s="1"/>
  <c r="CU59" i="25"/>
  <c r="CU193" i="571" s="1"/>
  <c r="CU60" i="617" s="1"/>
  <c r="CT59" i="25"/>
  <c r="CT193" i="571" s="1"/>
  <c r="CT60" i="617" s="1"/>
  <c r="CS59" i="25"/>
  <c r="CR59" i="25"/>
  <c r="CP59" i="25"/>
  <c r="CP193" i="571" s="1"/>
  <c r="CP60" i="617" s="1"/>
  <c r="CO59" i="25"/>
  <c r="CN59" i="25"/>
  <c r="CM59" i="25"/>
  <c r="CM193" i="571" s="1"/>
  <c r="CM60" i="617" s="1"/>
  <c r="CK59" i="25"/>
  <c r="CJ59" i="25"/>
  <c r="CJ193" i="571" s="1"/>
  <c r="CJ60" i="617" s="1"/>
  <c r="CI59" i="25"/>
  <c r="CH59" i="25"/>
  <c r="CH193" i="571" s="1"/>
  <c r="CH60" i="617" s="1"/>
  <c r="CF59" i="25"/>
  <c r="CE59" i="25"/>
  <c r="CD59" i="25"/>
  <c r="CC59" i="25"/>
  <c r="CA59" i="25"/>
  <c r="BZ59" i="25"/>
  <c r="BY59" i="25"/>
  <c r="BV59" i="25"/>
  <c r="BU59" i="25"/>
  <c r="BT59" i="25"/>
  <c r="BQ59" i="25"/>
  <c r="BP59" i="25"/>
  <c r="BO59" i="25"/>
  <c r="BN59" i="25"/>
  <c r="BL59" i="25"/>
  <c r="BK59" i="25"/>
  <c r="BJ59" i="25"/>
  <c r="BI59" i="25"/>
  <c r="BG59" i="25"/>
  <c r="BF59" i="25"/>
  <c r="BE59" i="25"/>
  <c r="BD59" i="25"/>
  <c r="BB59" i="25"/>
  <c r="BA59" i="25"/>
  <c r="AZ59" i="25"/>
  <c r="AY59" i="25"/>
  <c r="AW59" i="25"/>
  <c r="AV59" i="25"/>
  <c r="AU59" i="25"/>
  <c r="AT59" i="25"/>
  <c r="AR59" i="25"/>
  <c r="AQ59" i="25"/>
  <c r="AP59" i="25"/>
  <c r="AO59" i="25"/>
  <c r="AM59" i="25"/>
  <c r="AL59" i="25"/>
  <c r="AK59" i="25"/>
  <c r="AJ59" i="25"/>
  <c r="AH59" i="25"/>
  <c r="AG59" i="25"/>
  <c r="AF59" i="25"/>
  <c r="AE59" i="25"/>
  <c r="AC59" i="25"/>
  <c r="AB59" i="25"/>
  <c r="AA59" i="25"/>
  <c r="Z59" i="25"/>
  <c r="X59" i="25"/>
  <c r="W59" i="25"/>
  <c r="V59" i="25"/>
  <c r="U59" i="25"/>
  <c r="S59" i="25"/>
  <c r="R59" i="25"/>
  <c r="Q59" i="25"/>
  <c r="P59" i="25"/>
  <c r="N59" i="25"/>
  <c r="M59" i="25"/>
  <c r="L59" i="25"/>
  <c r="K59" i="25"/>
  <c r="DB58" i="25"/>
  <c r="CV55" i="25"/>
  <c r="CV301" i="25" s="1"/>
  <c r="CQ55" i="25"/>
  <c r="CQ301" i="25" s="1"/>
  <c r="CL55" i="25"/>
  <c r="CG55" i="25"/>
  <c r="CG54" i="25" s="1"/>
  <c r="BC55" i="25"/>
  <c r="BH54" i="25" s="1"/>
  <c r="DA55" i="25"/>
  <c r="DA301" i="25" s="1"/>
  <c r="DB301" i="25"/>
  <c r="DB302" i="25" s="1"/>
  <c r="DB286" i="25" s="1"/>
  <c r="CZ54" i="25"/>
  <c r="CY54" i="25"/>
  <c r="CY297" i="25" s="1"/>
  <c r="CX54" i="25"/>
  <c r="CX297" i="25" s="1"/>
  <c r="CW54" i="25"/>
  <c r="CW297" i="25" s="1"/>
  <c r="CU54" i="25"/>
  <c r="CT54" i="25"/>
  <c r="CS54" i="25"/>
  <c r="CR54" i="25"/>
  <c r="CP54" i="25"/>
  <c r="CP298" i="25" s="1"/>
  <c r="CO54" i="25"/>
  <c r="CO298" i="25" s="1"/>
  <c r="CN54" i="25"/>
  <c r="CN298" i="25" s="1"/>
  <c r="CM54" i="25"/>
  <c r="CM298" i="25" s="1"/>
  <c r="CK54" i="25"/>
  <c r="CK298" i="25" s="1"/>
  <c r="CJ54" i="25"/>
  <c r="CJ298" i="25" s="1"/>
  <c r="CI54" i="25"/>
  <c r="CI298" i="25" s="1"/>
  <c r="CI297" i="25" s="1"/>
  <c r="CH54" i="25"/>
  <c r="CH298" i="25" s="1"/>
  <c r="CF54" i="25"/>
  <c r="CF298" i="25" s="1"/>
  <c r="CE54" i="25"/>
  <c r="CE298" i="25" s="1"/>
  <c r="CD54" i="25"/>
  <c r="CD298" i="25" s="1"/>
  <c r="CC54" i="25"/>
  <c r="CC298" i="25" s="1"/>
  <c r="CB54" i="25"/>
  <c r="BW54" i="25"/>
  <c r="BR54" i="25"/>
  <c r="BM54" i="25"/>
  <c r="DB52" i="25"/>
  <c r="DB315" i="25" s="1"/>
  <c r="CZ52" i="25"/>
  <c r="CZ24" i="617" s="1"/>
  <c r="CY52" i="25"/>
  <c r="CX52" i="25"/>
  <c r="CW52" i="25"/>
  <c r="CW24" i="617" s="1"/>
  <c r="CU52" i="25"/>
  <c r="CT52" i="25"/>
  <c r="CS52" i="25"/>
  <c r="CR52" i="25"/>
  <c r="CR24" i="617" s="1"/>
  <c r="CL50" i="25"/>
  <c r="CI52" i="25"/>
  <c r="CI24" i="617" s="1"/>
  <c r="CH52" i="25"/>
  <c r="CG52" i="25"/>
  <c r="CG24" i="617" s="1"/>
  <c r="CF52" i="25"/>
  <c r="CE52" i="25"/>
  <c r="CD52" i="25"/>
  <c r="CC52" i="25"/>
  <c r="CC44" i="25" s="1"/>
  <c r="CB52" i="25"/>
  <c r="BZ52" i="25"/>
  <c r="BZ44" i="25" s="1"/>
  <c r="BY52" i="25"/>
  <c r="BY44" i="25" s="1"/>
  <c r="BX52" i="25"/>
  <c r="BX44" i="25" s="1"/>
  <c r="BW52" i="25"/>
  <c r="BW315" i="25" s="1"/>
  <c r="BV52" i="25"/>
  <c r="BR52" i="25"/>
  <c r="BM52" i="25"/>
  <c r="BH52" i="25"/>
  <c r="AX52" i="25"/>
  <c r="W52" i="25"/>
  <c r="W44" i="25" s="1"/>
  <c r="V52" i="25"/>
  <c r="V44" i="25" s="1"/>
  <c r="U52" i="25"/>
  <c r="U44" i="25" s="1"/>
  <c r="Q52" i="25"/>
  <c r="Q44" i="25" s="1"/>
  <c r="L52" i="25"/>
  <c r="L44" i="25" s="1"/>
  <c r="DA51" i="25"/>
  <c r="CV51" i="25"/>
  <c r="CP51" i="25"/>
  <c r="CO51" i="25"/>
  <c r="CN51" i="25"/>
  <c r="CM51" i="25"/>
  <c r="CK51" i="25"/>
  <c r="CJ51" i="25"/>
  <c r="CA50" i="25"/>
  <c r="CA52" i="25" s="1"/>
  <c r="AM50" i="25"/>
  <c r="W50" i="25"/>
  <c r="V50" i="25"/>
  <c r="U50" i="25"/>
  <c r="S50" i="25"/>
  <c r="S52" i="25"/>
  <c r="S44" i="25" s="1"/>
  <c r="R50" i="25"/>
  <c r="R52" i="25" s="1"/>
  <c r="R44" i="25" s="1"/>
  <c r="Q50" i="25"/>
  <c r="P50" i="25"/>
  <c r="P52" i="25" s="1"/>
  <c r="P44" i="25" s="1"/>
  <c r="N50" i="25"/>
  <c r="N52" i="25" s="1"/>
  <c r="N44" i="25" s="1"/>
  <c r="M50" i="25"/>
  <c r="M52" i="25" s="1"/>
  <c r="M44" i="25" s="1"/>
  <c r="L50" i="25"/>
  <c r="K50" i="25"/>
  <c r="K52" i="25" s="1"/>
  <c r="K44" i="25" s="1"/>
  <c r="G50" i="25"/>
  <c r="G52" i="25" s="1"/>
  <c r="G315" i="25" s="1"/>
  <c r="F50" i="25"/>
  <c r="F52" i="25"/>
  <c r="E50" i="25"/>
  <c r="E52" i="25" s="1"/>
  <c r="D50" i="25"/>
  <c r="D52" i="25" s="1"/>
  <c r="CN44" i="25"/>
  <c r="X45" i="25"/>
  <c r="DF44" i="25"/>
  <c r="DA44" i="25"/>
  <c r="CP44" i="25"/>
  <c r="CO44" i="25"/>
  <c r="BC44" i="25"/>
  <c r="BB44" i="25"/>
  <c r="BA44" i="25"/>
  <c r="AS44" i="25"/>
  <c r="AM44" i="25"/>
  <c r="AL44" i="25"/>
  <c r="AJ44" i="25"/>
  <c r="AI44" i="25"/>
  <c r="AG44" i="25"/>
  <c r="AF44" i="25"/>
  <c r="AE44" i="25"/>
  <c r="AC44" i="25"/>
  <c r="AB44" i="25"/>
  <c r="AA44" i="25"/>
  <c r="Z44" i="25"/>
  <c r="Y44" i="25"/>
  <c r="X44" i="25"/>
  <c r="CM44" i="25"/>
  <c r="CK44" i="25"/>
  <c r="CJ44" i="25"/>
  <c r="BU44" i="25"/>
  <c r="BT44" i="25"/>
  <c r="BS44" i="25"/>
  <c r="BQ44" i="25"/>
  <c r="BP44" i="25"/>
  <c r="BO44" i="25"/>
  <c r="BN44" i="25"/>
  <c r="BL44" i="25"/>
  <c r="BK44" i="25"/>
  <c r="BJ44" i="25"/>
  <c r="BI44" i="25"/>
  <c r="U43" i="25"/>
  <c r="DF38" i="25"/>
  <c r="CZ39" i="25"/>
  <c r="CY39" i="25"/>
  <c r="CX39" i="25"/>
  <c r="CW39" i="25"/>
  <c r="CU39" i="25"/>
  <c r="CT39" i="25"/>
  <c r="CQ39" i="25"/>
  <c r="CQ38" i="25"/>
  <c r="CQ37" i="25"/>
  <c r="CQ36" i="25"/>
  <c r="CQ35" i="25"/>
  <c r="CL39" i="25"/>
  <c r="CL38" i="25"/>
  <c r="CL37" i="25"/>
  <c r="CL36" i="25"/>
  <c r="CL35" i="25"/>
  <c r="CG39" i="25"/>
  <c r="CG38" i="25"/>
  <c r="CG37" i="25"/>
  <c r="CG36" i="25"/>
  <c r="CG35" i="25"/>
  <c r="CB39" i="25"/>
  <c r="CB38" i="25"/>
  <c r="CB37" i="25"/>
  <c r="CB397" i="25" s="1"/>
  <c r="CB36" i="25"/>
  <c r="CB35" i="25"/>
  <c r="DA38" i="25"/>
  <c r="DA37" i="25"/>
  <c r="DA36" i="25"/>
  <c r="DA35" i="25"/>
  <c r="CV38" i="25"/>
  <c r="CV37" i="25"/>
  <c r="CV36" i="25"/>
  <c r="CV35" i="25"/>
  <c r="DF37" i="25"/>
  <c r="J33" i="25"/>
  <c r="I33" i="25"/>
  <c r="I280" i="25" s="1"/>
  <c r="H33" i="25"/>
  <c r="G33" i="25"/>
  <c r="F33" i="25"/>
  <c r="E33" i="25"/>
  <c r="F90" i="25" s="1"/>
  <c r="D33" i="25"/>
  <c r="DA32" i="25"/>
  <c r="DA29" i="25"/>
  <c r="CV32" i="25"/>
  <c r="CV29" i="25"/>
  <c r="CQ32" i="25"/>
  <c r="CL32" i="25"/>
  <c r="CL29" i="25"/>
  <c r="CG32" i="25"/>
  <c r="CG29" i="25"/>
  <c r="CB32" i="25"/>
  <c r="BR32" i="25"/>
  <c r="BM32" i="25"/>
  <c r="BM29" i="25"/>
  <c r="BH32" i="25"/>
  <c r="AZ29" i="25"/>
  <c r="J30" i="25"/>
  <c r="I30" i="25"/>
  <c r="H30" i="25"/>
  <c r="G30" i="25"/>
  <c r="F30" i="25"/>
  <c r="E30" i="25"/>
  <c r="D30" i="25"/>
  <c r="CO29" i="25"/>
  <c r="CO397" i="25" s="1"/>
  <c r="CQ29" i="25"/>
  <c r="AX29" i="25"/>
  <c r="AN29" i="25"/>
  <c r="AI29" i="25"/>
  <c r="AD29" i="25"/>
  <c r="Y29" i="25"/>
  <c r="T29" i="25"/>
  <c r="O29" i="25"/>
  <c r="DF20" i="25"/>
  <c r="DA26" i="25"/>
  <c r="DA25" i="25"/>
  <c r="DA17" i="617" s="1"/>
  <c r="DA21" i="25"/>
  <c r="DA20" i="25"/>
  <c r="CV26" i="25"/>
  <c r="CV25" i="25"/>
  <c r="CV17" i="617" s="1"/>
  <c r="CV21" i="25"/>
  <c r="CV20" i="25"/>
  <c r="CQ26" i="25"/>
  <c r="CQ25" i="25"/>
  <c r="CQ24" i="25"/>
  <c r="CQ145" i="25" s="1"/>
  <c r="CQ23" i="25"/>
  <c r="CQ21" i="25"/>
  <c r="CQ20" i="25"/>
  <c r="CL26" i="25"/>
  <c r="CL25" i="25"/>
  <c r="CL21" i="25"/>
  <c r="CL20" i="25"/>
  <c r="CG26" i="25"/>
  <c r="CG25" i="25"/>
  <c r="CG21" i="25"/>
  <c r="CB26" i="25"/>
  <c r="CB24" i="25"/>
  <c r="CB145" i="25" s="1"/>
  <c r="CB23" i="25"/>
  <c r="CB21" i="25"/>
  <c r="BW26" i="25"/>
  <c r="BW24" i="25"/>
  <c r="BW145" i="25" s="1"/>
  <c r="BW23" i="25"/>
  <c r="BR26" i="25"/>
  <c r="BR24" i="25"/>
  <c r="BR23" i="25"/>
  <c r="BR407" i="25" s="1"/>
  <c r="BR21" i="25"/>
  <c r="BM26" i="25"/>
  <c r="BM23" i="25"/>
  <c r="BM21" i="25"/>
  <c r="BH26" i="25"/>
  <c r="BH24" i="25"/>
  <c r="BH23" i="25"/>
  <c r="BH141" i="25" s="1"/>
  <c r="BC26" i="25"/>
  <c r="BC23" i="25"/>
  <c r="AW26" i="25"/>
  <c r="AX26" i="25" s="1"/>
  <c r="AS26" i="25"/>
  <c r="AS24" i="25"/>
  <c r="AS23" i="25"/>
  <c r="AI26" i="25"/>
  <c r="AI25" i="25"/>
  <c r="AD26" i="25"/>
  <c r="AD25" i="25"/>
  <c r="Y26" i="25"/>
  <c r="Y24" i="25"/>
  <c r="T26" i="25"/>
  <c r="T24" i="25"/>
  <c r="T145" i="25" s="1"/>
  <c r="T23" i="25"/>
  <c r="O26" i="25"/>
  <c r="O24" i="25"/>
  <c r="O145" i="25" s="1"/>
  <c r="O147" i="25" s="1"/>
  <c r="O23" i="25"/>
  <c r="CA25" i="25"/>
  <c r="BZ25" i="25"/>
  <c r="BY25" i="25"/>
  <c r="BX25" i="25"/>
  <c r="BV25" i="25"/>
  <c r="BU25" i="25"/>
  <c r="BT25" i="25"/>
  <c r="BS25" i="25"/>
  <c r="BQ25" i="25"/>
  <c r="BP25" i="25"/>
  <c r="BO25" i="25"/>
  <c r="BN25" i="25"/>
  <c r="BL25" i="25"/>
  <c r="BK25" i="25"/>
  <c r="BJ25" i="25"/>
  <c r="BG25" i="25"/>
  <c r="BF25" i="25"/>
  <c r="BE25" i="25"/>
  <c r="BD25" i="25"/>
  <c r="BB25" i="25"/>
  <c r="BA25" i="25"/>
  <c r="AY25" i="25"/>
  <c r="AV25" i="25"/>
  <c r="AU25" i="25"/>
  <c r="AT25" i="25"/>
  <c r="AR25" i="25"/>
  <c r="AQ25" i="25"/>
  <c r="AP25" i="25"/>
  <c r="AO25" i="25"/>
  <c r="AN25" i="25"/>
  <c r="AM25" i="25"/>
  <c r="AL25" i="25"/>
  <c r="AK25" i="25"/>
  <c r="AJ25" i="25"/>
  <c r="AH25" i="25"/>
  <c r="AG25" i="25"/>
  <c r="AF25" i="25"/>
  <c r="AE25" i="25"/>
  <c r="AC25" i="25"/>
  <c r="AB25" i="25"/>
  <c r="Z25" i="25"/>
  <c r="X25" i="25"/>
  <c r="W25" i="25"/>
  <c r="V25" i="25"/>
  <c r="U25" i="25"/>
  <c r="S25" i="25"/>
  <c r="R25" i="25"/>
  <c r="Q25" i="25"/>
  <c r="P25" i="25"/>
  <c r="N25" i="25"/>
  <c r="M25" i="25"/>
  <c r="L25" i="25"/>
  <c r="K25" i="25"/>
  <c r="H25" i="25"/>
  <c r="H79" i="25" s="1"/>
  <c r="G25" i="25"/>
  <c r="G79" i="25" s="1"/>
  <c r="F25" i="25"/>
  <c r="F79" i="25" s="1"/>
  <c r="F100" i="25" s="1"/>
  <c r="E25" i="25"/>
  <c r="E79" i="25" s="1"/>
  <c r="D25" i="25"/>
  <c r="D79" i="25" s="1"/>
  <c r="D100" i="25" s="1"/>
  <c r="DB22" i="25"/>
  <c r="DB28" i="25" s="1"/>
  <c r="CD24" i="25"/>
  <c r="BI24" i="25"/>
  <c r="AZ24" i="25"/>
  <c r="AX24" i="25"/>
  <c r="AX145" i="25" s="1"/>
  <c r="AX23" i="25"/>
  <c r="CT23" i="25"/>
  <c r="CI23" i="25"/>
  <c r="CI141" i="25" s="1"/>
  <c r="CH23" i="25"/>
  <c r="J22" i="25"/>
  <c r="J101" i="25" s="1"/>
  <c r="I22" i="25"/>
  <c r="H22" i="25"/>
  <c r="G22" i="25"/>
  <c r="F22" i="25"/>
  <c r="F101" i="25" s="1"/>
  <c r="E22" i="25"/>
  <c r="D22" i="25"/>
  <c r="DA18" i="25"/>
  <c r="DA404" i="25" s="1"/>
  <c r="CV18" i="25"/>
  <c r="CQ18" i="25"/>
  <c r="CL18" i="25"/>
  <c r="J18" i="559" s="1"/>
  <c r="CG18" i="25"/>
  <c r="CG98" i="25" s="1"/>
  <c r="CB18" i="25"/>
  <c r="BW18" i="25"/>
  <c r="BR18" i="25"/>
  <c r="BR404" i="25" s="1"/>
  <c r="BR348" i="25" s="1"/>
  <c r="BM18" i="25"/>
  <c r="BH18" i="25"/>
  <c r="BC18" i="25"/>
  <c r="CZ11" i="25"/>
  <c r="CY11" i="25"/>
  <c r="DB188" i="25" s="1"/>
  <c r="DB189" i="25" s="1"/>
  <c r="CX11" i="25"/>
  <c r="CW11" i="25"/>
  <c r="CU11" i="25"/>
  <c r="CT11" i="25"/>
  <c r="CT96" i="25" s="1"/>
  <c r="CS11" i="25"/>
  <c r="CR11" i="25"/>
  <c r="CP11" i="25"/>
  <c r="CP58" i="25" s="1"/>
  <c r="CP60" i="25" s="1"/>
  <c r="CO11" i="25"/>
  <c r="CO22" i="25" s="1"/>
  <c r="M19" i="559" s="1"/>
  <c r="CN11" i="25"/>
  <c r="CM11" i="25"/>
  <c r="CK11" i="25"/>
  <c r="CK58" i="25" s="1"/>
  <c r="CK60" i="25" s="1"/>
  <c r="CP84" i="25" s="1"/>
  <c r="CJ11" i="25"/>
  <c r="CJ22" i="25" s="1"/>
  <c r="CJ101" i="25" s="1"/>
  <c r="CI11" i="25"/>
  <c r="CH11" i="25"/>
  <c r="CF11" i="25"/>
  <c r="CF96" i="25" s="1"/>
  <c r="CE11" i="25"/>
  <c r="CE58" i="25" s="1"/>
  <c r="CD11" i="25"/>
  <c r="CC11" i="25"/>
  <c r="CA11" i="25"/>
  <c r="CA22" i="25"/>
  <c r="BZ11" i="25"/>
  <c r="BY11" i="25"/>
  <c r="BX11" i="25"/>
  <c r="BV11" i="25"/>
  <c r="BV83" i="25" s="1"/>
  <c r="BU11" i="25"/>
  <c r="BT11" i="25"/>
  <c r="BS11" i="25"/>
  <c r="BS58" i="25" s="1"/>
  <c r="BQ11" i="25"/>
  <c r="BQ83" i="25" s="1"/>
  <c r="BP11" i="25"/>
  <c r="BO11" i="25"/>
  <c r="BN11" i="25"/>
  <c r="BL11" i="25"/>
  <c r="BL22" i="25" s="1"/>
  <c r="BK11" i="25"/>
  <c r="BJ11" i="25"/>
  <c r="BI11" i="25"/>
  <c r="BI58" i="25" s="1"/>
  <c r="BG11" i="25"/>
  <c r="BI118" i="25" s="1"/>
  <c r="BF11" i="25"/>
  <c r="BE11" i="25"/>
  <c r="BD11" i="25"/>
  <c r="BB11" i="25"/>
  <c r="BA11" i="25"/>
  <c r="AZ11" i="25"/>
  <c r="AY11" i="25"/>
  <c r="AY22" i="25" s="1"/>
  <c r="AY28" i="25" s="1"/>
  <c r="AW11" i="25"/>
  <c r="AV11" i="25"/>
  <c r="AK11" i="25"/>
  <c r="DB10" i="25"/>
  <c r="DB403" i="25" s="1"/>
  <c r="DA10" i="25"/>
  <c r="CV10" i="25"/>
  <c r="CV9" i="25"/>
  <c r="CQ10" i="25"/>
  <c r="CQ9" i="25"/>
  <c r="CL10" i="25"/>
  <c r="CL403" i="25" s="1"/>
  <c r="CL9" i="25"/>
  <c r="CG10" i="25"/>
  <c r="CG9" i="25"/>
  <c r="CB10" i="25"/>
  <c r="CB403" i="25" s="1"/>
  <c r="CB327" i="25" s="1"/>
  <c r="CB9" i="25"/>
  <c r="BW10" i="25"/>
  <c r="BW403" i="25" s="1"/>
  <c r="BW319" i="25" s="1"/>
  <c r="BW9" i="25"/>
  <c r="BR10" i="25"/>
  <c r="BR9" i="25"/>
  <c r="BM10" i="25"/>
  <c r="BM403" i="25" s="1"/>
  <c r="BM9" i="25"/>
  <c r="BM11" i="25" s="1"/>
  <c r="BH10" i="25"/>
  <c r="BH9" i="25"/>
  <c r="BC10" i="25"/>
  <c r="BC403" i="25" s="1"/>
  <c r="BC338" i="25" s="1"/>
  <c r="BC9" i="25"/>
  <c r="AX9" i="25"/>
  <c r="AU10" i="25"/>
  <c r="AT10" i="25"/>
  <c r="AT135" i="25"/>
  <c r="AT136" i="25" s="1"/>
  <c r="AT97" i="25" s="1"/>
  <c r="AS10" i="25"/>
  <c r="AR10" i="25"/>
  <c r="AR135" i="25" s="1"/>
  <c r="AR136" i="25" s="1"/>
  <c r="AR97" i="25" s="1"/>
  <c r="AQ10" i="25"/>
  <c r="AP10" i="25"/>
  <c r="AO10" i="25"/>
  <c r="AO11" i="25"/>
  <c r="AN10" i="25"/>
  <c r="AM10" i="25"/>
  <c r="AL10" i="25"/>
  <c r="AL135" i="25"/>
  <c r="AL136" i="25" s="1"/>
  <c r="AL97" i="25" s="1"/>
  <c r="AJ10" i="25"/>
  <c r="AJ135" i="25" s="1"/>
  <c r="AJ136" i="25" s="1"/>
  <c r="AJ97" i="25" s="1"/>
  <c r="AH10" i="25"/>
  <c r="AH135" i="25" s="1"/>
  <c r="AH136" i="25" s="1"/>
  <c r="AH97" i="25" s="1"/>
  <c r="AG10" i="25"/>
  <c r="AF10" i="25"/>
  <c r="AF135" i="25"/>
  <c r="AF136" i="25" s="1"/>
  <c r="AF97" i="25" s="1"/>
  <c r="AE10" i="25"/>
  <c r="AE135" i="25" s="1"/>
  <c r="AE136" i="25" s="1"/>
  <c r="AE97" i="25" s="1"/>
  <c r="AD10" i="25"/>
  <c r="AC10" i="25"/>
  <c r="AC135" i="25" s="1"/>
  <c r="AC136" i="25" s="1"/>
  <c r="AC97" i="25" s="1"/>
  <c r="AB10" i="25"/>
  <c r="AB135" i="25"/>
  <c r="AB136" i="25" s="1"/>
  <c r="AB97" i="25" s="1"/>
  <c r="AA10" i="25"/>
  <c r="Z10" i="25"/>
  <c r="X10" i="25"/>
  <c r="W10" i="25"/>
  <c r="V10" i="25"/>
  <c r="V135" i="25" s="1"/>
  <c r="V136" i="25" s="1"/>
  <c r="V97" i="25" s="1"/>
  <c r="U10" i="25"/>
  <c r="S10" i="25"/>
  <c r="R10" i="25"/>
  <c r="Q10" i="25"/>
  <c r="Q135" i="25" s="1"/>
  <c r="Q136" i="25" s="1"/>
  <c r="Q97" i="25" s="1"/>
  <c r="P10" i="25"/>
  <c r="P135" i="25" s="1"/>
  <c r="P136" i="25" s="1"/>
  <c r="P97" i="25" s="1"/>
  <c r="P109" i="25" s="1"/>
  <c r="N10" i="25"/>
  <c r="M10" i="25"/>
  <c r="L10" i="25"/>
  <c r="L135" i="25" s="1"/>
  <c r="L136" i="25" s="1"/>
  <c r="K10" i="25"/>
  <c r="DA9" i="25"/>
  <c r="AS9" i="25"/>
  <c r="AI9" i="25"/>
  <c r="AD9" i="25"/>
  <c r="Y9" i="25"/>
  <c r="T9" i="25"/>
  <c r="O9" i="25"/>
  <c r="E7" i="25"/>
  <c r="F7" i="25" s="1"/>
  <c r="G7" i="25" s="1"/>
  <c r="H7" i="25" s="1"/>
  <c r="I7" i="25" s="1"/>
  <c r="J7" i="25" s="1"/>
  <c r="O7" i="25" s="1"/>
  <c r="T7" i="25" s="1"/>
  <c r="Y7" i="25" s="1"/>
  <c r="AD7" i="25" s="1"/>
  <c r="AI7" i="25" s="1"/>
  <c r="AN7" i="25" s="1"/>
  <c r="AS7" i="25" s="1"/>
  <c r="AX7" i="25" s="1"/>
  <c r="BC7" i="25" s="1"/>
  <c r="BH7" i="25" s="1"/>
  <c r="BM7" i="25" s="1"/>
  <c r="BR7" i="25" s="1"/>
  <c r="BW7" i="25" s="1"/>
  <c r="CB7" i="25" s="1"/>
  <c r="CG7" i="25" s="1"/>
  <c r="CL7" i="25" s="1"/>
  <c r="CQ7" i="25" s="1"/>
  <c r="CV7" i="25" s="1"/>
  <c r="DA7" i="25" s="1"/>
  <c r="DF7" i="25" s="1"/>
  <c r="DK7" i="25" s="1"/>
  <c r="DP7" i="25" s="1"/>
  <c r="DU7" i="25" s="1"/>
  <c r="DZ7" i="25" s="1"/>
  <c r="EE7" i="25" s="1"/>
  <c r="DB48" i="571"/>
  <c r="Z161" i="559"/>
  <c r="Z156" i="559"/>
  <c r="Z44" i="559" s="1"/>
  <c r="Z151" i="559"/>
  <c r="Z43" i="559" s="1"/>
  <c r="Z146" i="559"/>
  <c r="Z137" i="559"/>
  <c r="Z78" i="559"/>
  <c r="Z27" i="559" s="1"/>
  <c r="Z87" i="559"/>
  <c r="Z30" i="559" s="1"/>
  <c r="Z92" i="559"/>
  <c r="Z31" i="559" s="1"/>
  <c r="Z100" i="559"/>
  <c r="Z35" i="559" s="1"/>
  <c r="DB34" i="571"/>
  <c r="DG42" i="571" s="1"/>
  <c r="DC230" i="571"/>
  <c r="DC231" i="571"/>
  <c r="DC233" i="571" s="1"/>
  <c r="DA233" i="571" s="1"/>
  <c r="DC232" i="571"/>
  <c r="DB233" i="571"/>
  <c r="DB235" i="571" s="1"/>
  <c r="CS67" i="571"/>
  <c r="CN67" i="571"/>
  <c r="CX67" i="571"/>
  <c r="CT67" i="571"/>
  <c r="CY73" i="571" s="1"/>
  <c r="CO67" i="571"/>
  <c r="CO51" i="617" s="1"/>
  <c r="CY67" i="571"/>
  <c r="CZ67" i="571"/>
  <c r="CR67" i="571"/>
  <c r="CW73" i="571" s="1"/>
  <c r="CM67" i="571"/>
  <c r="CW67" i="571"/>
  <c r="CU67" i="571"/>
  <c r="X161" i="559"/>
  <c r="X45" i="559"/>
  <c r="X156" i="559"/>
  <c r="X44" i="559" s="1"/>
  <c r="X146" i="559"/>
  <c r="X42" i="559" s="1"/>
  <c r="X137" i="559"/>
  <c r="AI35" i="559"/>
  <c r="AI30" i="559"/>
  <c r="AI31" i="559"/>
  <c r="DB19" i="571"/>
  <c r="CZ19" i="571"/>
  <c r="CY19" i="571"/>
  <c r="CX19" i="571"/>
  <c r="CX20" i="571" s="1"/>
  <c r="CW19" i="571"/>
  <c r="CW20" i="571"/>
  <c r="CU19" i="571"/>
  <c r="CU20" i="571" s="1"/>
  <c r="CT19" i="571"/>
  <c r="CT20" i="571" s="1"/>
  <c r="CS19" i="571"/>
  <c r="CS20" i="571" s="1"/>
  <c r="CR19" i="571"/>
  <c r="CR20" i="571"/>
  <c r="X87" i="559"/>
  <c r="X30" i="559" s="1"/>
  <c r="X92" i="559"/>
  <c r="X31" i="559" s="1"/>
  <c r="X100" i="559"/>
  <c r="X35" i="559" s="1"/>
  <c r="W100" i="559"/>
  <c r="W35" i="559" s="1"/>
  <c r="V100" i="559"/>
  <c r="V35" i="559" s="1"/>
  <c r="CZ128" i="571"/>
  <c r="X78" i="559"/>
  <c r="X27" i="559" s="1"/>
  <c r="O10" i="559"/>
  <c r="T10" i="559" s="1"/>
  <c r="Y10" i="559" s="1"/>
  <c r="AD10" i="559" s="1"/>
  <c r="AI10" i="559" s="1"/>
  <c r="AN10" i="559" s="1"/>
  <c r="AS10" i="559" s="1"/>
  <c r="AX10" i="559" s="1"/>
  <c r="BC10" i="559" s="1"/>
  <c r="F11" i="559"/>
  <c r="G11" i="559"/>
  <c r="H11" i="559"/>
  <c r="I11" i="559"/>
  <c r="K11" i="559"/>
  <c r="L11" i="559"/>
  <c r="M11" i="559"/>
  <c r="N11" i="559"/>
  <c r="P11" i="559"/>
  <c r="Q11" i="559"/>
  <c r="R11" i="559"/>
  <c r="S11" i="559"/>
  <c r="F13" i="559"/>
  <c r="G13" i="559"/>
  <c r="H13" i="559"/>
  <c r="F14" i="559"/>
  <c r="G14" i="559"/>
  <c r="H14" i="559"/>
  <c r="F16" i="559"/>
  <c r="G16" i="559"/>
  <c r="H16" i="559"/>
  <c r="H52" i="559" s="1"/>
  <c r="I16" i="559"/>
  <c r="K16" i="559"/>
  <c r="L16" i="559"/>
  <c r="L63" i="559" s="1"/>
  <c r="M16" i="559"/>
  <c r="N16" i="559"/>
  <c r="P16" i="559"/>
  <c r="P63" i="559" s="1"/>
  <c r="Q16" i="559"/>
  <c r="R16" i="559"/>
  <c r="S16" i="559"/>
  <c r="U16" i="559"/>
  <c r="V16" i="559"/>
  <c r="W16" i="559"/>
  <c r="F18" i="559"/>
  <c r="G18" i="559"/>
  <c r="H18" i="559"/>
  <c r="I18" i="559"/>
  <c r="K18" i="559"/>
  <c r="L18" i="559"/>
  <c r="M18" i="559"/>
  <c r="M65" i="559" s="1"/>
  <c r="N18" i="559"/>
  <c r="N65" i="559" s="1"/>
  <c r="P18" i="559"/>
  <c r="Q18" i="559"/>
  <c r="Q65" i="559" s="1"/>
  <c r="R18" i="559"/>
  <c r="S18" i="559"/>
  <c r="U18" i="559"/>
  <c r="U65" i="559" s="1"/>
  <c r="V18" i="559"/>
  <c r="W18" i="559"/>
  <c r="K21" i="559"/>
  <c r="M21" i="559"/>
  <c r="N21" i="559"/>
  <c r="O21" i="559"/>
  <c r="DC42" i="571"/>
  <c r="DD42" i="571"/>
  <c r="F30" i="559"/>
  <c r="G30" i="559"/>
  <c r="H30" i="559"/>
  <c r="I30" i="559"/>
  <c r="K30" i="559"/>
  <c r="L30" i="559"/>
  <c r="M30" i="559"/>
  <c r="N30" i="559"/>
  <c r="P30" i="559"/>
  <c r="Q30" i="559"/>
  <c r="F31" i="559"/>
  <c r="G31" i="559"/>
  <c r="H31" i="559"/>
  <c r="I31" i="559"/>
  <c r="K31" i="559"/>
  <c r="L31" i="559"/>
  <c r="M31" i="559"/>
  <c r="N31" i="559"/>
  <c r="F35" i="559"/>
  <c r="G35" i="559"/>
  <c r="H35" i="559"/>
  <c r="I35" i="559"/>
  <c r="K35" i="559"/>
  <c r="L35" i="559"/>
  <c r="M35" i="559"/>
  <c r="N35" i="559"/>
  <c r="P35" i="559"/>
  <c r="Q35" i="559"/>
  <c r="AB43" i="559"/>
  <c r="DD14" i="613" s="1"/>
  <c r="DA93" i="571"/>
  <c r="Y156" i="559" s="1"/>
  <c r="U161" i="559"/>
  <c r="U45" i="559" s="1"/>
  <c r="V161" i="559"/>
  <c r="V45" i="559" s="1"/>
  <c r="W161" i="559"/>
  <c r="W45" i="559" s="1"/>
  <c r="DC15" i="607"/>
  <c r="K48" i="559"/>
  <c r="L48" i="559"/>
  <c r="M48" i="559"/>
  <c r="N48" i="559"/>
  <c r="F78" i="559"/>
  <c r="G78" i="559"/>
  <c r="H78" i="559"/>
  <c r="H79" i="559" s="1"/>
  <c r="I78" i="559"/>
  <c r="I79" i="559" s="1"/>
  <c r="K78" i="559"/>
  <c r="L78" i="559"/>
  <c r="M78" i="559"/>
  <c r="N78" i="559"/>
  <c r="N77" i="559" s="1"/>
  <c r="P78" i="559"/>
  <c r="P27" i="559" s="1"/>
  <c r="Q78" i="559"/>
  <c r="Q27" i="559" s="1"/>
  <c r="R78" i="559"/>
  <c r="R27" i="559" s="1"/>
  <c r="S78" i="559"/>
  <c r="S27" i="559" s="1"/>
  <c r="U78" i="559"/>
  <c r="U27" i="559" s="1"/>
  <c r="V78" i="559"/>
  <c r="V27" i="559" s="1"/>
  <c r="W78" i="559"/>
  <c r="W27" i="559" s="1"/>
  <c r="AI27" i="559"/>
  <c r="D83" i="559"/>
  <c r="F87" i="559"/>
  <c r="G87" i="559"/>
  <c r="H87" i="559"/>
  <c r="H86" i="559" s="1"/>
  <c r="I87" i="559"/>
  <c r="K87" i="559"/>
  <c r="K86" i="559" s="1"/>
  <c r="L87" i="559"/>
  <c r="M87" i="559"/>
  <c r="M86" i="559" s="1"/>
  <c r="N87" i="559"/>
  <c r="P87" i="559"/>
  <c r="Q87" i="559"/>
  <c r="R87" i="559"/>
  <c r="R30" i="559" s="1"/>
  <c r="S87" i="559"/>
  <c r="S30" i="559" s="1"/>
  <c r="U87" i="559"/>
  <c r="U30" i="559" s="1"/>
  <c r="V87" i="559"/>
  <c r="V30" i="559" s="1"/>
  <c r="W87" i="559"/>
  <c r="W30" i="559" s="1"/>
  <c r="F92" i="559"/>
  <c r="G92" i="559"/>
  <c r="G93" i="559" s="1"/>
  <c r="H92" i="559"/>
  <c r="I92" i="559"/>
  <c r="I91" i="559" s="1"/>
  <c r="K92" i="559"/>
  <c r="L92" i="559"/>
  <c r="L91" i="559" s="1"/>
  <c r="M92" i="559"/>
  <c r="N92" i="559"/>
  <c r="N91" i="559" s="1"/>
  <c r="S92" i="559"/>
  <c r="S31" i="559" s="1"/>
  <c r="U92" i="559"/>
  <c r="U31" i="559" s="1"/>
  <c r="V92" i="559"/>
  <c r="V31" i="559" s="1"/>
  <c r="W92" i="559"/>
  <c r="W31" i="559" s="1"/>
  <c r="F100" i="559"/>
  <c r="F101" i="559" s="1"/>
  <c r="G100" i="559"/>
  <c r="G99" i="559" s="1"/>
  <c r="H100" i="559"/>
  <c r="H101" i="559" s="1"/>
  <c r="I100" i="559"/>
  <c r="K100" i="559"/>
  <c r="K101" i="559" s="1"/>
  <c r="L100" i="559"/>
  <c r="L99" i="559" s="1"/>
  <c r="M100" i="559"/>
  <c r="M101" i="559" s="1"/>
  <c r="N100" i="559"/>
  <c r="P100" i="559"/>
  <c r="Q100" i="559"/>
  <c r="R100" i="559"/>
  <c r="R35" i="559" s="1"/>
  <c r="S100" i="559"/>
  <c r="S35" i="559" s="1"/>
  <c r="U100" i="559"/>
  <c r="U35" i="559" s="1"/>
  <c r="D106" i="559"/>
  <c r="D115" i="559"/>
  <c r="D123" i="559"/>
  <c r="AI48" i="559"/>
  <c r="U137" i="559"/>
  <c r="V137" i="559"/>
  <c r="W137" i="559"/>
  <c r="D142" i="559"/>
  <c r="P146" i="559"/>
  <c r="P42" i="559" s="1"/>
  <c r="Q146" i="559"/>
  <c r="Q42" i="559" s="1"/>
  <c r="Q151" i="559"/>
  <c r="Q43" i="559" s="1"/>
  <c r="Q156" i="559"/>
  <c r="Q44" i="559" s="1"/>
  <c r="Q161" i="559"/>
  <c r="Q45" i="559" s="1"/>
  <c r="R146" i="559"/>
  <c r="R42" i="559" s="1"/>
  <c r="S146" i="559"/>
  <c r="S42" i="559" s="1"/>
  <c r="U146" i="559"/>
  <c r="U42" i="559" s="1"/>
  <c r="V146" i="559"/>
  <c r="V42" i="559" s="1"/>
  <c r="W146" i="559"/>
  <c r="W42" i="559" s="1"/>
  <c r="P151" i="559"/>
  <c r="P43" i="559" s="1"/>
  <c r="R151" i="559"/>
  <c r="R43" i="559" s="1"/>
  <c r="S151" i="559"/>
  <c r="S43" i="559" s="1"/>
  <c r="U151" i="559"/>
  <c r="U43" i="559" s="1"/>
  <c r="V151" i="559"/>
  <c r="V43" i="559" s="1"/>
  <c r="W151" i="559"/>
  <c r="W43" i="559" s="1"/>
  <c r="P156" i="559"/>
  <c r="P44" i="559" s="1"/>
  <c r="R156" i="559"/>
  <c r="R44" i="559" s="1"/>
  <c r="S156" i="559"/>
  <c r="S44" i="559" s="1"/>
  <c r="U156" i="559"/>
  <c r="U44" i="559" s="1"/>
  <c r="V156" i="559"/>
  <c r="V44" i="559" s="1"/>
  <c r="W156" i="559"/>
  <c r="W44" i="559" s="1"/>
  <c r="P161" i="559"/>
  <c r="P45" i="559" s="1"/>
  <c r="R161" i="559"/>
  <c r="R45" i="559" s="1"/>
  <c r="S161" i="559"/>
  <c r="S45" i="559" s="1"/>
  <c r="E7" i="571"/>
  <c r="F7" i="571" s="1"/>
  <c r="G7" i="571" s="1"/>
  <c r="H7" i="571" s="1"/>
  <c r="I7" i="571" s="1"/>
  <c r="J7" i="571" s="1"/>
  <c r="O7" i="571" s="1"/>
  <c r="T7" i="571" s="1"/>
  <c r="Y7" i="571" s="1"/>
  <c r="AD7" i="571" s="1"/>
  <c r="AI7" i="571" s="1"/>
  <c r="AN7" i="571" s="1"/>
  <c r="AS7" i="571" s="1"/>
  <c r="AX7" i="571" s="1"/>
  <c r="BC7" i="571" s="1"/>
  <c r="BH7" i="571" s="1"/>
  <c r="BM7" i="571" s="1"/>
  <c r="BR7" i="571" s="1"/>
  <c r="BW7" i="571" s="1"/>
  <c r="CB7" i="571" s="1"/>
  <c r="CG7" i="571" s="1"/>
  <c r="CL7" i="571" s="1"/>
  <c r="CQ7" i="571" s="1"/>
  <c r="CV7" i="571" s="1"/>
  <c r="DA7" i="571" s="1"/>
  <c r="DF7" i="571" s="1"/>
  <c r="DK7" i="571" s="1"/>
  <c r="DP7" i="571" s="1"/>
  <c r="DU7" i="571" s="1"/>
  <c r="DZ7" i="571" s="1"/>
  <c r="EE7" i="571" s="1"/>
  <c r="CL8" i="571"/>
  <c r="J11" i="559" s="1"/>
  <c r="CQ8" i="571"/>
  <c r="O11" i="559" s="1"/>
  <c r="CV8" i="571"/>
  <c r="T11" i="559" s="1"/>
  <c r="CW8" i="571"/>
  <c r="CX8" i="571" s="1"/>
  <c r="O12" i="571"/>
  <c r="P12" i="571"/>
  <c r="P13" i="571"/>
  <c r="T12" i="571"/>
  <c r="T17" i="571" s="1"/>
  <c r="Y12" i="571"/>
  <c r="AD12" i="571"/>
  <c r="AD17" i="571" s="1"/>
  <c r="AI12" i="571"/>
  <c r="AN12" i="571"/>
  <c r="AS12" i="571"/>
  <c r="BJ12" i="571"/>
  <c r="BJ151" i="25" s="1"/>
  <c r="BK12" i="571"/>
  <c r="BL12" i="571"/>
  <c r="BL151" i="25" s="1"/>
  <c r="BR12" i="571"/>
  <c r="BR166" i="25" s="1"/>
  <c r="BW169" i="25" s="1"/>
  <c r="BW12" i="571"/>
  <c r="CB12" i="571"/>
  <c r="CB57" i="571" s="1"/>
  <c r="CG12" i="571"/>
  <c r="CL12" i="571"/>
  <c r="CQ12" i="571"/>
  <c r="CV12" i="571"/>
  <c r="E13" i="571"/>
  <c r="F13" i="571"/>
  <c r="G13" i="571"/>
  <c r="H13" i="571"/>
  <c r="I13" i="571"/>
  <c r="J13" i="571"/>
  <c r="Q13" i="571"/>
  <c r="R13" i="571"/>
  <c r="S13" i="571"/>
  <c r="V13" i="571"/>
  <c r="W13" i="571"/>
  <c r="X13" i="571"/>
  <c r="Z13" i="571"/>
  <c r="AA13" i="571"/>
  <c r="AB13" i="571"/>
  <c r="AC13" i="571"/>
  <c r="AE13" i="571"/>
  <c r="AF13" i="571"/>
  <c r="AG13" i="571"/>
  <c r="AH13" i="571"/>
  <c r="AJ13" i="571"/>
  <c r="AK13" i="571"/>
  <c r="AL13" i="571"/>
  <c r="AM13" i="571"/>
  <c r="AO13" i="571"/>
  <c r="AP13" i="571"/>
  <c r="AQ13" i="571"/>
  <c r="AR13" i="571"/>
  <c r="BS13" i="571"/>
  <c r="BT13" i="571"/>
  <c r="BU13" i="571"/>
  <c r="BV13" i="571"/>
  <c r="BX13" i="571"/>
  <c r="BY13" i="571"/>
  <c r="BZ13" i="571"/>
  <c r="CA13" i="571"/>
  <c r="CC13" i="571"/>
  <c r="CD13" i="571"/>
  <c r="CE13" i="571"/>
  <c r="CF13" i="571"/>
  <c r="CH13" i="571"/>
  <c r="CI13" i="571"/>
  <c r="CJ13" i="571"/>
  <c r="CK13" i="571"/>
  <c r="CM13" i="571"/>
  <c r="CN13" i="571"/>
  <c r="CO13" i="571"/>
  <c r="CP13" i="571"/>
  <c r="CR13" i="571"/>
  <c r="CS13" i="571"/>
  <c r="CT13" i="571"/>
  <c r="CU13" i="571"/>
  <c r="CW13" i="571"/>
  <c r="CX13" i="571"/>
  <c r="CX22" i="571" s="1"/>
  <c r="CX18" i="571" s="1"/>
  <c r="CY13" i="571"/>
  <c r="CY22" i="571" s="1"/>
  <c r="CY18" i="571" s="1"/>
  <c r="CY17" i="571" s="1"/>
  <c r="D17" i="571"/>
  <c r="E17" i="571"/>
  <c r="F17" i="571"/>
  <c r="G17" i="571"/>
  <c r="H17" i="571"/>
  <c r="I17" i="571"/>
  <c r="J17" i="571"/>
  <c r="BS17" i="571"/>
  <c r="BT17" i="571"/>
  <c r="BU17" i="571"/>
  <c r="BV17" i="571"/>
  <c r="BX17" i="571"/>
  <c r="BY17" i="571"/>
  <c r="BZ17" i="571"/>
  <c r="CA17" i="571"/>
  <c r="CC17" i="571"/>
  <c r="CD17" i="571"/>
  <c r="CE17" i="571"/>
  <c r="CF17" i="571"/>
  <c r="CH17" i="571"/>
  <c r="CI17" i="571"/>
  <c r="CJ17" i="571"/>
  <c r="CK17" i="571"/>
  <c r="CM17" i="571"/>
  <c r="CN17" i="571"/>
  <c r="CO17" i="571"/>
  <c r="CP17" i="571"/>
  <c r="CR17" i="571"/>
  <c r="CS17" i="571"/>
  <c r="CT17" i="571"/>
  <c r="CU17" i="571"/>
  <c r="CW17" i="571"/>
  <c r="CB18" i="571"/>
  <c r="CL18" i="571"/>
  <c r="CQ18" i="571"/>
  <c r="CV18" i="571"/>
  <c r="CV20" i="571" s="1"/>
  <c r="E20" i="571"/>
  <c r="F20" i="571"/>
  <c r="G20" i="571"/>
  <c r="H20" i="571"/>
  <c r="I20" i="571"/>
  <c r="J20" i="571"/>
  <c r="K20" i="571"/>
  <c r="L20" i="571"/>
  <c r="M20" i="571"/>
  <c r="N20" i="571"/>
  <c r="O20" i="571"/>
  <c r="P20" i="571"/>
  <c r="Q20" i="571"/>
  <c r="R20" i="571"/>
  <c r="S20" i="571"/>
  <c r="T20" i="571"/>
  <c r="U20" i="571"/>
  <c r="V20" i="571"/>
  <c r="W20" i="571"/>
  <c r="X20" i="571"/>
  <c r="Y20" i="571"/>
  <c r="Z20" i="571"/>
  <c r="AA20" i="571"/>
  <c r="AB20" i="571"/>
  <c r="AC20" i="571"/>
  <c r="AD20" i="571"/>
  <c r="AE20" i="571"/>
  <c r="AF20" i="571"/>
  <c r="AG20" i="571"/>
  <c r="AH20" i="571"/>
  <c r="AI20" i="571"/>
  <c r="AJ20" i="571"/>
  <c r="AK20" i="571"/>
  <c r="AL20" i="571"/>
  <c r="AM20" i="571"/>
  <c r="AN20" i="571"/>
  <c r="AO20" i="571"/>
  <c r="AP20" i="571"/>
  <c r="AQ20" i="571"/>
  <c r="AR20" i="571"/>
  <c r="AS20" i="571"/>
  <c r="AT20" i="571"/>
  <c r="AU20" i="571"/>
  <c r="AV20" i="571"/>
  <c r="AW20" i="571"/>
  <c r="AX20" i="571"/>
  <c r="AY20" i="571"/>
  <c r="AZ20" i="571"/>
  <c r="BA20" i="571"/>
  <c r="BB20" i="571"/>
  <c r="BC20" i="571"/>
  <c r="BD20" i="571"/>
  <c r="BE20" i="571"/>
  <c r="BF20" i="571"/>
  <c r="BG20" i="571"/>
  <c r="BH20" i="571"/>
  <c r="BI20" i="571"/>
  <c r="BJ20" i="571"/>
  <c r="BK20" i="571"/>
  <c r="BL20" i="571"/>
  <c r="BM20" i="571"/>
  <c r="BN20" i="571"/>
  <c r="BO20" i="571"/>
  <c r="BP20" i="571"/>
  <c r="BQ20" i="571"/>
  <c r="BR20" i="571"/>
  <c r="BS20" i="571"/>
  <c r="BT20" i="571"/>
  <c r="BU20" i="571"/>
  <c r="BV20" i="571"/>
  <c r="BW20" i="571"/>
  <c r="BX20" i="571"/>
  <c r="BY20" i="571"/>
  <c r="BZ20" i="571"/>
  <c r="CA20" i="571"/>
  <c r="CC20" i="571"/>
  <c r="CD20" i="571"/>
  <c r="CE20" i="571"/>
  <c r="CF20" i="571"/>
  <c r="CG20" i="571"/>
  <c r="CH20" i="571"/>
  <c r="CI20" i="571"/>
  <c r="CJ20" i="571"/>
  <c r="CK20" i="571"/>
  <c r="CM20" i="571"/>
  <c r="CN20" i="571"/>
  <c r="CO20" i="571"/>
  <c r="CP20" i="571"/>
  <c r="E22" i="571"/>
  <c r="E173" i="571" s="1"/>
  <c r="F22" i="571"/>
  <c r="F173" i="571" s="1"/>
  <c r="G22" i="571"/>
  <c r="G173" i="571"/>
  <c r="H22" i="571"/>
  <c r="H173" i="571" s="1"/>
  <c r="I22" i="571"/>
  <c r="J22" i="571"/>
  <c r="O22" i="571"/>
  <c r="P22" i="571"/>
  <c r="Q22" i="571"/>
  <c r="R22" i="571"/>
  <c r="S22" i="571"/>
  <c r="T22" i="571"/>
  <c r="U22" i="571"/>
  <c r="V22" i="571"/>
  <c r="W22" i="571"/>
  <c r="X22" i="571"/>
  <c r="Y22" i="571"/>
  <c r="Z22" i="571"/>
  <c r="AA22" i="571"/>
  <c r="AB22" i="571"/>
  <c r="AC22" i="571"/>
  <c r="AD22" i="571"/>
  <c r="AE22" i="571"/>
  <c r="AF22" i="571"/>
  <c r="AG22" i="571"/>
  <c r="AH22" i="571"/>
  <c r="AI22" i="571"/>
  <c r="AJ22" i="571"/>
  <c r="AK22" i="571"/>
  <c r="AL22" i="571"/>
  <c r="AM22" i="571"/>
  <c r="AN22" i="571"/>
  <c r="AO22" i="571"/>
  <c r="AP22" i="571"/>
  <c r="AQ22" i="571"/>
  <c r="AR22" i="571"/>
  <c r="AS22" i="571"/>
  <c r="AT22" i="571"/>
  <c r="AU22" i="571"/>
  <c r="AV22" i="571"/>
  <c r="AW22" i="571"/>
  <c r="AX22" i="571"/>
  <c r="AY22" i="571"/>
  <c r="AZ22" i="571"/>
  <c r="BA22" i="571"/>
  <c r="BB22" i="571"/>
  <c r="BC22" i="571"/>
  <c r="BD22" i="571"/>
  <c r="BE22" i="571"/>
  <c r="BF22" i="571"/>
  <c r="BG22" i="571"/>
  <c r="BH22" i="571"/>
  <c r="BI22" i="571"/>
  <c r="BJ22" i="571"/>
  <c r="BK22" i="571"/>
  <c r="BL22" i="571"/>
  <c r="BM22" i="571"/>
  <c r="BN22" i="571"/>
  <c r="BO22" i="571"/>
  <c r="BP22" i="571"/>
  <c r="BQ22" i="571"/>
  <c r="BR22" i="571"/>
  <c r="BS22" i="571"/>
  <c r="BT22" i="571"/>
  <c r="BU22" i="571"/>
  <c r="BV22" i="571"/>
  <c r="BW22" i="571"/>
  <c r="BX22" i="571"/>
  <c r="BY22" i="571"/>
  <c r="BZ22" i="571"/>
  <c r="CA22" i="571"/>
  <c r="CC22" i="571"/>
  <c r="CD22" i="571"/>
  <c r="CE22" i="571"/>
  <c r="CF22" i="571"/>
  <c r="CH22" i="571"/>
  <c r="CI22" i="571"/>
  <c r="CJ22" i="571"/>
  <c r="CK22" i="571"/>
  <c r="CM22" i="571"/>
  <c r="CN22" i="571"/>
  <c r="CO22" i="571"/>
  <c r="CP22" i="571"/>
  <c r="CR22" i="571"/>
  <c r="CS22" i="571"/>
  <c r="CT22" i="571"/>
  <c r="CU22" i="571"/>
  <c r="CW22" i="571"/>
  <c r="BQ32" i="571"/>
  <c r="BW32" i="571"/>
  <c r="CB33" i="571" s="1"/>
  <c r="CA32" i="571"/>
  <c r="CF32" i="571"/>
  <c r="CH32" i="571"/>
  <c r="CI32" i="571"/>
  <c r="CI33" i="571" s="1"/>
  <c r="CJ32" i="571"/>
  <c r="CK32" i="571"/>
  <c r="CK33" i="571" s="1"/>
  <c r="CM32" i="571"/>
  <c r="CR32" i="571"/>
  <c r="CW32" i="571"/>
  <c r="BH33" i="571"/>
  <c r="BM33" i="571"/>
  <c r="BR33" i="571"/>
  <c r="BS33" i="571"/>
  <c r="BT33" i="571"/>
  <c r="BU33" i="571"/>
  <c r="BX33" i="571"/>
  <c r="BY33" i="571"/>
  <c r="BZ33" i="571"/>
  <c r="CC33" i="571"/>
  <c r="CD33" i="571"/>
  <c r="CE33" i="571"/>
  <c r="CG33" i="571"/>
  <c r="CA34" i="571"/>
  <c r="CL34" i="571"/>
  <c r="CL68" i="617" s="1"/>
  <c r="CP34" i="571"/>
  <c r="CP68" i="617" s="1"/>
  <c r="CV34" i="571"/>
  <c r="BZ35" i="571"/>
  <c r="CC35" i="571"/>
  <c r="CD35" i="571"/>
  <c r="CE35" i="571"/>
  <c r="CG35" i="571"/>
  <c r="CH35" i="571"/>
  <c r="CI35" i="571"/>
  <c r="CJ35" i="571"/>
  <c r="CK35" i="571"/>
  <c r="CM35" i="571"/>
  <c r="CN35" i="571"/>
  <c r="CO35" i="571"/>
  <c r="CR35" i="571"/>
  <c r="CS35" i="571"/>
  <c r="CT35" i="571"/>
  <c r="CW35" i="571"/>
  <c r="CX35" i="571"/>
  <c r="CY35" i="571"/>
  <c r="BU36" i="571"/>
  <c r="BU82" i="571" s="1"/>
  <c r="BX36" i="571"/>
  <c r="BY36" i="571"/>
  <c r="BZ36" i="571"/>
  <c r="BZ37" i="571" s="1"/>
  <c r="CC36" i="571"/>
  <c r="CC37" i="571" s="1"/>
  <c r="CD36" i="571"/>
  <c r="CE36" i="571"/>
  <c r="CF36" i="571"/>
  <c r="CF64" i="571" s="1"/>
  <c r="CH36" i="571"/>
  <c r="CH64" i="571" s="1"/>
  <c r="CI36" i="571"/>
  <c r="CJ36" i="571"/>
  <c r="CK36" i="571"/>
  <c r="CM36" i="571"/>
  <c r="CN36" i="571"/>
  <c r="CO36" i="571"/>
  <c r="CR36" i="571"/>
  <c r="CR64" i="571" s="1"/>
  <c r="CS36" i="571"/>
  <c r="CS64" i="571"/>
  <c r="CT36" i="571"/>
  <c r="CT37" i="571" s="1"/>
  <c r="CU36" i="571"/>
  <c r="CW36" i="571"/>
  <c r="BR39" i="571"/>
  <c r="BR40" i="571" s="1"/>
  <c r="BS39" i="571"/>
  <c r="BS34" i="571" s="1"/>
  <c r="BT39" i="571"/>
  <c r="BT34" i="571" s="1"/>
  <c r="BU39" i="571"/>
  <c r="BV39" i="571"/>
  <c r="BV34" i="571" s="1"/>
  <c r="BX39" i="571"/>
  <c r="BY39" i="571"/>
  <c r="BZ39" i="571"/>
  <c r="CB39" i="571"/>
  <c r="CB40" i="571" s="1"/>
  <c r="CC39" i="571"/>
  <c r="CD39" i="571"/>
  <c r="CE39" i="571"/>
  <c r="CG39" i="571"/>
  <c r="CG40" i="571" s="1"/>
  <c r="CN40" i="571"/>
  <c r="CO40" i="571" s="1"/>
  <c r="CS40" i="571"/>
  <c r="CX40" i="571"/>
  <c r="DC40" i="571"/>
  <c r="BZ42" i="571"/>
  <c r="CC42" i="571"/>
  <c r="CD42" i="571"/>
  <c r="CE42" i="571"/>
  <c r="CF42" i="571"/>
  <c r="CF56" i="571" s="1"/>
  <c r="CH42" i="571"/>
  <c r="CI42" i="571"/>
  <c r="CJ42" i="571"/>
  <c r="CK42" i="571"/>
  <c r="CM42" i="571"/>
  <c r="CN42" i="571"/>
  <c r="CO42" i="571"/>
  <c r="CP42" i="571"/>
  <c r="CR42" i="571"/>
  <c r="CR56" i="571" s="1"/>
  <c r="CS42" i="571"/>
  <c r="CT42" i="571"/>
  <c r="CW42" i="571"/>
  <c r="CX42" i="571"/>
  <c r="CX56" i="571"/>
  <c r="CY42" i="571"/>
  <c r="CZ42" i="571"/>
  <c r="CX36" i="571"/>
  <c r="BT49" i="571"/>
  <c r="BU49" i="571"/>
  <c r="BV49" i="571"/>
  <c r="BX49" i="571"/>
  <c r="BY49" i="571"/>
  <c r="BZ49" i="571"/>
  <c r="CA49" i="571"/>
  <c r="CC49" i="571"/>
  <c r="CD49" i="571"/>
  <c r="CE49" i="571"/>
  <c r="CF49" i="571"/>
  <c r="CH49" i="571"/>
  <c r="CI49" i="571"/>
  <c r="CJ49" i="571"/>
  <c r="CK49" i="571"/>
  <c r="CM49" i="571"/>
  <c r="CN49" i="571"/>
  <c r="CO49" i="571"/>
  <c r="CP49" i="571"/>
  <c r="CR49" i="571"/>
  <c r="CS49" i="571"/>
  <c r="CT49" i="571"/>
  <c r="CU49" i="571"/>
  <c r="CW49" i="571"/>
  <c r="CX49" i="571"/>
  <c r="CM50" i="571"/>
  <c r="CN50" i="571"/>
  <c r="CO50" i="571"/>
  <c r="CP50" i="571"/>
  <c r="CR50" i="571"/>
  <c r="CS50" i="571"/>
  <c r="CT50" i="571"/>
  <c r="CU50" i="571"/>
  <c r="CW50" i="571"/>
  <c r="CO53" i="571"/>
  <c r="CP53" i="571"/>
  <c r="CR53" i="571"/>
  <c r="CS53" i="571"/>
  <c r="CT53" i="571"/>
  <c r="CU53" i="571"/>
  <c r="CW53" i="571"/>
  <c r="CX53" i="571"/>
  <c r="CY53" i="571"/>
  <c r="CZ53" i="571"/>
  <c r="DB53" i="571"/>
  <c r="BU56" i="571"/>
  <c r="BS57" i="571"/>
  <c r="BT57" i="571"/>
  <c r="BU57" i="571"/>
  <c r="BV57" i="571"/>
  <c r="BX57" i="571"/>
  <c r="BY57" i="571"/>
  <c r="BZ57" i="571"/>
  <c r="CA57" i="571"/>
  <c r="CC57" i="571"/>
  <c r="CD57" i="571"/>
  <c r="CE57" i="571"/>
  <c r="CF57" i="571"/>
  <c r="CH57" i="571"/>
  <c r="CI57" i="571"/>
  <c r="CJ57" i="571"/>
  <c r="CK57" i="571"/>
  <c r="CM57" i="571"/>
  <c r="CN57" i="571"/>
  <c r="CO57" i="571"/>
  <c r="CP57" i="571"/>
  <c r="CR57" i="571"/>
  <c r="CS57" i="571"/>
  <c r="CT57" i="571"/>
  <c r="CU57" i="571"/>
  <c r="CW57" i="571"/>
  <c r="CX57" i="571"/>
  <c r="CY57" i="571"/>
  <c r="BS59" i="571"/>
  <c r="BT59" i="571"/>
  <c r="BU59" i="571"/>
  <c r="BV59" i="571"/>
  <c r="BX59" i="571"/>
  <c r="BY59" i="571"/>
  <c r="BZ59" i="571"/>
  <c r="CC59" i="571"/>
  <c r="CD59" i="571"/>
  <c r="CE59" i="571"/>
  <c r="BU60" i="571"/>
  <c r="BX60" i="571"/>
  <c r="BY60" i="571"/>
  <c r="BZ60" i="571"/>
  <c r="CC60" i="571"/>
  <c r="CD60" i="571"/>
  <c r="CE60" i="571"/>
  <c r="CF60" i="571"/>
  <c r="CH60" i="571"/>
  <c r="CI60" i="571"/>
  <c r="CJ60" i="571"/>
  <c r="CK60" i="571"/>
  <c r="CM60" i="571"/>
  <c r="CN60" i="571"/>
  <c r="CO60" i="571"/>
  <c r="CR60" i="571"/>
  <c r="CS60" i="571"/>
  <c r="CT60" i="571"/>
  <c r="CU60" i="571"/>
  <c r="CW60" i="571"/>
  <c r="CX60" i="571"/>
  <c r="CY60" i="571"/>
  <c r="F67" i="571"/>
  <c r="F99" i="571" s="1"/>
  <c r="G67" i="571"/>
  <c r="G99" i="571" s="1"/>
  <c r="H67" i="571"/>
  <c r="H99" i="571" s="1"/>
  <c r="I67" i="571"/>
  <c r="I99" i="571" s="1"/>
  <c r="J67" i="571"/>
  <c r="J99" i="571" s="1"/>
  <c r="P67" i="571"/>
  <c r="Q67" i="571"/>
  <c r="R67" i="571"/>
  <c r="S67" i="571"/>
  <c r="U67" i="571"/>
  <c r="V67" i="571"/>
  <c r="W67" i="571"/>
  <c r="X67" i="571"/>
  <c r="Z67" i="571"/>
  <c r="AA67" i="571"/>
  <c r="AB67" i="571"/>
  <c r="AC67" i="571"/>
  <c r="AE67" i="571"/>
  <c r="AF67" i="571"/>
  <c r="AG67" i="571"/>
  <c r="AH67" i="571"/>
  <c r="AJ67" i="571"/>
  <c r="AK67" i="571"/>
  <c r="AL67" i="571"/>
  <c r="AM67" i="571"/>
  <c r="AO67" i="571"/>
  <c r="AP67" i="571"/>
  <c r="AQ67" i="571"/>
  <c r="AR67" i="571"/>
  <c r="AT67" i="571"/>
  <c r="AU67" i="571"/>
  <c r="AV67" i="571"/>
  <c r="AW67" i="571"/>
  <c r="AY67" i="571"/>
  <c r="AZ67" i="571"/>
  <c r="BA67" i="571"/>
  <c r="BB67" i="571"/>
  <c r="BD67" i="571"/>
  <c r="BE67" i="571"/>
  <c r="BF67" i="571"/>
  <c r="BG67" i="571"/>
  <c r="BN67" i="571"/>
  <c r="BO67" i="571"/>
  <c r="BP67" i="571"/>
  <c r="BQ67" i="571"/>
  <c r="BS67" i="571"/>
  <c r="BT67" i="571"/>
  <c r="BY73" i="571" s="1"/>
  <c r="BU67" i="571"/>
  <c r="BV67" i="571"/>
  <c r="BX67" i="571"/>
  <c r="BY67" i="571"/>
  <c r="CD73" i="571" s="1"/>
  <c r="CD139" i="571" s="1"/>
  <c r="BZ67" i="571"/>
  <c r="CA67" i="571"/>
  <c r="CC67" i="571"/>
  <c r="CD67" i="571"/>
  <c r="CD51" i="617" s="1"/>
  <c r="CE67" i="571"/>
  <c r="CF67" i="571"/>
  <c r="CH67" i="571"/>
  <c r="CI67" i="571"/>
  <c r="CN73" i="571" s="1"/>
  <c r="CN139" i="571" s="1"/>
  <c r="CJ67" i="571"/>
  <c r="CJ130" i="571" s="1"/>
  <c r="CK67" i="571"/>
  <c r="T84" i="571"/>
  <c r="Y84" i="571"/>
  <c r="AD84" i="571"/>
  <c r="AI84" i="571"/>
  <c r="AN84" i="571"/>
  <c r="AS84" i="571"/>
  <c r="AX84" i="571"/>
  <c r="BC84" i="571"/>
  <c r="BH84" i="571"/>
  <c r="BM84" i="571"/>
  <c r="BR84" i="571"/>
  <c r="F89" i="571"/>
  <c r="G89" i="571"/>
  <c r="H89" i="571"/>
  <c r="I89" i="571"/>
  <c r="J89" i="571"/>
  <c r="O89" i="571"/>
  <c r="P89" i="571"/>
  <c r="Q89" i="571"/>
  <c r="T89" i="571" s="1"/>
  <c r="R89" i="571"/>
  <c r="S89" i="571"/>
  <c r="U89" i="571"/>
  <c r="V89" i="571"/>
  <c r="Y89" i="571" s="1"/>
  <c r="W89" i="571"/>
  <c r="X89" i="571"/>
  <c r="Z89" i="571"/>
  <c r="AA89" i="571"/>
  <c r="AB89" i="571"/>
  <c r="AC89" i="571"/>
  <c r="AE89" i="571"/>
  <c r="AF89" i="571"/>
  <c r="AG89" i="571"/>
  <c r="AH89" i="571"/>
  <c r="AJ89" i="571"/>
  <c r="AK89" i="571"/>
  <c r="AN89" i="571" s="1"/>
  <c r="AL89" i="571"/>
  <c r="AM89" i="571"/>
  <c r="AO89" i="571"/>
  <c r="AP89" i="571"/>
  <c r="AQ89" i="571"/>
  <c r="AR89" i="571"/>
  <c r="AT89" i="571"/>
  <c r="AU89" i="571"/>
  <c r="AX89" i="571" s="1"/>
  <c r="AV89" i="571"/>
  <c r="AW89" i="571"/>
  <c r="AY89" i="571"/>
  <c r="AZ89" i="571"/>
  <c r="BC89" i="571" s="1"/>
  <c r="BA89" i="571"/>
  <c r="BB89" i="571"/>
  <c r="BD89" i="571"/>
  <c r="BE89" i="571"/>
  <c r="BH89" i="571" s="1"/>
  <c r="BF89" i="571"/>
  <c r="BG89" i="571"/>
  <c r="BI89" i="571"/>
  <c r="BJ89" i="571"/>
  <c r="BM89" i="571" s="1"/>
  <c r="BK89" i="571"/>
  <c r="BL89" i="571"/>
  <c r="BN89" i="571"/>
  <c r="BO89" i="571"/>
  <c r="BR89" i="571" s="1"/>
  <c r="BP89" i="571"/>
  <c r="BQ89" i="571"/>
  <c r="CV92" i="571"/>
  <c r="T151" i="559" s="1"/>
  <c r="CV93" i="571"/>
  <c r="T156" i="559" s="1"/>
  <c r="CR94" i="571"/>
  <c r="CS94" i="571"/>
  <c r="CT94" i="571"/>
  <c r="CU94" i="571"/>
  <c r="CV94" i="571" s="1"/>
  <c r="CW94" i="571"/>
  <c r="CX94" i="571"/>
  <c r="CY94" i="571"/>
  <c r="BT128" i="571"/>
  <c r="BX128" i="571"/>
  <c r="CW128" i="571"/>
  <c r="CX128" i="571"/>
  <c r="DC128" i="571" s="1"/>
  <c r="CY128" i="571"/>
  <c r="DD128" i="571" s="1"/>
  <c r="CF133" i="571"/>
  <c r="CH133" i="571"/>
  <c r="CI133" i="571"/>
  <c r="CJ133" i="571"/>
  <c r="CK133" i="571"/>
  <c r="CM133" i="571"/>
  <c r="CN133" i="571"/>
  <c r="CO133" i="571"/>
  <c r="CP133" i="571"/>
  <c r="CR133" i="571"/>
  <c r="CS133" i="571"/>
  <c r="CT133" i="571"/>
  <c r="CU133" i="571"/>
  <c r="CA137" i="571"/>
  <c r="CC137" i="571"/>
  <c r="CD137" i="571"/>
  <c r="CE137" i="571"/>
  <c r="CF137" i="571"/>
  <c r="CH137" i="571"/>
  <c r="CI137" i="571"/>
  <c r="CJ137" i="571"/>
  <c r="CK137" i="571"/>
  <c r="CM137" i="571"/>
  <c r="CR137" i="571"/>
  <c r="CW137" i="571" s="1"/>
  <c r="CS137" i="571"/>
  <c r="CX137" i="571" s="1"/>
  <c r="CT137" i="571"/>
  <c r="CY137" i="571" s="1"/>
  <c r="CU137" i="571"/>
  <c r="BS142" i="571"/>
  <c r="BX147" i="571"/>
  <c r="BY147" i="571"/>
  <c r="CD147" i="571" s="1"/>
  <c r="BZ147" i="571"/>
  <c r="CE147" i="571" s="1"/>
  <c r="CA147" i="571"/>
  <c r="BX148" i="571"/>
  <c r="CC148" i="571" s="1"/>
  <c r="BY148" i="571"/>
  <c r="CD148" i="571" s="1"/>
  <c r="BZ148" i="571"/>
  <c r="CE148" i="571" s="1"/>
  <c r="CA148" i="571"/>
  <c r="F158" i="571"/>
  <c r="F168" i="571" s="1"/>
  <c r="F169" i="571" s="1"/>
  <c r="G158" i="571"/>
  <c r="H158" i="571"/>
  <c r="H168" i="571" s="1"/>
  <c r="I158" i="571"/>
  <c r="J158" i="571"/>
  <c r="J168" i="571" s="1"/>
  <c r="F159" i="571"/>
  <c r="G159" i="571"/>
  <c r="H159" i="571"/>
  <c r="I159" i="571"/>
  <c r="J159" i="571"/>
  <c r="T146" i="559"/>
  <c r="Y146" i="559"/>
  <c r="AR161" i="571"/>
  <c r="AT161" i="571"/>
  <c r="AR162" i="571"/>
  <c r="AT162" i="571"/>
  <c r="T161" i="559"/>
  <c r="Y161" i="559"/>
  <c r="F166" i="571"/>
  <c r="G166" i="571"/>
  <c r="H166" i="571"/>
  <c r="I166" i="571"/>
  <c r="J166" i="571"/>
  <c r="O166" i="571"/>
  <c r="T166" i="571"/>
  <c r="Y166" i="571"/>
  <c r="AD166" i="571"/>
  <c r="AI166" i="571"/>
  <c r="AN166" i="571"/>
  <c r="AS166" i="571"/>
  <c r="AX166" i="571"/>
  <c r="BC166" i="571"/>
  <c r="BH166" i="571"/>
  <c r="BM166" i="571"/>
  <c r="BR166" i="571"/>
  <c r="P171" i="571"/>
  <c r="Q171" i="571"/>
  <c r="R171" i="571"/>
  <c r="S171" i="571"/>
  <c r="U171" i="571"/>
  <c r="V171" i="571"/>
  <c r="W171" i="571"/>
  <c r="X171" i="571"/>
  <c r="Z171" i="571"/>
  <c r="AA171" i="571"/>
  <c r="AB171" i="571"/>
  <c r="AC171" i="571"/>
  <c r="AE171" i="571"/>
  <c r="AI171" i="571" s="1"/>
  <c r="AF171" i="571"/>
  <c r="AG171" i="571"/>
  <c r="AH171" i="571"/>
  <c r="AJ171" i="571"/>
  <c r="AN171" i="571" s="1"/>
  <c r="AK171" i="571"/>
  <c r="AL171" i="571"/>
  <c r="AM171" i="571"/>
  <c r="AO171" i="571"/>
  <c r="AS171" i="571" s="1"/>
  <c r="AP171" i="571"/>
  <c r="AQ171" i="571"/>
  <c r="AT171" i="571"/>
  <c r="AU171" i="571"/>
  <c r="AV171" i="571"/>
  <c r="AW171" i="571"/>
  <c r="AY171" i="571"/>
  <c r="AZ171" i="571"/>
  <c r="BA171" i="571"/>
  <c r="BB171" i="571"/>
  <c r="BD171" i="571"/>
  <c r="BE171" i="571"/>
  <c r="BH171" i="571" s="1"/>
  <c r="BF171" i="571"/>
  <c r="BG171" i="571"/>
  <c r="BI171" i="571"/>
  <c r="BJ171" i="571"/>
  <c r="BM171" i="571" s="1"/>
  <c r="BR171" i="571"/>
  <c r="BR220" i="571" s="1"/>
  <c r="BW171" i="571"/>
  <c r="BW220" i="571" s="1"/>
  <c r="CB171" i="571"/>
  <c r="CB220" i="571" s="1"/>
  <c r="T181" i="571"/>
  <c r="Y181" i="571"/>
  <c r="AD181" i="571"/>
  <c r="AI181" i="571"/>
  <c r="AN181" i="571"/>
  <c r="AS181" i="571"/>
  <c r="AX181" i="571"/>
  <c r="BC181" i="571"/>
  <c r="BH181" i="571"/>
  <c r="BI181" i="571"/>
  <c r="BI67" i="571" s="1"/>
  <c r="BJ181" i="571"/>
  <c r="BK181" i="571"/>
  <c r="BK182" i="571" s="1"/>
  <c r="BM182" i="571" s="1"/>
  <c r="BL181" i="571"/>
  <c r="BR181" i="571"/>
  <c r="BW181" i="571"/>
  <c r="CB181" i="571"/>
  <c r="CG181" i="571"/>
  <c r="CL181" i="571"/>
  <c r="CP181" i="571"/>
  <c r="CR181" i="571"/>
  <c r="CS181" i="571"/>
  <c r="CS182" i="571" s="1"/>
  <c r="CT181" i="571"/>
  <c r="P182" i="571"/>
  <c r="Q182" i="571"/>
  <c r="R182" i="571"/>
  <c r="S182" i="571"/>
  <c r="U182" i="571"/>
  <c r="V182" i="571"/>
  <c r="Y182" i="571" s="1"/>
  <c r="Y183" i="571" s="1"/>
  <c r="W182" i="571"/>
  <c r="X182" i="571"/>
  <c r="Z182" i="571"/>
  <c r="AA182" i="571"/>
  <c r="AD182" i="571" s="1"/>
  <c r="AD183" i="571" s="1"/>
  <c r="AB182" i="571"/>
  <c r="AC182" i="571"/>
  <c r="AE182" i="571"/>
  <c r="AF182" i="571"/>
  <c r="AI182" i="571" s="1"/>
  <c r="AI183" i="571" s="1"/>
  <c r="AG182" i="571"/>
  <c r="AH182" i="571"/>
  <c r="AJ182" i="571"/>
  <c r="AK182" i="571"/>
  <c r="AN182" i="571" s="1"/>
  <c r="AN183" i="571" s="1"/>
  <c r="AL182" i="571"/>
  <c r="AM182" i="571"/>
  <c r="AO182" i="571"/>
  <c r="AP182" i="571"/>
  <c r="AS182" i="571" s="1"/>
  <c r="AS183" i="571" s="1"/>
  <c r="AQ182" i="571"/>
  <c r="AR182" i="571"/>
  <c r="AT182" i="571"/>
  <c r="AU182" i="571"/>
  <c r="AX182" i="571" s="1"/>
  <c r="AX183" i="571" s="1"/>
  <c r="AV182" i="571"/>
  <c r="AW182" i="571"/>
  <c r="AY182" i="571"/>
  <c r="AZ182" i="571"/>
  <c r="BC182" i="571" s="1"/>
  <c r="BC183" i="571" s="1"/>
  <c r="BA182" i="571"/>
  <c r="BB182" i="571"/>
  <c r="BD182" i="571"/>
  <c r="BE182" i="571"/>
  <c r="BH182" i="571" s="1"/>
  <c r="BH183" i="571" s="1"/>
  <c r="BF182" i="571"/>
  <c r="BG182" i="571"/>
  <c r="BN182" i="571"/>
  <c r="BO182" i="571"/>
  <c r="BR182" i="571" s="1"/>
  <c r="BR183" i="571" s="1"/>
  <c r="BP182" i="571"/>
  <c r="BQ182" i="571"/>
  <c r="BS182" i="571"/>
  <c r="BT182" i="571"/>
  <c r="BW182" i="571" s="1"/>
  <c r="BW183" i="571" s="1"/>
  <c r="BU182" i="571"/>
  <c r="BV182" i="571"/>
  <c r="BX182" i="571"/>
  <c r="BY182" i="571"/>
  <c r="BZ182" i="571"/>
  <c r="CA182" i="571"/>
  <c r="CC182" i="571"/>
  <c r="CD182" i="571"/>
  <c r="CG182" i="571" s="1"/>
  <c r="CG183" i="571" s="1"/>
  <c r="CE182" i="571"/>
  <c r="CF182" i="571"/>
  <c r="CH182" i="571"/>
  <c r="CI182" i="571"/>
  <c r="CL182" i="571" s="1"/>
  <c r="CL183" i="571" s="1"/>
  <c r="CJ182" i="571"/>
  <c r="CK182" i="571"/>
  <c r="CM182" i="571"/>
  <c r="CN182" i="571"/>
  <c r="CO182" i="571"/>
  <c r="G215" i="571"/>
  <c r="H215" i="571"/>
  <c r="I215" i="571"/>
  <c r="J215" i="571"/>
  <c r="O215" i="571"/>
  <c r="T215" i="571"/>
  <c r="Y215" i="571"/>
  <c r="AD215" i="571"/>
  <c r="AI215" i="571"/>
  <c r="AN215" i="571"/>
  <c r="AS215" i="571"/>
  <c r="AX215" i="571"/>
  <c r="BC215" i="571"/>
  <c r="BH215" i="571"/>
  <c r="BM215" i="571"/>
  <c r="BR215" i="571"/>
  <c r="BW215" i="571"/>
  <c r="BX215" i="571"/>
  <c r="BY215" i="571"/>
  <c r="BZ215" i="571"/>
  <c r="CA215" i="571"/>
  <c r="CB215" i="571"/>
  <c r="CC215" i="571"/>
  <c r="CD215" i="571"/>
  <c r="CE215" i="571"/>
  <c r="CF215" i="571"/>
  <c r="CL218" i="571"/>
  <c r="CL46" i="617" s="1"/>
  <c r="AS219" i="571"/>
  <c r="AX219" i="571"/>
  <c r="BC219" i="571"/>
  <c r="BH219" i="571"/>
  <c r="BM219" i="571"/>
  <c r="BR219" i="571"/>
  <c r="BW219" i="571"/>
  <c r="CK219" i="571"/>
  <c r="I13" i="559" s="1"/>
  <c r="CM219" i="571"/>
  <c r="CM47" i="617" s="1"/>
  <c r="CN219" i="571"/>
  <c r="CN47" i="617" s="1"/>
  <c r="CO219" i="571"/>
  <c r="CO47" i="617" s="1"/>
  <c r="CP219" i="571"/>
  <c r="CP47" i="617" s="1"/>
  <c r="CR219" i="571"/>
  <c r="CR47" i="617" s="1"/>
  <c r="CS219" i="571"/>
  <c r="CS47" i="617" s="1"/>
  <c r="CT219" i="571"/>
  <c r="R13" i="559" s="1"/>
  <c r="CU219" i="571"/>
  <c r="CW219" i="571"/>
  <c r="U13" i="559" s="1"/>
  <c r="CX219" i="571"/>
  <c r="CX47" i="617" s="1"/>
  <c r="CY219" i="571"/>
  <c r="CY47" i="617" s="1"/>
  <c r="AS220" i="571"/>
  <c r="AX220" i="571"/>
  <c r="BC220" i="571"/>
  <c r="BC171" i="571" s="1"/>
  <c r="BH220" i="571"/>
  <c r="BM220" i="571"/>
  <c r="CK220" i="571"/>
  <c r="CK49" i="617" s="1"/>
  <c r="CM220" i="571"/>
  <c r="K14" i="559" s="1"/>
  <c r="CN220" i="571"/>
  <c r="CN49" i="617" s="1"/>
  <c r="CO220" i="571"/>
  <c r="CP220" i="571"/>
  <c r="CP49" i="617" s="1"/>
  <c r="CR220" i="571"/>
  <c r="P14" i="559" s="1"/>
  <c r="CS220" i="571"/>
  <c r="CS49" i="617" s="1"/>
  <c r="CT220" i="571"/>
  <c r="CU220" i="571"/>
  <c r="CU49" i="617" s="1"/>
  <c r="CW220" i="571"/>
  <c r="CW49" i="617" s="1"/>
  <c r="CX220" i="571"/>
  <c r="CX49" i="617" s="1"/>
  <c r="CY220" i="571"/>
  <c r="CY49" i="617" s="1"/>
  <c r="CZ220" i="571"/>
  <c r="CZ49" i="617" s="1"/>
  <c r="P223" i="571"/>
  <c r="Q223" i="571"/>
  <c r="Q158" i="571" s="1"/>
  <c r="Q161" i="571" s="1"/>
  <c r="R223" i="571"/>
  <c r="R159" i="571" s="1"/>
  <c r="S223" i="571"/>
  <c r="U223" i="571"/>
  <c r="V223" i="571"/>
  <c r="V158" i="571" s="1"/>
  <c r="W223" i="571"/>
  <c r="W158" i="571" s="1"/>
  <c r="X223" i="571"/>
  <c r="Z223" i="571"/>
  <c r="AA223" i="571"/>
  <c r="AB223" i="571"/>
  <c r="AC223" i="571"/>
  <c r="AC159" i="571" s="1"/>
  <c r="AE223" i="571"/>
  <c r="AE158" i="571" s="1"/>
  <c r="AE161" i="571" s="1"/>
  <c r="AF223" i="571"/>
  <c r="AG223" i="571"/>
  <c r="AH223" i="571"/>
  <c r="AH159" i="571" s="1"/>
  <c r="AJ223" i="571"/>
  <c r="AJ158" i="571" s="1"/>
  <c r="AK223" i="571"/>
  <c r="AK158" i="571" s="1"/>
  <c r="AK162" i="571" s="1"/>
  <c r="AL223" i="571"/>
  <c r="AL159" i="571" s="1"/>
  <c r="AM223" i="571"/>
  <c r="AO223" i="571"/>
  <c r="AO159" i="571" s="1"/>
  <c r="AP223" i="571"/>
  <c r="AQ223" i="571"/>
  <c r="AR223" i="571"/>
  <c r="AR159" i="571" s="1"/>
  <c r="AT223" i="571"/>
  <c r="AT159" i="571" s="1"/>
  <c r="AU223" i="571"/>
  <c r="AU158" i="571" s="1"/>
  <c r="AV223" i="571"/>
  <c r="AW223" i="571"/>
  <c r="AW158" i="571" s="1"/>
  <c r="AY223" i="571"/>
  <c r="AZ223" i="571"/>
  <c r="BA223" i="571"/>
  <c r="BB223" i="571"/>
  <c r="BD223" i="571"/>
  <c r="BD158" i="571" s="1"/>
  <c r="BE223" i="571"/>
  <c r="BF223" i="571"/>
  <c r="BF158" i="571" s="1"/>
  <c r="BG223" i="571"/>
  <c r="BI223" i="571"/>
  <c r="BJ223" i="571"/>
  <c r="BJ158" i="571" s="1"/>
  <c r="BK223" i="571"/>
  <c r="BL223" i="571"/>
  <c r="BL159" i="571" s="1"/>
  <c r="BL162" i="571" s="1"/>
  <c r="BN223" i="571"/>
  <c r="BO223" i="571"/>
  <c r="BP223" i="571"/>
  <c r="BQ223" i="571"/>
  <c r="BQ158" i="571" s="1"/>
  <c r="BS223" i="571"/>
  <c r="BS158" i="571"/>
  <c r="BT223" i="571"/>
  <c r="BT158" i="571" s="1"/>
  <c r="BU223" i="571"/>
  <c r="BV223" i="571"/>
  <c r="BV158" i="571" s="1"/>
  <c r="BX223" i="571"/>
  <c r="BY223" i="571"/>
  <c r="BZ223" i="571"/>
  <c r="CA223" i="571"/>
  <c r="CA159" i="571" s="1"/>
  <c r="CC223" i="571"/>
  <c r="CC159" i="571" s="1"/>
  <c r="CD223" i="571"/>
  <c r="CE223" i="571"/>
  <c r="CE158" i="571" s="1"/>
  <c r="CE52" i="617" s="1"/>
  <c r="CF223" i="571"/>
  <c r="CF159" i="571" s="1"/>
  <c r="CH223" i="571"/>
  <c r="CI223" i="571"/>
  <c r="CJ223" i="571"/>
  <c r="CK223" i="571"/>
  <c r="CM223" i="571"/>
  <c r="CN223" i="571"/>
  <c r="CO223" i="571"/>
  <c r="CO159" i="571" s="1"/>
  <c r="CP223" i="571"/>
  <c r="CP159" i="571" s="1"/>
  <c r="CR223" i="571"/>
  <c r="CR158" i="571" s="1"/>
  <c r="CR159" i="571" s="1"/>
  <c r="CS223" i="571"/>
  <c r="CT223" i="571"/>
  <c r="CT158" i="571" s="1"/>
  <c r="CT159" i="571" s="1"/>
  <c r="CT177" i="571" s="1"/>
  <c r="CU223" i="571"/>
  <c r="CU158" i="571" s="1"/>
  <c r="CW223" i="571"/>
  <c r="CW158" i="571" s="1"/>
  <c r="CW159" i="571" s="1"/>
  <c r="CX223" i="571"/>
  <c r="CY223" i="571"/>
  <c r="CK193" i="571"/>
  <c r="CK60" i="617" s="1"/>
  <c r="DF228" i="25"/>
  <c r="DK228" i="25"/>
  <c r="DP228" i="25"/>
  <c r="DR228" i="25" s="1"/>
  <c r="DS228" i="25" s="1"/>
  <c r="DT228" i="25" s="1"/>
  <c r="DU228" i="25" s="1"/>
  <c r="DV228" i="25" s="1"/>
  <c r="DW228" i="25" s="1"/>
  <c r="DX228" i="25" s="1"/>
  <c r="DY228" i="25" s="1"/>
  <c r="DZ228" i="25" s="1"/>
  <c r="EA228" i="25" s="1"/>
  <c r="EB228" i="25" s="1"/>
  <c r="EC228" i="25" s="1"/>
  <c r="ED228" i="25" s="1"/>
  <c r="EE228" i="25" s="1"/>
  <c r="DF236" i="25"/>
  <c r="DK236" i="25"/>
  <c r="DP236" i="25"/>
  <c r="DR236" i="25" s="1"/>
  <c r="DS236" i="25" s="1"/>
  <c r="DT236" i="25" s="1"/>
  <c r="DU236" i="25" s="1"/>
  <c r="DV236" i="25" s="1"/>
  <c r="DW236" i="25" s="1"/>
  <c r="DX236" i="25" s="1"/>
  <c r="DY236" i="25" s="1"/>
  <c r="DZ236" i="25" s="1"/>
  <c r="EA236" i="25" s="1"/>
  <c r="EB236" i="25" s="1"/>
  <c r="EC236" i="25" s="1"/>
  <c r="ED236" i="25" s="1"/>
  <c r="EE236" i="25" s="1"/>
  <c r="A6" i="572"/>
  <c r="CR193" i="571"/>
  <c r="CR60" i="617" s="1"/>
  <c r="CX37" i="571"/>
  <c r="O159" i="571"/>
  <c r="CX50" i="571"/>
  <c r="BR17" i="571"/>
  <c r="O18" i="559"/>
  <c r="DA12" i="571"/>
  <c r="CY50" i="571"/>
  <c r="CY36" i="571"/>
  <c r="CY49" i="571"/>
  <c r="CZ13" i="571"/>
  <c r="CZ22" i="571" s="1"/>
  <c r="CZ18" i="571" s="1"/>
  <c r="CZ57" i="571"/>
  <c r="CO158" i="571"/>
  <c r="CO52" i="617" s="1"/>
  <c r="CZ49" i="571"/>
  <c r="CZ50" i="571"/>
  <c r="CZ219" i="571"/>
  <c r="CZ47" i="617" s="1"/>
  <c r="CZ36" i="571"/>
  <c r="DA34" i="571"/>
  <c r="DA68" i="617" s="1"/>
  <c r="CZ35" i="571"/>
  <c r="CZ223" i="571"/>
  <c r="CZ158" i="571" s="1"/>
  <c r="CZ159" i="571" s="1"/>
  <c r="X16" i="559"/>
  <c r="CZ60" i="571"/>
  <c r="BK67" i="571"/>
  <c r="X18" i="559"/>
  <c r="DB42" i="571"/>
  <c r="DB13" i="571"/>
  <c r="DB22" i="571" s="1"/>
  <c r="DB18" i="571" s="1"/>
  <c r="DB57" i="571"/>
  <c r="DA92" i="571"/>
  <c r="Y151" i="559" s="1"/>
  <c r="CZ94" i="571"/>
  <c r="X151" i="559"/>
  <c r="X43" i="559" s="1"/>
  <c r="DC166" i="25"/>
  <c r="CM56" i="571"/>
  <c r="CM43" i="571"/>
  <c r="U13" i="571"/>
  <c r="DC13" i="571"/>
  <c r="DC22" i="571" s="1"/>
  <c r="DC18" i="571" s="1"/>
  <c r="DC57" i="571"/>
  <c r="O67" i="571"/>
  <c r="O99" i="571" s="1"/>
  <c r="CD56" i="571"/>
  <c r="CX181" i="571"/>
  <c r="O158" i="571"/>
  <c r="CF37" i="571"/>
  <c r="BJ159" i="571"/>
  <c r="CP60" i="571"/>
  <c r="DF234" i="25"/>
  <c r="DK234" i="25"/>
  <c r="DP234" i="25"/>
  <c r="DR234" i="25" s="1"/>
  <c r="DS234" i="25" s="1"/>
  <c r="DT234" i="25" s="1"/>
  <c r="DU234" i="25" s="1"/>
  <c r="DV234" i="25" s="1"/>
  <c r="DW234" i="25" s="1"/>
  <c r="DX234" i="25" s="1"/>
  <c r="DY234" i="25" s="1"/>
  <c r="DZ234" i="25" s="1"/>
  <c r="EA234" i="25" s="1"/>
  <c r="EB234" i="25" s="1"/>
  <c r="EC234" i="25" s="1"/>
  <c r="ED234" i="25" s="1"/>
  <c r="EE234" i="25" s="1"/>
  <c r="CS37" i="571"/>
  <c r="CC64" i="571"/>
  <c r="BU37" i="571"/>
  <c r="BU83" i="571" s="1"/>
  <c r="Z16" i="559"/>
  <c r="DB220" i="571"/>
  <c r="DB49" i="617" s="1"/>
  <c r="DB219" i="571"/>
  <c r="DB47" i="617" s="1"/>
  <c r="DB223" i="571"/>
  <c r="DB218" i="571" s="1"/>
  <c r="DB46" i="617" s="1"/>
  <c r="Z18" i="559"/>
  <c r="DB94" i="571"/>
  <c r="DB195" i="571"/>
  <c r="Z17" i="559"/>
  <c r="DC94" i="571"/>
  <c r="DD273" i="25"/>
  <c r="BW17" i="571"/>
  <c r="CD43" i="571"/>
  <c r="CQ34" i="571"/>
  <c r="CQ68" i="617" s="1"/>
  <c r="O402" i="25"/>
  <c r="O105" i="25"/>
  <c r="O98" i="25"/>
  <c r="O82" i="25"/>
  <c r="AI402" i="25"/>
  <c r="AI346" i="25" s="1"/>
  <c r="AI105" i="25"/>
  <c r="AN82" i="25"/>
  <c r="AI98" i="25"/>
  <c r="V11" i="25"/>
  <c r="AL11" i="25"/>
  <c r="AT11" i="25"/>
  <c r="Z66" i="25"/>
  <c r="Z67" i="25" s="1"/>
  <c r="AE11" i="25"/>
  <c r="CA96" i="25"/>
  <c r="CU96" i="25"/>
  <c r="L11" i="25"/>
  <c r="AB11" i="25"/>
  <c r="AF11" i="25"/>
  <c r="CF83" i="25"/>
  <c r="CZ96" i="25"/>
  <c r="BI25" i="25"/>
  <c r="DF51" i="25"/>
  <c r="CF58" i="25"/>
  <c r="AO66" i="25"/>
  <c r="AO67" i="25" s="1"/>
  <c r="BS66" i="25"/>
  <c r="BS67" i="25" s="1"/>
  <c r="BN66" i="25"/>
  <c r="BN67" i="25" s="1"/>
  <c r="Q11" i="25"/>
  <c r="AC11" i="25"/>
  <c r="AW58" i="25"/>
  <c r="AW60" i="25" s="1"/>
  <c r="AW76" i="25" s="1"/>
  <c r="BF78" i="25"/>
  <c r="BT110" i="25"/>
  <c r="AA110" i="25"/>
  <c r="BX135" i="25"/>
  <c r="BX136" i="25" s="1"/>
  <c r="BV158" i="25"/>
  <c r="BV159" i="25" s="1"/>
  <c r="BV160" i="25" s="1"/>
  <c r="DA134" i="25"/>
  <c r="CK254" i="25"/>
  <c r="CK238" i="25"/>
  <c r="AS254" i="25"/>
  <c r="CB238" i="25"/>
  <c r="DC339" i="25"/>
  <c r="CX273" i="25"/>
  <c r="CX274" i="25" s="1"/>
  <c r="DA273" i="25"/>
  <c r="CP232" i="25"/>
  <c r="CQ232" i="25" s="1"/>
  <c r="CH251" i="25"/>
  <c r="CI238" i="25"/>
  <c r="CN315" i="25"/>
  <c r="CY311" i="25"/>
  <c r="BS216" i="25"/>
  <c r="CY216" i="25"/>
  <c r="BZ360" i="25"/>
  <c r="CA360" i="25" s="1"/>
  <c r="CA361" i="25"/>
  <c r="BT361" i="25"/>
  <c r="BU361" i="25" s="1"/>
  <c r="BV361" i="25" s="1"/>
  <c r="CE366" i="25"/>
  <c r="CF366" i="25" s="1"/>
  <c r="CG366" i="25" s="1"/>
  <c r="CJ364" i="25"/>
  <c r="CH369" i="25"/>
  <c r="CH282" i="25" s="1"/>
  <c r="CO363" i="25"/>
  <c r="CT367" i="25"/>
  <c r="CY367" i="25"/>
  <c r="CZ367" i="25" s="1"/>
  <c r="DA367" i="25" s="1"/>
  <c r="CF376" i="25"/>
  <c r="CG376" i="25" s="1"/>
  <c r="BZ366" i="25"/>
  <c r="CA366" i="25" s="1"/>
  <c r="BU374" i="25"/>
  <c r="CJ362" i="25"/>
  <c r="CK362" i="25" s="1"/>
  <c r="CL362" i="25" s="1"/>
  <c r="CT360" i="25"/>
  <c r="CU360" i="25" s="1"/>
  <c r="CO368" i="25"/>
  <c r="CT366" i="25"/>
  <c r="CY364" i="25"/>
  <c r="CY368" i="25"/>
  <c r="CM377" i="25"/>
  <c r="BU381" i="25"/>
  <c r="BV381" i="25" s="1"/>
  <c r="DF219" i="25"/>
  <c r="DC78" i="25"/>
  <c r="DC335" i="25"/>
  <c r="DD142" i="25"/>
  <c r="DF232" i="25"/>
  <c r="H153" i="25"/>
  <c r="DD211" i="25"/>
  <c r="DE211" i="25" s="1"/>
  <c r="BR151" i="25"/>
  <c r="BW166" i="25"/>
  <c r="CB165" i="25" s="1"/>
  <c r="CC147" i="571"/>
  <c r="CH147" i="571" s="1"/>
  <c r="DC220" i="571"/>
  <c r="DC49" i="617" s="1"/>
  <c r="DB238" i="25"/>
  <c r="DB254" i="25"/>
  <c r="DC219" i="571"/>
  <c r="DC47" i="617" s="1"/>
  <c r="AA13" i="559"/>
  <c r="DC190" i="571"/>
  <c r="DC223" i="571"/>
  <c r="DC158" i="571" s="1"/>
  <c r="DC159" i="571" s="1"/>
  <c r="DC67" i="571"/>
  <c r="AA16" i="559"/>
  <c r="DC402" i="25"/>
  <c r="DC187" i="25"/>
  <c r="DC82" i="25"/>
  <c r="DC117" i="25"/>
  <c r="DC283" i="25"/>
  <c r="DC35" i="571"/>
  <c r="DC60" i="571"/>
  <c r="DC204" i="571"/>
  <c r="DC135" i="25"/>
  <c r="DC136" i="25" s="1"/>
  <c r="DC96" i="25"/>
  <c r="DC137" i="25" s="1"/>
  <c r="DC191" i="571"/>
  <c r="DC58" i="25"/>
  <c r="DC22" i="25"/>
  <c r="AA19" i="559" s="1"/>
  <c r="DC85" i="25"/>
  <c r="DC98" i="25"/>
  <c r="DC404" i="25"/>
  <c r="DC348" i="25" s="1"/>
  <c r="AA18" i="559"/>
  <c r="DC405" i="25"/>
  <c r="DC45" i="25"/>
  <c r="DF205" i="25"/>
  <c r="DD146" i="25"/>
  <c r="DC206" i="25"/>
  <c r="DC216" i="25" s="1"/>
  <c r="DC247" i="25"/>
  <c r="DK213" i="25"/>
  <c r="DP213" i="25"/>
  <c r="DR213" i="25" s="1"/>
  <c r="DS213" i="25" s="1"/>
  <c r="DT213" i="25" s="1"/>
  <c r="DU213" i="25" s="1"/>
  <c r="DV213" i="25" s="1"/>
  <c r="DW213" i="25" s="1"/>
  <c r="DX213" i="25" s="1"/>
  <c r="DY213" i="25" s="1"/>
  <c r="DZ213" i="25" s="1"/>
  <c r="EA213" i="25" s="1"/>
  <c r="EB213" i="25" s="1"/>
  <c r="EC213" i="25" s="1"/>
  <c r="ED213" i="25" s="1"/>
  <c r="EE213" i="25" s="1"/>
  <c r="DC225" i="25"/>
  <c r="DC307" i="25"/>
  <c r="DC238" i="25"/>
  <c r="DC254" i="25"/>
  <c r="Y369" i="25"/>
  <c r="Y282" i="25" s="1"/>
  <c r="DA146" i="25"/>
  <c r="CA238" i="25"/>
  <c r="CA251" i="25" s="1"/>
  <c r="CC238" i="25"/>
  <c r="CZ238" i="25"/>
  <c r="CZ251" i="25" s="1"/>
  <c r="BV373" i="25"/>
  <c r="CO239" i="25"/>
  <c r="BV238" i="25"/>
  <c r="AO135" i="25"/>
  <c r="AO136" i="25" s="1"/>
  <c r="AO97" i="25" s="1"/>
  <c r="CV39" i="25"/>
  <c r="DA39" i="25"/>
  <c r="P152" i="25"/>
  <c r="P153" i="25" s="1"/>
  <c r="F230" i="25"/>
  <c r="F239" i="25" s="1"/>
  <c r="CY283" i="25"/>
  <c r="CZ372" i="25"/>
  <c r="CE375" i="25"/>
  <c r="CF375" i="25" s="1"/>
  <c r="CG375" i="25" s="1"/>
  <c r="CC377" i="25"/>
  <c r="CA379" i="25"/>
  <c r="CJ376" i="25"/>
  <c r="AL158" i="571"/>
  <c r="CT64" i="571"/>
  <c r="DB49" i="571"/>
  <c r="CJ159" i="571"/>
  <c r="CJ158" i="571"/>
  <c r="BU159" i="571"/>
  <c r="BU158" i="571"/>
  <c r="CF158" i="571"/>
  <c r="CF52" i="617" s="1"/>
  <c r="AU159" i="571"/>
  <c r="CI43" i="571"/>
  <c r="CI44" i="571" s="1"/>
  <c r="CO262" i="25"/>
  <c r="AU135" i="25"/>
  <c r="AU136" i="25" s="1"/>
  <c r="AU97" i="25" s="1"/>
  <c r="J146" i="25"/>
  <c r="CO315" i="25"/>
  <c r="BY232" i="25"/>
  <c r="BY254" i="25" s="1"/>
  <c r="CW296" i="25"/>
  <c r="DB377" i="25"/>
  <c r="DC373" i="25"/>
  <c r="CW377" i="25"/>
  <c r="CX373" i="25"/>
  <c r="CP374" i="25"/>
  <c r="CQ374" i="25" s="1"/>
  <c r="CR387" i="25"/>
  <c r="CX362" i="25"/>
  <c r="CY362" i="25" s="1"/>
  <c r="CZ362" i="25" s="1"/>
  <c r="DA362" i="25" s="1"/>
  <c r="CJ374" i="25"/>
  <c r="CK374" i="25" s="1"/>
  <c r="BS387" i="25"/>
  <c r="AY96" i="25"/>
  <c r="AY58" i="25"/>
  <c r="BN22" i="25"/>
  <c r="BN96" i="25"/>
  <c r="BR145" i="25"/>
  <c r="BR25" i="25"/>
  <c r="CQ403" i="25"/>
  <c r="BD22" i="25"/>
  <c r="BD96" i="25"/>
  <c r="BD108" i="25" s="1"/>
  <c r="BS83" i="25"/>
  <c r="BS22" i="25"/>
  <c r="BS118" i="25"/>
  <c r="D101" i="25"/>
  <c r="BM407" i="25"/>
  <c r="BM141" i="25"/>
  <c r="J406" i="25"/>
  <c r="J104" i="25"/>
  <c r="J41" i="25"/>
  <c r="CG403" i="25"/>
  <c r="CG338" i="25" s="1"/>
  <c r="CG11" i="25"/>
  <c r="DB135" i="25"/>
  <c r="DB136" i="25" s="1"/>
  <c r="DB138" i="25" s="1"/>
  <c r="BI83" i="25"/>
  <c r="BI96" i="25"/>
  <c r="BX22" i="25"/>
  <c r="CM83" i="25"/>
  <c r="H101" i="25"/>
  <c r="CI407" i="25"/>
  <c r="Y145" i="25"/>
  <c r="Y25" i="25"/>
  <c r="F41" i="25"/>
  <c r="F398" i="25" s="1"/>
  <c r="F280" i="25"/>
  <c r="F104" i="25"/>
  <c r="AM66" i="25"/>
  <c r="AM67" i="25" s="1"/>
  <c r="BV66" i="25"/>
  <c r="BV67" i="25" s="1"/>
  <c r="CA66" i="25"/>
  <c r="CF66" i="25"/>
  <c r="CP66" i="25"/>
  <c r="CP13" i="617" s="1"/>
  <c r="CP37" i="617" s="1"/>
  <c r="AQ129" i="25"/>
  <c r="CG301" i="25"/>
  <c r="DD59" i="25"/>
  <c r="DD193" i="571" s="1"/>
  <c r="DD194" i="571" s="1"/>
  <c r="DD198" i="571" s="1"/>
  <c r="DF237" i="25"/>
  <c r="DK237" i="25"/>
  <c r="DC66" i="25"/>
  <c r="CU42" i="571"/>
  <c r="CU43" i="571" s="1"/>
  <c r="CU44" i="571" s="1"/>
  <c r="CP36" i="571"/>
  <c r="CP37" i="571" s="1"/>
  <c r="BE158" i="571"/>
  <c r="BE159" i="571"/>
  <c r="AP159" i="571"/>
  <c r="AP158" i="571"/>
  <c r="CT380" i="25"/>
  <c r="CS302" i="25"/>
  <c r="CS286" i="25" s="1"/>
  <c r="CJ382" i="25"/>
  <c r="CW59" i="25"/>
  <c r="CW193" i="571" s="1"/>
  <c r="CW60" i="617" s="1"/>
  <c r="CZ318" i="25"/>
  <c r="J327" i="25"/>
  <c r="J326" i="25" s="1"/>
  <c r="J331" i="25" s="1"/>
  <c r="BT327" i="25"/>
  <c r="BT325" i="25" s="1"/>
  <c r="BT330" i="25" s="1"/>
  <c r="AZ25" i="25"/>
  <c r="BS101" i="25"/>
  <c r="Z13" i="559"/>
  <c r="BD159" i="571"/>
  <c r="AZ158" i="571"/>
  <c r="AZ161" i="571" s="1"/>
  <c r="AZ159" i="571"/>
  <c r="DB128" i="571"/>
  <c r="DG128" i="571" s="1"/>
  <c r="CC43" i="571"/>
  <c r="CC44" i="571" s="1"/>
  <c r="CC56" i="571"/>
  <c r="CH37" i="571"/>
  <c r="CC262" i="25"/>
  <c r="CY357" i="25"/>
  <c r="BU363" i="25"/>
  <c r="BV363" i="25" s="1"/>
  <c r="BX369" i="25"/>
  <c r="BX282" i="25" s="1"/>
  <c r="BY367" i="25"/>
  <c r="CE381" i="25"/>
  <c r="CF381" i="25" s="1"/>
  <c r="CG381" i="25" s="1"/>
  <c r="CY380" i="25"/>
  <c r="CZ380" i="25" s="1"/>
  <c r="DA380" i="25" s="1"/>
  <c r="DA286" i="25" s="1"/>
  <c r="T50" i="25"/>
  <c r="CN296" i="25"/>
  <c r="DC347" i="25"/>
  <c r="DC336" i="25"/>
  <c r="DC319" i="25"/>
  <c r="DC320" i="25"/>
  <c r="AF58" i="25"/>
  <c r="CY158" i="571"/>
  <c r="AA159" i="571"/>
  <c r="AA158" i="571"/>
  <c r="CJ33" i="571"/>
  <c r="CJ59" i="571"/>
  <c r="CJ39" i="571"/>
  <c r="CG166" i="25"/>
  <c r="CL169" i="25" s="1"/>
  <c r="AL110" i="25"/>
  <c r="CR138" i="25"/>
  <c r="AN341" i="25"/>
  <c r="CD345" i="25"/>
  <c r="CD308" i="25"/>
  <c r="CP334" i="25"/>
  <c r="CP323" i="25"/>
  <c r="CP322" i="25" s="1"/>
  <c r="CP329" i="25" s="1"/>
  <c r="CP345" i="25"/>
  <c r="CP318" i="25"/>
  <c r="CP346" i="25"/>
  <c r="CT345" i="25"/>
  <c r="CT318" i="25"/>
  <c r="CT334" i="25"/>
  <c r="CA363" i="25"/>
  <c r="CK22" i="25"/>
  <c r="CK83" i="25"/>
  <c r="CZ22" i="25"/>
  <c r="CZ83" i="25"/>
  <c r="CL404" i="25"/>
  <c r="CL348" i="25" s="1"/>
  <c r="CH407" i="25"/>
  <c r="CL230" i="25"/>
  <c r="CL312" i="25"/>
  <c r="CL309" i="25"/>
  <c r="CU230" i="25"/>
  <c r="CU309" i="25"/>
  <c r="CU310" i="25" s="1"/>
  <c r="CZ230" i="25"/>
  <c r="H230" i="25"/>
  <c r="H239" i="25" s="1"/>
  <c r="H241" i="25" s="1"/>
  <c r="CK376" i="25"/>
  <c r="X13" i="559"/>
  <c r="BN159" i="571"/>
  <c r="BN162" i="571" s="1"/>
  <c r="BN158" i="571"/>
  <c r="Q13" i="559"/>
  <c r="CY43" i="571"/>
  <c r="CS56" i="571"/>
  <c r="CS61" i="571" s="1"/>
  <c r="CS43" i="571"/>
  <c r="CV212" i="25"/>
  <c r="DC385" i="25"/>
  <c r="DB387" i="25"/>
  <c r="CT346" i="25"/>
  <c r="CI283" i="25"/>
  <c r="CI271" i="25"/>
  <c r="CJ372" i="25"/>
  <c r="CJ271" i="25" s="1"/>
  <c r="CK346" i="25"/>
  <c r="CK345" i="25"/>
  <c r="CF347" i="25"/>
  <c r="CF327" i="25"/>
  <c r="CF320" i="25"/>
  <c r="CF319" i="25"/>
  <c r="CF336" i="25"/>
  <c r="CF338" i="25"/>
  <c r="CO338" i="25"/>
  <c r="CO336" i="25"/>
  <c r="CO327" i="25"/>
  <c r="CO320" i="25"/>
  <c r="CO319" i="25"/>
  <c r="CO347" i="25"/>
  <c r="DF36" i="25"/>
  <c r="BY281" i="25"/>
  <c r="BZ358" i="25"/>
  <c r="BZ281" i="25" s="1"/>
  <c r="CD78" i="25"/>
  <c r="BU345" i="25"/>
  <c r="BU323" i="25"/>
  <c r="BU322" i="25" s="1"/>
  <c r="BU329" i="25" s="1"/>
  <c r="BU318" i="25"/>
  <c r="BZ346" i="25"/>
  <c r="BZ334" i="25"/>
  <c r="BZ323" i="25"/>
  <c r="BZ322" i="25" s="1"/>
  <c r="BZ329" i="25" s="1"/>
  <c r="BZ318" i="25"/>
  <c r="BZ345" i="25"/>
  <c r="CU319" i="25"/>
  <c r="F319" i="25"/>
  <c r="CC61" i="571"/>
  <c r="DF63" i="25"/>
  <c r="DD220" i="571"/>
  <c r="DD49" i="617" s="1"/>
  <c r="AB14" i="559"/>
  <c r="DD52" i="25"/>
  <c r="CK364" i="25"/>
  <c r="CL364" i="25" s="1"/>
  <c r="AD403" i="25"/>
  <c r="AD338" i="25" s="1"/>
  <c r="DD57" i="571"/>
  <c r="DD13" i="571"/>
  <c r="DD22" i="571" s="1"/>
  <c r="DD18" i="571" s="1"/>
  <c r="G101" i="559"/>
  <c r="K88" i="559"/>
  <c r="DD82" i="25"/>
  <c r="DD190" i="571"/>
  <c r="DD117" i="25"/>
  <c r="AB16" i="559"/>
  <c r="DD402" i="25"/>
  <c r="DD85" i="25"/>
  <c r="AB18" i="559"/>
  <c r="DD404" i="25"/>
  <c r="DD348" i="25" s="1"/>
  <c r="DD98" i="25"/>
  <c r="DD83" i="25"/>
  <c r="DD96" i="25"/>
  <c r="DD191" i="571"/>
  <c r="DD58" i="25"/>
  <c r="DD10" i="25"/>
  <c r="DF10" i="25" s="1"/>
  <c r="DF403" i="25" s="1"/>
  <c r="CU366" i="25"/>
  <c r="CV366" i="25" s="1"/>
  <c r="CM159" i="571"/>
  <c r="CM158" i="571"/>
  <c r="CM52" i="617" s="1"/>
  <c r="CC66" i="25"/>
  <c r="CH86" i="25" s="1"/>
  <c r="F118" i="559" s="1"/>
  <c r="F117" i="559" s="1"/>
  <c r="CW197" i="571"/>
  <c r="W110" i="25"/>
  <c r="X129" i="25"/>
  <c r="AC129" i="25"/>
  <c r="AB110" i="25"/>
  <c r="AH129" i="25"/>
  <c r="AG110" i="25"/>
  <c r="BR341" i="25"/>
  <c r="CW135" i="25"/>
  <c r="CW136" i="25" s="1"/>
  <c r="CW341" i="25"/>
  <c r="CW257" i="25" s="1"/>
  <c r="AF96" i="25"/>
  <c r="AF22" i="25"/>
  <c r="CP43" i="571"/>
  <c r="CP44" i="571" s="1"/>
  <c r="CP56" i="571"/>
  <c r="CP61" i="571" s="1"/>
  <c r="CS32" i="571"/>
  <c r="CX33" i="571" s="1"/>
  <c r="CT40" i="571"/>
  <c r="CV22" i="571"/>
  <c r="CQ20" i="571"/>
  <c r="CV17" i="571"/>
  <c r="DF233" i="25"/>
  <c r="AW159" i="571"/>
  <c r="AJ159" i="571"/>
  <c r="CX61" i="571"/>
  <c r="CZ64" i="571"/>
  <c r="AD11" i="25"/>
  <c r="AD22" i="25" s="1"/>
  <c r="AD98" i="25"/>
  <c r="AJ11" i="25"/>
  <c r="BV96" i="25"/>
  <c r="BV137" i="25" s="1"/>
  <c r="CK96" i="25"/>
  <c r="DD381" i="25"/>
  <c r="BS159" i="571"/>
  <c r="BS177" i="571" s="1"/>
  <c r="S158" i="571"/>
  <c r="S161" i="571" s="1"/>
  <c r="S159" i="571"/>
  <c r="BY128" i="571"/>
  <c r="CN56" i="571"/>
  <c r="CN61" i="571" s="1"/>
  <c r="CN43" i="571"/>
  <c r="CN44" i="571" s="1"/>
  <c r="CI56" i="571"/>
  <c r="BY82" i="571"/>
  <c r="CA36" i="571"/>
  <c r="CA60" i="571"/>
  <c r="CF35" i="571"/>
  <c r="CM33" i="571"/>
  <c r="CM59" i="571"/>
  <c r="CM39" i="571"/>
  <c r="CA59" i="571"/>
  <c r="L93" i="559"/>
  <c r="H77" i="559"/>
  <c r="BX276" i="25"/>
  <c r="CW274" i="25"/>
  <c r="CW276" i="25"/>
  <c r="BZ368" i="25"/>
  <c r="CA368" i="25" s="1"/>
  <c r="CE367" i="25"/>
  <c r="CF367" i="25" s="1"/>
  <c r="CG367" i="25" s="1"/>
  <c r="CO364" i="25"/>
  <c r="CP364" i="25" s="1"/>
  <c r="CQ364" i="25" s="1"/>
  <c r="CX369" i="25"/>
  <c r="CX282" i="25" s="1"/>
  <c r="CN365" i="25"/>
  <c r="CO365" i="25" s="1"/>
  <c r="CM369" i="25"/>
  <c r="CM282" i="25" s="1"/>
  <c r="BL182" i="571"/>
  <c r="CK37" i="571"/>
  <c r="CK64" i="571"/>
  <c r="CL151" i="25"/>
  <c r="CQ60" i="571"/>
  <c r="CL166" i="25"/>
  <c r="AQ11" i="25"/>
  <c r="AQ135" i="25"/>
  <c r="AQ136" i="25" s="1"/>
  <c r="AQ97" i="25" s="1"/>
  <c r="I307" i="25"/>
  <c r="I308" i="25" s="1"/>
  <c r="CT376" i="25"/>
  <c r="CU376" i="25" s="1"/>
  <c r="CV376" i="25" s="1"/>
  <c r="BW387" i="25"/>
  <c r="CY381" i="25"/>
  <c r="CN281" i="25"/>
  <c r="CT358" i="25"/>
  <c r="CS272" i="25"/>
  <c r="CS274" i="25" s="1"/>
  <c r="CS281" i="25"/>
  <c r="CS78" i="25"/>
  <c r="BT323" i="25"/>
  <c r="BT322" i="25" s="1"/>
  <c r="BT329" i="25" s="1"/>
  <c r="BT318" i="25"/>
  <c r="BT346" i="25"/>
  <c r="CI346" i="25"/>
  <c r="CI323" i="25"/>
  <c r="CI322" i="25" s="1"/>
  <c r="CI329" i="25" s="1"/>
  <c r="DD376" i="25"/>
  <c r="DE376" i="25" s="1"/>
  <c r="DF376" i="25" s="1"/>
  <c r="CI281" i="25"/>
  <c r="CI78" i="25"/>
  <c r="I323" i="25"/>
  <c r="I322" i="25" s="1"/>
  <c r="I329" i="25" s="1"/>
  <c r="I345" i="25"/>
  <c r="I318" i="25"/>
  <c r="H336" i="25"/>
  <c r="CX319" i="25"/>
  <c r="DD358" i="25"/>
  <c r="DE358" i="25" s="1"/>
  <c r="DE281" i="25" s="1"/>
  <c r="DC272" i="25"/>
  <c r="DC274" i="25" s="1"/>
  <c r="BR281" i="25"/>
  <c r="CN237" i="25"/>
  <c r="CN235" i="25" s="1"/>
  <c r="CN254" i="25" s="1"/>
  <c r="BU380" i="25"/>
  <c r="BT286" i="25"/>
  <c r="CU334" i="25"/>
  <c r="CU345" i="25"/>
  <c r="CU318" i="25"/>
  <c r="CZ323" i="25"/>
  <c r="CZ322" i="25" s="1"/>
  <c r="CZ329" i="25" s="1"/>
  <c r="CZ345" i="25"/>
  <c r="CZ334" i="25"/>
  <c r="BV327" i="25"/>
  <c r="CK336" i="25"/>
  <c r="CK338" i="25"/>
  <c r="CK327" i="25"/>
  <c r="CK319" i="25"/>
  <c r="CT338" i="25"/>
  <c r="CC276" i="25"/>
  <c r="DD225" i="25"/>
  <c r="DD230" i="25" s="1"/>
  <c r="CI61" i="571"/>
  <c r="DD60" i="571"/>
  <c r="DD35" i="571"/>
  <c r="DD219" i="571"/>
  <c r="DD47" i="617" s="1"/>
  <c r="DD405" i="25"/>
  <c r="DD254" i="25"/>
  <c r="DD238" i="25"/>
  <c r="DD251" i="25" s="1"/>
  <c r="DD206" i="25"/>
  <c r="DD247" i="25"/>
  <c r="DD271" i="25"/>
  <c r="DD277" i="25" s="1"/>
  <c r="DD283" i="25"/>
  <c r="DD204" i="571"/>
  <c r="DD212" i="571"/>
  <c r="DD223" i="571"/>
  <c r="DD158" i="571" s="1"/>
  <c r="DD22" i="25"/>
  <c r="DD70" i="25"/>
  <c r="DD357" i="25"/>
  <c r="CP99" i="25"/>
  <c r="CP67" i="25"/>
  <c r="CA37" i="571"/>
  <c r="BT159" i="571"/>
  <c r="CP182" i="571"/>
  <c r="CQ181" i="571"/>
  <c r="CE37" i="571"/>
  <c r="AE159" i="571"/>
  <c r="CR37" i="571"/>
  <c r="V159" i="571"/>
  <c r="U11" i="559"/>
  <c r="CA158" i="571"/>
  <c r="AO158" i="571"/>
  <c r="AO176" i="571" s="1"/>
  <c r="AO174" i="571" s="1"/>
  <c r="AO173" i="571" s="1"/>
  <c r="T13" i="571"/>
  <c r="AM129" i="25"/>
  <c r="BX110" i="25"/>
  <c r="CC129" i="25"/>
  <c r="CA64" i="571"/>
  <c r="AD163" i="25"/>
  <c r="CF262" i="25"/>
  <c r="CN262" i="25"/>
  <c r="DA94" i="571"/>
  <c r="CY22" i="25"/>
  <c r="DF224" i="25"/>
  <c r="DC327" i="25"/>
  <c r="DC325" i="25" s="1"/>
  <c r="DC330" i="25" s="1"/>
  <c r="AK159" i="571"/>
  <c r="BW327" i="25"/>
  <c r="CP64" i="571"/>
  <c r="CA372" i="25"/>
  <c r="Q159" i="571"/>
  <c r="DD300" i="25"/>
  <c r="DE300" i="25" s="1"/>
  <c r="DA35" i="571"/>
  <c r="CM129" i="25"/>
  <c r="CI377" i="25"/>
  <c r="BY137" i="571"/>
  <c r="CD262" i="25"/>
  <c r="CE262" i="25"/>
  <c r="K135" i="25"/>
  <c r="K136" i="25" s="1"/>
  <c r="K11" i="25"/>
  <c r="K22" i="25" s="1"/>
  <c r="K28" i="25" s="1"/>
  <c r="CJ96" i="25"/>
  <c r="CJ83" i="25"/>
  <c r="CJ43" i="571"/>
  <c r="CG13" i="571"/>
  <c r="BV336" i="25"/>
  <c r="AD311" i="25"/>
  <c r="CJ254" i="25"/>
  <c r="CJ238" i="25"/>
  <c r="CO358" i="25"/>
  <c r="CN78" i="25"/>
  <c r="BT283" i="25"/>
  <c r="BU372" i="25"/>
  <c r="BT271" i="25"/>
  <c r="BT277" i="25" s="1"/>
  <c r="BY283" i="25"/>
  <c r="CI334" i="25"/>
  <c r="CD338" i="25"/>
  <c r="CD347" i="25"/>
  <c r="CS338" i="25"/>
  <c r="CS320" i="25"/>
  <c r="CS319" i="25"/>
  <c r="CS336" i="25"/>
  <c r="DA366" i="25"/>
  <c r="AH110" i="25"/>
  <c r="BA110" i="25"/>
  <c r="BF129" i="25"/>
  <c r="BF110" i="25"/>
  <c r="BY271" i="25"/>
  <c r="CM276" i="25"/>
  <c r="CG17" i="571"/>
  <c r="CG151" i="25"/>
  <c r="CL152" i="25" s="1"/>
  <c r="CL62" i="25"/>
  <c r="BZ283" i="25"/>
  <c r="L101" i="559"/>
  <c r="CD61" i="571"/>
  <c r="BX82" i="571"/>
  <c r="CX283" i="25"/>
  <c r="G320" i="25"/>
  <c r="CC318" i="25"/>
  <c r="BU320" i="25"/>
  <c r="BU327" i="25"/>
  <c r="BU325" i="25" s="1"/>
  <c r="BU330" i="25" s="1"/>
  <c r="CE334" i="25"/>
  <c r="BU336" i="25"/>
  <c r="G338" i="25"/>
  <c r="BU338" i="25"/>
  <c r="H346" i="25"/>
  <c r="CE345" i="25"/>
  <c r="CY345" i="25"/>
  <c r="BU347" i="25"/>
  <c r="CO137" i="571"/>
  <c r="BU308" i="25"/>
  <c r="G319" i="25"/>
  <c r="CE318" i="25"/>
  <c r="CJ320" i="25"/>
  <c r="H323" i="25"/>
  <c r="H322" i="25" s="1"/>
  <c r="H329" i="25" s="1"/>
  <c r="CJ327" i="25"/>
  <c r="BU334" i="25"/>
  <c r="CX64" i="571"/>
  <c r="CJ129" i="25"/>
  <c r="CJ272" i="25"/>
  <c r="CJ274" i="25" s="1"/>
  <c r="AL96" i="25"/>
  <c r="CR218" i="571"/>
  <c r="CR46" i="617" s="1"/>
  <c r="CF43" i="571"/>
  <c r="DC66" i="571"/>
  <c r="DC130" i="571"/>
  <c r="BW151" i="25"/>
  <c r="BW13" i="571"/>
  <c r="BW57" i="571"/>
  <c r="O13" i="571"/>
  <c r="CA375" i="25"/>
  <c r="BI158" i="571"/>
  <c r="BI161" i="571" s="1"/>
  <c r="BI159" i="571"/>
  <c r="Z159" i="571"/>
  <c r="Z158" i="571"/>
  <c r="U158" i="571"/>
  <c r="U162" i="571" s="1"/>
  <c r="U159" i="571"/>
  <c r="P159" i="571"/>
  <c r="P158" i="571"/>
  <c r="P161" i="571" s="1"/>
  <c r="L13" i="559"/>
  <c r="CN218" i="571"/>
  <c r="CN46" i="617" s="1"/>
  <c r="CP67" i="571"/>
  <c r="CP66" i="571" s="1"/>
  <c r="CU181" i="571"/>
  <c r="BJ182" i="571"/>
  <c r="BJ67" i="571"/>
  <c r="CW43" i="571"/>
  <c r="CW56" i="571"/>
  <c r="CW61" i="571" s="1"/>
  <c r="BZ43" i="571"/>
  <c r="BZ44" i="571" s="1"/>
  <c r="CV36" i="571"/>
  <c r="CV48" i="571" s="1"/>
  <c r="CU37" i="571"/>
  <c r="CO37" i="571"/>
  <c r="CJ37" i="571"/>
  <c r="CJ64" i="571"/>
  <c r="CE64" i="571"/>
  <c r="CH59" i="571"/>
  <c r="CH39" i="571"/>
  <c r="CH33" i="571"/>
  <c r="BV33" i="571"/>
  <c r="CB17" i="571"/>
  <c r="CL13" i="571"/>
  <c r="CL57" i="571"/>
  <c r="DB60" i="571"/>
  <c r="Y16" i="559"/>
  <c r="N135" i="25"/>
  <c r="N136" i="25" s="1"/>
  <c r="N11" i="25"/>
  <c r="S135" i="25"/>
  <c r="S136" i="25" s="1"/>
  <c r="S97" i="25" s="1"/>
  <c r="S11" i="25"/>
  <c r="X135" i="25"/>
  <c r="X136" i="25" s="1"/>
  <c r="X97" i="25" s="1"/>
  <c r="X11" i="25"/>
  <c r="AM11" i="25"/>
  <c r="AM135" i="25"/>
  <c r="AM136" i="25" s="1"/>
  <c r="AM97" i="25" s="1"/>
  <c r="AU11" i="25"/>
  <c r="AU22" i="25" s="1"/>
  <c r="AU28" i="25" s="1"/>
  <c r="AU31" i="25" s="1"/>
  <c r="AX10" i="25"/>
  <c r="CN96" i="25"/>
  <c r="BI145" i="25"/>
  <c r="BM24" i="25"/>
  <c r="BM145" i="25" s="1"/>
  <c r="BZ272" i="25"/>
  <c r="DB338" i="25"/>
  <c r="CQ319" i="25"/>
  <c r="O17" i="571"/>
  <c r="BZ56" i="571"/>
  <c r="CV70" i="25"/>
  <c r="BT152" i="25"/>
  <c r="CC71" i="571"/>
  <c r="AI82" i="25"/>
  <c r="CJ71" i="571"/>
  <c r="CD240" i="25"/>
  <c r="CE373" i="25"/>
  <c r="DF35" i="25"/>
  <c r="DF59" i="25"/>
  <c r="DF193" i="571" s="1"/>
  <c r="DF60" i="617" s="1"/>
  <c r="O323" i="25"/>
  <c r="O322" i="25" s="1"/>
  <c r="O329" i="25" s="1"/>
  <c r="CP158" i="571"/>
  <c r="CP52" i="617" s="1"/>
  <c r="CY20" i="571"/>
  <c r="BV159" i="571"/>
  <c r="CT182" i="571"/>
  <c r="CR33" i="571"/>
  <c r="CL60" i="571"/>
  <c r="CW218" i="571"/>
  <c r="CW46" i="617" s="1"/>
  <c r="K58" i="25"/>
  <c r="CQ22" i="571"/>
  <c r="DC218" i="571"/>
  <c r="DC46" i="617" s="1"/>
  <c r="BW33" i="571"/>
  <c r="BI182" i="571"/>
  <c r="BL158" i="571"/>
  <c r="BL161" i="571" s="1"/>
  <c r="DF134" i="25"/>
  <c r="CQ166" i="25"/>
  <c r="CV165" i="25" s="1"/>
  <c r="CO83" i="25"/>
  <c r="AD105" i="25"/>
  <c r="AC158" i="571"/>
  <c r="AC161" i="571" s="1"/>
  <c r="CZ37" i="571"/>
  <c r="CY181" i="571"/>
  <c r="CI39" i="571"/>
  <c r="Y18" i="559"/>
  <c r="CX78" i="25"/>
  <c r="BT272" i="25"/>
  <c r="CN302" i="25"/>
  <c r="AD96" i="25"/>
  <c r="O346" i="25"/>
  <c r="CF99" i="25"/>
  <c r="CM218" i="571"/>
  <c r="CM46" i="617" s="1"/>
  <c r="BZ78" i="25"/>
  <c r="CZ218" i="571"/>
  <c r="CZ46" i="617" s="1"/>
  <c r="CU64" i="571"/>
  <c r="CR59" i="571"/>
  <c r="CQ35" i="571"/>
  <c r="CL17" i="571"/>
  <c r="CJ58" i="25"/>
  <c r="DE257" i="25"/>
  <c r="BZ82" i="571"/>
  <c r="CE22" i="25"/>
  <c r="AD402" i="25"/>
  <c r="AD346" i="25" s="1"/>
  <c r="CN32" i="571"/>
  <c r="CO64" i="571"/>
  <c r="CX272" i="25"/>
  <c r="BT281" i="25"/>
  <c r="CY358" i="25"/>
  <c r="CZ358" i="25" s="1"/>
  <c r="BU358" i="25"/>
  <c r="CP218" i="571"/>
  <c r="CP46" i="617" s="1"/>
  <c r="CL85" i="25"/>
  <c r="AR11" i="25"/>
  <c r="P11" i="25"/>
  <c r="CT58" i="25"/>
  <c r="CT60" i="25" s="1"/>
  <c r="AH11" i="25"/>
  <c r="CQ13" i="571"/>
  <c r="BQ159" i="571"/>
  <c r="CI59" i="571"/>
  <c r="AH158" i="571"/>
  <c r="CQ357" i="25"/>
  <c r="I77" i="559"/>
  <c r="H88" i="559"/>
  <c r="DC326" i="25"/>
  <c r="DC331" i="25" s="1"/>
  <c r="CL165" i="25"/>
  <c r="CL163" i="25" s="1"/>
  <c r="DB251" i="25"/>
  <c r="CK73" i="571"/>
  <c r="AZ162" i="571"/>
  <c r="CS73" i="571"/>
  <c r="AQ58" i="25"/>
  <c r="AQ60" i="25" s="1"/>
  <c r="AT58" i="25"/>
  <c r="V58" i="25"/>
  <c r="V83" i="25"/>
  <c r="CI130" i="571"/>
  <c r="BT326" i="25"/>
  <c r="BT331" i="25" s="1"/>
  <c r="CN318" i="25"/>
  <c r="CN334" i="25"/>
  <c r="CN345" i="25"/>
  <c r="CN323" i="25"/>
  <c r="CN322" i="25" s="1"/>
  <c r="CN329" i="25" s="1"/>
  <c r="CS323" i="25"/>
  <c r="CS322" i="25" s="1"/>
  <c r="CS329" i="25" s="1"/>
  <c r="CS318" i="25"/>
  <c r="CS345" i="25"/>
  <c r="CI347" i="25"/>
  <c r="CN347" i="25"/>
  <c r="CN338" i="25"/>
  <c r="CZ320" i="25"/>
  <c r="CB251" i="25"/>
  <c r="P96" i="25"/>
  <c r="CT83" i="25"/>
  <c r="DC188" i="25"/>
  <c r="DC189" i="25" s="1"/>
  <c r="CY96" i="25"/>
  <c r="I41" i="25"/>
  <c r="I398" i="25" s="1"/>
  <c r="I46" i="25"/>
  <c r="I104" i="25"/>
  <c r="J90" i="25"/>
  <c r="CT138" i="25"/>
  <c r="CY138" i="25"/>
  <c r="CS346" i="25"/>
  <c r="F347" i="25"/>
  <c r="BT308" i="25"/>
  <c r="BM338" i="25"/>
  <c r="BM320" i="25"/>
  <c r="BM319" i="25"/>
  <c r="BN108" i="25"/>
  <c r="AI323" i="25"/>
  <c r="AI322" i="25" s="1"/>
  <c r="AI329" i="25" s="1"/>
  <c r="CG336" i="25"/>
  <c r="CG327" i="25"/>
  <c r="CG320" i="25"/>
  <c r="DB137" i="25"/>
  <c r="I108" i="25"/>
  <c r="BX87" i="571"/>
  <c r="I27" i="559"/>
  <c r="CF66" i="571"/>
  <c r="CF65" i="571" s="1"/>
  <c r="CS66" i="571"/>
  <c r="BX142" i="571"/>
  <c r="S162" i="571"/>
  <c r="CK130" i="571"/>
  <c r="AI89" i="571"/>
  <c r="CH148" i="571"/>
  <c r="F77" i="559"/>
  <c r="F27" i="559"/>
  <c r="F79" i="559"/>
  <c r="CA142" i="571"/>
  <c r="CW66" i="571"/>
  <c r="Z45" i="559"/>
  <c r="CU40" i="571"/>
  <c r="CU32" i="571" s="1"/>
  <c r="CT32" i="571"/>
  <c r="DD218" i="571"/>
  <c r="DD46" i="617" s="1"/>
  <c r="AQ96" i="25"/>
  <c r="AQ22" i="25"/>
  <c r="AQ101" i="25" s="1"/>
  <c r="BX133" i="571"/>
  <c r="CC133" i="571"/>
  <c r="CX32" i="571"/>
  <c r="CY40" i="571"/>
  <c r="CH56" i="571"/>
  <c r="BX137" i="571"/>
  <c r="BG158" i="571"/>
  <c r="BG159" i="571"/>
  <c r="X158" i="571"/>
  <c r="X159" i="571"/>
  <c r="X177" i="571" s="1"/>
  <c r="CR43" i="571"/>
  <c r="BZ158" i="571"/>
  <c r="BZ159" i="571"/>
  <c r="CX43" i="571"/>
  <c r="CX44" i="571" s="1"/>
  <c r="CP137" i="571"/>
  <c r="CP71" i="571" s="1"/>
  <c r="K65" i="559"/>
  <c r="CS138" i="25"/>
  <c r="BR387" i="25"/>
  <c r="CC158" i="571"/>
  <c r="CC52" i="617" s="1"/>
  <c r="CF61" i="571"/>
  <c r="BX142" i="25"/>
  <c r="DF142" i="25"/>
  <c r="BH254" i="25"/>
  <c r="DD382" i="25"/>
  <c r="DC271" i="25"/>
  <c r="CU358" i="25"/>
  <c r="CV358" i="25" s="1"/>
  <c r="DC101" i="25"/>
  <c r="AS276" i="25"/>
  <c r="R129" i="25"/>
  <c r="AS163" i="25"/>
  <c r="AS178" i="25" s="1"/>
  <c r="AS181" i="25" s="1"/>
  <c r="CP262" i="25"/>
  <c r="DC28" i="25"/>
  <c r="BW59" i="571"/>
  <c r="CU71" i="571"/>
  <c r="CM262" i="25"/>
  <c r="AI10" i="25"/>
  <c r="AG135" i="25"/>
  <c r="AG136" i="25" s="1"/>
  <c r="AG97" i="25" s="1"/>
  <c r="AG11" i="25"/>
  <c r="DA403" i="25"/>
  <c r="BX341" i="25"/>
  <c r="BX257" i="25" s="1"/>
  <c r="BX59" i="25"/>
  <c r="CV206" i="25"/>
  <c r="F309" i="25"/>
  <c r="CL216" i="25"/>
  <c r="CL311" i="25"/>
  <c r="BU230" i="25"/>
  <c r="BU239" i="25" s="1"/>
  <c r="BU241" i="25" s="1"/>
  <c r="CH158" i="571"/>
  <c r="CH159" i="571"/>
  <c r="CZ43" i="571"/>
  <c r="CZ56" i="571"/>
  <c r="DB32" i="571"/>
  <c r="DB56" i="571"/>
  <c r="DB61" i="571"/>
  <c r="AN11" i="25"/>
  <c r="AN96" i="25" s="1"/>
  <c r="CX96" i="25"/>
  <c r="T18" i="559"/>
  <c r="Y65" i="559" s="1"/>
  <c r="AZ145" i="25"/>
  <c r="BC24" i="25"/>
  <c r="CU197" i="571"/>
  <c r="CK159" i="571"/>
  <c r="CK158" i="571"/>
  <c r="CU35" i="571"/>
  <c r="CP35" i="571"/>
  <c r="CW39" i="571"/>
  <c r="CW59" i="571"/>
  <c r="BG58" i="25"/>
  <c r="BG60" i="25" s="1"/>
  <c r="BG76" i="25" s="1"/>
  <c r="BG22" i="25"/>
  <c r="BL58" i="25"/>
  <c r="BL60" i="25" s="1"/>
  <c r="BL83" i="25"/>
  <c r="CR197" i="571"/>
  <c r="DB197" i="571"/>
  <c r="DB208" i="571" s="1"/>
  <c r="Y225" i="25"/>
  <c r="CK363" i="25"/>
  <c r="CL363" i="25" s="1"/>
  <c r="CY101" i="25"/>
  <c r="CY199" i="571"/>
  <c r="R14" i="559"/>
  <c r="AN17" i="571"/>
  <c r="Y13" i="571"/>
  <c r="U11" i="25"/>
  <c r="U135" i="25"/>
  <c r="U136" i="25" s="1"/>
  <c r="U97" i="25" s="1"/>
  <c r="Z11" i="25"/>
  <c r="Z135" i="25"/>
  <c r="Z136" i="25" s="1"/>
  <c r="Z97" i="25" s="1"/>
  <c r="CA101" i="25"/>
  <c r="CA28" i="25"/>
  <c r="CA31" i="25" s="1"/>
  <c r="CP22" i="25"/>
  <c r="CP101" i="25" s="1"/>
  <c r="CU83" i="25"/>
  <c r="CP96" i="25"/>
  <c r="J216" i="25"/>
  <c r="J309" i="25"/>
  <c r="DF273" i="25"/>
  <c r="O312" i="25"/>
  <c r="O309" i="25"/>
  <c r="O310" i="25" s="1"/>
  <c r="CE238" i="25"/>
  <c r="CX71" i="571"/>
  <c r="CB182" i="571"/>
  <c r="CB183" i="571" s="1"/>
  <c r="BM232" i="25"/>
  <c r="CM61" i="571"/>
  <c r="AD89" i="571"/>
  <c r="CF22" i="25"/>
  <c r="AS165" i="25"/>
  <c r="CB254" i="25"/>
  <c r="CL375" i="25"/>
  <c r="AS89" i="571"/>
  <c r="CN22" i="25"/>
  <c r="DC138" i="25"/>
  <c r="CQ385" i="25"/>
  <c r="DC251" i="25"/>
  <c r="AO58" i="25"/>
  <c r="CQ362" i="25"/>
  <c r="DB193" i="571"/>
  <c r="CT197" i="571"/>
  <c r="DB199" i="571"/>
  <c r="DC193" i="571"/>
  <c r="J113" i="25"/>
  <c r="DF341" i="25"/>
  <c r="CO281" i="25"/>
  <c r="CO272" i="25"/>
  <c r="CO274" i="25" s="1"/>
  <c r="U161" i="571"/>
  <c r="BU283" i="25"/>
  <c r="BY277" i="25"/>
  <c r="BU326" i="25"/>
  <c r="BU331" i="25" s="1"/>
  <c r="N58" i="25"/>
  <c r="N60" i="25" s="1"/>
  <c r="AU58" i="25"/>
  <c r="AU60" i="25" s="1"/>
  <c r="AU96" i="25"/>
  <c r="AH22" i="25"/>
  <c r="AR58" i="25"/>
  <c r="BU272" i="25"/>
  <c r="BU274" i="25" s="1"/>
  <c r="BU78" i="25"/>
  <c r="CF373" i="25"/>
  <c r="CY182" i="571"/>
  <c r="DD181" i="571"/>
  <c r="DI181" i="571" s="1"/>
  <c r="CJ28" i="25"/>
  <c r="CJ30" i="25" s="1"/>
  <c r="CM148" i="571"/>
  <c r="DC277" i="25"/>
  <c r="CH61" i="571"/>
  <c r="CT59" i="571"/>
  <c r="CT39" i="571"/>
  <c r="DD294" i="25"/>
  <c r="DD296" i="25" s="1"/>
  <c r="DD298" i="25" s="1"/>
  <c r="DD54" i="25" s="1"/>
  <c r="DD55" i="25" s="1"/>
  <c r="DD301" i="25" s="1"/>
  <c r="DD302" i="25" s="1"/>
  <c r="DD286" i="25" s="1"/>
  <c r="CZ40" i="571"/>
  <c r="CZ32" i="571" s="1"/>
  <c r="CY32" i="571"/>
  <c r="CY59" i="571" s="1"/>
  <c r="CX39" i="571"/>
  <c r="CX59" i="571"/>
  <c r="AQ28" i="25"/>
  <c r="AQ31" i="25" s="1"/>
  <c r="BN121" i="25"/>
  <c r="BL101" i="25"/>
  <c r="CE239" i="25"/>
  <c r="CE251" i="25"/>
  <c r="BV262" i="25"/>
  <c r="BC145" i="25"/>
  <c r="DB59" i="571"/>
  <c r="DB39" i="571"/>
  <c r="DB33" i="571"/>
  <c r="CZ61" i="571"/>
  <c r="DF92" i="571"/>
  <c r="CZ44" i="571"/>
  <c r="AI403" i="25"/>
  <c r="AI319" i="25" s="1"/>
  <c r="AU101" i="25"/>
  <c r="DE99" i="611"/>
  <c r="DG97" i="611" s="1"/>
  <c r="DE85" i="611"/>
  <c r="DG83" i="611" s="1"/>
  <c r="DG85" i="611" s="1"/>
  <c r="DH83" i="611" s="1"/>
  <c r="DH85" i="611" s="1"/>
  <c r="DI83" i="611" s="1"/>
  <c r="DI85" i="611" s="1"/>
  <c r="DJ83" i="611" s="1"/>
  <c r="DJ85" i="611" s="1"/>
  <c r="DL83" i="611" s="1"/>
  <c r="DL85" i="611" s="1"/>
  <c r="DM83" i="611" s="1"/>
  <c r="DM85" i="611" s="1"/>
  <c r="DN83" i="611" s="1"/>
  <c r="DE71" i="611"/>
  <c r="DI89" i="611"/>
  <c r="DJ89" i="611" s="1"/>
  <c r="DL89" i="611" s="1"/>
  <c r="DM89" i="611" s="1"/>
  <c r="DN89" i="611" s="1"/>
  <c r="DO89" i="611" s="1"/>
  <c r="DQ89" i="611" s="1"/>
  <c r="DR89" i="611" s="1"/>
  <c r="DS89" i="611" s="1"/>
  <c r="DT89" i="611" s="1"/>
  <c r="DV89" i="611" s="1"/>
  <c r="DW89" i="611" s="1"/>
  <c r="DX89" i="611" s="1"/>
  <c r="DY89" i="611" s="1"/>
  <c r="EA89" i="611" s="1"/>
  <c r="Z65" i="559"/>
  <c r="I320" i="25"/>
  <c r="CX338" i="25"/>
  <c r="G323" i="25"/>
  <c r="G322" i="25" s="1"/>
  <c r="G329" i="25" s="1"/>
  <c r="AN318" i="25"/>
  <c r="CG347" i="25"/>
  <c r="CN336" i="25"/>
  <c r="G334" i="25"/>
  <c r="CJ338" i="25"/>
  <c r="CX336" i="25"/>
  <c r="G318" i="25"/>
  <c r="G346" i="25"/>
  <c r="J272" i="25"/>
  <c r="CT320" i="25"/>
  <c r="I327" i="25"/>
  <c r="CY407" i="25"/>
  <c r="DD334" i="25"/>
  <c r="DD346" i="25"/>
  <c r="DD345" i="25"/>
  <c r="BU87" i="571"/>
  <c r="CE82" i="571"/>
  <c r="CJ147" i="571"/>
  <c r="CE142" i="571"/>
  <c r="BW167" i="25"/>
  <c r="CI148" i="571"/>
  <c r="AY159" i="571"/>
  <c r="AY158" i="571"/>
  <c r="AM158" i="571"/>
  <c r="AM159" i="571"/>
  <c r="CJ148" i="571"/>
  <c r="CJ83" i="571" s="1"/>
  <c r="CJ88" i="571" s="1"/>
  <c r="CE83" i="571"/>
  <c r="CD142" i="571"/>
  <c r="CI147" i="571"/>
  <c r="CB166" i="25"/>
  <c r="CG60" i="571"/>
  <c r="AS166" i="25"/>
  <c r="AX169" i="25" s="1"/>
  <c r="AS13" i="571"/>
  <c r="AS17" i="571"/>
  <c r="AD13" i="571"/>
  <c r="Y17" i="571"/>
  <c r="CS44" i="571"/>
  <c r="CS71" i="571"/>
  <c r="BO158" i="571"/>
  <c r="BO159" i="571"/>
  <c r="BF159" i="571"/>
  <c r="BB159" i="571"/>
  <c r="BB177" i="571" s="1"/>
  <c r="BB158" i="571"/>
  <c r="BL67" i="571"/>
  <c r="BM181" i="571"/>
  <c r="CH43" i="571"/>
  <c r="BY37" i="571"/>
  <c r="CR39" i="571"/>
  <c r="CW33" i="571"/>
  <c r="CA39" i="571"/>
  <c r="CA33" i="571"/>
  <c r="CQ17" i="571"/>
  <c r="CQ57" i="571"/>
  <c r="CQ151" i="25"/>
  <c r="CQ152" i="25" s="1"/>
  <c r="DB137" i="571"/>
  <c r="BX159" i="571"/>
  <c r="BX158" i="571"/>
  <c r="CK56" i="571"/>
  <c r="CK43" i="571"/>
  <c r="M77" i="559"/>
  <c r="H27" i="559"/>
  <c r="DE128" i="571"/>
  <c r="DJ128" i="571" s="1"/>
  <c r="CZ137" i="571"/>
  <c r="CZ71" i="571" s="1"/>
  <c r="AF159" i="571"/>
  <c r="AF158" i="571"/>
  <c r="AF162" i="571" s="1"/>
  <c r="V13" i="559"/>
  <c r="CW37" i="571"/>
  <c r="CW64" i="571"/>
  <c r="CM37" i="571"/>
  <c r="CM64" i="571"/>
  <c r="CL22" i="571"/>
  <c r="CL20" i="571"/>
  <c r="BT274" i="25"/>
  <c r="BW272" i="25"/>
  <c r="BW370" i="25"/>
  <c r="BW395" i="25" s="1"/>
  <c r="DG27" i="611"/>
  <c r="DC70" i="607"/>
  <c r="DF19" i="607"/>
  <c r="DF27" i="607" s="1"/>
  <c r="DF18" i="613"/>
  <c r="DF26" i="613" s="1"/>
  <c r="AM78" i="25"/>
  <c r="AN78" i="25" s="1"/>
  <c r="R17" i="559"/>
  <c r="G325" i="25"/>
  <c r="G330" i="25" s="1"/>
  <c r="DG257" i="25"/>
  <c r="CR315" i="25"/>
  <c r="DE160" i="611"/>
  <c r="DG69" i="611"/>
  <c r="AR60" i="25"/>
  <c r="AR76" i="25" s="1"/>
  <c r="DD182" i="571"/>
  <c r="AR109" i="25"/>
  <c r="CA364" i="25"/>
  <c r="DH54" i="611"/>
  <c r="DI54" i="611" s="1"/>
  <c r="CJ82" i="571"/>
  <c r="CO147" i="571"/>
  <c r="CO142" i="571" s="1"/>
  <c r="CJ142" i="571"/>
  <c r="CE87" i="571"/>
  <c r="CE77" i="571"/>
  <c r="CE97" i="571"/>
  <c r="DE137" i="571"/>
  <c r="CH71" i="571"/>
  <c r="CH44" i="571"/>
  <c r="CE88" i="571"/>
  <c r="CE89" i="571" s="1"/>
  <c r="CE84" i="571"/>
  <c r="CE57" i="617" s="1"/>
  <c r="CM83" i="571"/>
  <c r="CK61" i="571"/>
  <c r="CO148" i="571"/>
  <c r="CO83" i="571" s="1"/>
  <c r="CO88" i="571" s="1"/>
  <c r="DE19" i="571"/>
  <c r="BY83" i="571"/>
  <c r="BY88" i="571" s="1"/>
  <c r="CN147" i="571"/>
  <c r="CS147" i="571" s="1"/>
  <c r="CX147" i="571" s="1"/>
  <c r="CI142" i="571"/>
  <c r="CI82" i="571"/>
  <c r="DH27" i="611"/>
  <c r="DE50" i="613"/>
  <c r="DE48" i="613"/>
  <c r="DF50" i="613"/>
  <c r="DK205" i="25"/>
  <c r="DK232" i="25"/>
  <c r="DP232" i="25"/>
  <c r="DR232" i="25" s="1"/>
  <c r="DS232" i="25" s="1"/>
  <c r="DT232" i="25" s="1"/>
  <c r="DU232" i="25" s="1"/>
  <c r="DV232" i="25" s="1"/>
  <c r="DW232" i="25" s="1"/>
  <c r="DX232" i="25" s="1"/>
  <c r="DY232" i="25" s="1"/>
  <c r="DZ232" i="25" s="1"/>
  <c r="EA232" i="25" s="1"/>
  <c r="EB232" i="25" s="1"/>
  <c r="EC232" i="25" s="1"/>
  <c r="ED232" i="25" s="1"/>
  <c r="EE232" i="25" s="1"/>
  <c r="DK229" i="25"/>
  <c r="DI257" i="25"/>
  <c r="DF21" i="25"/>
  <c r="DF12" i="571"/>
  <c r="DG60" i="571" s="1"/>
  <c r="DE166" i="25"/>
  <c r="DG71" i="611"/>
  <c r="CO82" i="571"/>
  <c r="CE111" i="571"/>
  <c r="CJ97" i="571"/>
  <c r="CM88" i="571"/>
  <c r="CE161" i="571"/>
  <c r="CE149" i="571"/>
  <c r="DI27" i="611"/>
  <c r="DJ27" i="611"/>
  <c r="DK224" i="25"/>
  <c r="DK134" i="25"/>
  <c r="DK341" i="25" s="1"/>
  <c r="DF212" i="25"/>
  <c r="AC13" i="559"/>
  <c r="DF151" i="25"/>
  <c r="DF166" i="25"/>
  <c r="DK165" i="25" s="1"/>
  <c r="DF57" i="571"/>
  <c r="DI103" i="611"/>
  <c r="CS142" i="571"/>
  <c r="CS87" i="571"/>
  <c r="DK219" i="25"/>
  <c r="DF227" i="25"/>
  <c r="DE407" i="25"/>
  <c r="DG166" i="25"/>
  <c r="DF18" i="25"/>
  <c r="AC18" i="559"/>
  <c r="DE404" i="25"/>
  <c r="DE348" i="25" s="1"/>
  <c r="DF221" i="25"/>
  <c r="DD40" i="613"/>
  <c r="DE15" i="611"/>
  <c r="DF9" i="25"/>
  <c r="DF25" i="25"/>
  <c r="DF29" i="25"/>
  <c r="DE187" i="25"/>
  <c r="DE188" i="25"/>
  <c r="DE402" i="25"/>
  <c r="DE403" i="25"/>
  <c r="DE347" i="25" s="1"/>
  <c r="DE405" i="25"/>
  <c r="AC16" i="559"/>
  <c r="AC19" i="559"/>
  <c r="DF203" i="25"/>
  <c r="DE254" i="25"/>
  <c r="DF235" i="25"/>
  <c r="DE251" i="25"/>
  <c r="DF204" i="25"/>
  <c r="DF220" i="25"/>
  <c r="DG11" i="611"/>
  <c r="DE12" i="611"/>
  <c r="DF201" i="25"/>
  <c r="DF208" i="25"/>
  <c r="DG273" i="25" s="1"/>
  <c r="DE247" i="25"/>
  <c r="DF34" i="571"/>
  <c r="DF68" i="617" s="1"/>
  <c r="CY33" i="571"/>
  <c r="CY39" i="571"/>
  <c r="H19" i="559"/>
  <c r="AQ109" i="25"/>
  <c r="AT109" i="25"/>
  <c r="BV251" i="25"/>
  <c r="DR211" i="25"/>
  <c r="DS211" i="25" s="1"/>
  <c r="DT211" i="25" s="1"/>
  <c r="CV379" i="25"/>
  <c r="CF362" i="25"/>
  <c r="CG362" i="25" s="1"/>
  <c r="CG364" i="25"/>
  <c r="CE97" i="25"/>
  <c r="DF211" i="25"/>
  <c r="DG211" i="25" s="1"/>
  <c r="DH211" i="25" s="1"/>
  <c r="DE379" i="25"/>
  <c r="DF379" i="25" s="1"/>
  <c r="DG61" i="611"/>
  <c r="DH61" i="611" s="1"/>
  <c r="DI61" i="611" s="1"/>
  <c r="DJ61" i="611" s="1"/>
  <c r="DL61" i="611" s="1"/>
  <c r="DM61" i="611" s="1"/>
  <c r="DN61" i="611" s="1"/>
  <c r="DO61" i="611" s="1"/>
  <c r="DQ61" i="611" s="1"/>
  <c r="DR61" i="611" s="1"/>
  <c r="DS61" i="611" s="1"/>
  <c r="DT61" i="611" s="1"/>
  <c r="DV61" i="611" s="1"/>
  <c r="DW61" i="611" s="1"/>
  <c r="DX61" i="611" s="1"/>
  <c r="DY61" i="611" s="1"/>
  <c r="EA61" i="611" s="1"/>
  <c r="DE100" i="611"/>
  <c r="DG96" i="611"/>
  <c r="DE149" i="611"/>
  <c r="DE51" i="611"/>
  <c r="DE372" i="25"/>
  <c r="DE283" i="25" s="1"/>
  <c r="DE361" i="25"/>
  <c r="DF361" i="25" s="1"/>
  <c r="DE367" i="25"/>
  <c r="DF367" i="25" s="1"/>
  <c r="DG82" i="611"/>
  <c r="DH82" i="611" s="1"/>
  <c r="DI82" i="611" s="1"/>
  <c r="DV300" i="25"/>
  <c r="EA300" i="25" s="1"/>
  <c r="DE382" i="25"/>
  <c r="DE294" i="25" s="1"/>
  <c r="DE380" i="25"/>
  <c r="DC362" i="25"/>
  <c r="DD362" i="25" s="1"/>
  <c r="DE364" i="25"/>
  <c r="DF364" i="25"/>
  <c r="DE368" i="25"/>
  <c r="DF368" i="25" s="1"/>
  <c r="DE381" i="25"/>
  <c r="DF381" i="25" s="1"/>
  <c r="DG131" i="611"/>
  <c r="CW35" i="607"/>
  <c r="DB35" i="607" s="1"/>
  <c r="DE127" i="25"/>
  <c r="DN110" i="617"/>
  <c r="DE312" i="25"/>
  <c r="DH131" i="611"/>
  <c r="DI131" i="611" s="1"/>
  <c r="DJ131" i="611" s="1"/>
  <c r="DF372" i="25"/>
  <c r="DF271" i="25" s="1"/>
  <c r="DH96" i="611"/>
  <c r="DI96" i="611" s="1"/>
  <c r="DJ96" i="611" s="1"/>
  <c r="DL96" i="611" s="1"/>
  <c r="DM96" i="611" s="1"/>
  <c r="DN96" i="611" s="1"/>
  <c r="DO96" i="611" s="1"/>
  <c r="DQ96" i="611" s="1"/>
  <c r="DR96" i="611" s="1"/>
  <c r="DS96" i="611" s="1"/>
  <c r="DY39" i="613"/>
  <c r="ED39" i="613" s="1"/>
  <c r="DD48" i="613"/>
  <c r="DC14" i="607"/>
  <c r="BL68" i="25"/>
  <c r="CR86" i="25"/>
  <c r="P39" i="559" s="1"/>
  <c r="DC315" i="25"/>
  <c r="CC274" i="25"/>
  <c r="AU30" i="25"/>
  <c r="CA30" i="25"/>
  <c r="CA103" i="25"/>
  <c r="CA405" i="25" s="1"/>
  <c r="BH407" i="25"/>
  <c r="CY159" i="571"/>
  <c r="CY52" i="617"/>
  <c r="CP51" i="617"/>
  <c r="CK66" i="571"/>
  <c r="CK188" i="571" s="1"/>
  <c r="CK51" i="617"/>
  <c r="CF130" i="571"/>
  <c r="CF51" i="617"/>
  <c r="DL48" i="617"/>
  <c r="N79" i="559"/>
  <c r="N27" i="559"/>
  <c r="G91" i="559"/>
  <c r="Z132" i="559"/>
  <c r="DY59" i="607"/>
  <c r="ED59" i="607" s="1"/>
  <c r="DJ110" i="617"/>
  <c r="DM48" i="617"/>
  <c r="U126" i="559"/>
  <c r="U48" i="559" s="1"/>
  <c r="CW14" i="617"/>
  <c r="V11" i="559"/>
  <c r="CY8" i="571"/>
  <c r="DI13" i="613"/>
  <c r="DI48" i="617"/>
  <c r="DJ48" i="617"/>
  <c r="AH14" i="559"/>
  <c r="DJ49" i="617"/>
  <c r="DH14" i="613"/>
  <c r="DH13" i="613" s="1"/>
  <c r="DL27" i="611"/>
  <c r="CR44" i="25"/>
  <c r="DC24" i="617"/>
  <c r="DE99" i="25"/>
  <c r="DE13" i="617"/>
  <c r="CF67" i="25"/>
  <c r="CW13" i="617"/>
  <c r="DE194" i="571"/>
  <c r="DE205" i="571" s="1"/>
  <c r="DE60" i="617"/>
  <c r="DD60" i="617"/>
  <c r="AQ79" i="25"/>
  <c r="F281" i="25"/>
  <c r="AC132" i="559"/>
  <c r="AC126" i="559"/>
  <c r="AC48" i="559" s="1"/>
  <c r="DX57" i="607"/>
  <c r="EC57" i="607" s="1"/>
  <c r="DC48" i="613"/>
  <c r="DC57" i="607"/>
  <c r="DD11" i="607"/>
  <c r="DF11" i="607" s="1"/>
  <c r="DS35" i="607"/>
  <c r="DX35" i="607" s="1"/>
  <c r="EC35" i="607" s="1"/>
  <c r="DK30" i="607"/>
  <c r="DG30" i="607"/>
  <c r="DG31" i="607" s="1"/>
  <c r="DF15" i="607"/>
  <c r="DJ166" i="25"/>
  <c r="DG134" i="611"/>
  <c r="DH132" i="611" s="1"/>
  <c r="DE58" i="611"/>
  <c r="BP78" i="25"/>
  <c r="H272" i="25"/>
  <c r="H276" i="25" s="1"/>
  <c r="CP119" i="25"/>
  <c r="CO67" i="25"/>
  <c r="CT67" i="25"/>
  <c r="CT86" i="25"/>
  <c r="P118" i="559"/>
  <c r="CO99" i="25"/>
  <c r="CC67" i="25"/>
  <c r="U132" i="559"/>
  <c r="CK176" i="571"/>
  <c r="CK174" i="571" s="1"/>
  <c r="CK173" i="571" s="1"/>
  <c r="Q63" i="559"/>
  <c r="X63" i="559"/>
  <c r="AL161" i="571"/>
  <c r="DD205" i="571"/>
  <c r="AP162" i="571"/>
  <c r="AP161" i="571"/>
  <c r="AC65" i="559"/>
  <c r="N63" i="559"/>
  <c r="AZ177" i="571"/>
  <c r="AY176" i="571"/>
  <c r="AY174" i="571" s="1"/>
  <c r="AY173" i="571" s="1"/>
  <c r="AA53" i="559"/>
  <c r="AA63" i="559"/>
  <c r="CD66" i="571"/>
  <c r="BT66" i="571"/>
  <c r="BQ162" i="571"/>
  <c r="BV177" i="571"/>
  <c r="CY66" i="571"/>
  <c r="CY188" i="571" s="1"/>
  <c r="S63" i="559"/>
  <c r="W65" i="559"/>
  <c r="DK92" i="571"/>
  <c r="AE46" i="559"/>
  <c r="AY31" i="25"/>
  <c r="AY33" i="25" s="1"/>
  <c r="H143" i="25"/>
  <c r="DF17" i="607"/>
  <c r="DF90" i="617"/>
  <c r="DK12" i="571"/>
  <c r="DK35" i="25"/>
  <c r="BM25" i="25"/>
  <c r="S109" i="25"/>
  <c r="CZ181" i="571"/>
  <c r="CU182" i="571"/>
  <c r="CX17" i="571"/>
  <c r="CP365" i="25"/>
  <c r="CQ365" i="25" s="1"/>
  <c r="AI320" i="25"/>
  <c r="CY78" i="25"/>
  <c r="CY281" i="25"/>
  <c r="CY272" i="25"/>
  <c r="CY274" i="25" s="1"/>
  <c r="CN39" i="571"/>
  <c r="CN33" i="571"/>
  <c r="CN59" i="571"/>
  <c r="CL320" i="25"/>
  <c r="AH58" i="25"/>
  <c r="AH60" i="25" s="1"/>
  <c r="AM83" i="25"/>
  <c r="AH96" i="25"/>
  <c r="P58" i="25"/>
  <c r="P22" i="25"/>
  <c r="AO22" i="25"/>
  <c r="AO101" i="25" s="1"/>
  <c r="AO96" i="25"/>
  <c r="R65" i="559"/>
  <c r="CJ239" i="25"/>
  <c r="CD302" i="25"/>
  <c r="CY318" i="25"/>
  <c r="CY323" i="25"/>
  <c r="CY322" i="25" s="1"/>
  <c r="CY329" i="25" s="1"/>
  <c r="CZ258" i="25"/>
  <c r="CZ253" i="25" s="1"/>
  <c r="CZ252" i="25" s="1"/>
  <c r="CZ259" i="25" s="1"/>
  <c r="CJ347" i="25"/>
  <c r="CJ336" i="25"/>
  <c r="DE128" i="611"/>
  <c r="DT357" i="25"/>
  <c r="DU21" i="25"/>
  <c r="DB239" i="25"/>
  <c r="DT12" i="613"/>
  <c r="DT110" i="617" s="1"/>
  <c r="DE311" i="25"/>
  <c r="CS283" i="25"/>
  <c r="BZ320" i="25"/>
  <c r="BZ336" i="25"/>
  <c r="DE239" i="25"/>
  <c r="BZ327" i="25"/>
  <c r="BZ326" i="25" s="1"/>
  <c r="BZ331" i="25" s="1"/>
  <c r="DE296" i="25"/>
  <c r="DE298" i="25" s="1"/>
  <c r="DE54" i="25" s="1"/>
  <c r="DE55" i="25" s="1"/>
  <c r="DF294" i="25"/>
  <c r="DF296" i="25" s="1"/>
  <c r="DK211" i="25"/>
  <c r="DI127" i="611"/>
  <c r="DJ125" i="611" s="1"/>
  <c r="DJ127" i="611" s="1"/>
  <c r="DL125" i="611" s="1"/>
  <c r="DL127" i="611" s="1"/>
  <c r="DM125" i="611" s="1"/>
  <c r="DM127" i="611" s="1"/>
  <c r="DN125" i="611" s="1"/>
  <c r="DN127" i="611" s="1"/>
  <c r="DO125" i="611" s="1"/>
  <c r="DO127" i="611" s="1"/>
  <c r="DQ125" i="611" s="1"/>
  <c r="DQ127" i="611" s="1"/>
  <c r="DR125" i="611" s="1"/>
  <c r="DR127" i="611" s="1"/>
  <c r="DS125" i="611" s="1"/>
  <c r="DS127" i="611" s="1"/>
  <c r="DT125" i="611" s="1"/>
  <c r="DT127" i="611" s="1"/>
  <c r="DV125" i="611" s="1"/>
  <c r="DV127" i="611" s="1"/>
  <c r="DW125" i="611" s="1"/>
  <c r="DW127" i="611" s="1"/>
  <c r="DX125" i="611" s="1"/>
  <c r="DX127" i="611" s="1"/>
  <c r="DY125" i="611" s="1"/>
  <c r="DY127" i="611" s="1"/>
  <c r="EA125" i="611" s="1"/>
  <c r="EA127" i="611" s="1"/>
  <c r="EB125" i="611" s="1"/>
  <c r="EB127" i="611" s="1"/>
  <c r="EC125" i="611" s="1"/>
  <c r="EC127" i="611" s="1"/>
  <c r="ED125" i="611" s="1"/>
  <c r="ED127" i="611" s="1"/>
  <c r="DF380" i="25"/>
  <c r="DF286" i="25" s="1"/>
  <c r="U109" i="25"/>
  <c r="DH88" i="617"/>
  <c r="DH76" i="611"/>
  <c r="DE327" i="25"/>
  <c r="DE326" i="25" s="1"/>
  <c r="DK166" i="25"/>
  <c r="DP165" i="25" s="1"/>
  <c r="AD101" i="25"/>
  <c r="AD28" i="25"/>
  <c r="AD79" i="25" s="1"/>
  <c r="CH99" i="25"/>
  <c r="CH67" i="25"/>
  <c r="CM86" i="25"/>
  <c r="G97" i="25"/>
  <c r="G137" i="25"/>
  <c r="BA109" i="25"/>
  <c r="BK128" i="25"/>
  <c r="BK109" i="25"/>
  <c r="BT97" i="25"/>
  <c r="CJ138" i="25"/>
  <c r="CO138" i="25"/>
  <c r="CJ137" i="25"/>
  <c r="CW251" i="25"/>
  <c r="CW239" i="25"/>
  <c r="CA365" i="25"/>
  <c r="CJ365" i="25"/>
  <c r="CJ369" i="25" s="1"/>
  <c r="CJ282" i="25" s="1"/>
  <c r="CI369" i="25"/>
  <c r="CI282" i="25" s="1"/>
  <c r="CL374" i="25"/>
  <c r="BZ277" i="25"/>
  <c r="BZ276" i="25"/>
  <c r="DA363" i="25"/>
  <c r="CK65" i="571"/>
  <c r="P67" i="25"/>
  <c r="AJ67" i="25"/>
  <c r="AX66" i="25"/>
  <c r="AX67" i="25" s="1"/>
  <c r="AT67" i="25"/>
  <c r="BB68" i="25"/>
  <c r="CI99" i="25"/>
  <c r="BE128" i="25"/>
  <c r="BU138" i="25"/>
  <c r="BP97" i="25"/>
  <c r="BU109" i="25" s="1"/>
  <c r="CA97" i="25"/>
  <c r="CA137" i="25"/>
  <c r="CA138" i="25"/>
  <c r="DA174" i="25"/>
  <c r="DF174" i="25" s="1"/>
  <c r="DK174" i="25" s="1"/>
  <c r="DP174" i="25" s="1"/>
  <c r="DU174" i="25" s="1"/>
  <c r="DZ174" i="25" s="1"/>
  <c r="EE174" i="25" s="1"/>
  <c r="CP360" i="25"/>
  <c r="CQ360" i="25" s="1"/>
  <c r="CZ361" i="25"/>
  <c r="DA361" i="25" s="1"/>
  <c r="CZ375" i="25"/>
  <c r="DA375" i="25" s="1"/>
  <c r="CF385" i="25"/>
  <c r="CG385" i="25" s="1"/>
  <c r="DG104" i="611"/>
  <c r="DG106" i="611" s="1"/>
  <c r="DE107" i="611"/>
  <c r="DK13" i="571"/>
  <c r="BX97" i="25"/>
  <c r="BQ67" i="25"/>
  <c r="CE67" i="25"/>
  <c r="CE99" i="25"/>
  <c r="CE86" i="25"/>
  <c r="CJ99" i="25"/>
  <c r="CO86" i="25"/>
  <c r="M118" i="559" s="1"/>
  <c r="CJ86" i="25"/>
  <c r="H39" i="559" s="1"/>
  <c r="O358" i="25"/>
  <c r="AV128" i="25"/>
  <c r="BF109" i="25"/>
  <c r="BF128" i="25"/>
  <c r="CK366" i="25"/>
  <c r="CL366" i="25" s="1"/>
  <c r="CU375" i="25"/>
  <c r="CV375" i="25" s="1"/>
  <c r="CK385" i="25"/>
  <c r="CL385" i="25" s="1"/>
  <c r="AA126" i="559"/>
  <c r="AA48" i="559" s="1"/>
  <c r="DE114" i="611"/>
  <c r="AJ162" i="571"/>
  <c r="AJ161" i="571"/>
  <c r="V109" i="25"/>
  <c r="AT128" i="25"/>
  <c r="AG67" i="25"/>
  <c r="AG68" i="25" s="1"/>
  <c r="CK119" i="25"/>
  <c r="CP86" i="25"/>
  <c r="N118" i="559" s="1"/>
  <c r="N117" i="559" s="1"/>
  <c r="CK67" i="25"/>
  <c r="CP68" i="25" s="1"/>
  <c r="CK99" i="25"/>
  <c r="CK86" i="25"/>
  <c r="F137" i="25"/>
  <c r="F97" i="25"/>
  <c r="AZ128" i="25"/>
  <c r="BD109" i="25"/>
  <c r="BJ109" i="25"/>
  <c r="BJ128" i="25"/>
  <c r="CN138" i="25"/>
  <c r="CI138" i="25"/>
  <c r="CI97" i="25"/>
  <c r="CZ138" i="25"/>
  <c r="DE138" i="25"/>
  <c r="CX239" i="25"/>
  <c r="CX251" i="25"/>
  <c r="CF360" i="25"/>
  <c r="CG360" i="25" s="1"/>
  <c r="CF368" i="25"/>
  <c r="I282" i="25"/>
  <c r="CU381" i="25"/>
  <c r="DI295" i="25"/>
  <c r="CP375" i="25"/>
  <c r="CO366" i="25"/>
  <c r="DD1" i="611"/>
  <c r="DF1" i="611" s="1"/>
  <c r="DF3" i="611" s="1"/>
  <c r="DE309" i="25"/>
  <c r="DY12" i="613"/>
  <c r="ED12" i="613" s="1"/>
  <c r="DO110" i="617"/>
  <c r="DO120" i="617" s="1"/>
  <c r="DO26" i="613"/>
  <c r="DS110" i="617"/>
  <c r="DX12" i="613"/>
  <c r="EC12" i="613" s="1"/>
  <c r="DD63" i="617"/>
  <c r="W11" i="559"/>
  <c r="CZ8" i="571"/>
  <c r="AJ14" i="559"/>
  <c r="DL49" i="617"/>
  <c r="DI52" i="617"/>
  <c r="AK14" i="559"/>
  <c r="DM49" i="617"/>
  <c r="AG14" i="559"/>
  <c r="DI49" i="617"/>
  <c r="AF14" i="559"/>
  <c r="DL257" i="25"/>
  <c r="DK233" i="25"/>
  <c r="DK63" i="25"/>
  <c r="DK36" i="25"/>
  <c r="DK51" i="25"/>
  <c r="DO13" i="613"/>
  <c r="DK42" i="571"/>
  <c r="BZ325" i="25"/>
  <c r="BZ330" i="25" s="1"/>
  <c r="CY276" i="25"/>
  <c r="DE181" i="571"/>
  <c r="DJ181" i="571" s="1"/>
  <c r="CZ182" i="571"/>
  <c r="DF320" i="25"/>
  <c r="CK365" i="25"/>
  <c r="CK369" i="25" s="1"/>
  <c r="CK282" i="25" s="1"/>
  <c r="DT18" i="613"/>
  <c r="DT35" i="613" s="1"/>
  <c r="CZ272" i="25"/>
  <c r="DK57" i="571"/>
  <c r="DK151" i="25"/>
  <c r="DK152" i="25" s="1"/>
  <c r="DF21" i="607"/>
  <c r="H118" i="559"/>
  <c r="H117" i="559" s="1"/>
  <c r="DE325" i="25"/>
  <c r="DF325" i="25" s="1"/>
  <c r="DF330" i="25" s="1"/>
  <c r="DL166" i="25"/>
  <c r="DM27" i="611"/>
  <c r="DK23" i="607"/>
  <c r="DK24" i="607"/>
  <c r="DX39" i="613"/>
  <c r="CV381" i="25"/>
  <c r="BV68" i="25"/>
  <c r="DP169" i="25"/>
  <c r="BX128" i="25"/>
  <c r="DP211" i="25"/>
  <c r="CI109" i="25"/>
  <c r="CA109" i="25"/>
  <c r="DH78" i="611"/>
  <c r="DI76" i="611" s="1"/>
  <c r="DS14" i="613"/>
  <c r="DS33" i="613" s="1"/>
  <c r="DS18" i="613"/>
  <c r="DH48" i="611"/>
  <c r="DP205" i="25"/>
  <c r="DN257" i="25"/>
  <c r="DY110" i="617"/>
  <c r="DX110" i="617"/>
  <c r="DA8" i="571"/>
  <c r="Y11" i="559" s="1"/>
  <c r="DB8" i="571"/>
  <c r="Z11" i="559" s="1"/>
  <c r="X11" i="559"/>
  <c r="DP51" i="25"/>
  <c r="DJ112" i="617"/>
  <c r="DH47" i="613"/>
  <c r="DH110" i="617"/>
  <c r="DI88" i="617"/>
  <c r="DN60" i="617"/>
  <c r="DE182" i="571"/>
  <c r="DS35" i="613"/>
  <c r="DI47" i="613"/>
  <c r="DH90" i="617"/>
  <c r="DH50" i="613"/>
  <c r="DI112" i="617"/>
  <c r="DN27" i="611"/>
  <c r="DP134" i="25"/>
  <c r="DP341" i="25" s="1"/>
  <c r="DQ54" i="25"/>
  <c r="DV12" i="613"/>
  <c r="EA12" i="613" s="1"/>
  <c r="DQ110" i="617"/>
  <c r="DM110" i="617"/>
  <c r="DP23" i="607"/>
  <c r="DI166" i="25"/>
  <c r="DK18" i="613"/>
  <c r="DO160" i="611"/>
  <c r="DO162" i="611" s="1"/>
  <c r="DQ160" i="611" s="1"/>
  <c r="DH112" i="617"/>
  <c r="DH166" i="25"/>
  <c r="DR12" i="613"/>
  <c r="DP12" i="571"/>
  <c r="DQ60" i="571" s="1"/>
  <c r="DO27" i="611"/>
  <c r="DP219" i="25"/>
  <c r="DP224" i="25"/>
  <c r="DI90" i="617"/>
  <c r="DN166" i="25"/>
  <c r="DK32" i="607"/>
  <c r="DP30" i="607"/>
  <c r="DI48" i="613"/>
  <c r="DI49" i="613" s="1"/>
  <c r="DP229" i="25"/>
  <c r="DH94" i="617"/>
  <c r="DI13" i="617"/>
  <c r="DI50" i="613"/>
  <c r="DI51" i="613" s="1"/>
  <c r="DP24" i="607"/>
  <c r="DL112" i="617"/>
  <c r="DS296" i="25"/>
  <c r="DS298" i="25" s="1"/>
  <c r="DS54" i="25" s="1"/>
  <c r="DV18" i="613"/>
  <c r="DV35" i="613" s="1"/>
  <c r="DP35" i="25"/>
  <c r="DO60" i="617"/>
  <c r="DR59" i="25"/>
  <c r="DR35" i="25" s="1"/>
  <c r="DP63" i="25"/>
  <c r="DV42" i="613"/>
  <c r="EA42" i="613" s="1"/>
  <c r="DP14" i="613"/>
  <c r="DK35" i="613"/>
  <c r="DM166" i="25"/>
  <c r="DP18" i="613"/>
  <c r="DH48" i="613"/>
  <c r="DI94" i="617"/>
  <c r="DG407" i="25"/>
  <c r="DM112" i="617"/>
  <c r="DR341" i="25"/>
  <c r="DR257" i="25" s="1"/>
  <c r="DS341" i="25"/>
  <c r="DS257" i="25" s="1"/>
  <c r="DS258" i="25" s="1"/>
  <c r="DS59" i="25"/>
  <c r="DS35" i="25" s="1"/>
  <c r="DM116" i="617"/>
  <c r="AG18" i="559"/>
  <c r="AG65" i="559" s="1"/>
  <c r="DI404" i="25"/>
  <c r="DI348" i="25" s="1"/>
  <c r="AF18" i="559"/>
  <c r="AF65" i="559" s="1"/>
  <c r="DH404" i="25"/>
  <c r="DH348" i="25" s="1"/>
  <c r="AE18" i="559"/>
  <c r="AE65" i="559" s="1"/>
  <c r="DG404" i="25"/>
  <c r="DG348" i="25" s="1"/>
  <c r="DL116" i="617"/>
  <c r="DL88" i="617"/>
  <c r="DT59" i="25"/>
  <c r="DT35" i="25" s="1"/>
  <c r="DT341" i="25"/>
  <c r="DT257" i="25" s="1"/>
  <c r="DT258" i="25" s="1"/>
  <c r="DO111" i="611"/>
  <c r="DO113" i="611" s="1"/>
  <c r="DQ111" i="611" s="1"/>
  <c r="DQ113" i="611" s="1"/>
  <c r="DR111" i="611" s="1"/>
  <c r="DR113" i="611" s="1"/>
  <c r="DS111" i="611" s="1"/>
  <c r="DL50" i="613"/>
  <c r="DM88" i="617"/>
  <c r="DH407" i="25"/>
  <c r="DL90" i="617"/>
  <c r="DL48" i="613"/>
  <c r="DI407" i="25"/>
  <c r="DV341" i="25"/>
  <c r="DV257" i="25" s="1"/>
  <c r="DV258" i="25" s="1"/>
  <c r="DV59" i="25"/>
  <c r="DS42" i="613"/>
  <c r="DN88" i="617"/>
  <c r="DL94" i="617"/>
  <c r="DM47" i="613"/>
  <c r="DW59" i="25"/>
  <c r="DW35" i="25" s="1"/>
  <c r="DW341" i="25"/>
  <c r="DW257" i="25" s="1"/>
  <c r="DW258" i="25" s="1"/>
  <c r="DM50" i="613"/>
  <c r="DM51" i="613" s="1"/>
  <c r="DL52" i="613"/>
  <c r="DK227" i="25"/>
  <c r="DL142" i="25" s="1"/>
  <c r="DL143" i="25" s="1"/>
  <c r="DM90" i="617"/>
  <c r="DM48" i="613"/>
  <c r="DN47" i="613"/>
  <c r="DN50" i="613"/>
  <c r="DM94" i="617"/>
  <c r="DJ407" i="25"/>
  <c r="DK23" i="25"/>
  <c r="DK407" i="25" s="1"/>
  <c r="DN90" i="617"/>
  <c r="DY341" i="25"/>
  <c r="DY257" i="25" s="1"/>
  <c r="DY258" i="25" s="1"/>
  <c r="DY59" i="25"/>
  <c r="DY35" i="25" s="1"/>
  <c r="DM52" i="613"/>
  <c r="DY193" i="571"/>
  <c r="DY60" i="617" s="1"/>
  <c r="DL407" i="25"/>
  <c r="DM407" i="25"/>
  <c r="DO48" i="611"/>
  <c r="DO50" i="611" s="1"/>
  <c r="DO51" i="611" s="1"/>
  <c r="DN407" i="25"/>
  <c r="DB67" i="571"/>
  <c r="DB66" i="571" s="1"/>
  <c r="DB158" i="571"/>
  <c r="DB159" i="571" s="1"/>
  <c r="DF188" i="571"/>
  <c r="DB204" i="571"/>
  <c r="DK158" i="571"/>
  <c r="AF13" i="559"/>
  <c r="AE13" i="559"/>
  <c r="DG187" i="25"/>
  <c r="DG402" i="25"/>
  <c r="AE16" i="559"/>
  <c r="DG403" i="25"/>
  <c r="DG347" i="25" s="1"/>
  <c r="DJ14" i="617"/>
  <c r="AE19" i="559"/>
  <c r="DK21" i="25"/>
  <c r="DK70" i="25"/>
  <c r="DK74" i="25"/>
  <c r="DK14" i="617" s="1"/>
  <c r="DK212" i="25"/>
  <c r="DP212" i="25"/>
  <c r="DG15" i="611"/>
  <c r="DG405" i="25"/>
  <c r="DH15" i="611"/>
  <c r="DG254" i="25"/>
  <c r="DG251" i="25"/>
  <c r="DG12" i="611"/>
  <c r="DH11" i="611" s="1"/>
  <c r="DG247" i="25"/>
  <c r="DI15" i="611"/>
  <c r="DJ15" i="611"/>
  <c r="DK24" i="25"/>
  <c r="DI17" i="617"/>
  <c r="DJ17" i="617"/>
  <c r="DK25" i="25"/>
  <c r="DK17" i="617" s="1"/>
  <c r="DG78" i="25"/>
  <c r="DG271" i="25"/>
  <c r="DG277" i="25" s="1"/>
  <c r="DG272" i="25"/>
  <c r="DG275" i="25" s="1"/>
  <c r="DG281" i="25"/>
  <c r="DG283" i="25"/>
  <c r="DG294" i="25"/>
  <c r="DG296" i="25" s="1"/>
  <c r="DG298" i="25" s="1"/>
  <c r="DG54" i="25" s="1"/>
  <c r="DL283" i="25"/>
  <c r="DG301" i="25"/>
  <c r="DG302" i="25" s="1"/>
  <c r="DG286" i="25" s="1"/>
  <c r="DI301" i="25"/>
  <c r="DK55" i="25"/>
  <c r="DK301" i="25" s="1"/>
  <c r="DL301" i="25"/>
  <c r="DL302" i="25" s="1"/>
  <c r="DL286" i="25" s="1"/>
  <c r="DN301" i="25"/>
  <c r="DL404" i="25"/>
  <c r="DL348" i="25" s="1"/>
  <c r="AJ18" i="559"/>
  <c r="DH187" i="25"/>
  <c r="DH402" i="25"/>
  <c r="DH308" i="25" s="1"/>
  <c r="DH403" i="25"/>
  <c r="DH338" i="25" s="1"/>
  <c r="DH405" i="25"/>
  <c r="AF16" i="559"/>
  <c r="AF52" i="559" s="1"/>
  <c r="AF19" i="559"/>
  <c r="AF66" i="559" s="1"/>
  <c r="DH12" i="611"/>
  <c r="DI11" i="611" s="1"/>
  <c r="DH78" i="25"/>
  <c r="DH271" i="25"/>
  <c r="DH272" i="25"/>
  <c r="DH275" i="25" s="1"/>
  <c r="DH281" i="25"/>
  <c r="DH283" i="25"/>
  <c r="DH294" i="25"/>
  <c r="DH296" i="25" s="1"/>
  <c r="DH298" i="25" s="1"/>
  <c r="DH54" i="25" s="1"/>
  <c r="DK240" i="25"/>
  <c r="DM13" i="617"/>
  <c r="DM404" i="25"/>
  <c r="DM348" i="25" s="1"/>
  <c r="AK18" i="559"/>
  <c r="AK65" i="559" s="1"/>
  <c r="DI187" i="25"/>
  <c r="DI402" i="25"/>
  <c r="DI345" i="25" s="1"/>
  <c r="DI403" i="25"/>
  <c r="DI336" i="25" s="1"/>
  <c r="DI405" i="25"/>
  <c r="AG16" i="559"/>
  <c r="AG63" i="559" s="1"/>
  <c r="AG19" i="559"/>
  <c r="DI9" i="617"/>
  <c r="DI254" i="25"/>
  <c r="DI251" i="25"/>
  <c r="DI12" i="611"/>
  <c r="DJ11" i="611" s="1"/>
  <c r="DI247" i="25"/>
  <c r="DI271" i="25"/>
  <c r="DI277" i="25" s="1"/>
  <c r="DI283" i="25"/>
  <c r="DK208" i="25"/>
  <c r="DL273" i="25" s="1"/>
  <c r="AG13" i="559"/>
  <c r="DI46" i="617"/>
  <c r="DI47" i="617"/>
  <c r="DI51" i="617"/>
  <c r="DI59" i="617"/>
  <c r="DI65" i="617"/>
  <c r="DI68" i="617"/>
  <c r="DT35" i="607"/>
  <c r="DJ88" i="617"/>
  <c r="DJ47" i="613"/>
  <c r="DK13" i="607"/>
  <c r="DK88" i="617"/>
  <c r="DK19" i="607"/>
  <c r="DK27" i="607" s="1"/>
  <c r="DJ50" i="613"/>
  <c r="DK15" i="607"/>
  <c r="DJ48" i="613"/>
  <c r="DJ90" i="617"/>
  <c r="DJ104" i="617" s="1"/>
  <c r="DK17" i="607"/>
  <c r="DK52" i="607"/>
  <c r="DK57" i="607"/>
  <c r="DK14" i="607"/>
  <c r="DK50" i="613"/>
  <c r="DK26" i="607"/>
  <c r="DJ94" i="617"/>
  <c r="DJ106" i="617" s="1"/>
  <c r="DK62" i="25"/>
  <c r="DK90" i="617"/>
  <c r="DK58" i="607"/>
  <c r="DK60" i="607"/>
  <c r="DK94" i="617"/>
  <c r="AH18" i="559"/>
  <c r="AH65" i="559" s="1"/>
  <c r="DK18" i="25"/>
  <c r="DK85" i="25" s="1"/>
  <c r="DJ404" i="25"/>
  <c r="DJ348" i="25" s="1"/>
  <c r="DK221" i="25"/>
  <c r="DJ55" i="617"/>
  <c r="DJ82" i="617"/>
  <c r="DJ83" i="617"/>
  <c r="DJ84" i="617"/>
  <c r="DK9" i="25"/>
  <c r="DL117" i="25" s="1"/>
  <c r="DK10" i="25"/>
  <c r="DK403" i="25" s="1"/>
  <c r="DK347" i="25" s="1"/>
  <c r="DK29" i="25"/>
  <c r="DK397" i="25" s="1"/>
  <c r="DK58" i="25"/>
  <c r="DJ187" i="25"/>
  <c r="DJ189" i="25" s="1"/>
  <c r="DJ188" i="25"/>
  <c r="DJ190" i="25"/>
  <c r="DJ402" i="25"/>
  <c r="DJ334" i="25" s="1"/>
  <c r="DJ403" i="25"/>
  <c r="DJ347" i="25" s="1"/>
  <c r="DJ405" i="25"/>
  <c r="AH16" i="559"/>
  <c r="AI16" i="559"/>
  <c r="AH19" i="559"/>
  <c r="DJ9" i="617"/>
  <c r="DK235" i="25"/>
  <c r="DK203" i="25"/>
  <c r="DK220" i="25"/>
  <c r="DK204" i="25"/>
  <c r="DK339" i="25" s="1"/>
  <c r="DK369" i="25"/>
  <c r="DK370" i="25" s="1"/>
  <c r="DL11" i="611"/>
  <c r="DJ12" i="611"/>
  <c r="DK201" i="25"/>
  <c r="DL146" i="25" s="1"/>
  <c r="DK281" i="25"/>
  <c r="DL281" i="25"/>
  <c r="DK271" i="25"/>
  <c r="DK283" i="25"/>
  <c r="DK377" i="25"/>
  <c r="DK286" i="25"/>
  <c r="DK387" i="25"/>
  <c r="DJ68" i="617"/>
  <c r="DK68" i="617"/>
  <c r="DK60" i="571"/>
  <c r="DK35" i="571"/>
  <c r="AH13" i="559"/>
  <c r="DJ47" i="617"/>
  <c r="DJ46" i="617"/>
  <c r="DJ59" i="617"/>
  <c r="DJ67" i="571"/>
  <c r="DO73" i="571" s="1"/>
  <c r="DK200" i="571"/>
  <c r="DK65" i="617" s="1"/>
  <c r="DL47" i="617"/>
  <c r="AJ13" i="559"/>
  <c r="DM47" i="617"/>
  <c r="DL15" i="611"/>
  <c r="DL187" i="25"/>
  <c r="DL402" i="25"/>
  <c r="DL405" i="25"/>
  <c r="AJ16" i="559"/>
  <c r="AJ19" i="559"/>
  <c r="AJ66" i="559" s="1"/>
  <c r="DL9" i="617"/>
  <c r="DL254" i="25"/>
  <c r="DL251" i="25"/>
  <c r="DL12" i="611"/>
  <c r="DM11" i="611" s="1"/>
  <c r="DL247" i="25"/>
  <c r="DP233" i="25"/>
  <c r="DL369" i="25"/>
  <c r="DL282" i="25" s="1"/>
  <c r="DL377" i="25"/>
  <c r="DL46" i="617"/>
  <c r="DL59" i="617"/>
  <c r="DL65" i="617"/>
  <c r="DL68" i="617"/>
  <c r="DL35" i="571"/>
  <c r="DL60" i="571"/>
  <c r="AI37" i="559"/>
  <c r="AM44" i="559"/>
  <c r="AO44" i="559"/>
  <c r="AP156" i="559"/>
  <c r="AP44" i="559"/>
  <c r="DR93" i="571" s="1"/>
  <c r="AQ156" i="559"/>
  <c r="AQ44" i="559"/>
  <c r="DS93" i="571" s="1"/>
  <c r="AR156" i="559"/>
  <c r="AR44" i="559"/>
  <c r="DT93" i="571" s="1"/>
  <c r="AT156" i="559"/>
  <c r="AT44" i="559"/>
  <c r="DV93" i="571" s="1"/>
  <c r="AU156" i="559"/>
  <c r="AU44" i="559"/>
  <c r="DW93" i="571" s="1"/>
  <c r="AV156" i="559"/>
  <c r="AV44" i="559"/>
  <c r="DX93" i="571" s="1"/>
  <c r="AW156" i="559"/>
  <c r="AW44" i="559"/>
  <c r="DY93" i="571" s="1"/>
  <c r="AK16" i="559"/>
  <c r="AK52" i="559" s="1"/>
  <c r="DM46" i="617"/>
  <c r="DM51" i="617"/>
  <c r="DM59" i="617"/>
  <c r="DM65" i="617"/>
  <c r="DM77" i="617" s="1"/>
  <c r="DM68" i="617"/>
  <c r="DM403" i="25"/>
  <c r="DM402" i="25"/>
  <c r="DM187" i="25"/>
  <c r="DM9" i="617"/>
  <c r="DM191" i="571"/>
  <c r="DM190" i="571"/>
  <c r="DM15" i="611"/>
  <c r="DM254" i="25"/>
  <c r="DM405" i="25"/>
  <c r="DM17" i="617"/>
  <c r="DM12" i="611"/>
  <c r="DN11" i="611" s="1"/>
  <c r="DM251" i="25"/>
  <c r="DM247" i="25"/>
  <c r="DM78" i="25"/>
  <c r="DM271" i="25"/>
  <c r="DM281" i="25"/>
  <c r="DM283" i="25"/>
  <c r="BM183" i="571" l="1"/>
  <c r="CQ182" i="571"/>
  <c r="T182" i="571"/>
  <c r="T183" i="571" s="1"/>
  <c r="DB24" i="617"/>
  <c r="CW315" i="25"/>
  <c r="CC24" i="617"/>
  <c r="CI44" i="25"/>
  <c r="CC315" i="25"/>
  <c r="J325" i="25"/>
  <c r="J330" i="25" s="1"/>
  <c r="DL60" i="617"/>
  <c r="M39" i="559"/>
  <c r="CJ119" i="25"/>
  <c r="CI67" i="25"/>
  <c r="CI68" i="25" s="1"/>
  <c r="CL66" i="25"/>
  <c r="CL13" i="617" s="1"/>
  <c r="CC99" i="25"/>
  <c r="DG86" i="25"/>
  <c r="CM67" i="25"/>
  <c r="CD67" i="25"/>
  <c r="CD68" i="25" s="1"/>
  <c r="DB76" i="25"/>
  <c r="AU76" i="25"/>
  <c r="CK110" i="25"/>
  <c r="CI86" i="25"/>
  <c r="CD86" i="25"/>
  <c r="CM99" i="25"/>
  <c r="CM110" i="25" s="1"/>
  <c r="BY99" i="25"/>
  <c r="CD13" i="617"/>
  <c r="AD272" i="25"/>
  <c r="CZ407" i="25"/>
  <c r="AA132" i="559"/>
  <c r="DJ336" i="25"/>
  <c r="DI334" i="25"/>
  <c r="K39" i="559"/>
  <c r="K118" i="559"/>
  <c r="CC13" i="617"/>
  <c r="CH30" i="617" s="1"/>
  <c r="CG66" i="25"/>
  <c r="CG13" i="617" s="1"/>
  <c r="DF338" i="25"/>
  <c r="DF327" i="25"/>
  <c r="DF373" i="25"/>
  <c r="DC377" i="25"/>
  <c r="CI251" i="25"/>
  <c r="CI239" i="25"/>
  <c r="V22" i="25"/>
  <c r="V101" i="25" s="1"/>
  <c r="V96" i="25"/>
  <c r="O334" i="25"/>
  <c r="O277" i="25"/>
  <c r="O308" i="25"/>
  <c r="O318" i="25"/>
  <c r="O345" i="25"/>
  <c r="CR67" i="25"/>
  <c r="CR198" i="571" s="1"/>
  <c r="CR63" i="617" s="1"/>
  <c r="CR119" i="25"/>
  <c r="CW86" i="25"/>
  <c r="U39" i="559" s="1"/>
  <c r="DB86" i="25"/>
  <c r="CW67" i="25"/>
  <c r="CW198" i="571" s="1"/>
  <c r="DI318" i="25"/>
  <c r="CN137" i="25"/>
  <c r="CJ251" i="25"/>
  <c r="CJ315" i="25"/>
  <c r="L22" i="25"/>
  <c r="L58" i="25"/>
  <c r="L60" i="25" s="1"/>
  <c r="L96" i="25"/>
  <c r="BH251" i="25"/>
  <c r="CN369" i="25"/>
  <c r="CN282" i="25" s="1"/>
  <c r="DK9" i="617"/>
  <c r="DK82" i="25"/>
  <c r="DI319" i="25"/>
  <c r="CK68" i="25"/>
  <c r="I39" i="559"/>
  <c r="I118" i="559"/>
  <c r="I117" i="559" s="1"/>
  <c r="DE336" i="25"/>
  <c r="CM68" i="25"/>
  <c r="AI11" i="25"/>
  <c r="P83" i="25"/>
  <c r="Q118" i="25"/>
  <c r="BU281" i="25"/>
  <c r="BV358" i="25"/>
  <c r="W19" i="559"/>
  <c r="CY28" i="25"/>
  <c r="BM327" i="25"/>
  <c r="BM336" i="25"/>
  <c r="BM347" i="25"/>
  <c r="CP76" i="25"/>
  <c r="CP102" i="25" s="1"/>
  <c r="CP97" i="25"/>
  <c r="CP11" i="617"/>
  <c r="N17" i="559"/>
  <c r="CT13" i="617"/>
  <c r="CT99" i="25"/>
  <c r="CY110" i="25" s="1"/>
  <c r="DJ338" i="25"/>
  <c r="DJ327" i="25"/>
  <c r="DJ325" i="25" s="1"/>
  <c r="AG52" i="559"/>
  <c r="N39" i="559"/>
  <c r="CR68" i="25"/>
  <c r="CV272" i="25"/>
  <c r="CV281" i="25"/>
  <c r="CP110" i="25"/>
  <c r="AR128" i="25"/>
  <c r="AV109" i="25"/>
  <c r="AF101" i="25"/>
  <c r="AF28" i="25"/>
  <c r="AF33" i="25" s="1"/>
  <c r="CJ276" i="25"/>
  <c r="DD67" i="25"/>
  <c r="DD209" i="571"/>
  <c r="CF13" i="617"/>
  <c r="CK30" i="617" s="1"/>
  <c r="CH119" i="25"/>
  <c r="BZ176" i="571"/>
  <c r="BZ174" i="571" s="1"/>
  <c r="BZ173" i="571" s="1"/>
  <c r="H108" i="25"/>
  <c r="E110" i="25"/>
  <c r="BG109" i="25"/>
  <c r="AI308" i="25"/>
  <c r="BC11" i="25"/>
  <c r="BY78" i="25"/>
  <c r="BY272" i="25"/>
  <c r="DD141" i="25"/>
  <c r="DD143" i="25" s="1"/>
  <c r="DD407" i="25"/>
  <c r="DH141" i="25"/>
  <c r="BX177" i="571"/>
  <c r="BG83" i="25"/>
  <c r="DC276" i="25"/>
  <c r="I406" i="25"/>
  <c r="I356" i="25"/>
  <c r="E104" i="25"/>
  <c r="CY58" i="25"/>
  <c r="CG404" i="25"/>
  <c r="CG348" i="25" s="1"/>
  <c r="CO96" i="25"/>
  <c r="CO137" i="25" s="1"/>
  <c r="BV22" i="25"/>
  <c r="CS74" i="25"/>
  <c r="CV74" i="25" s="1"/>
  <c r="CV14" i="617" s="1"/>
  <c r="AP110" i="25"/>
  <c r="BD83" i="25"/>
  <c r="BN58" i="25"/>
  <c r="BN161" i="571"/>
  <c r="BX83" i="25"/>
  <c r="BX58" i="25"/>
  <c r="CA83" i="25"/>
  <c r="CU58" i="25"/>
  <c r="CU60" i="25" s="1"/>
  <c r="CU22" i="25"/>
  <c r="DE83" i="25"/>
  <c r="CZ58" i="25"/>
  <c r="CQ17" i="617"/>
  <c r="T397" i="25"/>
  <c r="AN397" i="25"/>
  <c r="DA397" i="25"/>
  <c r="F356" i="25"/>
  <c r="F406" i="25"/>
  <c r="F313" i="25" s="1"/>
  <c r="J290" i="25"/>
  <c r="J280" i="25"/>
  <c r="J356" i="25"/>
  <c r="J370" i="25" s="1"/>
  <c r="J289" i="25" s="1"/>
  <c r="J291" i="25" s="1"/>
  <c r="AB129" i="25"/>
  <c r="AG129" i="25"/>
  <c r="AZ129" i="25"/>
  <c r="CK129" i="25"/>
  <c r="CV273" i="25"/>
  <c r="CK239" i="25"/>
  <c r="DA254" i="25"/>
  <c r="AH66" i="559"/>
  <c r="CM119" i="25"/>
  <c r="CJ67" i="25"/>
  <c r="CI119" i="25"/>
  <c r="DA50" i="25"/>
  <c r="DB99" i="25"/>
  <c r="DB67" i="25"/>
  <c r="DB198" i="571" s="1"/>
  <c r="AM176" i="571"/>
  <c r="AM174" i="571" s="1"/>
  <c r="AM173" i="571" s="1"/>
  <c r="CT22" i="25"/>
  <c r="CT28" i="25" s="1"/>
  <c r="BG96" i="25"/>
  <c r="Y315" i="25"/>
  <c r="BX60" i="25"/>
  <c r="CG319" i="25"/>
  <c r="BY308" i="25"/>
  <c r="I290" i="25"/>
  <c r="E41" i="25"/>
  <c r="E398" i="25" s="1"/>
  <c r="CY83" i="25"/>
  <c r="CI327" i="25"/>
  <c r="CI326" i="25" s="1"/>
  <c r="CI331" i="25" s="1"/>
  <c r="CO58" i="25"/>
  <c r="CA358" i="25"/>
  <c r="CS327" i="25"/>
  <c r="CI345" i="25"/>
  <c r="CS254" i="25"/>
  <c r="CO294" i="25"/>
  <c r="CO296" i="25" s="1"/>
  <c r="CX320" i="25"/>
  <c r="CI272" i="25"/>
  <c r="BT334" i="25"/>
  <c r="CX327" i="25"/>
  <c r="BC402" i="25"/>
  <c r="BC346" i="25" s="1"/>
  <c r="CP83" i="25"/>
  <c r="BT316" i="25"/>
  <c r="CY197" i="571"/>
  <c r="CY208" i="571" s="1"/>
  <c r="BZ97" i="25"/>
  <c r="BZ109" i="25" s="1"/>
  <c r="F290" i="25"/>
  <c r="CI24" i="25"/>
  <c r="CI145" i="25" s="1"/>
  <c r="BX96" i="25"/>
  <c r="BX137" i="25" s="1"/>
  <c r="BI22" i="25"/>
  <c r="BI88" i="25" s="1"/>
  <c r="J45" i="25"/>
  <c r="BS96" i="25"/>
  <c r="BS108" i="25" s="1"/>
  <c r="BD58" i="25"/>
  <c r="BN83" i="25"/>
  <c r="CY369" i="25"/>
  <c r="CY282" i="25" s="1"/>
  <c r="CA58" i="25"/>
  <c r="I52" i="559"/>
  <c r="BO83" i="25"/>
  <c r="DF62" i="25"/>
  <c r="CB276" i="25"/>
  <c r="CI308" i="25"/>
  <c r="DE141" i="25"/>
  <c r="DE143" i="25" s="1"/>
  <c r="BU332" i="25"/>
  <c r="CZ239" i="25"/>
  <c r="Z51" i="559"/>
  <c r="X52" i="559"/>
  <c r="BM85" i="25"/>
  <c r="BN28" i="25"/>
  <c r="BN31" i="25" s="1"/>
  <c r="BN33" i="25" s="1"/>
  <c r="BS28" i="25"/>
  <c r="CG44" i="25"/>
  <c r="BR44" i="25"/>
  <c r="J108" i="25"/>
  <c r="AQ110" i="25"/>
  <c r="BK129" i="25"/>
  <c r="BV128" i="25"/>
  <c r="BZ319" i="25"/>
  <c r="G336" i="25"/>
  <c r="T348" i="25"/>
  <c r="DG141" i="25"/>
  <c r="DI101" i="25"/>
  <c r="DI141" i="25"/>
  <c r="DJ141" i="25"/>
  <c r="DL60" i="25"/>
  <c r="R68" i="25"/>
  <c r="CK76" i="25"/>
  <c r="AG17" i="559"/>
  <c r="CK11" i="617"/>
  <c r="CK10" i="617" s="1"/>
  <c r="DI11" i="617"/>
  <c r="DI15" i="617" s="1"/>
  <c r="DI18" i="617" s="1"/>
  <c r="AF17" i="559"/>
  <c r="I17" i="559"/>
  <c r="I51" i="559" s="1"/>
  <c r="BH315" i="25"/>
  <c r="BH298" i="25"/>
  <c r="DK141" i="25"/>
  <c r="DL17" i="617"/>
  <c r="BR141" i="25"/>
  <c r="BR143" i="25" s="1"/>
  <c r="BX143" i="25"/>
  <c r="CL67" i="25"/>
  <c r="CO68" i="25"/>
  <c r="CX137" i="25"/>
  <c r="DC108" i="25"/>
  <c r="BG162" i="571"/>
  <c r="BG161" i="571"/>
  <c r="CK139" i="571"/>
  <c r="CF44" i="571"/>
  <c r="CF71" i="571"/>
  <c r="CR74" i="25"/>
  <c r="P132" i="559" s="1"/>
  <c r="CZ74" i="25"/>
  <c r="DA72" i="25"/>
  <c r="P110" i="25"/>
  <c r="Q129" i="25"/>
  <c r="AR110" i="25"/>
  <c r="AR129" i="25"/>
  <c r="AT129" i="25"/>
  <c r="BG129" i="25"/>
  <c r="BG110" i="25"/>
  <c r="BI129" i="25"/>
  <c r="BV110" i="25"/>
  <c r="CA110" i="25"/>
  <c r="AW128" i="25"/>
  <c r="AW109" i="25"/>
  <c r="BL109" i="25"/>
  <c r="DF26" i="607"/>
  <c r="DC60" i="607"/>
  <c r="DC94" i="617"/>
  <c r="DJ193" i="571"/>
  <c r="DJ194" i="571" s="1"/>
  <c r="DK59" i="25"/>
  <c r="DK193" i="571" s="1"/>
  <c r="DK60" i="617" s="1"/>
  <c r="DL51" i="617"/>
  <c r="DL11" i="617"/>
  <c r="DL403" i="25"/>
  <c r="DJ319" i="25"/>
  <c r="DK59" i="607"/>
  <c r="DV35" i="25"/>
  <c r="DV193" i="571"/>
  <c r="DV60" i="617" s="1"/>
  <c r="CJ128" i="25"/>
  <c r="DM60" i="617"/>
  <c r="BX129" i="25"/>
  <c r="G108" i="25"/>
  <c r="CA271" i="25"/>
  <c r="CA283" i="25"/>
  <c r="BY87" i="571"/>
  <c r="BY84" i="571"/>
  <c r="BY149" i="571" s="1"/>
  <c r="CD133" i="571"/>
  <c r="BY142" i="571"/>
  <c r="BY133" i="571"/>
  <c r="BY64" i="571"/>
  <c r="BY77" i="571" s="1"/>
  <c r="DE385" i="25"/>
  <c r="DD385" i="25"/>
  <c r="AC58" i="25"/>
  <c r="AC60" i="25" s="1"/>
  <c r="AC76" i="25" s="1"/>
  <c r="AH83" i="25"/>
  <c r="AC96" i="25"/>
  <c r="AC127" i="25" s="1"/>
  <c r="AC83" i="25"/>
  <c r="AC22" i="25"/>
  <c r="AC118" i="25"/>
  <c r="AE118" i="25"/>
  <c r="AO68" i="25"/>
  <c r="DE108" i="25"/>
  <c r="DB127" i="25"/>
  <c r="CZ137" i="25"/>
  <c r="AB22" i="25"/>
  <c r="AB28" i="25" s="1"/>
  <c r="AB96" i="25"/>
  <c r="AF188" i="25"/>
  <c r="AF189" i="25" s="1"/>
  <c r="AB58" i="25"/>
  <c r="AB60" i="25" s="1"/>
  <c r="AB76" i="25" s="1"/>
  <c r="DF110" i="617"/>
  <c r="DF41" i="613"/>
  <c r="DN32" i="613"/>
  <c r="DI32" i="613"/>
  <c r="DI41" i="613"/>
  <c r="DI110" i="617"/>
  <c r="DK12" i="613"/>
  <c r="DL51" i="607"/>
  <c r="DG58" i="607"/>
  <c r="DG35" i="607"/>
  <c r="DG14" i="607"/>
  <c r="DG57" i="607"/>
  <c r="DG12" i="607"/>
  <c r="DG11" i="607"/>
  <c r="DK11" i="607" s="1"/>
  <c r="DG47" i="613"/>
  <c r="DG59" i="607"/>
  <c r="DG88" i="617"/>
  <c r="DE41" i="613"/>
  <c r="DE110" i="617"/>
  <c r="DE111" i="617" s="1"/>
  <c r="DE40" i="613"/>
  <c r="DE47" i="613"/>
  <c r="DO176" i="571"/>
  <c r="DO174" i="571" s="1"/>
  <c r="DJ52" i="617"/>
  <c r="DO54" i="607"/>
  <c r="DJ60" i="607"/>
  <c r="DJ54" i="607"/>
  <c r="DR18" i="613"/>
  <c r="DR110" i="617"/>
  <c r="DR120" i="617" s="1"/>
  <c r="DR14" i="613"/>
  <c r="DR33" i="613" s="1"/>
  <c r="J274" i="25"/>
  <c r="J276" i="25"/>
  <c r="CA99" i="25"/>
  <c r="CF110" i="25" s="1"/>
  <c r="CF86" i="25"/>
  <c r="CA67" i="25"/>
  <c r="CA68" i="25" s="1"/>
  <c r="M11" i="25"/>
  <c r="M135" i="25"/>
  <c r="M136" i="25" s="1"/>
  <c r="O10" i="25"/>
  <c r="O403" i="25" s="1"/>
  <c r="W135" i="25"/>
  <c r="W136" i="25" s="1"/>
  <c r="W97" i="25" s="1"/>
  <c r="W11" i="25"/>
  <c r="Y10" i="25"/>
  <c r="U110" i="25"/>
  <c r="V129" i="25"/>
  <c r="U129" i="25"/>
  <c r="AJ129" i="25"/>
  <c r="AJ110" i="25"/>
  <c r="AK129" i="25"/>
  <c r="AO110" i="25"/>
  <c r="AW129" i="25"/>
  <c r="AW110" i="25"/>
  <c r="AY129" i="25"/>
  <c r="BL110" i="25"/>
  <c r="BL129" i="25"/>
  <c r="BN129" i="25"/>
  <c r="BY129" i="25"/>
  <c r="BY110" i="25"/>
  <c r="CN129" i="25"/>
  <c r="CO129" i="25"/>
  <c r="CD138" i="25"/>
  <c r="BY97" i="25"/>
  <c r="BY138" i="25"/>
  <c r="CR295" i="25"/>
  <c r="DJ320" i="25"/>
  <c r="DK21" i="607"/>
  <c r="DK53" i="607"/>
  <c r="DK26" i="613"/>
  <c r="DP35" i="613"/>
  <c r="DK41" i="613"/>
  <c r="DJ126" i="617"/>
  <c r="DJ121" i="617"/>
  <c r="CP366" i="25"/>
  <c r="CO369" i="25"/>
  <c r="CO282" i="25" s="1"/>
  <c r="BL128" i="25"/>
  <c r="E97" i="25"/>
  <c r="BG128" i="25"/>
  <c r="CK71" i="571"/>
  <c r="CK72" i="571" s="1"/>
  <c r="CK138" i="571" s="1"/>
  <c r="CK44" i="571"/>
  <c r="I325" i="25"/>
  <c r="I330" i="25" s="1"/>
  <c r="I326" i="25"/>
  <c r="I331" i="25" s="1"/>
  <c r="AE110" i="25"/>
  <c r="O50" i="25"/>
  <c r="CT262" i="25"/>
  <c r="CU262" i="25"/>
  <c r="CR262" i="25"/>
  <c r="CS262" i="25"/>
  <c r="CY99" i="25"/>
  <c r="CY13" i="617"/>
  <c r="CY37" i="617" s="1"/>
  <c r="CY86" i="25"/>
  <c r="CY67" i="25"/>
  <c r="DD52" i="571"/>
  <c r="DC53" i="571"/>
  <c r="DI40" i="613"/>
  <c r="DM61" i="617"/>
  <c r="DM82" i="617" s="1"/>
  <c r="DK31" i="607"/>
  <c r="CR71" i="571"/>
  <c r="CR44" i="571"/>
  <c r="DD74" i="25"/>
  <c r="DD14" i="617" s="1"/>
  <c r="DF70" i="25"/>
  <c r="DC13" i="617"/>
  <c r="DC37" i="617" s="1"/>
  <c r="DC119" i="25"/>
  <c r="DC99" i="25"/>
  <c r="DC129" i="25" s="1"/>
  <c r="T10" i="25"/>
  <c r="R11" i="25"/>
  <c r="R135" i="25"/>
  <c r="R136" i="25" s="1"/>
  <c r="R97" i="25" s="1"/>
  <c r="R109" i="25" s="1"/>
  <c r="AP135" i="25"/>
  <c r="AP136" i="25" s="1"/>
  <c r="AP97" i="25" s="1"/>
  <c r="AU109" i="25" s="1"/>
  <c r="AP11" i="25"/>
  <c r="CX14" i="617"/>
  <c r="V126" i="559"/>
  <c r="V48" i="559" s="1"/>
  <c r="V132" i="559"/>
  <c r="I100" i="25"/>
  <c r="J87" i="25"/>
  <c r="AA129" i="25"/>
  <c r="Z110" i="25"/>
  <c r="Z129" i="25"/>
  <c r="BB110" i="25"/>
  <c r="BB129" i="25"/>
  <c r="BD129" i="25"/>
  <c r="BQ129" i="25"/>
  <c r="BQ110" i="25"/>
  <c r="BS129" i="25"/>
  <c r="CD129" i="25"/>
  <c r="CE129" i="25"/>
  <c r="I110" i="25"/>
  <c r="H110" i="25"/>
  <c r="BS135" i="25"/>
  <c r="BS136" i="25" s="1"/>
  <c r="BS59" i="25"/>
  <c r="BW134" i="25"/>
  <c r="BS341" i="25"/>
  <c r="BS257" i="25" s="1"/>
  <c r="I97" i="25"/>
  <c r="I137" i="25"/>
  <c r="BB109" i="25"/>
  <c r="BB128" i="25"/>
  <c r="BD128" i="25"/>
  <c r="BQ97" i="25"/>
  <c r="BV138" i="25"/>
  <c r="DB8" i="607"/>
  <c r="DC8" i="607" s="1"/>
  <c r="DD8" i="607" s="1"/>
  <c r="DE8" i="607" s="1"/>
  <c r="DF8" i="607" s="1"/>
  <c r="DK8" i="607" s="1"/>
  <c r="DP8" i="607" s="1"/>
  <c r="DU8" i="607" s="1"/>
  <c r="DZ8" i="607" s="1"/>
  <c r="EE8" i="607" s="1"/>
  <c r="DA8" i="607"/>
  <c r="DL35" i="607"/>
  <c r="DL31" i="607"/>
  <c r="DP31" i="607" s="1"/>
  <c r="DQ32" i="613"/>
  <c r="DL39" i="613"/>
  <c r="DQ55" i="613" s="1"/>
  <c r="DL41" i="613"/>
  <c r="DQ57" i="613" s="1"/>
  <c r="DL42" i="613"/>
  <c r="DQ58" i="613" s="1"/>
  <c r="DL40" i="613"/>
  <c r="DQ56" i="613" s="1"/>
  <c r="DL13" i="613"/>
  <c r="DL110" i="617"/>
  <c r="DP12" i="613"/>
  <c r="AK19" i="559"/>
  <c r="DL47" i="613"/>
  <c r="DU12" i="613"/>
  <c r="DU32" i="613" s="1"/>
  <c r="DR13" i="613"/>
  <c r="DW12" i="613"/>
  <c r="AY128" i="25"/>
  <c r="BU128" i="25"/>
  <c r="CO89" i="571"/>
  <c r="CO149" i="571" s="1"/>
  <c r="AX403" i="25"/>
  <c r="X22" i="25"/>
  <c r="X101" i="25" s="1"/>
  <c r="X118" i="25"/>
  <c r="X96" i="25"/>
  <c r="X58" i="25"/>
  <c r="X60" i="25" s="1"/>
  <c r="X76" i="25" s="1"/>
  <c r="N118" i="25"/>
  <c r="P118" i="25"/>
  <c r="N96" i="25"/>
  <c r="N22" i="25"/>
  <c r="N28" i="25" s="1"/>
  <c r="CY44" i="571"/>
  <c r="DA43" i="571"/>
  <c r="AL162" i="571"/>
  <c r="CH142" i="571"/>
  <c r="CH82" i="571"/>
  <c r="CH87" i="571" s="1"/>
  <c r="CH111" i="571" s="1"/>
  <c r="CM147" i="571"/>
  <c r="N101" i="559"/>
  <c r="N99" i="559"/>
  <c r="I101" i="559"/>
  <c r="I99" i="559"/>
  <c r="K91" i="559"/>
  <c r="K93" i="559"/>
  <c r="N86" i="559"/>
  <c r="N88" i="559"/>
  <c r="I88" i="559"/>
  <c r="I86" i="559"/>
  <c r="DC43" i="571"/>
  <c r="DC44" i="571" s="1"/>
  <c r="DF42" i="571"/>
  <c r="DF45" i="571" s="1"/>
  <c r="S65" i="559"/>
  <c r="S52" i="559"/>
  <c r="X59" i="559" s="1"/>
  <c r="W52" i="559"/>
  <c r="W53" i="559"/>
  <c r="R52" i="559"/>
  <c r="R63" i="559"/>
  <c r="BU379" i="25"/>
  <c r="BT387" i="25"/>
  <c r="BZ381" i="25"/>
  <c r="CA381" i="25" s="1"/>
  <c r="CS387" i="25"/>
  <c r="CT382" i="25"/>
  <c r="CS294" i="25"/>
  <c r="CS295" i="25" s="1"/>
  <c r="CI302" i="25"/>
  <c r="CI301" i="25" s="1"/>
  <c r="CJ380" i="25"/>
  <c r="CI286" i="25"/>
  <c r="CO381" i="25"/>
  <c r="CO233" i="25" s="1"/>
  <c r="CP381" i="25"/>
  <c r="CQ381" i="25" s="1"/>
  <c r="CN387" i="25"/>
  <c r="CX294" i="25"/>
  <c r="CX387" i="25"/>
  <c r="CY382" i="25"/>
  <c r="CZ382" i="25" s="1"/>
  <c r="CT385" i="25"/>
  <c r="CU385" i="25" s="1"/>
  <c r="CV385" i="25" s="1"/>
  <c r="F318" i="25"/>
  <c r="F323" i="25"/>
  <c r="F322" i="25" s="1"/>
  <c r="F329" i="25" s="1"/>
  <c r="J308" i="25"/>
  <c r="J323" i="25"/>
  <c r="J322" i="25" s="1"/>
  <c r="J329" i="25" s="1"/>
  <c r="J345" i="25"/>
  <c r="BS334" i="25"/>
  <c r="BS346" i="25"/>
  <c r="BS277" i="25"/>
  <c r="BS323" i="25"/>
  <c r="BS322" i="25" s="1"/>
  <c r="BS329" i="25" s="1"/>
  <c r="BS318" i="25"/>
  <c r="BS345" i="25"/>
  <c r="BX346" i="25"/>
  <c r="BX334" i="25"/>
  <c r="BX277" i="25"/>
  <c r="BX318" i="25"/>
  <c r="BX345" i="25"/>
  <c r="BX323" i="25"/>
  <c r="BX322" i="25" s="1"/>
  <c r="BX329" i="25" s="1"/>
  <c r="CC334" i="25"/>
  <c r="CC277" i="25"/>
  <c r="CC323" i="25"/>
  <c r="CC322" i="25" s="1"/>
  <c r="CC329" i="25" s="1"/>
  <c r="CH334" i="25"/>
  <c r="CH318" i="25"/>
  <c r="CH346" i="25"/>
  <c r="CH308" i="25"/>
  <c r="CH323" i="25"/>
  <c r="CH322" i="25" s="1"/>
  <c r="CH329" i="25" s="1"/>
  <c r="CH345" i="25"/>
  <c r="CM334" i="25"/>
  <c r="CM346" i="25"/>
  <c r="CM308" i="25"/>
  <c r="CM318" i="25"/>
  <c r="CM345" i="25"/>
  <c r="CM277" i="25"/>
  <c r="CM323" i="25"/>
  <c r="CM322" i="25" s="1"/>
  <c r="CM329" i="25" s="1"/>
  <c r="CR323" i="25"/>
  <c r="CR322" i="25" s="1"/>
  <c r="CR329" i="25" s="1"/>
  <c r="CR318" i="25"/>
  <c r="CR277" i="25"/>
  <c r="CR334" i="25"/>
  <c r="CR308" i="25"/>
  <c r="CR345" i="25"/>
  <c r="CR346" i="25"/>
  <c r="CW346" i="25"/>
  <c r="CW323" i="25"/>
  <c r="CW322" i="25" s="1"/>
  <c r="CW329" i="25" s="1"/>
  <c r="CW277" i="25"/>
  <c r="CW308" i="25"/>
  <c r="CW334" i="25"/>
  <c r="CW345" i="25"/>
  <c r="CC338" i="25"/>
  <c r="CC336" i="25"/>
  <c r="CC320" i="25"/>
  <c r="CC327" i="25"/>
  <c r="CC319" i="25"/>
  <c r="CC347" i="25"/>
  <c r="CR327" i="25"/>
  <c r="CR326" i="25" s="1"/>
  <c r="CR331" i="25" s="1"/>
  <c r="CR347" i="25"/>
  <c r="CR320" i="25"/>
  <c r="CW347" i="25"/>
  <c r="CW327" i="25"/>
  <c r="DB323" i="25"/>
  <c r="DB322" i="25" s="1"/>
  <c r="DB329" i="25" s="1"/>
  <c r="DB346" i="25"/>
  <c r="DB345" i="25"/>
  <c r="DD365" i="25"/>
  <c r="DE365" i="25"/>
  <c r="DF365" i="25" s="1"/>
  <c r="DF65" i="25"/>
  <c r="DD66" i="25"/>
  <c r="DF66" i="25" s="1"/>
  <c r="DF213" i="25"/>
  <c r="DE216" i="25"/>
  <c r="DE241" i="25" s="1"/>
  <c r="DI73" i="571"/>
  <c r="DD130" i="571"/>
  <c r="DE49" i="617"/>
  <c r="DE218" i="571"/>
  <c r="DE46" i="617" s="1"/>
  <c r="AC14" i="559"/>
  <c r="DH111" i="617"/>
  <c r="DE330" i="25"/>
  <c r="F39" i="559"/>
  <c r="DT14" i="613"/>
  <c r="EC110" i="617"/>
  <c r="EC120" i="617" s="1"/>
  <c r="AT68" i="25"/>
  <c r="DF298" i="25"/>
  <c r="R118" i="559"/>
  <c r="R39" i="559"/>
  <c r="CO87" i="571"/>
  <c r="CO111" i="571" s="1"/>
  <c r="CO97" i="571"/>
  <c r="CO104" i="571" s="1"/>
  <c r="CO77" i="571"/>
  <c r="CQ64" i="571"/>
  <c r="CQ128" i="571" s="1"/>
  <c r="CK59" i="571"/>
  <c r="AG118" i="25"/>
  <c r="AG58" i="25"/>
  <c r="AG60" i="25" s="1"/>
  <c r="AG76" i="25" s="1"/>
  <c r="BZ61" i="571"/>
  <c r="CK127" i="25"/>
  <c r="CO108" i="25"/>
  <c r="AB52" i="559"/>
  <c r="AG59" i="559" s="1"/>
  <c r="AB65" i="559"/>
  <c r="BY274" i="25"/>
  <c r="BY276" i="25"/>
  <c r="N13" i="559"/>
  <c r="CC251" i="25"/>
  <c r="CC239" i="25"/>
  <c r="DF238" i="25"/>
  <c r="DF251" i="25" s="1"/>
  <c r="CY64" i="571"/>
  <c r="CY37" i="571"/>
  <c r="DA37" i="571" s="1"/>
  <c r="DA36" i="571"/>
  <c r="DA48" i="571" s="1"/>
  <c r="DA69" i="617" s="1"/>
  <c r="CW51" i="617"/>
  <c r="CW130" i="571"/>
  <c r="DB73" i="571"/>
  <c r="CY51" i="617"/>
  <c r="DD73" i="571"/>
  <c r="DD139" i="571" s="1"/>
  <c r="CY130" i="571"/>
  <c r="CN51" i="617"/>
  <c r="CN66" i="571"/>
  <c r="CN130" i="571"/>
  <c r="Z42" i="559"/>
  <c r="AD146" i="559"/>
  <c r="DB69" i="617"/>
  <c r="DC48" i="571"/>
  <c r="DB36" i="571"/>
  <c r="DB50" i="571"/>
  <c r="DB43" i="571"/>
  <c r="Y98" i="25"/>
  <c r="Y402" i="25"/>
  <c r="AD82" i="25"/>
  <c r="Y135" i="25"/>
  <c r="Y136" i="25" s="1"/>
  <c r="Y105" i="25"/>
  <c r="Y11" i="25"/>
  <c r="DA9" i="617"/>
  <c r="DA402" i="25"/>
  <c r="DA11" i="25"/>
  <c r="DA98" i="25"/>
  <c r="AN403" i="25"/>
  <c r="AN135" i="25"/>
  <c r="AN136" i="25" s="1"/>
  <c r="AL66" i="25"/>
  <c r="AN62" i="25"/>
  <c r="BF66" i="25"/>
  <c r="BF67" i="25" s="1"/>
  <c r="BK68" i="25" s="1"/>
  <c r="BH62" i="25"/>
  <c r="BZ99" i="25"/>
  <c r="CE110" i="25" s="1"/>
  <c r="BZ67" i="25"/>
  <c r="CS197" i="571"/>
  <c r="CS66" i="25"/>
  <c r="CV66" i="25" s="1"/>
  <c r="CV62" i="25"/>
  <c r="DA62" i="25"/>
  <c r="CX66" i="25"/>
  <c r="CX197" i="571"/>
  <c r="CC369" i="25"/>
  <c r="CC282" i="25" s="1"/>
  <c r="CD365" i="25"/>
  <c r="BS369" i="25"/>
  <c r="BT367" i="25"/>
  <c r="BR377" i="25"/>
  <c r="BR283" i="25"/>
  <c r="BR271" i="25"/>
  <c r="BU375" i="25"/>
  <c r="BV375" i="25" s="1"/>
  <c r="BT377" i="25"/>
  <c r="CN271" i="25"/>
  <c r="CN277" i="25" s="1"/>
  <c r="CN283" i="25"/>
  <c r="CN377" i="25"/>
  <c r="CO372" i="25"/>
  <c r="BZ374" i="25"/>
  <c r="BY377" i="25"/>
  <c r="CT374" i="25"/>
  <c r="CS377" i="25"/>
  <c r="CE372" i="25"/>
  <c r="CE377" i="25" s="1"/>
  <c r="CD283" i="25"/>
  <c r="CD377" i="25"/>
  <c r="DD375" i="25"/>
  <c r="DE375" i="25"/>
  <c r="DF375" i="25" s="1"/>
  <c r="DD360" i="25"/>
  <c r="DE360" i="25"/>
  <c r="DF360" i="25" s="1"/>
  <c r="DC71" i="607"/>
  <c r="DC69" i="607"/>
  <c r="DA68" i="607"/>
  <c r="DD59" i="607"/>
  <c r="DD57" i="607"/>
  <c r="DD35" i="607"/>
  <c r="DD14" i="607"/>
  <c r="DI51" i="607"/>
  <c r="DD88" i="617"/>
  <c r="DF13" i="607"/>
  <c r="DD12" i="607"/>
  <c r="DD47" i="613"/>
  <c r="DD49" i="613" s="1"/>
  <c r="DD58" i="607"/>
  <c r="DD60" i="607"/>
  <c r="DG130" i="571"/>
  <c r="DG66" i="571"/>
  <c r="DG68" i="571" s="1"/>
  <c r="DG60" i="607"/>
  <c r="DL54" i="607"/>
  <c r="DG94" i="617"/>
  <c r="DG92" i="617" s="1"/>
  <c r="DN54" i="607"/>
  <c r="DI60" i="607"/>
  <c r="DI54" i="607"/>
  <c r="DJ35" i="571"/>
  <c r="DJ60" i="571"/>
  <c r="EB61" i="611"/>
  <c r="DG146" i="25"/>
  <c r="DF206" i="25"/>
  <c r="DF216" i="25" s="1"/>
  <c r="DK146" i="25"/>
  <c r="DG142" i="25"/>
  <c r="DG143" i="25" s="1"/>
  <c r="R51" i="559"/>
  <c r="BG101" i="25"/>
  <c r="BL112" i="25" s="1"/>
  <c r="BG28" i="25"/>
  <c r="BL88" i="25"/>
  <c r="CG325" i="25"/>
  <c r="CG330" i="25" s="1"/>
  <c r="CG326" i="25"/>
  <c r="CG331" i="25" s="1"/>
  <c r="AF103" i="25"/>
  <c r="AF405" i="25" s="1"/>
  <c r="AF31" i="25"/>
  <c r="AF30" i="25"/>
  <c r="CT97" i="25"/>
  <c r="CT195" i="571"/>
  <c r="CU118" i="25"/>
  <c r="CT11" i="617"/>
  <c r="BN177" i="571"/>
  <c r="BI162" i="571"/>
  <c r="CS39" i="571"/>
  <c r="CS33" i="571"/>
  <c r="CS59" i="571"/>
  <c r="BS60" i="25"/>
  <c r="BS76" i="25" s="1"/>
  <c r="AY30" i="25"/>
  <c r="AY103" i="25"/>
  <c r="AY44" i="25" s="1"/>
  <c r="AY79" i="25"/>
  <c r="AY100" i="25" s="1"/>
  <c r="CY373" i="25"/>
  <c r="CZ373" i="25" s="1"/>
  <c r="DA373" i="25" s="1"/>
  <c r="CX377" i="25"/>
  <c r="CZ271" i="25"/>
  <c r="DA372" i="25"/>
  <c r="DA271" i="25" s="1"/>
  <c r="DA277" i="25" s="1"/>
  <c r="CZ283" i="25"/>
  <c r="DC308" i="25"/>
  <c r="DC323" i="25"/>
  <c r="DC322" i="25" s="1"/>
  <c r="DC329" i="25" s="1"/>
  <c r="DC332" i="25" s="1"/>
  <c r="CC142" i="571"/>
  <c r="CC82" i="571"/>
  <c r="CD44" i="571"/>
  <c r="CG43" i="571"/>
  <c r="CD71" i="571"/>
  <c r="CG71" i="571" s="1"/>
  <c r="CG137" i="571" s="1"/>
  <c r="CM44" i="571"/>
  <c r="CM71" i="571"/>
  <c r="DA166" i="25"/>
  <c r="DA60" i="571"/>
  <c r="DA151" i="25"/>
  <c r="DF152" i="25" s="1"/>
  <c r="DK153" i="25" s="1"/>
  <c r="DF13" i="571"/>
  <c r="DA13" i="571"/>
  <c r="DA57" i="571"/>
  <c r="CX158" i="571"/>
  <c r="CX52" i="617" s="1"/>
  <c r="DC73" i="617" s="1"/>
  <c r="CX218" i="571"/>
  <c r="CX46" i="617" s="1"/>
  <c r="CS158" i="571"/>
  <c r="CS159" i="571" s="1"/>
  <c r="CS218" i="571"/>
  <c r="CS46" i="617" s="1"/>
  <c r="CN159" i="571"/>
  <c r="CS177" i="571" s="1"/>
  <c r="CN158" i="571"/>
  <c r="CN52" i="617" s="1"/>
  <c r="CI158" i="571"/>
  <c r="CI159" i="571"/>
  <c r="CD159" i="571"/>
  <c r="CI177" i="571" s="1"/>
  <c r="CD158" i="571"/>
  <c r="CD52" i="617" s="1"/>
  <c r="BY158" i="571"/>
  <c r="BY159" i="571"/>
  <c r="BP159" i="571"/>
  <c r="BP162" i="571" s="1"/>
  <c r="BP158" i="571"/>
  <c r="BK158" i="571"/>
  <c r="BK159" i="571"/>
  <c r="BA158" i="571"/>
  <c r="BA159" i="571"/>
  <c r="BF177" i="571" s="1"/>
  <c r="AV158" i="571"/>
  <c r="AV159" i="571"/>
  <c r="AQ159" i="571"/>
  <c r="AQ177" i="571" s="1"/>
  <c r="AQ158" i="571"/>
  <c r="AQ162" i="571" s="1"/>
  <c r="AG158" i="571"/>
  <c r="AG159" i="571"/>
  <c r="AL177" i="571" s="1"/>
  <c r="AB159" i="571"/>
  <c r="AB158" i="571"/>
  <c r="AB176" i="571" s="1"/>
  <c r="AB174" i="571" s="1"/>
  <c r="AB173" i="571" s="1"/>
  <c r="W162" i="571"/>
  <c r="W161" i="571"/>
  <c r="CT49" i="617"/>
  <c r="CT218" i="571"/>
  <c r="CT46" i="617" s="1"/>
  <c r="CO49" i="617"/>
  <c r="CO218" i="571"/>
  <c r="CU47" i="617"/>
  <c r="CU218" i="571"/>
  <c r="CU46" i="617" s="1"/>
  <c r="CW181" i="571"/>
  <c r="CR182" i="571"/>
  <c r="CV182" i="571" s="1"/>
  <c r="CV181" i="571"/>
  <c r="CF148" i="571"/>
  <c r="CA83" i="571"/>
  <c r="CA88" i="571" s="1"/>
  <c r="CA82" i="571"/>
  <c r="CB82" i="571" s="1"/>
  <c r="CF147" i="571"/>
  <c r="CI71" i="571"/>
  <c r="CN137" i="571"/>
  <c r="CN71" i="571" s="1"/>
  <c r="DI128" i="571"/>
  <c r="DI137" i="571" s="1"/>
  <c r="DD137" i="571"/>
  <c r="BU128" i="571"/>
  <c r="BT142" i="571"/>
  <c r="CY56" i="571"/>
  <c r="DA42" i="571"/>
  <c r="DA45" i="571" s="1"/>
  <c r="CT56" i="571"/>
  <c r="CT61" i="571" s="1"/>
  <c r="CV42" i="571"/>
  <c r="CV45" i="571" s="1"/>
  <c r="CT43" i="571"/>
  <c r="CQ42" i="571"/>
  <c r="CQ45" i="571" s="1"/>
  <c r="CO56" i="571"/>
  <c r="CO43" i="571"/>
  <c r="CJ56" i="571"/>
  <c r="CJ44" i="571"/>
  <c r="CL42" i="571"/>
  <c r="CL45" i="571" s="1"/>
  <c r="CL48" i="617" s="1"/>
  <c r="CE56" i="571"/>
  <c r="CG42" i="571"/>
  <c r="CG45" i="571" s="1"/>
  <c r="CG48" i="617" s="1"/>
  <c r="CE43" i="571"/>
  <c r="CE71" i="571" s="1"/>
  <c r="DD40" i="571"/>
  <c r="DC32" i="571"/>
  <c r="CN64" i="571"/>
  <c r="CN37" i="571"/>
  <c r="CQ36" i="571"/>
  <c r="CQ48" i="571" s="1"/>
  <c r="CQ69" i="617" s="1"/>
  <c r="CN82" i="571"/>
  <c r="CN87" i="571" s="1"/>
  <c r="CN111" i="571" s="1"/>
  <c r="CI37" i="571"/>
  <c r="CL36" i="571"/>
  <c r="CL48" i="571" s="1"/>
  <c r="CI64" i="571"/>
  <c r="CI77" i="571" s="1"/>
  <c r="CD64" i="571"/>
  <c r="CD65" i="571" s="1"/>
  <c r="CD78" i="571" s="1"/>
  <c r="CD37" i="571"/>
  <c r="CD83" i="571" s="1"/>
  <c r="CD88" i="571" s="1"/>
  <c r="CG36" i="571"/>
  <c r="CG48" i="571" s="1"/>
  <c r="CG69" i="617" s="1"/>
  <c r="BX37" i="571"/>
  <c r="BX64" i="571"/>
  <c r="CV68" i="617"/>
  <c r="CV60" i="571"/>
  <c r="CV35" i="571"/>
  <c r="CL32" i="571"/>
  <c r="CL159" i="25" s="1"/>
  <c r="CL160" i="25" s="1"/>
  <c r="CK39" i="571"/>
  <c r="CL39" i="571" s="1"/>
  <c r="CF59" i="571"/>
  <c r="CF39" i="571"/>
  <c r="CF33" i="571"/>
  <c r="CB20" i="571"/>
  <c r="CG22" i="571"/>
  <c r="CB22" i="571"/>
  <c r="CV166" i="25"/>
  <c r="CV151" i="25"/>
  <c r="CV13" i="571"/>
  <c r="CV57" i="571"/>
  <c r="CB60" i="571"/>
  <c r="CG57" i="571"/>
  <c r="CB59" i="571"/>
  <c r="CB151" i="25"/>
  <c r="CB152" i="25" s="1"/>
  <c r="CB13" i="571"/>
  <c r="CG59" i="571"/>
  <c r="AI17" i="571"/>
  <c r="AI13" i="571"/>
  <c r="AN13" i="571"/>
  <c r="BH25" i="25"/>
  <c r="BH145" i="25"/>
  <c r="Y397" i="25"/>
  <c r="AX397" i="25"/>
  <c r="G280" i="25"/>
  <c r="G45" i="25"/>
  <c r="H92" i="25" s="1"/>
  <c r="AI341" i="25"/>
  <c r="AI135" i="25"/>
  <c r="AI136" i="25" s="1"/>
  <c r="BC341" i="25"/>
  <c r="BC135" i="25"/>
  <c r="BC136" i="25" s="1"/>
  <c r="BC97" i="25" s="1"/>
  <c r="J147" i="25"/>
  <c r="BX151" i="25"/>
  <c r="BY151" i="25" s="1"/>
  <c r="CA151" i="25"/>
  <c r="CF151" i="25" s="1"/>
  <c r="CF158" i="25" s="1"/>
  <c r="CF159" i="25" s="1"/>
  <c r="CF160" i="25" s="1"/>
  <c r="DB335" i="25"/>
  <c r="DF335" i="25"/>
  <c r="CG216" i="25"/>
  <c r="CG311" i="25"/>
  <c r="CX312" i="25"/>
  <c r="CX216" i="25"/>
  <c r="CX241" i="25" s="1"/>
  <c r="CX309" i="25"/>
  <c r="CX310" i="25" s="1"/>
  <c r="CX311" i="25"/>
  <c r="AX273" i="25"/>
  <c r="DA346" i="25"/>
  <c r="Y307" i="25"/>
  <c r="Y308" i="25" s="1"/>
  <c r="CR335" i="25"/>
  <c r="J311" i="25"/>
  <c r="J312" i="25"/>
  <c r="AN309" i="25"/>
  <c r="AN310" i="25" s="1"/>
  <c r="AN230" i="25"/>
  <c r="BT309" i="25"/>
  <c r="BT310" i="25" s="1"/>
  <c r="BT230" i="25"/>
  <c r="BT239" i="25" s="1"/>
  <c r="BT312" i="25"/>
  <c r="CY230" i="25"/>
  <c r="CY309" i="25"/>
  <c r="CY310" i="25" s="1"/>
  <c r="CY312" i="25"/>
  <c r="CC142" i="25"/>
  <c r="CC143" i="25" s="1"/>
  <c r="O230" i="25"/>
  <c r="O239" i="25" s="1"/>
  <c r="BX254" i="25"/>
  <c r="BX238" i="25"/>
  <c r="CF238" i="25"/>
  <c r="CF254" i="25"/>
  <c r="CD254" i="25"/>
  <c r="CD238" i="25"/>
  <c r="CD251" i="25" s="1"/>
  <c r="CM238" i="25"/>
  <c r="CM254" i="25"/>
  <c r="CG251" i="25"/>
  <c r="CG315" i="25"/>
  <c r="BC251" i="25"/>
  <c r="BC315" i="25"/>
  <c r="CH277" i="25"/>
  <c r="F277" i="25"/>
  <c r="BR272" i="25"/>
  <c r="BR274" i="25" s="1"/>
  <c r="BQ78" i="25"/>
  <c r="CO361" i="25"/>
  <c r="CP361" i="25"/>
  <c r="CQ361" i="25"/>
  <c r="CY360" i="25"/>
  <c r="CZ360" i="25" s="1"/>
  <c r="CE363" i="25"/>
  <c r="CT364" i="25"/>
  <c r="CS369" i="25"/>
  <c r="CS282" i="25" s="1"/>
  <c r="CT368" i="25"/>
  <c r="DE79" i="611"/>
  <c r="DG75" i="611"/>
  <c r="DG135" i="611"/>
  <c r="DD94" i="617"/>
  <c r="DN73" i="571"/>
  <c r="DN139" i="571" s="1"/>
  <c r="DI130" i="571"/>
  <c r="DK12" i="607"/>
  <c r="DX42" i="613"/>
  <c r="EC42" i="613" s="1"/>
  <c r="DS58" i="613"/>
  <c r="DM128" i="617"/>
  <c r="DS13" i="613"/>
  <c r="DN258" i="25"/>
  <c r="DK238" i="25"/>
  <c r="DK251" i="25" s="1"/>
  <c r="CB167" i="25"/>
  <c r="CG169" i="25"/>
  <c r="CG167" i="25"/>
  <c r="CG165" i="25"/>
  <c r="CG163" i="25" s="1"/>
  <c r="CG178" i="25" s="1"/>
  <c r="CG181" i="25" s="1"/>
  <c r="U22" i="25"/>
  <c r="U58" i="25"/>
  <c r="U60" i="25" s="1"/>
  <c r="V118" i="25"/>
  <c r="CZ127" i="25"/>
  <c r="CY127" i="25"/>
  <c r="CY108" i="25"/>
  <c r="CY137" i="25"/>
  <c r="BZ87" i="571"/>
  <c r="CL43" i="571"/>
  <c r="AO161" i="571"/>
  <c r="AO162" i="571"/>
  <c r="CK358" i="25"/>
  <c r="CL358" i="25"/>
  <c r="R158" i="571"/>
  <c r="R162" i="571" s="1"/>
  <c r="CY218" i="571"/>
  <c r="CY46" i="617" s="1"/>
  <c r="CL37" i="571"/>
  <c r="CH83" i="571"/>
  <c r="CK382" i="25"/>
  <c r="CL382" i="25" s="1"/>
  <c r="CL294" i="25" s="1"/>
  <c r="W159" i="571"/>
  <c r="W177" i="571" s="1"/>
  <c r="DB30" i="25"/>
  <c r="DB31" i="25"/>
  <c r="DB356" i="25" s="1"/>
  <c r="DB370" i="25" s="1"/>
  <c r="DC60" i="25"/>
  <c r="DF58" i="25"/>
  <c r="CP363" i="25"/>
  <c r="CQ363" i="25" s="1"/>
  <c r="DC181" i="571"/>
  <c r="CX182" i="571"/>
  <c r="AA135" i="25"/>
  <c r="AA136" i="25" s="1"/>
  <c r="AA97" i="25" s="1"/>
  <c r="AF109" i="25" s="1"/>
  <c r="AA11" i="25"/>
  <c r="AB118" i="25" s="1"/>
  <c r="AS403" i="25"/>
  <c r="BC82" i="25"/>
  <c r="AX105" i="25"/>
  <c r="AX135" i="25"/>
  <c r="AX136" i="25" s="1"/>
  <c r="AX97" i="25" s="1"/>
  <c r="AX11" i="25"/>
  <c r="AX402" i="25"/>
  <c r="AX318" i="25" s="1"/>
  <c r="AX98" i="25"/>
  <c r="BH403" i="25"/>
  <c r="BR403" i="25"/>
  <c r="BR327" i="25" s="1"/>
  <c r="BR326" i="25" s="1"/>
  <c r="BR331" i="25" s="1"/>
  <c r="CL327" i="25"/>
  <c r="CL347" i="25"/>
  <c r="CL338" i="25"/>
  <c r="CI96" i="25"/>
  <c r="CI58" i="25"/>
  <c r="CI22" i="25"/>
  <c r="G19" i="559" s="1"/>
  <c r="G53" i="559" s="1"/>
  <c r="CN58" i="25"/>
  <c r="CN83" i="25"/>
  <c r="CS83" i="25"/>
  <c r="CS22" i="25"/>
  <c r="CS88" i="25" s="1"/>
  <c r="CS58" i="25"/>
  <c r="CS96" i="25"/>
  <c r="CX108" i="25" s="1"/>
  <c r="CX58" i="25"/>
  <c r="CX60" i="25" s="1"/>
  <c r="DC83" i="25"/>
  <c r="CX83" i="25"/>
  <c r="CX22" i="25"/>
  <c r="CB404" i="25"/>
  <c r="CB348" i="25" s="1"/>
  <c r="CG85" i="25"/>
  <c r="DA85" i="25"/>
  <c r="CV404" i="25"/>
  <c r="CV348" i="25" s="1"/>
  <c r="AX407" i="25"/>
  <c r="AX25" i="25"/>
  <c r="AX141" i="25"/>
  <c r="AX143" i="25" s="1"/>
  <c r="CD145" i="25"/>
  <c r="CE24" i="25"/>
  <c r="CF24" i="25" s="1"/>
  <c r="CG24" i="25" s="1"/>
  <c r="CG145" i="25" s="1"/>
  <c r="BN103" i="25"/>
  <c r="BN30" i="25"/>
  <c r="BN79" i="25"/>
  <c r="BN100" i="25" s="1"/>
  <c r="BS79" i="25"/>
  <c r="BS261" i="25" s="1"/>
  <c r="O407" i="25"/>
  <c r="O141" i="25"/>
  <c r="O143" i="25" s="1"/>
  <c r="O25" i="25"/>
  <c r="AS141" i="25"/>
  <c r="AS143" i="25" s="1"/>
  <c r="AS407" i="25"/>
  <c r="CO193" i="571"/>
  <c r="CO60" i="617" s="1"/>
  <c r="CO60" i="25"/>
  <c r="CO97" i="25" s="1"/>
  <c r="L67" i="25"/>
  <c r="L76" i="25"/>
  <c r="CM138" i="25"/>
  <c r="CH97" i="25"/>
  <c r="CI128" i="25" s="1"/>
  <c r="DC65" i="617"/>
  <c r="DH77" i="617" s="1"/>
  <c r="DC212" i="571"/>
  <c r="DE94" i="617"/>
  <c r="DE60" i="607"/>
  <c r="DI39" i="613"/>
  <c r="DC49" i="613"/>
  <c r="DF254" i="25"/>
  <c r="CX276" i="25"/>
  <c r="CJ60" i="25"/>
  <c r="CJ11" i="617" s="1"/>
  <c r="X128" i="25"/>
  <c r="BU177" i="571"/>
  <c r="CU129" i="25"/>
  <c r="BV143" i="25"/>
  <c r="CN143" i="25"/>
  <c r="DB277" i="25"/>
  <c r="CS308" i="25"/>
  <c r="Y348" i="25"/>
  <c r="EB47" i="611"/>
  <c r="DJ176" i="571"/>
  <c r="DJ174" i="571" s="1"/>
  <c r="DX41" i="613"/>
  <c r="EC41" i="613" s="1"/>
  <c r="EC18" i="613" s="1"/>
  <c r="EC35" i="613" s="1"/>
  <c r="DS57" i="613"/>
  <c r="DM28" i="25"/>
  <c r="DM31" i="25" s="1"/>
  <c r="DM216" i="25"/>
  <c r="DW42" i="613"/>
  <c r="EB42" i="613" s="1"/>
  <c r="DR58" i="613"/>
  <c r="DM54" i="607"/>
  <c r="DD61" i="617"/>
  <c r="H53" i="559"/>
  <c r="CS111" i="571"/>
  <c r="BG176" i="571"/>
  <c r="BG174" i="571" s="1"/>
  <c r="BG173" i="571" s="1"/>
  <c r="EB89" i="611"/>
  <c r="AH88" i="25"/>
  <c r="S83" i="25"/>
  <c r="H316" i="25"/>
  <c r="CN276" i="25"/>
  <c r="DD239" i="25"/>
  <c r="BM143" i="25"/>
  <c r="CK108" i="25"/>
  <c r="BC29" i="25"/>
  <c r="AZ397" i="25"/>
  <c r="CY298" i="25"/>
  <c r="CZ66" i="25"/>
  <c r="CZ99" i="25" s="1"/>
  <c r="DB129" i="25" s="1"/>
  <c r="CD143" i="25"/>
  <c r="CP143" i="25"/>
  <c r="CY143" i="25"/>
  <c r="G147" i="25"/>
  <c r="BC178" i="25"/>
  <c r="CR338" i="25"/>
  <c r="CW318" i="25"/>
  <c r="CA225" i="25"/>
  <c r="CA230" i="25" s="1"/>
  <c r="DA307" i="25"/>
  <c r="G230" i="25"/>
  <c r="G239" i="25" s="1"/>
  <c r="G241" i="25" s="1"/>
  <c r="AD312" i="25"/>
  <c r="BR230" i="25"/>
  <c r="DA142" i="25"/>
  <c r="BV254" i="25"/>
  <c r="BS274" i="25"/>
  <c r="CH276" i="25"/>
  <c r="CM274" i="25"/>
  <c r="BC277" i="25"/>
  <c r="DQ302" i="25"/>
  <c r="DQ286" i="25" s="1"/>
  <c r="DQ287" i="25" s="1"/>
  <c r="DQ304" i="25"/>
  <c r="DY41" i="613"/>
  <c r="DT57" i="613"/>
  <c r="DJ20" i="613"/>
  <c r="DJ25" i="613" s="1"/>
  <c r="DJ36" i="613" s="1"/>
  <c r="DO33" i="613"/>
  <c r="DJ32" i="613"/>
  <c r="DI34" i="613"/>
  <c r="DP39" i="25"/>
  <c r="DJ31" i="607"/>
  <c r="EC156" i="611"/>
  <c r="ED152" i="611"/>
  <c r="ED156" i="611" s="1"/>
  <c r="CA258" i="25"/>
  <c r="DF339" i="25"/>
  <c r="DE189" i="25"/>
  <c r="BY89" i="571"/>
  <c r="CJ258" i="25"/>
  <c r="CJ253" i="25" s="1"/>
  <c r="CJ252" i="25" s="1"/>
  <c r="CJ259" i="25" s="1"/>
  <c r="CV274" i="25"/>
  <c r="F310" i="25"/>
  <c r="AD159" i="571"/>
  <c r="DF357" i="25"/>
  <c r="CB36" i="571"/>
  <c r="AE129" i="25"/>
  <c r="CH129" i="25"/>
  <c r="CS129" i="25"/>
  <c r="G110" i="25"/>
  <c r="BU143" i="25"/>
  <c r="CM143" i="25"/>
  <c r="I147" i="25"/>
  <c r="CX145" i="25"/>
  <c r="CX24" i="25" s="1"/>
  <c r="CX23" i="25" s="1"/>
  <c r="AB153" i="25"/>
  <c r="AG153" i="25"/>
  <c r="BQ167" i="25"/>
  <c r="CW319" i="25"/>
  <c r="AN311" i="25"/>
  <c r="AS274" i="25"/>
  <c r="CQ225" i="25"/>
  <c r="CQ230" i="25" s="1"/>
  <c r="BC230" i="25"/>
  <c r="BC239" i="25" s="1"/>
  <c r="DF12" i="607"/>
  <c r="DI239" i="25"/>
  <c r="DJ41" i="613"/>
  <c r="DU14" i="613"/>
  <c r="DU13" i="613" s="1"/>
  <c r="DX14" i="613"/>
  <c r="EC39" i="613"/>
  <c r="EC14" i="613" s="1"/>
  <c r="BH44" i="25"/>
  <c r="BW44" i="25"/>
  <c r="DU110" i="617"/>
  <c r="DV14" i="613"/>
  <c r="DV110" i="617"/>
  <c r="EA110" i="617"/>
  <c r="EA18" i="613"/>
  <c r="EA35" i="613" s="1"/>
  <c r="EA14" i="613"/>
  <c r="EA13" i="613" s="1"/>
  <c r="CV69" i="617"/>
  <c r="CV49" i="571"/>
  <c r="DD20" i="571"/>
  <c r="DD17" i="571"/>
  <c r="CW182" i="571"/>
  <c r="DB181" i="571"/>
  <c r="CG56" i="571"/>
  <c r="CG61" i="571" s="1"/>
  <c r="CE61" i="571"/>
  <c r="DL159" i="571"/>
  <c r="DQ177" i="571" s="1"/>
  <c r="DQ176" i="571"/>
  <c r="DQ174" i="571" s="1"/>
  <c r="DL52" i="617"/>
  <c r="DL73" i="617" s="1"/>
  <c r="DF48" i="617"/>
  <c r="AD78" i="559"/>
  <c r="AD27" i="559"/>
  <c r="DA49" i="571"/>
  <c r="DH128" i="571"/>
  <c r="DC137" i="571"/>
  <c r="CC83" i="571"/>
  <c r="CG37" i="571"/>
  <c r="DC8" i="571"/>
  <c r="X14" i="559"/>
  <c r="CV37" i="571"/>
  <c r="BZ83" i="571"/>
  <c r="CL35" i="571"/>
  <c r="DC235" i="571"/>
  <c r="DL66" i="571"/>
  <c r="DQ68" i="571" s="1"/>
  <c r="DQ73" i="571"/>
  <c r="DQ139" i="571" s="1"/>
  <c r="DF60" i="571"/>
  <c r="CS82" i="571"/>
  <c r="CS77" i="571" s="1"/>
  <c r="CY71" i="571"/>
  <c r="CG64" i="571"/>
  <c r="CG128" i="571" s="1"/>
  <c r="CR61" i="571"/>
  <c r="DJ159" i="571"/>
  <c r="DO177" i="571" s="1"/>
  <c r="DM66" i="571"/>
  <c r="DK45" i="571"/>
  <c r="DK48" i="617" s="1"/>
  <c r="CN142" i="571"/>
  <c r="CO84" i="571"/>
  <c r="V14" i="559"/>
  <c r="S13" i="559"/>
  <c r="CV64" i="571"/>
  <c r="CV128" i="571" s="1"/>
  <c r="DH53" i="571"/>
  <c r="DE362" i="25"/>
  <c r="DF362" i="25" s="1"/>
  <c r="CL86" i="25"/>
  <c r="J39" i="559" s="1"/>
  <c r="AX327" i="25"/>
  <c r="AI336" i="25"/>
  <c r="W63" i="559"/>
  <c r="DC84" i="25"/>
  <c r="DF17" i="617"/>
  <c r="DC97" i="25"/>
  <c r="CI325" i="25"/>
  <c r="CI330" i="25" s="1"/>
  <c r="CI332" i="25" s="1"/>
  <c r="BV374" i="25"/>
  <c r="CK251" i="25"/>
  <c r="CK315" i="25"/>
  <c r="AY83" i="25"/>
  <c r="AT22" i="25"/>
  <c r="AT83" i="25"/>
  <c r="AT96" i="25"/>
  <c r="AU118" i="25"/>
  <c r="DI308" i="25"/>
  <c r="DI323" i="25"/>
  <c r="DI322" i="25" s="1"/>
  <c r="DI329" i="25" s="1"/>
  <c r="DP142" i="25"/>
  <c r="N119" i="559"/>
  <c r="BP109" i="25"/>
  <c r="DF336" i="25"/>
  <c r="AX347" i="25"/>
  <c r="AO28" i="25"/>
  <c r="BQ128" i="25"/>
  <c r="AI338" i="25"/>
  <c r="N52" i="559"/>
  <c r="N59" i="559" s="1"/>
  <c r="BR325" i="25"/>
  <c r="BR330" i="25" s="1"/>
  <c r="CR325" i="25"/>
  <c r="CR330" i="25" s="1"/>
  <c r="CR13" i="617"/>
  <c r="CR99" i="25"/>
  <c r="CW110" i="25" s="1"/>
  <c r="CK52" i="617"/>
  <c r="CK73" i="617" s="1"/>
  <c r="CP176" i="571"/>
  <c r="CP174" i="571" s="1"/>
  <c r="CP173" i="571" s="1"/>
  <c r="CO78" i="25"/>
  <c r="CP358" i="25"/>
  <c r="CP78" i="25" s="1"/>
  <c r="CP79" i="25" s="1"/>
  <c r="CP100" i="25" s="1"/>
  <c r="BV380" i="25"/>
  <c r="BV286" i="25" s="1"/>
  <c r="BU286" i="25"/>
  <c r="L28" i="25"/>
  <c r="L30" i="25" s="1"/>
  <c r="L121" i="25"/>
  <c r="AB59" i="559"/>
  <c r="AB63" i="559"/>
  <c r="DK254" i="25"/>
  <c r="DK190" i="571"/>
  <c r="DK402" i="25"/>
  <c r="DK334" i="25" s="1"/>
  <c r="DK11" i="25"/>
  <c r="DI346" i="25"/>
  <c r="DG334" i="25"/>
  <c r="DW193" i="571"/>
  <c r="DW60" i="617" s="1"/>
  <c r="CG99" i="25"/>
  <c r="AI347" i="25"/>
  <c r="DC118" i="25"/>
  <c r="BF161" i="571"/>
  <c r="BF162" i="571"/>
  <c r="CJ103" i="25"/>
  <c r="CJ405" i="25" s="1"/>
  <c r="CJ31" i="25"/>
  <c r="AU33" i="25"/>
  <c r="AU103" i="25"/>
  <c r="U118" i="25"/>
  <c r="U83" i="25"/>
  <c r="U96" i="25"/>
  <c r="AO128" i="25"/>
  <c r="AM128" i="25"/>
  <c r="BC345" i="25"/>
  <c r="BC323" i="25"/>
  <c r="BC322" i="25" s="1"/>
  <c r="BC329" i="25" s="1"/>
  <c r="BV101" i="25"/>
  <c r="U101" i="25"/>
  <c r="V131" i="25" s="1"/>
  <c r="CI101" i="25"/>
  <c r="CI28" i="25"/>
  <c r="BK151" i="25"/>
  <c r="BP13" i="571"/>
  <c r="M63" i="559"/>
  <c r="M52" i="559"/>
  <c r="M59" i="559" s="1"/>
  <c r="O316" i="25"/>
  <c r="AX251" i="25"/>
  <c r="O311" i="25"/>
  <c r="Z83" i="25"/>
  <c r="DB334" i="25"/>
  <c r="CR319" i="25"/>
  <c r="BZ274" i="25"/>
  <c r="CX300" i="25"/>
  <c r="AD309" i="25"/>
  <c r="AD310" i="25" s="1"/>
  <c r="AI110" i="25"/>
  <c r="BM105" i="25"/>
  <c r="BM402" i="25"/>
  <c r="BM334" i="25" s="1"/>
  <c r="BM135" i="25"/>
  <c r="BM136" i="25" s="1"/>
  <c r="BM97" i="25" s="1"/>
  <c r="BW11" i="25"/>
  <c r="CB82" i="25"/>
  <c r="CG402" i="25"/>
  <c r="CG318" i="25" s="1"/>
  <c r="CG135" i="25"/>
  <c r="CG136" i="25" s="1"/>
  <c r="O16" i="559"/>
  <c r="O52" i="559" s="1"/>
  <c r="CQ135" i="25"/>
  <c r="CQ136" i="25" s="1"/>
  <c r="CQ11" i="25"/>
  <c r="CQ96" i="25" s="1"/>
  <c r="CQ137" i="25" s="1"/>
  <c r="AW22" i="25"/>
  <c r="AY118" i="25"/>
  <c r="AW96" i="25"/>
  <c r="AY127" i="25" s="1"/>
  <c r="BB96" i="25"/>
  <c r="BG108" i="25" s="1"/>
  <c r="BB58" i="25"/>
  <c r="BB60" i="25" s="1"/>
  <c r="BB76" i="25" s="1"/>
  <c r="BB22" i="25"/>
  <c r="BB83" i="25"/>
  <c r="BD118" i="25"/>
  <c r="BL96" i="25"/>
  <c r="BN118" i="25"/>
  <c r="BQ22" i="25"/>
  <c r="BQ96" i="25"/>
  <c r="BS127" i="25" s="1"/>
  <c r="BQ161" i="571"/>
  <c r="BQ58" i="25"/>
  <c r="BQ60" i="25" s="1"/>
  <c r="BQ76" i="25" s="1"/>
  <c r="BV58" i="25"/>
  <c r="BV60" i="25" s="1"/>
  <c r="BV76" i="25" s="1"/>
  <c r="BV102" i="25" s="1"/>
  <c r="BX118" i="25"/>
  <c r="CE96" i="25"/>
  <c r="CF118" i="25"/>
  <c r="BR85" i="25"/>
  <c r="BM98" i="25"/>
  <c r="G88" i="25"/>
  <c r="H88" i="25"/>
  <c r="G101" i="25"/>
  <c r="H112" i="25" s="1"/>
  <c r="CH24" i="25"/>
  <c r="CH145" i="25" s="1"/>
  <c r="CH141" i="25"/>
  <c r="CH143" i="25" s="1"/>
  <c r="BU366" i="25"/>
  <c r="CS271" i="25"/>
  <c r="CT372" i="25"/>
  <c r="CO376" i="25"/>
  <c r="BY294" i="25"/>
  <c r="BY387" i="25"/>
  <c r="BZ382" i="25"/>
  <c r="CD286" i="25"/>
  <c r="CD387" i="25"/>
  <c r="CE380" i="25"/>
  <c r="CJ381" i="25"/>
  <c r="CI387" i="25"/>
  <c r="CI240" i="25"/>
  <c r="F327" i="25"/>
  <c r="F338" i="25"/>
  <c r="F320" i="25"/>
  <c r="F336" i="25"/>
  <c r="J336" i="25"/>
  <c r="J320" i="25"/>
  <c r="J338" i="25"/>
  <c r="CD318" i="25"/>
  <c r="CD346" i="25"/>
  <c r="CD323" i="25"/>
  <c r="CD322" i="25" s="1"/>
  <c r="CD329" i="25" s="1"/>
  <c r="CD334" i="25"/>
  <c r="BT338" i="25"/>
  <c r="BT320" i="25"/>
  <c r="BT336" i="25"/>
  <c r="BT319" i="25"/>
  <c r="BY338" i="25"/>
  <c r="BY320" i="25"/>
  <c r="BY319" i="25"/>
  <c r="BY347" i="25"/>
  <c r="BY327" i="25"/>
  <c r="CI319" i="25"/>
  <c r="CI338" i="25"/>
  <c r="CI320" i="25"/>
  <c r="CN327" i="25"/>
  <c r="CN320" i="25"/>
  <c r="DD363" i="25"/>
  <c r="DD369" i="25" s="1"/>
  <c r="DD282" i="25" s="1"/>
  <c r="DC369" i="25"/>
  <c r="DC282" i="25" s="1"/>
  <c r="I247" i="25"/>
  <c r="I206" i="25"/>
  <c r="CA335" i="25"/>
  <c r="CA339" i="25"/>
  <c r="CU216" i="25"/>
  <c r="CU312" i="25"/>
  <c r="CZ309" i="25"/>
  <c r="CZ310" i="25" s="1"/>
  <c r="CZ311" i="25"/>
  <c r="CZ216" i="25"/>
  <c r="CZ312" i="25"/>
  <c r="BV335" i="25"/>
  <c r="AS230" i="25"/>
  <c r="AS239" i="25" s="1"/>
  <c r="CR239" i="25"/>
  <c r="CR251" i="25"/>
  <c r="DQ88" i="25"/>
  <c r="DL28" i="25"/>
  <c r="DL31" i="25" s="1"/>
  <c r="DQ90" i="25" s="1"/>
  <c r="F311" i="25"/>
  <c r="CQ335" i="25"/>
  <c r="CF339" i="25"/>
  <c r="DA247" i="25"/>
  <c r="BT311" i="25"/>
  <c r="BT276" i="25"/>
  <c r="AQ108" i="25"/>
  <c r="CW303" i="25"/>
  <c r="CV247" i="25"/>
  <c r="BV338" i="25"/>
  <c r="BJ66" i="25"/>
  <c r="BM62" i="25"/>
  <c r="BU110" i="25"/>
  <c r="DL101" i="25"/>
  <c r="F216" i="25"/>
  <c r="CQ307" i="25"/>
  <c r="CQ339" i="25"/>
  <c r="CA307" i="25"/>
  <c r="BT241" i="25"/>
  <c r="I348" i="25"/>
  <c r="CI274" i="25"/>
  <c r="DD60" i="25"/>
  <c r="BD101" i="25"/>
  <c r="BD28" i="25"/>
  <c r="BM397" i="25"/>
  <c r="CG397" i="25"/>
  <c r="G356" i="25"/>
  <c r="G290" i="25"/>
  <c r="G406" i="25"/>
  <c r="G313" i="25" s="1"/>
  <c r="G104" i="25"/>
  <c r="G113" i="25" s="1"/>
  <c r="G41" i="25"/>
  <c r="G90" i="25"/>
  <c r="CH297" i="25"/>
  <c r="AQ66" i="25"/>
  <c r="AS62" i="25"/>
  <c r="DJ60" i="25"/>
  <c r="F370" i="25"/>
  <c r="F289" i="25" s="1"/>
  <c r="F291" i="25" s="1"/>
  <c r="AU128" i="25"/>
  <c r="T147" i="25"/>
  <c r="BM230" i="25"/>
  <c r="BW300" i="25"/>
  <c r="BW303" i="25" s="1"/>
  <c r="DG239" i="25"/>
  <c r="CD277" i="25"/>
  <c r="CL239" i="25"/>
  <c r="CL241" i="25" s="1"/>
  <c r="CZ60" i="25"/>
  <c r="DB118" i="25" s="1"/>
  <c r="CF60" i="25"/>
  <c r="CU138" i="25"/>
  <c r="BT143" i="25"/>
  <c r="BY143" i="25"/>
  <c r="CI143" i="25"/>
  <c r="AD143" i="25"/>
  <c r="AN143" i="25"/>
  <c r="H147" i="25"/>
  <c r="AN152" i="25"/>
  <c r="DA206" i="25"/>
  <c r="DA216" i="25" s="1"/>
  <c r="G311" i="25"/>
  <c r="BU316" i="25"/>
  <c r="CW309" i="25"/>
  <c r="CW310" i="25" s="1"/>
  <c r="DB312" i="25"/>
  <c r="BV307" i="25"/>
  <c r="CV335" i="25"/>
  <c r="AI312" i="25"/>
  <c r="CG309" i="25"/>
  <c r="J347" i="25"/>
  <c r="AX230" i="25"/>
  <c r="AX239" i="25" s="1"/>
  <c r="CA254" i="25"/>
  <c r="CA253" i="25" s="1"/>
  <c r="CA252" i="25" s="1"/>
  <c r="CA259" i="25" s="1"/>
  <c r="CV254" i="25"/>
  <c r="CN308" i="25"/>
  <c r="DE60" i="25"/>
  <c r="CU239" i="25"/>
  <c r="AU177" i="571"/>
  <c r="F276" i="25"/>
  <c r="CA319" i="25"/>
  <c r="DG315" i="25"/>
  <c r="G109" i="25"/>
  <c r="DF283" i="25"/>
  <c r="DE271" i="25"/>
  <c r="DE277" i="25" s="1"/>
  <c r="R19" i="559"/>
  <c r="R66" i="559" s="1"/>
  <c r="AB188" i="25"/>
  <c r="AB189" i="25" s="1"/>
  <c r="CN88" i="25"/>
  <c r="V28" i="25"/>
  <c r="CO28" i="25"/>
  <c r="CO88" i="25"/>
  <c r="CO101" i="25"/>
  <c r="BV325" i="25"/>
  <c r="BV330" i="25" s="1"/>
  <c r="BV326" i="25"/>
  <c r="BV331" i="25" s="1"/>
  <c r="DD127" i="25"/>
  <c r="DD108" i="25"/>
  <c r="CF326" i="25"/>
  <c r="CF331" i="25" s="1"/>
  <c r="CF325" i="25"/>
  <c r="CF330" i="25" s="1"/>
  <c r="CV216" i="25"/>
  <c r="CH68" i="25"/>
  <c r="CU272" i="25"/>
  <c r="CU78" i="25"/>
  <c r="CU281" i="25"/>
  <c r="AC28" i="25"/>
  <c r="AC101" i="25"/>
  <c r="DA283" i="25"/>
  <c r="BU387" i="25"/>
  <c r="BV379" i="25"/>
  <c r="BV387" i="25" s="1"/>
  <c r="BV372" i="25"/>
  <c r="BU271" i="25"/>
  <c r="DE88" i="25"/>
  <c r="CZ199" i="571"/>
  <c r="DB190" i="25"/>
  <c r="DB191" i="25" s="1"/>
  <c r="X19" i="559"/>
  <c r="CZ28" i="25"/>
  <c r="DC190" i="25"/>
  <c r="DC191" i="25" s="1"/>
  <c r="CK28" i="25"/>
  <c r="CK88" i="25"/>
  <c r="I19" i="559"/>
  <c r="I53" i="559" s="1"/>
  <c r="CK101" i="25"/>
  <c r="BI127" i="25"/>
  <c r="BI108" i="25"/>
  <c r="BI101" i="25"/>
  <c r="BI121" i="25"/>
  <c r="CG22" i="25"/>
  <c r="CG28" i="25" s="1"/>
  <c r="CG96" i="25"/>
  <c r="CG137" i="25" s="1"/>
  <c r="AF104" i="25"/>
  <c r="AF41" i="25"/>
  <c r="AF46" i="25" s="1"/>
  <c r="AF43" i="25"/>
  <c r="AF45" i="25" s="1"/>
  <c r="CY88" i="25"/>
  <c r="CT199" i="571"/>
  <c r="CT88" i="25"/>
  <c r="CT101" i="25"/>
  <c r="CN101" i="25"/>
  <c r="CN28" i="25"/>
  <c r="L19" i="559"/>
  <c r="Z22" i="25"/>
  <c r="AA188" i="25"/>
  <c r="AA189" i="25" s="1"/>
  <c r="Z58" i="25"/>
  <c r="AC188" i="25"/>
  <c r="AC189" i="25" s="1"/>
  <c r="Z118" i="25"/>
  <c r="Z96" i="25"/>
  <c r="AA118" i="25"/>
  <c r="DA336" i="25"/>
  <c r="DA338" i="25"/>
  <c r="DA319" i="25"/>
  <c r="CL336" i="25"/>
  <c r="CL319" i="25"/>
  <c r="U66" i="25"/>
  <c r="U67" i="25" s="1"/>
  <c r="Y62" i="25"/>
  <c r="CQ62" i="25"/>
  <c r="CN66" i="25"/>
  <c r="CT127" i="25"/>
  <c r="CE101" i="25"/>
  <c r="CE28" i="25"/>
  <c r="CJ88" i="25"/>
  <c r="V188" i="25"/>
  <c r="V189" i="25" s="1"/>
  <c r="S188" i="25"/>
  <c r="S189" i="25" s="1"/>
  <c r="W188" i="25"/>
  <c r="W189" i="25" s="1"/>
  <c r="U188" i="25"/>
  <c r="U189" i="25" s="1"/>
  <c r="S118" i="25"/>
  <c r="BH239" i="25"/>
  <c r="DD78" i="25"/>
  <c r="DD272" i="25"/>
  <c r="DD281" i="25"/>
  <c r="CJ78" i="25"/>
  <c r="CJ281" i="25"/>
  <c r="AE58" i="25"/>
  <c r="AE22" i="25"/>
  <c r="AE83" i="25"/>
  <c r="AE96" i="25"/>
  <c r="AF118" i="25"/>
  <c r="DB14" i="617"/>
  <c r="Z126" i="559"/>
  <c r="Z48" i="559" s="1"/>
  <c r="AL22" i="25"/>
  <c r="AL58" i="25"/>
  <c r="AL60" i="25" s="1"/>
  <c r="AL76" i="25" s="1"/>
  <c r="AQ83" i="25"/>
  <c r="AN312" i="25"/>
  <c r="BV225" i="25"/>
  <c r="BV230" i="25" s="1"/>
  <c r="BU309" i="25"/>
  <c r="BU310" i="25" s="1"/>
  <c r="CP233" i="25"/>
  <c r="CQ233" i="25" s="1"/>
  <c r="BU312" i="25"/>
  <c r="CW312" i="25"/>
  <c r="G312" i="25"/>
  <c r="CW335" i="25"/>
  <c r="J230" i="25"/>
  <c r="J239" i="25" s="1"/>
  <c r="J241" i="25" s="1"/>
  <c r="DD387" i="25"/>
  <c r="CG230" i="25"/>
  <c r="CG239" i="25" s="1"/>
  <c r="CG241" i="25" s="1"/>
  <c r="AN216" i="25"/>
  <c r="CS239" i="25"/>
  <c r="DC387" i="25"/>
  <c r="DB309" i="25"/>
  <c r="DB310" i="25" s="1"/>
  <c r="AF60" i="25"/>
  <c r="AF76" i="25" s="1"/>
  <c r="AU121" i="25"/>
  <c r="AN239" i="25"/>
  <c r="BU311" i="25"/>
  <c r="DA335" i="25"/>
  <c r="G309" i="25"/>
  <c r="G310" i="25" s="1"/>
  <c r="AA153" i="25"/>
  <c r="Z176" i="571"/>
  <c r="Z174" i="571" s="1"/>
  <c r="Z173" i="571" s="1"/>
  <c r="DB318" i="25"/>
  <c r="CW338" i="25"/>
  <c r="AD135" i="25"/>
  <c r="AD136" i="25" s="1"/>
  <c r="DB216" i="25"/>
  <c r="DC316" i="25" s="1"/>
  <c r="S110" i="25"/>
  <c r="S129" i="25"/>
  <c r="X110" i="25"/>
  <c r="AC110" i="25"/>
  <c r="AM110" i="25"/>
  <c r="AO129" i="25"/>
  <c r="AV110" i="25"/>
  <c r="AV129" i="25"/>
  <c r="BK110" i="25"/>
  <c r="BP110" i="25"/>
  <c r="BP129" i="25"/>
  <c r="BU129" i="25"/>
  <c r="BV129" i="25"/>
  <c r="DB274" i="25"/>
  <c r="DB276" i="25"/>
  <c r="CJ296" i="25"/>
  <c r="CK294" i="25"/>
  <c r="CK296" i="25" s="1"/>
  <c r="CW311" i="25"/>
  <c r="CW216" i="25"/>
  <c r="T307" i="25"/>
  <c r="T225" i="25"/>
  <c r="T309" i="25" s="1"/>
  <c r="CW336" i="25"/>
  <c r="CW320" i="25"/>
  <c r="H309" i="25"/>
  <c r="H310" i="25" s="1"/>
  <c r="H311" i="25"/>
  <c r="AI309" i="25"/>
  <c r="AI310" i="25" s="1"/>
  <c r="AI311" i="25"/>
  <c r="AI230" i="25"/>
  <c r="AI239" i="25" s="1"/>
  <c r="BS230" i="25"/>
  <c r="BS239" i="25" s="1"/>
  <c r="BS312" i="25"/>
  <c r="BS309" i="25"/>
  <c r="BS310" i="25" s="1"/>
  <c r="CV142" i="25"/>
  <c r="AD230" i="25"/>
  <c r="AD239" i="25" s="1"/>
  <c r="AD315" i="25"/>
  <c r="AN315" i="25"/>
  <c r="AN251" i="25"/>
  <c r="DG14" i="617"/>
  <c r="AE126" i="559"/>
  <c r="AE48" i="559" s="1"/>
  <c r="CV339" i="25"/>
  <c r="V60" i="25"/>
  <c r="CV307" i="25"/>
  <c r="DA339" i="25"/>
  <c r="CT232" i="25"/>
  <c r="CT238" i="25" s="1"/>
  <c r="CT315" i="25" s="1"/>
  <c r="CV225" i="25"/>
  <c r="CV309" i="25" s="1"/>
  <c r="CV238" i="25"/>
  <c r="DA225" i="25"/>
  <c r="DA311" i="25" s="1"/>
  <c r="CG312" i="25"/>
  <c r="DB311" i="25"/>
  <c r="H312" i="25"/>
  <c r="AS315" i="25"/>
  <c r="AS251" i="25"/>
  <c r="CQ147" i="25"/>
  <c r="CD281" i="25"/>
  <c r="CE358" i="25"/>
  <c r="AX272" i="25"/>
  <c r="BC359" i="25"/>
  <c r="CE361" i="25"/>
  <c r="CF361" i="25" s="1"/>
  <c r="CG361" i="25" s="1"/>
  <c r="CU367" i="25"/>
  <c r="CV367" i="25" s="1"/>
  <c r="BS282" i="25"/>
  <c r="BS370" i="25"/>
  <c r="BY286" i="25"/>
  <c r="BZ380" i="25"/>
  <c r="CD294" i="25"/>
  <c r="CE382" i="25"/>
  <c r="CN286" i="25"/>
  <c r="CO380" i="25"/>
  <c r="CP380" i="25" s="1"/>
  <c r="CP302" i="25" s="1"/>
  <c r="CP286" i="25" s="1"/>
  <c r="I277" i="25"/>
  <c r="I346" i="25"/>
  <c r="I334" i="25"/>
  <c r="CU323" i="25"/>
  <c r="CU322" i="25" s="1"/>
  <c r="CU329" i="25" s="1"/>
  <c r="CU346" i="25"/>
  <c r="CK320" i="25"/>
  <c r="CK347" i="25"/>
  <c r="BX108" i="25"/>
  <c r="AF110" i="25"/>
  <c r="AT110" i="25"/>
  <c r="AY110" i="25"/>
  <c r="BD110" i="25"/>
  <c r="BI110" i="25"/>
  <c r="BN110" i="25"/>
  <c r="BS110" i="25"/>
  <c r="DG108" i="25"/>
  <c r="BZ110" i="25"/>
  <c r="X153" i="25"/>
  <c r="AH153" i="25"/>
  <c r="DM60" i="25"/>
  <c r="DM84" i="25" s="1"/>
  <c r="CZ277" i="25"/>
  <c r="G101" i="571"/>
  <c r="Y82" i="25"/>
  <c r="W128" i="25"/>
  <c r="BL28" i="25"/>
  <c r="BL30" i="25" s="1"/>
  <c r="BQ28" i="25"/>
  <c r="BQ79" i="25" s="1"/>
  <c r="BQ100" i="25" s="1"/>
  <c r="BV28" i="25"/>
  <c r="BV30" i="25" s="1"/>
  <c r="BV258" i="25" s="1"/>
  <c r="BV253" i="25" s="1"/>
  <c r="BV252" i="25" s="1"/>
  <c r="BV259" i="25" s="1"/>
  <c r="D45" i="25"/>
  <c r="D43" i="25" s="1"/>
  <c r="AD44" i="25"/>
  <c r="AN44" i="25"/>
  <c r="CQ44" i="25"/>
  <c r="O59" i="25"/>
  <c r="AI59" i="25"/>
  <c r="BC59" i="25"/>
  <c r="BH59" i="25"/>
  <c r="BR59" i="25"/>
  <c r="CG59" i="25"/>
  <c r="CG193" i="571" s="1"/>
  <c r="CG60" i="617" s="1"/>
  <c r="AY68" i="25"/>
  <c r="BD68" i="25"/>
  <c r="CG62" i="25"/>
  <c r="R153" i="25"/>
  <c r="AF153" i="25"/>
  <c r="CY28" i="617"/>
  <c r="DI195" i="571"/>
  <c r="DM127" i="25"/>
  <c r="DQ108" i="25"/>
  <c r="BT369" i="25"/>
  <c r="CA60" i="25"/>
  <c r="DA348" i="25"/>
  <c r="BH143" i="25"/>
  <c r="BZ143" i="25"/>
  <c r="CW145" i="25"/>
  <c r="CW24" i="25" s="1"/>
  <c r="AL153" i="25"/>
  <c r="BS276" i="25"/>
  <c r="DG60" i="25"/>
  <c r="DG84" i="25" s="1"/>
  <c r="DL99" i="25"/>
  <c r="DQ110" i="25" s="1"/>
  <c r="DQ86" i="25"/>
  <c r="BV147" i="25"/>
  <c r="DM188" i="25"/>
  <c r="DM189" i="25" s="1"/>
  <c r="DK22" i="25"/>
  <c r="DL190" i="25" s="1"/>
  <c r="DK96" i="25"/>
  <c r="DL127" i="25" s="1"/>
  <c r="DL188" i="25"/>
  <c r="DL189" i="25" s="1"/>
  <c r="DE110" i="25"/>
  <c r="CC66" i="571"/>
  <c r="CC130" i="571"/>
  <c r="CX66" i="571"/>
  <c r="DA67" i="571"/>
  <c r="DA51" i="617" s="1"/>
  <c r="CX130" i="571"/>
  <c r="Q109" i="25"/>
  <c r="Q128" i="25"/>
  <c r="R128" i="25"/>
  <c r="AC109" i="25"/>
  <c r="AC128" i="25"/>
  <c r="BH82" i="25"/>
  <c r="BH105" i="25"/>
  <c r="BM82" i="25"/>
  <c r="BH98" i="25"/>
  <c r="BH135" i="25"/>
  <c r="BH136" i="25" s="1"/>
  <c r="BH402" i="25"/>
  <c r="BH308" i="25" s="1"/>
  <c r="BH11" i="25"/>
  <c r="BH83" i="25" s="1"/>
  <c r="CL9" i="617"/>
  <c r="CL98" i="25"/>
  <c r="CL11" i="25"/>
  <c r="CL402" i="25"/>
  <c r="CQ82" i="25"/>
  <c r="CL135" i="25"/>
  <c r="CL136" i="25" s="1"/>
  <c r="CL82" i="25"/>
  <c r="CV9" i="617"/>
  <c r="DA28" i="617" s="1"/>
  <c r="CV402" i="25"/>
  <c r="CV98" i="25"/>
  <c r="T16" i="559"/>
  <c r="BE118" i="25"/>
  <c r="BE58" i="25"/>
  <c r="BE60" i="25" s="1"/>
  <c r="BE22" i="25"/>
  <c r="BE83" i="25"/>
  <c r="BE96" i="25"/>
  <c r="CC83" i="25"/>
  <c r="CC22" i="25"/>
  <c r="CC88" i="25" s="1"/>
  <c r="CC58" i="25"/>
  <c r="CC60" i="25" s="1"/>
  <c r="CC118" i="25"/>
  <c r="CC96" i="25"/>
  <c r="CR58" i="25"/>
  <c r="CR60" i="25" s="1"/>
  <c r="CR11" i="617" s="1"/>
  <c r="CR22" i="25"/>
  <c r="CR96" i="25"/>
  <c r="CR127" i="25" s="1"/>
  <c r="CS188" i="25"/>
  <c r="CS189" i="25" s="1"/>
  <c r="CR83" i="25"/>
  <c r="CU188" i="25"/>
  <c r="CU189" i="25" s="1"/>
  <c r="CT188" i="25"/>
  <c r="CT189" i="25" s="1"/>
  <c r="CR188" i="25"/>
  <c r="CR189" i="25" s="1"/>
  <c r="BC98" i="25"/>
  <c r="BC110" i="25" s="1"/>
  <c r="BH85" i="25"/>
  <c r="BC85" i="25"/>
  <c r="CQ98" i="25"/>
  <c r="CV85" i="25"/>
  <c r="CQ85" i="25"/>
  <c r="CQ404" i="25"/>
  <c r="CQ348" i="25" s="1"/>
  <c r="I88" i="25"/>
  <c r="I101" i="25"/>
  <c r="J88" i="25"/>
  <c r="BQ30" i="25"/>
  <c r="AD397" i="25"/>
  <c r="AD30" i="25"/>
  <c r="AD103" i="25"/>
  <c r="AD405" i="25" s="1"/>
  <c r="AD31" i="25"/>
  <c r="H290" i="25"/>
  <c r="I90" i="25"/>
  <c r="H41" i="25"/>
  <c r="AX44" i="25"/>
  <c r="AX315" i="25"/>
  <c r="DK319" i="25"/>
  <c r="DK225" i="25"/>
  <c r="DK135" i="25"/>
  <c r="DK136" i="25" s="1"/>
  <c r="DB30" i="617"/>
  <c r="BV272" i="25"/>
  <c r="BV78" i="25"/>
  <c r="BV281" i="25"/>
  <c r="AQ33" i="25"/>
  <c r="AQ103" i="25"/>
  <c r="AQ30" i="25"/>
  <c r="AQ188" i="25"/>
  <c r="AQ189" i="25" s="1"/>
  <c r="AM58" i="25"/>
  <c r="AM60" i="25" s="1"/>
  <c r="AM76" i="25" s="1"/>
  <c r="AO118" i="25"/>
  <c r="AM96" i="25"/>
  <c r="AO127" i="25" s="1"/>
  <c r="AR83" i="25"/>
  <c r="AM22" i="25"/>
  <c r="S128" i="25"/>
  <c r="U128" i="25"/>
  <c r="X109" i="25"/>
  <c r="DA82" i="25"/>
  <c r="BN127" i="25"/>
  <c r="BL108" i="25"/>
  <c r="CZ51" i="617"/>
  <c r="CZ130" i="571"/>
  <c r="CZ66" i="571"/>
  <c r="DE73" i="571"/>
  <c r="DE139" i="571" s="1"/>
  <c r="T82" i="25"/>
  <c r="T402" i="25"/>
  <c r="T98" i="25"/>
  <c r="T105" i="25"/>
  <c r="AS11" i="25"/>
  <c r="AS135" i="25"/>
  <c r="AS136" i="25" s="1"/>
  <c r="AS105" i="25"/>
  <c r="AX82" i="25"/>
  <c r="AS98" i="25"/>
  <c r="AS110" i="25" s="1"/>
  <c r="AS82" i="25"/>
  <c r="AS402" i="25"/>
  <c r="AA109" i="25"/>
  <c r="BR135" i="25"/>
  <c r="BR136" i="25" s="1"/>
  <c r="BR402" i="25"/>
  <c r="BR82" i="25"/>
  <c r="BR11" i="25"/>
  <c r="BR83" i="25" s="1"/>
  <c r="BR105" i="25"/>
  <c r="BR98" i="25"/>
  <c r="BW82" i="25"/>
  <c r="AZ22" i="25"/>
  <c r="AZ118" i="25"/>
  <c r="AZ96" i="25"/>
  <c r="AZ108" i="25" s="1"/>
  <c r="AZ83" i="25"/>
  <c r="BO118" i="25"/>
  <c r="BO161" i="571"/>
  <c r="BO96" i="25"/>
  <c r="BO58" i="25"/>
  <c r="BO22" i="25"/>
  <c r="BY118" i="25"/>
  <c r="BY96" i="25"/>
  <c r="BY22" i="25"/>
  <c r="BY83" i="25"/>
  <c r="BY58" i="25"/>
  <c r="BY60" i="25" s="1"/>
  <c r="BY76" i="25" s="1"/>
  <c r="BY102" i="25" s="1"/>
  <c r="BY161" i="571"/>
  <c r="CM58" i="25"/>
  <c r="CM60" i="25" s="1"/>
  <c r="CM118" i="25" s="1"/>
  <c r="CM22" i="25"/>
  <c r="CP188" i="25"/>
  <c r="CP189" i="25" s="1"/>
  <c r="CM96" i="25"/>
  <c r="CM188" i="25"/>
  <c r="CM189" i="25" s="1"/>
  <c r="CN188" i="25"/>
  <c r="CN189" i="25" s="1"/>
  <c r="CO188" i="25"/>
  <c r="CO189" i="25" s="1"/>
  <c r="BW404" i="25"/>
  <c r="BW348" i="25" s="1"/>
  <c r="BW98" i="25"/>
  <c r="BW110" i="25" s="1"/>
  <c r="CB85" i="25"/>
  <c r="BW85" i="25"/>
  <c r="T141" i="25"/>
  <c r="T143" i="25" s="1"/>
  <c r="T407" i="25"/>
  <c r="T25" i="25"/>
  <c r="AS145" i="25"/>
  <c r="AS147" i="25" s="1"/>
  <c r="AS25" i="25"/>
  <c r="CB141" i="25"/>
  <c r="CB143" i="25" s="1"/>
  <c r="CB407" i="25"/>
  <c r="CB25" i="25"/>
  <c r="CQ407" i="25"/>
  <c r="CQ141" i="25"/>
  <c r="CQ143" i="25" s="1"/>
  <c r="CZ13" i="617"/>
  <c r="DA66" i="25"/>
  <c r="DM277" i="25"/>
  <c r="DR271" i="25"/>
  <c r="DP146" i="25"/>
  <c r="DK294" i="25"/>
  <c r="AD100" i="25"/>
  <c r="AD261" i="25"/>
  <c r="AD263" i="25" s="1"/>
  <c r="BQ68" i="25"/>
  <c r="V128" i="25"/>
  <c r="AT108" i="25"/>
  <c r="AY405" i="25"/>
  <c r="CE128" i="25"/>
  <c r="CE109" i="25"/>
  <c r="I313" i="25"/>
  <c r="AD110" i="25"/>
  <c r="CU127" i="25"/>
  <c r="CU137" i="25"/>
  <c r="CZ108" i="25"/>
  <c r="CU66" i="571"/>
  <c r="CU65" i="571" s="1"/>
  <c r="CU129" i="571" s="1"/>
  <c r="CZ73" i="571"/>
  <c r="CZ139" i="571" s="1"/>
  <c r="CU130" i="571"/>
  <c r="AM109" i="25"/>
  <c r="AH109" i="25"/>
  <c r="AS338" i="25"/>
  <c r="AS336" i="25"/>
  <c r="AS319" i="25"/>
  <c r="CB135" i="25"/>
  <c r="CB136" i="25" s="1"/>
  <c r="CB98" i="25"/>
  <c r="CB11" i="25"/>
  <c r="CB402" i="25"/>
  <c r="AK96" i="25"/>
  <c r="AK83" i="25"/>
  <c r="AK22" i="25"/>
  <c r="AL118" i="25"/>
  <c r="AK118" i="25"/>
  <c r="AK58" i="25"/>
  <c r="AK60" i="25" s="1"/>
  <c r="AK76" i="25" s="1"/>
  <c r="AL188" i="25"/>
  <c r="AL189" i="25" s="1"/>
  <c r="AM188" i="25"/>
  <c r="AM189" i="25" s="1"/>
  <c r="BJ118" i="25"/>
  <c r="BJ58" i="25"/>
  <c r="BJ60" i="25" s="1"/>
  <c r="BJ83" i="25"/>
  <c r="BJ22" i="25"/>
  <c r="BJ96" i="25"/>
  <c r="BT83" i="25"/>
  <c r="BT22" i="25"/>
  <c r="BT96" i="25"/>
  <c r="BT58" i="25"/>
  <c r="BT60" i="25" s="1"/>
  <c r="BT118" i="25"/>
  <c r="CH22" i="25"/>
  <c r="CH96" i="25"/>
  <c r="CH108" i="25" s="1"/>
  <c r="CH58" i="25"/>
  <c r="CI188" i="25"/>
  <c r="CI189" i="25" s="1"/>
  <c r="CJ188" i="25"/>
  <c r="CJ189" i="25" s="1"/>
  <c r="CH83" i="25"/>
  <c r="CK188" i="25"/>
  <c r="CK189" i="25" s="1"/>
  <c r="CW83" i="25"/>
  <c r="CW58" i="25"/>
  <c r="DB83" i="25"/>
  <c r="CZ188" i="25"/>
  <c r="CZ189" i="25" s="1"/>
  <c r="CW96" i="25"/>
  <c r="CW22" i="25"/>
  <c r="CW188" i="25"/>
  <c r="CW189" i="25" s="1"/>
  <c r="CX188" i="25"/>
  <c r="CX189" i="25" s="1"/>
  <c r="CY188" i="25"/>
  <c r="CY189" i="25" s="1"/>
  <c r="F88" i="25"/>
  <c r="E101" i="25"/>
  <c r="E112" i="25" s="1"/>
  <c r="E88" i="25"/>
  <c r="CT141" i="25"/>
  <c r="CT143" i="25" s="1"/>
  <c r="CT407" i="25"/>
  <c r="BC141" i="25"/>
  <c r="BC143" i="25" s="1"/>
  <c r="BC25" i="25"/>
  <c r="BC407" i="25"/>
  <c r="BW407" i="25"/>
  <c r="BW141" i="25"/>
  <c r="BW143" i="25" s="1"/>
  <c r="BW25" i="25"/>
  <c r="CL17" i="617"/>
  <c r="CQ397" i="25"/>
  <c r="CV397" i="25"/>
  <c r="CU67" i="25"/>
  <c r="CU68" i="25" s="1"/>
  <c r="CU86" i="25"/>
  <c r="CU13" i="617"/>
  <c r="CW119" i="25"/>
  <c r="CU119" i="25"/>
  <c r="CU76" i="25"/>
  <c r="CU99" i="25"/>
  <c r="CU110" i="25" s="1"/>
  <c r="DK247" i="25"/>
  <c r="DJ191" i="25"/>
  <c r="DG274" i="25"/>
  <c r="CL99" i="25"/>
  <c r="M117" i="559"/>
  <c r="M119" i="559"/>
  <c r="CZ276" i="25"/>
  <c r="CZ274" i="25"/>
  <c r="CQ375" i="25"/>
  <c r="CP89" i="25"/>
  <c r="CK102" i="25"/>
  <c r="CZ78" i="25"/>
  <c r="DA78" i="25" s="1"/>
  <c r="CZ281" i="25"/>
  <c r="DA358" i="25"/>
  <c r="W59" i="559"/>
  <c r="R59" i="559"/>
  <c r="DB110" i="25"/>
  <c r="CU51" i="617"/>
  <c r="M53" i="559"/>
  <c r="E90" i="25"/>
  <c r="AB19" i="559"/>
  <c r="AG66" i="559" s="1"/>
  <c r="DE190" i="25"/>
  <c r="DE191" i="25" s="1"/>
  <c r="DD216" i="25"/>
  <c r="DD311" i="25"/>
  <c r="DD312" i="25"/>
  <c r="DD309" i="25"/>
  <c r="DD310" i="25" s="1"/>
  <c r="CN30" i="25"/>
  <c r="CN258" i="25" s="1"/>
  <c r="CN253" i="25" s="1"/>
  <c r="CN252" i="25" s="1"/>
  <c r="CN259" i="25" s="1"/>
  <c r="CN103" i="25"/>
  <c r="CN405" i="25" s="1"/>
  <c r="CN31" i="25"/>
  <c r="AJ83" i="25"/>
  <c r="AJ22" i="25"/>
  <c r="AJ96" i="25"/>
  <c r="AJ58" i="25"/>
  <c r="AO83" i="25"/>
  <c r="AJ188" i="25"/>
  <c r="AJ189" i="25" s="1"/>
  <c r="O11" i="25"/>
  <c r="O83" i="25" s="1"/>
  <c r="DF397" i="25"/>
  <c r="CF101" i="25"/>
  <c r="CF88" i="25"/>
  <c r="CF121" i="25"/>
  <c r="AB101" i="25"/>
  <c r="AG22" i="25"/>
  <c r="AH121" i="25" s="1"/>
  <c r="AL83" i="25"/>
  <c r="AG83" i="25"/>
  <c r="AG96" i="25"/>
  <c r="AG108" i="25" s="1"/>
  <c r="AG188" i="25"/>
  <c r="AG189" i="25" s="1"/>
  <c r="AH188" i="25"/>
  <c r="AH189" i="25" s="1"/>
  <c r="BD30" i="25"/>
  <c r="BD79" i="25"/>
  <c r="BD100" i="25" s="1"/>
  <c r="BD33" i="25"/>
  <c r="BD31" i="25"/>
  <c r="BD103" i="25"/>
  <c r="CO109" i="25"/>
  <c r="AH101" i="25"/>
  <c r="L118" i="25"/>
  <c r="K96" i="25"/>
  <c r="P108" i="25" s="1"/>
  <c r="DB336" i="25"/>
  <c r="DB347" i="25"/>
  <c r="DB320" i="25"/>
  <c r="DB327" i="25"/>
  <c r="DB319" i="25"/>
  <c r="BC347" i="25"/>
  <c r="BC319" i="25"/>
  <c r="BC320" i="25"/>
  <c r="BC327" i="25"/>
  <c r="BC325" i="25" s="1"/>
  <c r="BC330" i="25" s="1"/>
  <c r="BC336" i="25"/>
  <c r="AR96" i="25"/>
  <c r="AR127" i="25" s="1"/>
  <c r="AT118" i="25"/>
  <c r="AR22" i="25"/>
  <c r="AU188" i="25"/>
  <c r="AU189" i="25" s="1"/>
  <c r="AR188" i="25"/>
  <c r="AR189" i="25" s="1"/>
  <c r="AR118" i="25"/>
  <c r="AW83" i="25"/>
  <c r="AT188" i="25"/>
  <c r="AT189" i="25" s="1"/>
  <c r="BZ367" i="25"/>
  <c r="BZ369" i="25" s="1"/>
  <c r="BZ282" i="25" s="1"/>
  <c r="BY369" i="25"/>
  <c r="BY282" i="25" s="1"/>
  <c r="CP382" i="25"/>
  <c r="CO237" i="25"/>
  <c r="S19" i="559"/>
  <c r="CU199" i="571"/>
  <c r="CU28" i="25"/>
  <c r="CU101" i="25"/>
  <c r="CZ88" i="25"/>
  <c r="DF247" i="25"/>
  <c r="BR338" i="25"/>
  <c r="AH161" i="571"/>
  <c r="AH162" i="571"/>
  <c r="CT254" i="25"/>
  <c r="DD135" i="25"/>
  <c r="DD136" i="25" s="1"/>
  <c r="DI138" i="25" s="1"/>
  <c r="DD403" i="25"/>
  <c r="CE271" i="25"/>
  <c r="CE283" i="25"/>
  <c r="CD274" i="25"/>
  <c r="CD276" i="25"/>
  <c r="CO326" i="25"/>
  <c r="CO331" i="25" s="1"/>
  <c r="CO325" i="25"/>
  <c r="CO330" i="25" s="1"/>
  <c r="CN127" i="25"/>
  <c r="CF176" i="571"/>
  <c r="CF174" i="571" s="1"/>
  <c r="CF173" i="571" s="1"/>
  <c r="CK372" i="25"/>
  <c r="CJ283" i="25"/>
  <c r="J46" i="25"/>
  <c r="J398" i="25"/>
  <c r="CQ22" i="25"/>
  <c r="CT78" i="25"/>
  <c r="CT281" i="25"/>
  <c r="BS88" i="25"/>
  <c r="BN101" i="25"/>
  <c r="BN112" i="25" s="1"/>
  <c r="BN88" i="25"/>
  <c r="CF358" i="25"/>
  <c r="CE78" i="25"/>
  <c r="DA135" i="25"/>
  <c r="DA136" i="25" s="1"/>
  <c r="DA341" i="25"/>
  <c r="DN86" i="25"/>
  <c r="DI99" i="25"/>
  <c r="DN110" i="25" s="1"/>
  <c r="CV58" i="25"/>
  <c r="BZ177" i="571"/>
  <c r="BW96" i="25"/>
  <c r="BW22" i="25"/>
  <c r="O176" i="571"/>
  <c r="O174" i="571" s="1"/>
  <c r="O173" i="571" s="1"/>
  <c r="DH239" i="25"/>
  <c r="DC127" i="25"/>
  <c r="AJ153" i="25"/>
  <c r="V110" i="25"/>
  <c r="BZ129" i="25"/>
  <c r="O397" i="25"/>
  <c r="AI397" i="25"/>
  <c r="BC397" i="25"/>
  <c r="CL397" i="25"/>
  <c r="CO143" i="25"/>
  <c r="AI152" i="25"/>
  <c r="I153" i="25"/>
  <c r="U153" i="25"/>
  <c r="Z153" i="25"/>
  <c r="CD239" i="25"/>
  <c r="CZ197" i="571"/>
  <c r="AM68" i="25"/>
  <c r="AX62" i="25"/>
  <c r="BE129" i="25"/>
  <c r="E109" i="25"/>
  <c r="CH274" i="25"/>
  <c r="CF308" i="25"/>
  <c r="DM88" i="25"/>
  <c r="DO190" i="25"/>
  <c r="DO191" i="25" s="1"/>
  <c r="DM294" i="25"/>
  <c r="BC62" i="25"/>
  <c r="G276" i="25"/>
  <c r="DJ108" i="25"/>
  <c r="DG101" i="25"/>
  <c r="DH101" i="25"/>
  <c r="DH143" i="25"/>
  <c r="DL239" i="25"/>
  <c r="DM30" i="25"/>
  <c r="DM258" i="25" s="1"/>
  <c r="DM253" i="25" s="1"/>
  <c r="DM252" i="25" s="1"/>
  <c r="DM259" i="25" s="1"/>
  <c r="DL277" i="25"/>
  <c r="DV271" i="25"/>
  <c r="BT147" i="25"/>
  <c r="CN325" i="25"/>
  <c r="CN330" i="25" s="1"/>
  <c r="CN326" i="25"/>
  <c r="CN331" i="25" s="1"/>
  <c r="DK327" i="25"/>
  <c r="DX248" i="25"/>
  <c r="EB248" i="25"/>
  <c r="DK338" i="25"/>
  <c r="BQ176" i="571"/>
  <c r="BQ174" i="571" s="1"/>
  <c r="BQ173" i="571" s="1"/>
  <c r="DK336" i="25"/>
  <c r="BY165" i="571"/>
  <c r="AU176" i="571"/>
  <c r="AU174" i="571" s="1"/>
  <c r="AU173" i="571" s="1"/>
  <c r="DL30" i="25"/>
  <c r="DL258" i="25" s="1"/>
  <c r="DL253" i="25" s="1"/>
  <c r="DL252" i="25" s="1"/>
  <c r="DL259" i="25" s="1"/>
  <c r="CO119" i="571"/>
  <c r="CL69" i="617"/>
  <c r="CL49" i="571"/>
  <c r="CQ49" i="571"/>
  <c r="AW161" i="571"/>
  <c r="AW176" i="571"/>
  <c r="AW174" i="571" s="1"/>
  <c r="AW173" i="571" s="1"/>
  <c r="CL64" i="571"/>
  <c r="CL128" i="571" s="1"/>
  <c r="BX83" i="571"/>
  <c r="CB37" i="571"/>
  <c r="DM159" i="571"/>
  <c r="DM52" i="617"/>
  <c r="CQ37" i="571"/>
  <c r="DF165" i="25"/>
  <c r="DF169" i="25"/>
  <c r="AV162" i="571"/>
  <c r="AV161" i="571"/>
  <c r="DH181" i="571"/>
  <c r="DC182" i="571"/>
  <c r="BJ176" i="571"/>
  <c r="BJ174" i="571" s="1"/>
  <c r="BJ173" i="571" s="1"/>
  <c r="BJ161" i="571"/>
  <c r="BZ88" i="571"/>
  <c r="BZ89" i="571" s="1"/>
  <c r="BZ84" i="571"/>
  <c r="BZ149" i="571" s="1"/>
  <c r="CE154" i="571" s="1"/>
  <c r="DC50" i="571"/>
  <c r="CE159" i="571"/>
  <c r="S14" i="559"/>
  <c r="M13" i="559"/>
  <c r="CD82" i="571"/>
  <c r="DD66" i="571"/>
  <c r="BY168" i="571"/>
  <c r="BY162" i="571" s="1"/>
  <c r="CL44" i="571"/>
  <c r="BV176" i="571"/>
  <c r="BV174" i="571" s="1"/>
  <c r="BV173" i="571" s="1"/>
  <c r="DJ66" i="571"/>
  <c r="DJ68" i="571" s="1"/>
  <c r="CW71" i="571"/>
  <c r="U177" i="571"/>
  <c r="AO177" i="571"/>
  <c r="AE14" i="559"/>
  <c r="DE66" i="571"/>
  <c r="DK67" i="571"/>
  <c r="DK51" i="617" s="1"/>
  <c r="DI18" i="571"/>
  <c r="DF35" i="571"/>
  <c r="DA64" i="571"/>
  <c r="AI151" i="559"/>
  <c r="AF79" i="25"/>
  <c r="AF100" i="25" s="1"/>
  <c r="G370" i="25"/>
  <c r="G289" i="25" s="1"/>
  <c r="G291" i="25" s="1"/>
  <c r="H274" i="25"/>
  <c r="AW78" i="25"/>
  <c r="AX78" i="25" s="1"/>
  <c r="F395" i="25"/>
  <c r="AU79" i="25"/>
  <c r="AU100" i="25" s="1"/>
  <c r="G281" i="25"/>
  <c r="G285" i="25" s="1"/>
  <c r="G287" i="25" s="1"/>
  <c r="DF74" i="25"/>
  <c r="DF14" i="617" s="1"/>
  <c r="AB126" i="559"/>
  <c r="AB48" i="559" s="1"/>
  <c r="AD48" i="559" s="1"/>
  <c r="S132" i="559"/>
  <c r="AB132" i="559"/>
  <c r="CU14" i="617"/>
  <c r="DG24" i="617"/>
  <c r="AE53" i="559"/>
  <c r="CR177" i="571"/>
  <c r="BU84" i="571"/>
  <c r="BU149" i="571" s="1"/>
  <c r="BU88" i="571"/>
  <c r="BU89" i="571" s="1"/>
  <c r="DG18" i="571"/>
  <c r="DB17" i="571"/>
  <c r="CB48" i="571"/>
  <c r="CG49" i="571" s="1"/>
  <c r="CQ48" i="617"/>
  <c r="O78" i="559"/>
  <c r="O27" i="559"/>
  <c r="DE18" i="571"/>
  <c r="DA18" i="571"/>
  <c r="CZ20" i="571"/>
  <c r="CZ17" i="571"/>
  <c r="CV48" i="617"/>
  <c r="T27" i="559"/>
  <c r="T78" i="559"/>
  <c r="DH18" i="571"/>
  <c r="DC17" i="571"/>
  <c r="DC20" i="571"/>
  <c r="DD52" i="617"/>
  <c r="DI73" i="617" s="1"/>
  <c r="DD159" i="571"/>
  <c r="DF158" i="571"/>
  <c r="DF52" i="617" s="1"/>
  <c r="DD176" i="571"/>
  <c r="DD174" i="571" s="1"/>
  <c r="DD173" i="571" s="1"/>
  <c r="DK171" i="571"/>
  <c r="DK220" i="571" s="1"/>
  <c r="CX176" i="571"/>
  <c r="CX174" i="571" s="1"/>
  <c r="CX173" i="571" s="1"/>
  <c r="CI52" i="617"/>
  <c r="CN176" i="571"/>
  <c r="CN174" i="571" s="1"/>
  <c r="CN173" i="571" s="1"/>
  <c r="CA177" i="571"/>
  <c r="CB159" i="571"/>
  <c r="CF177" i="571"/>
  <c r="DB51" i="617"/>
  <c r="DG73" i="571"/>
  <c r="DB130" i="571"/>
  <c r="J27" i="559"/>
  <c r="DM181" i="571"/>
  <c r="DM182" i="571" s="1"/>
  <c r="DH182" i="571"/>
  <c r="DM128" i="571"/>
  <c r="DH137" i="571"/>
  <c r="DJ51" i="617"/>
  <c r="DJ72" i="617" s="1"/>
  <c r="DK52" i="617"/>
  <c r="DB68" i="571"/>
  <c r="CW44" i="571"/>
  <c r="DA44" i="571" s="1"/>
  <c r="CV218" i="571"/>
  <c r="CV46" i="617" s="1"/>
  <c r="DH73" i="571"/>
  <c r="DC51" i="617"/>
  <c r="DI139" i="571"/>
  <c r="DD53" i="571"/>
  <c r="DE52" i="571"/>
  <c r="DB52" i="617"/>
  <c r="DG73" i="617" s="1"/>
  <c r="DG176" i="571"/>
  <c r="DG174" i="571" s="1"/>
  <c r="DG173" i="571" s="1"/>
  <c r="DO181" i="571"/>
  <c r="DJ182" i="571"/>
  <c r="DO128" i="571"/>
  <c r="DJ137" i="571"/>
  <c r="DC52" i="617"/>
  <c r="DH176" i="571"/>
  <c r="DH174" i="571" s="1"/>
  <c r="DH173" i="571" s="1"/>
  <c r="Z14" i="559"/>
  <c r="DN176" i="571"/>
  <c r="DN174" i="571" s="1"/>
  <c r="DI176" i="571"/>
  <c r="DI174" i="571" s="1"/>
  <c r="DI173" i="571" s="1"/>
  <c r="DI159" i="571"/>
  <c r="DN177" i="571" s="1"/>
  <c r="DJ130" i="571"/>
  <c r="DF67" i="571"/>
  <c r="DF51" i="617" s="1"/>
  <c r="DE20" i="571"/>
  <c r="DN181" i="571"/>
  <c r="DN182" i="571" s="1"/>
  <c r="DI182" i="571"/>
  <c r="AB13" i="559"/>
  <c r="DG137" i="571"/>
  <c r="DL128" i="571"/>
  <c r="DQ128" i="571" s="1"/>
  <c r="AA14" i="559"/>
  <c r="DN128" i="571"/>
  <c r="DJ139" i="571"/>
  <c r="DM139" i="571"/>
  <c r="Q14" i="559"/>
  <c r="N14" i="559"/>
  <c r="L14" i="559"/>
  <c r="I14" i="559"/>
  <c r="W13" i="559"/>
  <c r="K13" i="559"/>
  <c r="DC234" i="571"/>
  <c r="CY72" i="571"/>
  <c r="CY138" i="571" s="1"/>
  <c r="DE159" i="571"/>
  <c r="DE177" i="571" s="1"/>
  <c r="DE52" i="617"/>
  <c r="DJ73" i="617" s="1"/>
  <c r="DG51" i="617"/>
  <c r="CK47" i="617"/>
  <c r="DH51" i="617"/>
  <c r="DG159" i="571"/>
  <c r="DG177" i="571" s="1"/>
  <c r="CR49" i="617"/>
  <c r="CM49" i="617"/>
  <c r="CT47" i="617"/>
  <c r="DH68" i="571"/>
  <c r="DI68" i="571"/>
  <c r="DJ52" i="571"/>
  <c r="DL176" i="571"/>
  <c r="DL174" i="571" s="1"/>
  <c r="DM176" i="571"/>
  <c r="DM174" i="571" s="1"/>
  <c r="M14" i="559"/>
  <c r="P13" i="559"/>
  <c r="DG35" i="571"/>
  <c r="CW47" i="617"/>
  <c r="DE51" i="617"/>
  <c r="DB68" i="617"/>
  <c r="DH130" i="571"/>
  <c r="DO196" i="571"/>
  <c r="DL68" i="571"/>
  <c r="DL73" i="571"/>
  <c r="DM68" i="571"/>
  <c r="DM53" i="571"/>
  <c r="W14" i="559"/>
  <c r="U14" i="559"/>
  <c r="DE130" i="571"/>
  <c r="DD51" i="617"/>
  <c r="DH159" i="571"/>
  <c r="DH177" i="571" s="1"/>
  <c r="DO42" i="571"/>
  <c r="DO35" i="571"/>
  <c r="DD177" i="571"/>
  <c r="DB177" i="571"/>
  <c r="CZ39" i="571"/>
  <c r="DA39" i="571" s="1"/>
  <c r="DA32" i="571"/>
  <c r="DA59" i="571" s="1"/>
  <c r="CZ59" i="571"/>
  <c r="DE40" i="571"/>
  <c r="DE32" i="571" s="1"/>
  <c r="DD32" i="571"/>
  <c r="BT36" i="571"/>
  <c r="BT37" i="571" s="1"/>
  <c r="BT83" i="571" s="1"/>
  <c r="BT88" i="571" s="1"/>
  <c r="BT56" i="571"/>
  <c r="BT130" i="571"/>
  <c r="BY35" i="571"/>
  <c r="BY42" i="571"/>
  <c r="BT60" i="571"/>
  <c r="BS60" i="571"/>
  <c r="BX35" i="571"/>
  <c r="BS36" i="571"/>
  <c r="BS37" i="571" s="1"/>
  <c r="BS83" i="571" s="1"/>
  <c r="BS88" i="571" s="1"/>
  <c r="BS56" i="571"/>
  <c r="BX42" i="571"/>
  <c r="AS160" i="559"/>
  <c r="AS162" i="559"/>
  <c r="AF63" i="559"/>
  <c r="AX160" i="559"/>
  <c r="AX162" i="559"/>
  <c r="ED41" i="613"/>
  <c r="ED18" i="613" s="1"/>
  <c r="DY18" i="613"/>
  <c r="DY35" i="613" s="1"/>
  <c r="DP26" i="613"/>
  <c r="DY14" i="613"/>
  <c r="ED110" i="617"/>
  <c r="ED14" i="613"/>
  <c r="DP13" i="571"/>
  <c r="DR12" i="571"/>
  <c r="DS12" i="571" s="1"/>
  <c r="DT12" i="571" s="1"/>
  <c r="DP57" i="571"/>
  <c r="AG109" i="25"/>
  <c r="AL109" i="25"/>
  <c r="AG128" i="25"/>
  <c r="AH128" i="25"/>
  <c r="X17" i="559"/>
  <c r="BM326" i="25"/>
  <c r="BM331" i="25" s="1"/>
  <c r="BM325" i="25"/>
  <c r="BM330" i="25" s="1"/>
  <c r="BE67" i="25"/>
  <c r="BE68" i="25" s="1"/>
  <c r="BE76" i="25"/>
  <c r="BH66" i="25"/>
  <c r="BH67" i="25" s="1"/>
  <c r="BM343" i="25"/>
  <c r="BR342" i="25"/>
  <c r="BM257" i="25"/>
  <c r="CS277" i="25"/>
  <c r="CS276" i="25"/>
  <c r="BA67" i="25"/>
  <c r="BC66" i="25"/>
  <c r="BC67" i="25" s="1"/>
  <c r="H97" i="25"/>
  <c r="I109" i="25" s="1"/>
  <c r="H137" i="25"/>
  <c r="Z128" i="25"/>
  <c r="Z109" i="25"/>
  <c r="AA128" i="25"/>
  <c r="AP128" i="25"/>
  <c r="BO97" i="25"/>
  <c r="BT138" i="25"/>
  <c r="CB97" i="25"/>
  <c r="AK128" i="25"/>
  <c r="AJ128" i="25"/>
  <c r="AO109" i="25"/>
  <c r="AK109" i="25"/>
  <c r="BI67" i="25"/>
  <c r="BI68" i="25" s="1"/>
  <c r="J97" i="25"/>
  <c r="J137" i="25"/>
  <c r="DK404" i="25"/>
  <c r="DA230" i="25"/>
  <c r="DA239" i="25" s="1"/>
  <c r="CZ316" i="25"/>
  <c r="I177" i="571"/>
  <c r="CR276" i="25"/>
  <c r="AH126" i="559"/>
  <c r="AH48" i="559" s="1"/>
  <c r="AH132" i="559"/>
  <c r="DL191" i="25"/>
  <c r="DH276" i="25"/>
  <c r="DH318" i="25"/>
  <c r="CF68" i="25"/>
  <c r="CG17" i="617"/>
  <c r="CB59" i="25"/>
  <c r="AI153" i="25"/>
  <c r="F345" i="25"/>
  <c r="F346" i="25"/>
  <c r="F334" i="25"/>
  <c r="DK307" i="25"/>
  <c r="DG335" i="25"/>
  <c r="H177" i="571"/>
  <c r="I176" i="571"/>
  <c r="I174" i="571" s="1"/>
  <c r="I173" i="571" s="1"/>
  <c r="AF128" i="25"/>
  <c r="CY315" i="25"/>
  <c r="AL129" i="25"/>
  <c r="AP129" i="25"/>
  <c r="BT129" i="25"/>
  <c r="CA129" i="25"/>
  <c r="BI109" i="25"/>
  <c r="AJ126" i="559"/>
  <c r="AJ48" i="559" s="1"/>
  <c r="DL14" i="617"/>
  <c r="AK132" i="559"/>
  <c r="DM14" i="617"/>
  <c r="CF28" i="25"/>
  <c r="EA262" i="25"/>
  <c r="ED262" i="25"/>
  <c r="EB262" i="25"/>
  <c r="EC262" i="25"/>
  <c r="BS152" i="25"/>
  <c r="BT153" i="25" s="1"/>
  <c r="Z166" i="25"/>
  <c r="AA162" i="25" s="1"/>
  <c r="AA166" i="25" s="1"/>
  <c r="AB162" i="25" s="1"/>
  <c r="AB166" i="25" s="1"/>
  <c r="AC162" i="25" s="1"/>
  <c r="AC166" i="25" s="1"/>
  <c r="H345" i="25"/>
  <c r="H318" i="25"/>
  <c r="CE346" i="25"/>
  <c r="CE323" i="25"/>
  <c r="CE322" i="25" s="1"/>
  <c r="CE329" i="25" s="1"/>
  <c r="DJ216" i="25"/>
  <c r="DM309" i="25"/>
  <c r="DM310" i="25" s="1"/>
  <c r="DM239" i="25"/>
  <c r="DM241" i="25" s="1"/>
  <c r="AI147" i="25"/>
  <c r="T152" i="25"/>
  <c r="J153" i="25"/>
  <c r="W153" i="25"/>
  <c r="AI216" i="25"/>
  <c r="AI241" i="25" s="1"/>
  <c r="BS241" i="25"/>
  <c r="CB239" i="25"/>
  <c r="CA239" i="25" s="1"/>
  <c r="CY239" i="25"/>
  <c r="CY241" i="25" s="1"/>
  <c r="G347" i="25"/>
  <c r="CB274" i="25"/>
  <c r="BH300" i="25"/>
  <c r="BM303" i="25" s="1"/>
  <c r="DE137" i="25"/>
  <c r="AE132" i="559"/>
  <c r="DG312" i="25"/>
  <c r="DI127" i="25"/>
  <c r="DJ118" i="25"/>
  <c r="DI97" i="25"/>
  <c r="DI312" i="25"/>
  <c r="DJ28" i="25"/>
  <c r="DJ66" i="25"/>
  <c r="DJ309" i="25"/>
  <c r="DL315" i="25"/>
  <c r="DL276" i="25"/>
  <c r="DH312" i="25"/>
  <c r="DJ230" i="25"/>
  <c r="DJ239" i="25" s="1"/>
  <c r="DL312" i="25"/>
  <c r="DM311" i="25"/>
  <c r="DM315" i="25"/>
  <c r="CW241" i="25"/>
  <c r="CZ241" i="25"/>
  <c r="AD216" i="25"/>
  <c r="Y216" i="25"/>
  <c r="Y316" i="25" s="1"/>
  <c r="BC273" i="25"/>
  <c r="Q153" i="25"/>
  <c r="BO13" i="571"/>
  <c r="Y152" i="25"/>
  <c r="AD153" i="25" s="1"/>
  <c r="V153" i="25"/>
  <c r="AS152" i="25"/>
  <c r="CL178" i="25"/>
  <c r="CL181" i="25" s="1"/>
  <c r="O153" i="25"/>
  <c r="AC153" i="25"/>
  <c r="AM153" i="25"/>
  <c r="EA271" i="25"/>
  <c r="DV372" i="25"/>
  <c r="DV283" i="25" s="1"/>
  <c r="DQ27" i="611"/>
  <c r="DR219" i="25"/>
  <c r="DK289" i="25"/>
  <c r="DK395" i="25"/>
  <c r="DK282" i="25"/>
  <c r="AB30" i="25"/>
  <c r="AB79" i="25"/>
  <c r="AB33" i="25"/>
  <c r="AB31" i="25"/>
  <c r="AB45" i="25" s="1"/>
  <c r="AB103" i="25"/>
  <c r="CE365" i="25"/>
  <c r="CD369" i="25"/>
  <c r="CD282" i="25" s="1"/>
  <c r="CN177" i="571"/>
  <c r="BU66" i="571"/>
  <c r="BU130" i="571"/>
  <c r="V65" i="559"/>
  <c r="AA65" i="559"/>
  <c r="K63" i="559"/>
  <c r="K52" i="559"/>
  <c r="AV96" i="25"/>
  <c r="AW127" i="25" s="1"/>
  <c r="AV83" i="25"/>
  <c r="AY188" i="25"/>
  <c r="AY189" i="25" s="1"/>
  <c r="AW118" i="25"/>
  <c r="AV188" i="25"/>
  <c r="AV189" i="25" s="1"/>
  <c r="AV22" i="25"/>
  <c r="AV58" i="25"/>
  <c r="AW188" i="25"/>
  <c r="AW189" i="25" s="1"/>
  <c r="AV118" i="25"/>
  <c r="BK96" i="25"/>
  <c r="BK118" i="25"/>
  <c r="BN188" i="25"/>
  <c r="BN189" i="25" s="1"/>
  <c r="BK58" i="25"/>
  <c r="BL188" i="25"/>
  <c r="BL189" i="25" s="1"/>
  <c r="BK83" i="25"/>
  <c r="BL118" i="25"/>
  <c r="BO188" i="25"/>
  <c r="BO189" i="25" s="1"/>
  <c r="BK22" i="25"/>
  <c r="BK188" i="25"/>
  <c r="BK189" i="25" s="1"/>
  <c r="CA118" i="25"/>
  <c r="CC188" i="25"/>
  <c r="CC189" i="25" s="1"/>
  <c r="BZ96" i="25"/>
  <c r="BZ188" i="25"/>
  <c r="BZ189" i="25" s="1"/>
  <c r="CA188" i="25"/>
  <c r="CA189" i="25" s="1"/>
  <c r="BZ58" i="25"/>
  <c r="CE83" i="25"/>
  <c r="BZ83" i="25"/>
  <c r="BZ118" i="25"/>
  <c r="BZ22" i="25"/>
  <c r="BZ190" i="25" s="1"/>
  <c r="BZ191" i="25" s="1"/>
  <c r="CX24" i="617"/>
  <c r="CX315" i="25"/>
  <c r="AD59" i="25"/>
  <c r="Z60" i="25"/>
  <c r="AX59" i="25"/>
  <c r="AT60" i="25"/>
  <c r="CY60" i="25"/>
  <c r="DA59" i="25"/>
  <c r="DA193" i="571" s="1"/>
  <c r="DA60" i="617" s="1"/>
  <c r="CY193" i="571"/>
  <c r="CY60" i="617" s="1"/>
  <c r="BT66" i="25"/>
  <c r="BW62" i="25"/>
  <c r="R132" i="559"/>
  <c r="CT14" i="617"/>
  <c r="CT15" i="617" s="1"/>
  <c r="R126" i="559"/>
  <c r="R48" i="559" s="1"/>
  <c r="CT76" i="25"/>
  <c r="CC138" i="25"/>
  <c r="CC97" i="25"/>
  <c r="CH138" i="25"/>
  <c r="BV364" i="25"/>
  <c r="DE366" i="25"/>
  <c r="DF366" i="25" s="1"/>
  <c r="DM86" i="25"/>
  <c r="DH99" i="25"/>
  <c r="DK206" i="25"/>
  <c r="DK216" i="25" s="1"/>
  <c r="DT193" i="571"/>
  <c r="DT60" i="617" s="1"/>
  <c r="DS193" i="571"/>
  <c r="DS60" i="617" s="1"/>
  <c r="DR193" i="571"/>
  <c r="DR60" i="617" s="1"/>
  <c r="DU295" i="25"/>
  <c r="DW295" i="25" s="1"/>
  <c r="DR296" i="25"/>
  <c r="DR298" i="25" s="1"/>
  <c r="DR54" i="25" s="1"/>
  <c r="CL365" i="25"/>
  <c r="BI128" i="25"/>
  <c r="CT198" i="571"/>
  <c r="CT63" i="617" s="1"/>
  <c r="CT68" i="25"/>
  <c r="CG368" i="25"/>
  <c r="BZ130" i="571"/>
  <c r="BZ66" i="571"/>
  <c r="CE73" i="571"/>
  <c r="CE72" i="571" s="1"/>
  <c r="Z63" i="559"/>
  <c r="U52" i="559"/>
  <c r="U63" i="559"/>
  <c r="J16" i="559"/>
  <c r="F52" i="559"/>
  <c r="CV403" i="25"/>
  <c r="CV327" i="25" s="1"/>
  <c r="CV135" i="25"/>
  <c r="CV136" i="25" s="1"/>
  <c r="CV11" i="25"/>
  <c r="CV83" i="25" s="1"/>
  <c r="BF188" i="25"/>
  <c r="BF189" i="25" s="1"/>
  <c r="BF58" i="25"/>
  <c r="BF118" i="25"/>
  <c r="BG118" i="25"/>
  <c r="BF22" i="25"/>
  <c r="BG188" i="25"/>
  <c r="BG189" i="25" s="1"/>
  <c r="BJ188" i="25"/>
  <c r="BJ189" i="25" s="1"/>
  <c r="BF96" i="25"/>
  <c r="BI188" i="25"/>
  <c r="BI189" i="25" s="1"/>
  <c r="BF83" i="25"/>
  <c r="BU118" i="25"/>
  <c r="BU188" i="25"/>
  <c r="BU189" i="25" s="1"/>
  <c r="BY188" i="25"/>
  <c r="BY189" i="25" s="1"/>
  <c r="BU83" i="25"/>
  <c r="BX188" i="25"/>
  <c r="BX189" i="25" s="1"/>
  <c r="BV188" i="25"/>
  <c r="BV189" i="25" s="1"/>
  <c r="BU58" i="25"/>
  <c r="BU22" i="25"/>
  <c r="BY190" i="25" s="1"/>
  <c r="BY191" i="25" s="1"/>
  <c r="BU96" i="25"/>
  <c r="G112" i="25"/>
  <c r="CH44" i="25"/>
  <c r="CL44" i="25" s="1"/>
  <c r="CH315" i="25"/>
  <c r="T59" i="25"/>
  <c r="P60" i="25"/>
  <c r="Y59" i="25"/>
  <c r="AN59" i="25"/>
  <c r="AJ60" i="25"/>
  <c r="BI60" i="25"/>
  <c r="BI76" i="25" s="1"/>
  <c r="BM59" i="25"/>
  <c r="CQ59" i="25"/>
  <c r="CQ193" i="571" s="1"/>
  <c r="CQ60" i="617" s="1"/>
  <c r="CN193" i="571"/>
  <c r="CN60" i="617" s="1"/>
  <c r="N67" i="25"/>
  <c r="S68" i="25" s="1"/>
  <c r="N76" i="25"/>
  <c r="Q66" i="25"/>
  <c r="T62" i="25"/>
  <c r="AD62" i="25"/>
  <c r="AA66" i="25"/>
  <c r="AE66" i="25"/>
  <c r="AI62" i="25"/>
  <c r="BX66" i="25"/>
  <c r="CB62" i="25"/>
  <c r="AZ109" i="25"/>
  <c r="BA128" i="25"/>
  <c r="BE109" i="25"/>
  <c r="BN97" i="25"/>
  <c r="CK97" i="25"/>
  <c r="CP109" i="25" s="1"/>
  <c r="CP138" i="25"/>
  <c r="CK137" i="25"/>
  <c r="CK138" i="25"/>
  <c r="DB23" i="25"/>
  <c r="DB15" i="611"/>
  <c r="DE374" i="25"/>
  <c r="DD377" i="25"/>
  <c r="DM190" i="25"/>
  <c r="DK391" i="25"/>
  <c r="DK28" i="25"/>
  <c r="DH277" i="25"/>
  <c r="DG276" i="25"/>
  <c r="AJ63" i="559"/>
  <c r="H119" i="559"/>
  <c r="DJ295" i="25"/>
  <c r="DK295" i="25" s="1"/>
  <c r="DI296" i="25"/>
  <c r="DI298" i="25" s="1"/>
  <c r="DI54" i="25" s="1"/>
  <c r="CJ110" i="25"/>
  <c r="CO110" i="25"/>
  <c r="BY128" i="25"/>
  <c r="CK129" i="571"/>
  <c r="CH110" i="25"/>
  <c r="AX325" i="25"/>
  <c r="AX330" i="25" s="1"/>
  <c r="AX326" i="25"/>
  <c r="AX331" i="25" s="1"/>
  <c r="CJ73" i="571"/>
  <c r="CE130" i="571"/>
  <c r="CE51" i="617"/>
  <c r="CE53" i="617" s="1"/>
  <c r="P52" i="559"/>
  <c r="AJ109" i="25"/>
  <c r="AE109" i="25"/>
  <c r="AE128" i="25"/>
  <c r="BA96" i="25"/>
  <c r="BB127" i="25" s="1"/>
  <c r="BD188" i="25"/>
  <c r="BD189" i="25" s="1"/>
  <c r="BE188" i="25"/>
  <c r="BE189" i="25" s="1"/>
  <c r="BB118" i="25"/>
  <c r="BA188" i="25"/>
  <c r="BA189" i="25" s="1"/>
  <c r="BA22" i="25"/>
  <c r="BA58" i="25"/>
  <c r="BA60" i="25" s="1"/>
  <c r="BA76" i="25" s="1"/>
  <c r="BB188" i="25"/>
  <c r="BB189" i="25" s="1"/>
  <c r="BA118" i="25"/>
  <c r="BA83" i="25"/>
  <c r="BS188" i="25"/>
  <c r="BS189" i="25" s="1"/>
  <c r="BP96" i="25"/>
  <c r="BT188" i="25"/>
  <c r="BT189" i="25" s="1"/>
  <c r="BP58" i="25"/>
  <c r="BP60" i="25" s="1"/>
  <c r="BP188" i="25"/>
  <c r="BP189" i="25" s="1"/>
  <c r="BP118" i="25"/>
  <c r="BQ118" i="25"/>
  <c r="BP83" i="25"/>
  <c r="BP161" i="571"/>
  <c r="BP22" i="25"/>
  <c r="BQ188" i="25"/>
  <c r="BQ189" i="25" s="1"/>
  <c r="CD22" i="25"/>
  <c r="CE188" i="25"/>
  <c r="CE189" i="25" s="1"/>
  <c r="CH188" i="25"/>
  <c r="CH189" i="25" s="1"/>
  <c r="CD118" i="25"/>
  <c r="CF188" i="25"/>
  <c r="CF189" i="25" s="1"/>
  <c r="CD58" i="25"/>
  <c r="CD188" i="25"/>
  <c r="CD189" i="25" s="1"/>
  <c r="CI83" i="25"/>
  <c r="CD96" i="25"/>
  <c r="CD83" i="25"/>
  <c r="CE118" i="25"/>
  <c r="CD24" i="617"/>
  <c r="CD44" i="25"/>
  <c r="CL301" i="25"/>
  <c r="CQ54" i="25"/>
  <c r="AS59" i="25"/>
  <c r="AO60" i="25"/>
  <c r="CL59" i="25"/>
  <c r="CL193" i="571" s="1"/>
  <c r="CL60" i="617" s="1"/>
  <c r="CI193" i="571"/>
  <c r="CI60" i="617" s="1"/>
  <c r="CI60" i="25"/>
  <c r="G17" i="559" s="1"/>
  <c r="G51" i="559" s="1"/>
  <c r="CV59" i="25"/>
  <c r="CV193" i="571" s="1"/>
  <c r="CV60" i="617" s="1"/>
  <c r="CS60" i="25"/>
  <c r="CS193" i="571"/>
  <c r="CS60" i="617" s="1"/>
  <c r="O62" i="25"/>
  <c r="K66" i="25"/>
  <c r="W67" i="25"/>
  <c r="Y66" i="25"/>
  <c r="Y67" i="25" s="1"/>
  <c r="BP66" i="25"/>
  <c r="BR62" i="25"/>
  <c r="CY74" i="25"/>
  <c r="DA70" i="25"/>
  <c r="CF137" i="25"/>
  <c r="CF97" i="25"/>
  <c r="CF138" i="25"/>
  <c r="T341" i="25"/>
  <c r="T135" i="25"/>
  <c r="T136" i="25" s="1"/>
  <c r="DL370" i="25"/>
  <c r="DL289" i="25" s="1"/>
  <c r="DK335" i="25"/>
  <c r="DK101" i="25"/>
  <c r="DK191" i="571"/>
  <c r="DJ308" i="25"/>
  <c r="DK66" i="25"/>
  <c r="DL13" i="617"/>
  <c r="CC137" i="25"/>
  <c r="AC63" i="559"/>
  <c r="AC52" i="559"/>
  <c r="AC59" i="559" s="1"/>
  <c r="DE323" i="25"/>
  <c r="DE322" i="25" s="1"/>
  <c r="DE346" i="25"/>
  <c r="DE308" i="25"/>
  <c r="DF402" i="25"/>
  <c r="DF190" i="571"/>
  <c r="DF82" i="25"/>
  <c r="AD16" i="559"/>
  <c r="AI63" i="559" s="1"/>
  <c r="DF85" i="25"/>
  <c r="DF404" i="25"/>
  <c r="DF98" i="25"/>
  <c r="AD18" i="559"/>
  <c r="AD65" i="559" s="1"/>
  <c r="CO11" i="617"/>
  <c r="CT29" i="617" s="1"/>
  <c r="M17" i="559"/>
  <c r="CO84" i="25"/>
  <c r="CT84" i="25"/>
  <c r="CO76" i="25"/>
  <c r="CP118" i="25"/>
  <c r="AM28" i="25"/>
  <c r="AM79" i="25" s="1"/>
  <c r="AM101" i="25"/>
  <c r="AM88" i="25"/>
  <c r="AM121" i="25"/>
  <c r="AO190" i="25"/>
  <c r="AO191" i="25" s="1"/>
  <c r="AO121" i="25"/>
  <c r="CL110" i="25"/>
  <c r="DE310" i="25"/>
  <c r="AH76" i="25"/>
  <c r="DF307" i="25"/>
  <c r="DF225" i="25"/>
  <c r="BW289" i="25"/>
  <c r="BW391" i="25"/>
  <c r="BW274" i="25"/>
  <c r="BW276" i="25"/>
  <c r="BX176" i="571"/>
  <c r="BX174" i="571" s="1"/>
  <c r="BX173" i="571" s="1"/>
  <c r="CC176" i="571"/>
  <c r="CC174" i="571" s="1"/>
  <c r="CC173" i="571" s="1"/>
  <c r="BK161" i="571"/>
  <c r="BM158" i="571"/>
  <c r="BU161" i="571"/>
  <c r="BU165" i="571" s="1"/>
  <c r="CT103" i="25"/>
  <c r="CT405" i="25" s="1"/>
  <c r="CT30" i="25"/>
  <c r="CT31" i="25"/>
  <c r="CL316" i="25"/>
  <c r="F314" i="25"/>
  <c r="T153" i="25"/>
  <c r="Y153" i="25"/>
  <c r="DA22" i="25"/>
  <c r="DA96" i="25"/>
  <c r="DA137" i="25" s="1"/>
  <c r="P126" i="559"/>
  <c r="P48" i="559" s="1"/>
  <c r="CR14" i="617"/>
  <c r="F109" i="25"/>
  <c r="CW68" i="25"/>
  <c r="U118" i="559" s="1"/>
  <c r="DE303" i="25"/>
  <c r="DF300" i="25"/>
  <c r="BL33" i="25"/>
  <c r="BL31" i="25"/>
  <c r="BL103" i="25"/>
  <c r="BN132" i="25" s="1"/>
  <c r="DK273" i="25"/>
  <c r="DF11" i="25"/>
  <c r="AH28" i="25"/>
  <c r="AH190" i="25"/>
  <c r="AH191" i="25" s="1"/>
  <c r="K79" i="25"/>
  <c r="K30" i="25"/>
  <c r="K31" i="25"/>
  <c r="CQ358" i="25"/>
  <c r="CP272" i="25"/>
  <c r="CP281" i="25"/>
  <c r="CP137" i="25"/>
  <c r="CP127" i="25"/>
  <c r="CP108" i="25"/>
  <c r="CU108" i="25"/>
  <c r="AN97" i="25"/>
  <c r="AN137" i="25"/>
  <c r="BW59" i="25"/>
  <c r="CI277" i="25"/>
  <c r="CI276" i="25"/>
  <c r="BM254" i="25"/>
  <c r="BM238" i="25"/>
  <c r="BR232" i="25"/>
  <c r="Y230" i="25"/>
  <c r="Y239" i="25" s="1"/>
  <c r="Y311" i="25"/>
  <c r="Y309" i="25"/>
  <c r="Y310" i="25" s="1"/>
  <c r="Y312" i="25"/>
  <c r="M58" i="25"/>
  <c r="M118" i="25"/>
  <c r="M96" i="25"/>
  <c r="R83" i="25"/>
  <c r="M22" i="25"/>
  <c r="CQ58" i="25"/>
  <c r="BX28" i="25"/>
  <c r="BX88" i="25"/>
  <c r="BY121" i="25"/>
  <c r="CG97" i="25"/>
  <c r="CG109" i="25" s="1"/>
  <c r="CG138" i="25"/>
  <c r="BC22" i="25"/>
  <c r="BC96" i="25"/>
  <c r="J92" i="25"/>
  <c r="J43" i="25"/>
  <c r="CW108" i="25"/>
  <c r="CR108" i="25"/>
  <c r="CR137" i="25"/>
  <c r="CC127" i="25"/>
  <c r="CC108" i="25"/>
  <c r="BM22" i="25"/>
  <c r="BM96" i="25"/>
  <c r="BN60" i="25"/>
  <c r="AY60" i="25"/>
  <c r="AY76" i="25" s="1"/>
  <c r="DC230" i="25"/>
  <c r="DC239" i="25" s="1"/>
  <c r="DC241" i="25" s="1"/>
  <c r="DC309" i="25"/>
  <c r="DC310" i="25" s="1"/>
  <c r="DC311" i="25"/>
  <c r="DC312" i="25"/>
  <c r="DE78" i="25"/>
  <c r="CG373" i="25"/>
  <c r="CF30" i="25"/>
  <c r="CF258" i="25" s="1"/>
  <c r="CF103" i="25"/>
  <c r="CF405" i="25" s="1"/>
  <c r="CF31" i="25"/>
  <c r="Y403" i="25"/>
  <c r="DA251" i="25"/>
  <c r="CZ103" i="25"/>
  <c r="CZ31" i="25"/>
  <c r="CV197" i="571"/>
  <c r="AM118" i="25"/>
  <c r="AO188" i="25"/>
  <c r="AO189" i="25" s="1"/>
  <c r="CV346" i="25"/>
  <c r="AA162" i="571"/>
  <c r="AA161" i="571"/>
  <c r="CU380" i="25"/>
  <c r="CT302" i="25"/>
  <c r="AY101" i="25"/>
  <c r="BD88" i="25"/>
  <c r="BW336" i="25"/>
  <c r="BW320" i="25"/>
  <c r="BW338" i="25"/>
  <c r="BW347" i="25"/>
  <c r="DC334" i="25"/>
  <c r="DC345" i="25"/>
  <c r="DC346" i="25"/>
  <c r="DC318" i="25"/>
  <c r="CA108" i="25"/>
  <c r="CF108" i="25"/>
  <c r="AP58" i="25"/>
  <c r="AU83" i="25"/>
  <c r="AP188" i="25"/>
  <c r="AP189" i="25" s="1"/>
  <c r="AP22" i="25"/>
  <c r="AP83" i="25"/>
  <c r="AQ118" i="25"/>
  <c r="O110" i="25"/>
  <c r="O129" i="25" s="1"/>
  <c r="CK325" i="25"/>
  <c r="CK330" i="25" s="1"/>
  <c r="CK326" i="25"/>
  <c r="CK331" i="25" s="1"/>
  <c r="CY387" i="25"/>
  <c r="CZ381" i="25"/>
  <c r="BX127" i="25"/>
  <c r="S118" i="559"/>
  <c r="S39" i="559"/>
  <c r="BZ232" i="25"/>
  <c r="BY238" i="25"/>
  <c r="CZ368" i="25"/>
  <c r="DA368" i="25" s="1"/>
  <c r="CE60" i="25"/>
  <c r="CW137" i="25"/>
  <c r="CW138" i="25"/>
  <c r="CL376" i="25"/>
  <c r="CJ377" i="25"/>
  <c r="CN60" i="25"/>
  <c r="CT272" i="25"/>
  <c r="CZ101" i="25"/>
  <c r="CU241" i="25"/>
  <c r="BE177" i="571"/>
  <c r="CO176" i="571"/>
  <c r="CO174" i="571" s="1"/>
  <c r="CO173" i="571" s="1"/>
  <c r="AB177" i="571"/>
  <c r="O241" i="25"/>
  <c r="EA341" i="25"/>
  <c r="EA257" i="25" s="1"/>
  <c r="EA59" i="25"/>
  <c r="F113" i="25"/>
  <c r="BD60" i="25"/>
  <c r="BD76" i="25" s="1"/>
  <c r="BC105" i="25"/>
  <c r="BW402" i="25"/>
  <c r="BW105" i="25"/>
  <c r="BW67" i="571"/>
  <c r="CG9" i="617"/>
  <c r="CG82" i="25"/>
  <c r="CQ9" i="617"/>
  <c r="CQ402" i="25"/>
  <c r="CV82" i="25"/>
  <c r="DG88" i="25"/>
  <c r="DB101" i="25"/>
  <c r="Z19" i="559"/>
  <c r="Z53" i="559" s="1"/>
  <c r="AF126" i="559"/>
  <c r="AF48" i="559" s="1"/>
  <c r="DH14" i="617"/>
  <c r="AF132" i="559"/>
  <c r="K60" i="25"/>
  <c r="DD68" i="25"/>
  <c r="AB118" i="559" s="1"/>
  <c r="AB39" i="559" s="1"/>
  <c r="DH86" i="25"/>
  <c r="CD315" i="25"/>
  <c r="AE60" i="25"/>
  <c r="AE76" i="25" s="1"/>
  <c r="AU129" i="25"/>
  <c r="AU110" i="25"/>
  <c r="BA129" i="25"/>
  <c r="AZ110" i="25"/>
  <c r="BE110" i="25"/>
  <c r="BJ110" i="25"/>
  <c r="BJ129" i="25"/>
  <c r="BO110" i="25"/>
  <c r="BO129" i="25"/>
  <c r="CP129" i="25"/>
  <c r="CR129" i="25"/>
  <c r="DN119" i="25"/>
  <c r="DM99" i="25"/>
  <c r="DN129" i="25" s="1"/>
  <c r="AL128" i="25"/>
  <c r="DJ241" i="25"/>
  <c r="DN360" i="25"/>
  <c r="DO360" i="25" s="1"/>
  <c r="DN364" i="25"/>
  <c r="DO364" i="25" s="1"/>
  <c r="DN357" i="25"/>
  <c r="DO357" i="25" s="1"/>
  <c r="DP357" i="25" s="1"/>
  <c r="DN382" i="25"/>
  <c r="DN294" i="25" s="1"/>
  <c r="DN296" i="25" s="1"/>
  <c r="DN298" i="25" s="1"/>
  <c r="DN54" i="25" s="1"/>
  <c r="AI274" i="25"/>
  <c r="DB28" i="617"/>
  <c r="DL28" i="617"/>
  <c r="DJ143" i="25"/>
  <c r="DM377" i="25"/>
  <c r="DN361" i="25"/>
  <c r="DO361" i="25" s="1"/>
  <c r="DN366" i="25"/>
  <c r="DO366" i="25" s="1"/>
  <c r="DN372" i="25"/>
  <c r="DO372" i="25" s="1"/>
  <c r="DN380" i="25"/>
  <c r="DO380" i="25" s="1"/>
  <c r="BV118" i="25"/>
  <c r="E45" i="25"/>
  <c r="E92" i="25" s="1"/>
  <c r="CB315" i="25"/>
  <c r="CN297" i="25"/>
  <c r="CA362" i="25"/>
  <c r="CX316" i="25"/>
  <c r="BV348" i="25"/>
  <c r="CA348" i="25"/>
  <c r="EB341" i="25"/>
  <c r="EB257" i="25" s="1"/>
  <c r="EB59" i="25"/>
  <c r="DN356" i="25"/>
  <c r="DO356" i="25" s="1"/>
  <c r="DN362" i="25"/>
  <c r="DO362" i="25" s="1"/>
  <c r="DN368" i="25"/>
  <c r="DO368" i="25" s="1"/>
  <c r="DP368" i="25" s="1"/>
  <c r="DN375" i="25"/>
  <c r="DO375" i="25" s="1"/>
  <c r="DN389" i="25"/>
  <c r="DO389" i="25" s="1"/>
  <c r="J111" i="25"/>
  <c r="BU147" i="25"/>
  <c r="Y147" i="25"/>
  <c r="CX302" i="25"/>
  <c r="CX286" i="25" s="1"/>
  <c r="CB300" i="25"/>
  <c r="CR336" i="25"/>
  <c r="DS151" i="25"/>
  <c r="DX151" i="25" s="1"/>
  <c r="EC151" i="25" s="1"/>
  <c r="DJ311" i="25"/>
  <c r="EC341" i="25"/>
  <c r="EC257" i="25" s="1"/>
  <c r="EC59" i="25"/>
  <c r="DN358" i="25"/>
  <c r="DO358" i="25" s="1"/>
  <c r="DN363" i="25"/>
  <c r="DO363" i="25" s="1"/>
  <c r="DN365" i="25"/>
  <c r="DO365" i="25" s="1"/>
  <c r="DN376" i="25"/>
  <c r="DO376" i="25" s="1"/>
  <c r="DN385" i="25"/>
  <c r="DO385" i="25" s="1"/>
  <c r="DU59" i="25"/>
  <c r="DU35" i="25"/>
  <c r="ED341" i="25"/>
  <c r="ED257" i="25" s="1"/>
  <c r="ED59" i="25"/>
  <c r="EE134" i="25"/>
  <c r="EE341" i="25" s="1"/>
  <c r="DM99" i="617"/>
  <c r="CJ77" i="617"/>
  <c r="CF61" i="617"/>
  <c r="DK72" i="617"/>
  <c r="DB37" i="617"/>
  <c r="CK77" i="617"/>
  <c r="CI76" i="617"/>
  <c r="DM37" i="617"/>
  <c r="DL128" i="617"/>
  <c r="CF53" i="617"/>
  <c r="DE28" i="617"/>
  <c r="DI121" i="617"/>
  <c r="DI120" i="617"/>
  <c r="CM37" i="617"/>
  <c r="DL98" i="617"/>
  <c r="DL72" i="617"/>
  <c r="DI99" i="617"/>
  <c r="CI30" i="617"/>
  <c r="DJ28" i="617"/>
  <c r="DI77" i="617"/>
  <c r="DH99" i="617"/>
  <c r="DC89" i="617"/>
  <c r="DV120" i="617"/>
  <c r="EA120" i="617"/>
  <c r="DC92" i="617"/>
  <c r="DD89" i="617"/>
  <c r="DL121" i="617"/>
  <c r="DG111" i="617"/>
  <c r="DL111" i="617"/>
  <c r="DH126" i="617"/>
  <c r="DL126" i="617"/>
  <c r="DQ120" i="617"/>
  <c r="DT120" i="617"/>
  <c r="DM126" i="617"/>
  <c r="DM111" i="617"/>
  <c r="DY120" i="617"/>
  <c r="DM120" i="617"/>
  <c r="DM114" i="617"/>
  <c r="DM127" i="617" s="1"/>
  <c r="DL120" i="617"/>
  <c r="DH120" i="617"/>
  <c r="DG51" i="613"/>
  <c r="DM121" i="617"/>
  <c r="DD111" i="617"/>
  <c r="DD126" i="617"/>
  <c r="DG126" i="617"/>
  <c r="DJ99" i="617"/>
  <c r="DH104" i="617"/>
  <c r="DE106" i="617"/>
  <c r="DM98" i="617"/>
  <c r="DI106" i="617"/>
  <c r="DH51" i="613"/>
  <c r="DG104" i="617"/>
  <c r="DL49" i="613"/>
  <c r="DL53" i="613"/>
  <c r="DG49" i="613"/>
  <c r="DJ51" i="613"/>
  <c r="DK99" i="617"/>
  <c r="DJ49" i="613"/>
  <c r="DI98" i="617"/>
  <c r="DC105" i="617"/>
  <c r="DD106" i="617"/>
  <c r="DL92" i="617"/>
  <c r="DL105" i="617" s="1"/>
  <c r="DL51" i="613"/>
  <c r="DG105" i="617"/>
  <c r="DE51" i="613"/>
  <c r="DM53" i="613"/>
  <c r="DM49" i="613"/>
  <c r="DH106" i="617"/>
  <c r="DN51" i="613"/>
  <c r="DH49" i="613"/>
  <c r="DE49" i="613"/>
  <c r="DD92" i="617"/>
  <c r="DD105" i="617" s="1"/>
  <c r="DG106" i="617"/>
  <c r="DG89" i="617"/>
  <c r="BI177" i="571"/>
  <c r="BP176" i="571"/>
  <c r="BP174" i="571" s="1"/>
  <c r="BP173" i="571" s="1"/>
  <c r="BG177" i="571"/>
  <c r="CP188" i="571"/>
  <c r="AK177" i="571"/>
  <c r="CI73" i="617"/>
  <c r="CH177" i="571"/>
  <c r="CA176" i="571"/>
  <c r="CA174" i="571" s="1"/>
  <c r="CA173" i="571" s="1"/>
  <c r="AM177" i="571"/>
  <c r="BX158" i="25"/>
  <c r="BX159" i="25" s="1"/>
  <c r="BX160" i="25" s="1"/>
  <c r="CB159" i="25"/>
  <c r="CB160" i="25" s="1"/>
  <c r="CB158" i="25"/>
  <c r="BY139" i="571"/>
  <c r="CY65" i="571"/>
  <c r="CY129" i="571" s="1"/>
  <c r="CL171" i="571"/>
  <c r="J35" i="559" s="1"/>
  <c r="CW72" i="571"/>
  <c r="CW138" i="571" s="1"/>
  <c r="BQ177" i="571"/>
  <c r="BY130" i="571"/>
  <c r="BY144" i="571" s="1"/>
  <c r="CP65" i="571"/>
  <c r="CY139" i="571"/>
  <c r="AP176" i="571"/>
  <c r="AP174" i="571" s="1"/>
  <c r="AP173" i="571" s="1"/>
  <c r="BK176" i="571"/>
  <c r="BK174" i="571" s="1"/>
  <c r="BK173" i="571" s="1"/>
  <c r="CR51" i="617"/>
  <c r="CW72" i="617" s="1"/>
  <c r="CZ52" i="617"/>
  <c r="DE73" i="617" s="1"/>
  <c r="CI66" i="571"/>
  <c r="CI65" i="571" s="1"/>
  <c r="CI129" i="571" s="1"/>
  <c r="CI143" i="571" s="1"/>
  <c r="CQ158" i="571"/>
  <c r="CZ72" i="571"/>
  <c r="CI176" i="571"/>
  <c r="CI174" i="571" s="1"/>
  <c r="CI173" i="571" s="1"/>
  <c r="AK161" i="571"/>
  <c r="CH151" i="25"/>
  <c r="CH152" i="25" s="1"/>
  <c r="CA158" i="25"/>
  <c r="CA159" i="25" s="1"/>
  <c r="CA160" i="25" s="1"/>
  <c r="BV152" i="25"/>
  <c r="BQ158" i="25"/>
  <c r="BQ159" i="25" s="1"/>
  <c r="BQ160" i="25" s="1"/>
  <c r="AH176" i="571"/>
  <c r="AH174" i="571" s="1"/>
  <c r="AH173" i="571" s="1"/>
  <c r="N93" i="559"/>
  <c r="BY66" i="571"/>
  <c r="AE156" i="559"/>
  <c r="AN45" i="559"/>
  <c r="CR176" i="571"/>
  <c r="CR174" i="571" s="1"/>
  <c r="CR173" i="571" s="1"/>
  <c r="CN72" i="571"/>
  <c r="CS68" i="571"/>
  <c r="CI73" i="571"/>
  <c r="CI72" i="571" s="1"/>
  <c r="CI138" i="571" s="1"/>
  <c r="CR66" i="571"/>
  <c r="DE176" i="571"/>
  <c r="DE174" i="571" s="1"/>
  <c r="DE173" i="571" s="1"/>
  <c r="CB158" i="571"/>
  <c r="BL177" i="571"/>
  <c r="CL158" i="571"/>
  <c r="CL52" i="617" s="1"/>
  <c r="CK151" i="25"/>
  <c r="CM151" i="25" s="1"/>
  <c r="CN151" i="25" s="1"/>
  <c r="CN152" i="25" s="1"/>
  <c r="CV169" i="25"/>
  <c r="H99" i="559"/>
  <c r="M88" i="559"/>
  <c r="O168" i="571"/>
  <c r="O169" i="571" s="1"/>
  <c r="CT66" i="571"/>
  <c r="CT65" i="571" s="1"/>
  <c r="CT129" i="571" s="1"/>
  <c r="CY134" i="571" s="1"/>
  <c r="AH177" i="571"/>
  <c r="G177" i="571"/>
  <c r="I101" i="571"/>
  <c r="BQ152" i="25"/>
  <c r="AI43" i="559"/>
  <c r="DK15" i="613" s="1"/>
  <c r="DG72" i="617"/>
  <c r="DH53" i="617"/>
  <c r="DH84" i="617" s="1"/>
  <c r="DK167" i="25"/>
  <c r="CZ188" i="571"/>
  <c r="CZ190" i="571" s="1"/>
  <c r="DF163" i="25"/>
  <c r="DF178" i="25" s="1"/>
  <c r="DF181" i="25" s="1"/>
  <c r="CG158" i="571"/>
  <c r="CD130" i="571"/>
  <c r="CG171" i="571"/>
  <c r="CG220" i="571" s="1"/>
  <c r="CG49" i="617" s="1"/>
  <c r="CZ176" i="571"/>
  <c r="CZ174" i="571" s="1"/>
  <c r="CZ173" i="571" s="1"/>
  <c r="CT51" i="617"/>
  <c r="CY72" i="617" s="1"/>
  <c r="CP68" i="571"/>
  <c r="CP130" i="571"/>
  <c r="CI51" i="617"/>
  <c r="CI53" i="617" s="1"/>
  <c r="DK169" i="25"/>
  <c r="CN188" i="571"/>
  <c r="CC177" i="571"/>
  <c r="CU73" i="571"/>
  <c r="I93" i="559"/>
  <c r="CR130" i="571"/>
  <c r="AT177" i="571"/>
  <c r="AI67" i="571"/>
  <c r="AI99" i="571" s="1"/>
  <c r="AD67" i="571"/>
  <c r="AD99" i="571" s="1"/>
  <c r="H101" i="571"/>
  <c r="BL152" i="25"/>
  <c r="CU68" i="571"/>
  <c r="T159" i="571"/>
  <c r="T177" i="571" s="1"/>
  <c r="CB163" i="25"/>
  <c r="CB178" i="25" s="1"/>
  <c r="CB181" i="25" s="1"/>
  <c r="CO177" i="571"/>
  <c r="CJ177" i="571"/>
  <c r="CD176" i="571"/>
  <c r="CD174" i="571" s="1"/>
  <c r="CD173" i="571" s="1"/>
  <c r="BS176" i="571"/>
  <c r="BS174" i="571" s="1"/>
  <c r="BS173" i="571" s="1"/>
  <c r="BL176" i="571"/>
  <c r="BL174" i="571" s="1"/>
  <c r="BL173" i="571" s="1"/>
  <c r="AR177" i="571"/>
  <c r="BS158" i="25"/>
  <c r="BS159" i="25" s="1"/>
  <c r="BS160" i="25" s="1"/>
  <c r="DE216" i="571"/>
  <c r="DK163" i="25"/>
  <c r="DK178" i="25" s="1"/>
  <c r="DK181" i="25" s="1"/>
  <c r="CD53" i="617"/>
  <c r="CC65" i="571"/>
  <c r="CW65" i="571"/>
  <c r="CW129" i="571" s="1"/>
  <c r="CW188" i="571"/>
  <c r="CW208" i="571" s="1"/>
  <c r="G79" i="559"/>
  <c r="G27" i="559"/>
  <c r="W176" i="571"/>
  <c r="W174" i="571" s="1"/>
  <c r="W173" i="571" s="1"/>
  <c r="BK152" i="25"/>
  <c r="AD161" i="559"/>
  <c r="K99" i="559"/>
  <c r="CT52" i="617"/>
  <c r="CT73" i="617" s="1"/>
  <c r="CT176" i="571"/>
  <c r="CT174" i="571" s="1"/>
  <c r="CT173" i="571" s="1"/>
  <c r="BI176" i="571"/>
  <c r="BI174" i="571" s="1"/>
  <c r="BI173" i="571" s="1"/>
  <c r="BD161" i="571"/>
  <c r="BD162" i="571"/>
  <c r="BD176" i="571"/>
  <c r="BD174" i="571" s="1"/>
  <c r="BD173" i="571" s="1"/>
  <c r="CH130" i="571"/>
  <c r="CM73" i="571"/>
  <c r="CM139" i="571" s="1"/>
  <c r="CH66" i="571"/>
  <c r="BX66" i="571"/>
  <c r="CC73" i="571"/>
  <c r="CI77" i="617"/>
  <c r="CE61" i="617"/>
  <c r="CI68" i="571"/>
  <c r="T158" i="571"/>
  <c r="T176" i="571" s="1"/>
  <c r="T174" i="571" s="1"/>
  <c r="T173" i="571" s="1"/>
  <c r="CK68" i="571"/>
  <c r="BW158" i="571"/>
  <c r="AE162" i="571"/>
  <c r="DE198" i="571"/>
  <c r="DE63" i="617" s="1"/>
  <c r="DJ76" i="617" s="1"/>
  <c r="AS158" i="571"/>
  <c r="AS162" i="571"/>
  <c r="F99" i="559"/>
  <c r="CO66" i="571"/>
  <c r="BX130" i="571"/>
  <c r="CE139" i="571"/>
  <c r="CE150" i="571" s="1"/>
  <c r="R161" i="571"/>
  <c r="T161" i="571" s="1"/>
  <c r="CT73" i="571"/>
  <c r="CO130" i="571"/>
  <c r="CO144" i="571" s="1"/>
  <c r="G77" i="559"/>
  <c r="CS65" i="571"/>
  <c r="CS129" i="571" s="1"/>
  <c r="CS188" i="571"/>
  <c r="CR73" i="571"/>
  <c r="CM130" i="571"/>
  <c r="CM66" i="571"/>
  <c r="CM65" i="571" s="1"/>
  <c r="CM51" i="617"/>
  <c r="CM53" i="617" s="1"/>
  <c r="CX73" i="571"/>
  <c r="CX139" i="571" s="1"/>
  <c r="CS130" i="571"/>
  <c r="CS51" i="617"/>
  <c r="CS72" i="617" s="1"/>
  <c r="BK162" i="571"/>
  <c r="BN152" i="25"/>
  <c r="X161" i="571"/>
  <c r="X162" i="571"/>
  <c r="CS139" i="571"/>
  <c r="CS72" i="571"/>
  <c r="CS138" i="571" s="1"/>
  <c r="CW52" i="617"/>
  <c r="CR52" i="617"/>
  <c r="CR73" i="617" s="1"/>
  <c r="DA171" i="571"/>
  <c r="DA220" i="571" s="1"/>
  <c r="DA49" i="617" s="1"/>
  <c r="G168" i="571"/>
  <c r="G169" i="571" s="1"/>
  <c r="H176" i="571"/>
  <c r="G176" i="571"/>
  <c r="CC51" i="617"/>
  <c r="CC53" i="617" s="1"/>
  <c r="CH73" i="571"/>
  <c r="BX73" i="571"/>
  <c r="BS130" i="571"/>
  <c r="BS66" i="571"/>
  <c r="K79" i="559"/>
  <c r="K77" i="559"/>
  <c r="DH73" i="617"/>
  <c r="CC61" i="617"/>
  <c r="CK76" i="617"/>
  <c r="DI53" i="617"/>
  <c r="DI84" i="617" s="1"/>
  <c r="DB176" i="571"/>
  <c r="DB174" i="571" s="1"/>
  <c r="DB173" i="571" s="1"/>
  <c r="DD68" i="571"/>
  <c r="Q162" i="571"/>
  <c r="AJ176" i="571"/>
  <c r="AJ174" i="571" s="1"/>
  <c r="AJ173" i="571" s="1"/>
  <c r="CW176" i="571"/>
  <c r="CW174" i="571" s="1"/>
  <c r="CW173" i="571" s="1"/>
  <c r="BY176" i="571"/>
  <c r="BY174" i="571" s="1"/>
  <c r="BY173" i="571" s="1"/>
  <c r="CY176" i="571"/>
  <c r="CY174" i="571" s="1"/>
  <c r="CY173" i="571" s="1"/>
  <c r="Z177" i="571"/>
  <c r="AC177" i="571"/>
  <c r="DB139" i="571"/>
  <c r="BH158" i="571"/>
  <c r="AV176" i="571"/>
  <c r="AV174" i="571" s="1"/>
  <c r="AV173" i="571" s="1"/>
  <c r="AQ176" i="571"/>
  <c r="AQ174" i="571" s="1"/>
  <c r="AQ173" i="571" s="1"/>
  <c r="CH51" i="617"/>
  <c r="AQ161" i="571"/>
  <c r="BW165" i="25"/>
  <c r="BW163" i="25" s="1"/>
  <c r="BW178" i="25" s="1"/>
  <c r="CE177" i="571"/>
  <c r="K27" i="559"/>
  <c r="V177" i="571"/>
  <c r="AB161" i="571"/>
  <c r="AB162" i="571"/>
  <c r="AG176" i="571"/>
  <c r="AG174" i="571" s="1"/>
  <c r="AG173" i="571" s="1"/>
  <c r="AX158" i="571"/>
  <c r="M93" i="559"/>
  <c r="M91" i="559"/>
  <c r="H93" i="559"/>
  <c r="H91" i="559"/>
  <c r="L86" i="559"/>
  <c r="L88" i="559"/>
  <c r="G88" i="559"/>
  <c r="G86" i="559"/>
  <c r="AD151" i="559"/>
  <c r="BU158" i="25"/>
  <c r="BU159" i="25" s="1"/>
  <c r="BU160" i="25" s="1"/>
  <c r="BH159" i="571"/>
  <c r="CQ171" i="571"/>
  <c r="CQ220" i="571" s="1"/>
  <c r="O14" i="559" s="1"/>
  <c r="AP177" i="571"/>
  <c r="CJ52" i="617"/>
  <c r="CO73" i="617" s="1"/>
  <c r="CJ176" i="571"/>
  <c r="CJ174" i="571" s="1"/>
  <c r="CJ173" i="571" s="1"/>
  <c r="BJ162" i="571"/>
  <c r="BM162" i="571" s="1"/>
  <c r="BJ177" i="571"/>
  <c r="BQ13" i="571"/>
  <c r="BM12" i="571"/>
  <c r="BR60" i="571" s="1"/>
  <c r="F86" i="559"/>
  <c r="F88" i="559"/>
  <c r="M27" i="559"/>
  <c r="M79" i="559"/>
  <c r="CW139" i="571"/>
  <c r="DC236" i="571"/>
  <c r="AI161" i="559"/>
  <c r="DM72" i="617"/>
  <c r="DM73" i="617"/>
  <c r="AW162" i="571"/>
  <c r="AZ176" i="571"/>
  <c r="AZ174" i="571" s="1"/>
  <c r="AZ173" i="571" s="1"/>
  <c r="CT130" i="571"/>
  <c r="CH52" i="617"/>
  <c r="CE165" i="571"/>
  <c r="CE168" i="571"/>
  <c r="CE162" i="571" s="1"/>
  <c r="CV171" i="571"/>
  <c r="CG152" i="25"/>
  <c r="CM176" i="571"/>
  <c r="CM174" i="571" s="1"/>
  <c r="CM173" i="571" s="1"/>
  <c r="BZ73" i="571"/>
  <c r="M99" i="559"/>
  <c r="BE161" i="571"/>
  <c r="BE176" i="571"/>
  <c r="BE174" i="571" s="1"/>
  <c r="BE173" i="571" s="1"/>
  <c r="BE162" i="571"/>
  <c r="F91" i="559"/>
  <c r="F93" i="559"/>
  <c r="L79" i="559"/>
  <c r="L27" i="559"/>
  <c r="L77" i="559"/>
  <c r="CX51" i="617"/>
  <c r="DC73" i="571"/>
  <c r="CE176" i="571"/>
  <c r="CE174" i="571" s="1"/>
  <c r="CE173" i="571" s="1"/>
  <c r="BW152" i="25"/>
  <c r="AJ177" i="571"/>
  <c r="O177" i="571"/>
  <c r="AN67" i="571"/>
  <c r="AN99" i="571" s="1"/>
  <c r="Y67" i="571"/>
  <c r="Y99" i="571" s="1"/>
  <c r="AD101" i="571" s="1"/>
  <c r="T67" i="571"/>
  <c r="T99" i="571" s="1"/>
  <c r="J101" i="571"/>
  <c r="AI146" i="559"/>
  <c r="AP146" i="559" s="1"/>
  <c r="DH72" i="617"/>
  <c r="T45" i="559"/>
  <c r="T44" i="559"/>
  <c r="DJ345" i="25"/>
  <c r="AE63" i="559"/>
  <c r="DJ310" i="25"/>
  <c r="G332" i="25"/>
  <c r="J332" i="25"/>
  <c r="DJ326" i="25"/>
  <c r="DJ323" i="25"/>
  <c r="DJ322" i="25" s="1"/>
  <c r="DK322" i="25" s="1"/>
  <c r="DK329" i="25" s="1"/>
  <c r="AJ53" i="559"/>
  <c r="CP29" i="617"/>
  <c r="BN176" i="571"/>
  <c r="BN174" i="571" s="1"/>
  <c r="BN173" i="571" s="1"/>
  <c r="CS176" i="571"/>
  <c r="CS174" i="571" s="1"/>
  <c r="CS173" i="571" s="1"/>
  <c r="CL357" i="25"/>
  <c r="BM67" i="571"/>
  <c r="BM99" i="571" s="1"/>
  <c r="DF167" i="25"/>
  <c r="DH327" i="25"/>
  <c r="DH325" i="25" s="1"/>
  <c r="DH330" i="25" s="1"/>
  <c r="DG327" i="25"/>
  <c r="DG326" i="25" s="1"/>
  <c r="DG331" i="25" s="1"/>
  <c r="AX159" i="571"/>
  <c r="BU176" i="571"/>
  <c r="BU174" i="571" s="1"/>
  <c r="BU173" i="571" s="1"/>
  <c r="Q52" i="559"/>
  <c r="CP72" i="617"/>
  <c r="M66" i="559"/>
  <c r="BW159" i="571"/>
  <c r="CB177" i="571" s="1"/>
  <c r="AA177" i="571"/>
  <c r="Z52" i="559"/>
  <c r="DL61" i="617"/>
  <c r="DL36" i="617"/>
  <c r="DJ330" i="25"/>
  <c r="DJ346" i="25"/>
  <c r="DH320" i="25"/>
  <c r="DH347" i="25"/>
  <c r="AE52" i="559"/>
  <c r="I119" i="559"/>
  <c r="F119" i="559"/>
  <c r="CL220" i="571"/>
  <c r="DF319" i="25"/>
  <c r="DF347" i="25"/>
  <c r="DK346" i="25"/>
  <c r="DJ318" i="25"/>
  <c r="AG53" i="559"/>
  <c r="DH336" i="25"/>
  <c r="AX336" i="25"/>
  <c r="AX320" i="25"/>
  <c r="DG318" i="25"/>
  <c r="DH319" i="25"/>
  <c r="AJ65" i="559"/>
  <c r="DG345" i="25"/>
  <c r="S59" i="559"/>
  <c r="BM161" i="571"/>
  <c r="AY162" i="571"/>
  <c r="AY161" i="571"/>
  <c r="CU52" i="617"/>
  <c r="CU53" i="617" s="1"/>
  <c r="CU159" i="571"/>
  <c r="CV159" i="571" s="1"/>
  <c r="CU176" i="571"/>
  <c r="CU174" i="571" s="1"/>
  <c r="CU173" i="571" s="1"/>
  <c r="CP177" i="571"/>
  <c r="CQ159" i="571"/>
  <c r="AU162" i="571"/>
  <c r="AU161" i="571"/>
  <c r="AX161" i="571" s="1"/>
  <c r="AX168" i="571" s="1"/>
  <c r="AW177" i="571"/>
  <c r="AA176" i="571"/>
  <c r="AA174" i="571" s="1"/>
  <c r="AA173" i="571" s="1"/>
  <c r="V162" i="571"/>
  <c r="Y158" i="571"/>
  <c r="V176" i="571"/>
  <c r="V174" i="571" s="1"/>
  <c r="V173" i="571" s="1"/>
  <c r="I168" i="571"/>
  <c r="J176" i="571"/>
  <c r="J174" i="571" s="1"/>
  <c r="J173" i="571" s="1"/>
  <c r="CJ51" i="617"/>
  <c r="CJ66" i="571"/>
  <c r="CF73" i="571"/>
  <c r="CA66" i="571"/>
  <c r="CA130" i="571"/>
  <c r="BV66" i="571"/>
  <c r="CA73" i="571"/>
  <c r="DG370" i="25"/>
  <c r="DI357" i="25"/>
  <c r="DJ357" i="25" s="1"/>
  <c r="DE338" i="25"/>
  <c r="DE320" i="25"/>
  <c r="CZ68" i="571"/>
  <c r="DE68" i="571"/>
  <c r="BD177" i="571"/>
  <c r="AY177" i="571"/>
  <c r="AI327" i="25"/>
  <c r="O65" i="559"/>
  <c r="DB36" i="617"/>
  <c r="DB10" i="617"/>
  <c r="CH28" i="617"/>
  <c r="DI194" i="571"/>
  <c r="DN196" i="571" s="1"/>
  <c r="DI60" i="617"/>
  <c r="DI61" i="617" s="1"/>
  <c r="DE345" i="25"/>
  <c r="DE334" i="25"/>
  <c r="AI158" i="571"/>
  <c r="AK176" i="571"/>
  <c r="AK174" i="571" s="1"/>
  <c r="AK173" i="571" s="1"/>
  <c r="BB162" i="571"/>
  <c r="BB161" i="571"/>
  <c r="BK177" i="571"/>
  <c r="BM159" i="571"/>
  <c r="CL159" i="571"/>
  <c r="CM177" i="571"/>
  <c r="AD334" i="25"/>
  <c r="AD277" i="25"/>
  <c r="AD345" i="25"/>
  <c r="AD323" i="25"/>
  <c r="AD322" i="25" s="1"/>
  <c r="AD329" i="25" s="1"/>
  <c r="AD308" i="25"/>
  <c r="DD318" i="25"/>
  <c r="DD308" i="25"/>
  <c r="DD323" i="25"/>
  <c r="DD322" i="25" s="1"/>
  <c r="DD329" i="25" s="1"/>
  <c r="AD336" i="25"/>
  <c r="AD347" i="25"/>
  <c r="AD319" i="25"/>
  <c r="AD320" i="25"/>
  <c r="AD327" i="25"/>
  <c r="CJ323" i="25"/>
  <c r="CJ322" i="25" s="1"/>
  <c r="CJ329" i="25" s="1"/>
  <c r="CJ345" i="25"/>
  <c r="CJ334" i="25"/>
  <c r="CJ346" i="25"/>
  <c r="CJ277" i="25"/>
  <c r="CJ318" i="25"/>
  <c r="BX347" i="25"/>
  <c r="BX336" i="25"/>
  <c r="BX319" i="25"/>
  <c r="BX338" i="25"/>
  <c r="CA336" i="25"/>
  <c r="CA327" i="25"/>
  <c r="CA347" i="25"/>
  <c r="CA320" i="25"/>
  <c r="CV158" i="571"/>
  <c r="O101" i="571"/>
  <c r="CU188" i="571"/>
  <c r="BC159" i="571"/>
  <c r="CE66" i="571"/>
  <c r="CS52" i="617"/>
  <c r="CS73" i="617" s="1"/>
  <c r="DB391" i="25"/>
  <c r="DB393" i="25" s="1"/>
  <c r="DC392" i="25" s="1"/>
  <c r="DE319" i="25"/>
  <c r="DE318" i="25"/>
  <c r="DJ60" i="617"/>
  <c r="CV152" i="25"/>
  <c r="CZ65" i="571"/>
  <c r="BB176" i="571"/>
  <c r="BB174" i="571" s="1"/>
  <c r="BB173" i="571" s="1"/>
  <c r="AF177" i="571"/>
  <c r="V161" i="571"/>
  <c r="BX327" i="25"/>
  <c r="DC356" i="25"/>
  <c r="T65" i="559"/>
  <c r="X176" i="571"/>
  <c r="X174" i="571" s="1"/>
  <c r="X173" i="571" s="1"/>
  <c r="CK177" i="571"/>
  <c r="CA338" i="25"/>
  <c r="AD318" i="25"/>
  <c r="CJ325" i="25"/>
  <c r="CJ330" i="25" s="1"/>
  <c r="CJ326" i="25"/>
  <c r="CJ331" i="25" s="1"/>
  <c r="CI262" i="25"/>
  <c r="CJ262" i="25"/>
  <c r="CK262" i="25"/>
  <c r="CH262" i="25"/>
  <c r="BY325" i="25"/>
  <c r="BY330" i="25" s="1"/>
  <c r="BY326" i="25"/>
  <c r="BY331" i="25" s="1"/>
  <c r="CX323" i="25"/>
  <c r="CX322" i="25" s="1"/>
  <c r="CX329" i="25" s="1"/>
  <c r="J313" i="25"/>
  <c r="CQ347" i="25"/>
  <c r="CQ320" i="25"/>
  <c r="CQ338" i="25"/>
  <c r="CQ336" i="25"/>
  <c r="CQ327" i="25"/>
  <c r="J334" i="25"/>
  <c r="J318" i="25"/>
  <c r="J310" i="25"/>
  <c r="J277" i="25"/>
  <c r="J346" i="25"/>
  <c r="I338" i="25"/>
  <c r="I319" i="25"/>
  <c r="I347" i="25"/>
  <c r="BV308" i="25"/>
  <c r="BV334" i="25"/>
  <c r="CA323" i="25"/>
  <c r="CA322" i="25" s="1"/>
  <c r="CA329" i="25" s="1"/>
  <c r="CA346" i="25"/>
  <c r="CA334" i="25"/>
  <c r="CA318" i="25"/>
  <c r="CA345" i="25"/>
  <c r="CA308" i="25"/>
  <c r="CF346" i="25"/>
  <c r="CF318" i="25"/>
  <c r="CF345" i="25"/>
  <c r="CF334" i="25"/>
  <c r="CF323" i="25"/>
  <c r="CF322" i="25" s="1"/>
  <c r="CF329" i="25" s="1"/>
  <c r="CH336" i="25"/>
  <c r="CH338" i="25"/>
  <c r="CH320" i="25"/>
  <c r="CH347" i="25"/>
  <c r="CH327" i="25"/>
  <c r="CM347" i="25"/>
  <c r="CM336" i="25"/>
  <c r="CM327" i="25"/>
  <c r="CM320" i="25"/>
  <c r="CM319" i="25"/>
  <c r="CP336" i="25"/>
  <c r="CP327" i="25"/>
  <c r="CP320" i="25"/>
  <c r="CP319" i="25"/>
  <c r="CP347" i="25"/>
  <c r="CP338" i="25"/>
  <c r="CU336" i="25"/>
  <c r="CU347" i="25"/>
  <c r="CU327" i="25"/>
  <c r="CU320" i="25"/>
  <c r="CU338" i="25"/>
  <c r="CZ327" i="25"/>
  <c r="CZ347" i="25"/>
  <c r="CZ319" i="25"/>
  <c r="CZ336" i="25"/>
  <c r="CZ338" i="25"/>
  <c r="CN73" i="617"/>
  <c r="BC334" i="25"/>
  <c r="BC318" i="25"/>
  <c r="BC308" i="25"/>
  <c r="V63" i="559"/>
  <c r="V52" i="559"/>
  <c r="AN159" i="571"/>
  <c r="CC151" i="25"/>
  <c r="CR332" i="25"/>
  <c r="DA327" i="25"/>
  <c r="DA320" i="25"/>
  <c r="DA347" i="25"/>
  <c r="CL318" i="25"/>
  <c r="CL323" i="25"/>
  <c r="CL322" i="25" s="1"/>
  <c r="CL329" i="25" s="1"/>
  <c r="CL334" i="25"/>
  <c r="Y63" i="559"/>
  <c r="CB169" i="25"/>
  <c r="BW180" i="25"/>
  <c r="AI277" i="25"/>
  <c r="AI318" i="25"/>
  <c r="AI345" i="25"/>
  <c r="AI334" i="25"/>
  <c r="AI316" i="25"/>
  <c r="G52" i="559"/>
  <c r="L65" i="559"/>
  <c r="AS347" i="25"/>
  <c r="AS327" i="25"/>
  <c r="AS320" i="25"/>
  <c r="BO152" i="25"/>
  <c r="BP152" i="25"/>
  <c r="BT158" i="25"/>
  <c r="BT159" i="25" s="1"/>
  <c r="BT160" i="25" s="1"/>
  <c r="BU152" i="25"/>
  <c r="BV153" i="25" s="1"/>
  <c r="CE325" i="25"/>
  <c r="CE330" i="25" s="1"/>
  <c r="CE326" i="25"/>
  <c r="CE331" i="25" s="1"/>
  <c r="CE347" i="25"/>
  <c r="CE320" i="25"/>
  <c r="CE338" i="25"/>
  <c r="CE336" i="25"/>
  <c r="CE319" i="25"/>
  <c r="CH176" i="571"/>
  <c r="CH174" i="571" s="1"/>
  <c r="CH173" i="571" s="1"/>
  <c r="BR319" i="25"/>
  <c r="CA277" i="25"/>
  <c r="X65" i="559"/>
  <c r="CJ308" i="25"/>
  <c r="CG357" i="25"/>
  <c r="CH37" i="617"/>
  <c r="T52" i="559"/>
  <c r="Y52" i="559"/>
  <c r="BA177" i="571"/>
  <c r="AA52" i="559"/>
  <c r="P65" i="559"/>
  <c r="L52" i="559"/>
  <c r="CW28" i="617"/>
  <c r="DM143" i="25"/>
  <c r="AK59" i="559"/>
  <c r="AK63" i="559"/>
  <c r="DL14" i="611"/>
  <c r="DI320" i="25"/>
  <c r="DH345" i="25"/>
  <c r="DH323" i="25"/>
  <c r="DH322" i="25" s="1"/>
  <c r="DH329" i="25" s="1"/>
  <c r="AK53" i="559"/>
  <c r="DK103" i="25"/>
  <c r="DK405" i="25" s="1"/>
  <c r="AI19" i="559"/>
  <c r="DK323" i="25"/>
  <c r="DI347" i="25"/>
  <c r="DH346" i="25"/>
  <c r="DH334" i="25"/>
  <c r="K119" i="559"/>
  <c r="K117" i="559"/>
  <c r="P121" i="25"/>
  <c r="P190" i="25"/>
  <c r="P191" i="25" s="1"/>
  <c r="P28" i="25"/>
  <c r="P101" i="25"/>
  <c r="P88" i="25"/>
  <c r="DM191" i="25"/>
  <c r="AJ52" i="559"/>
  <c r="DK320" i="25"/>
  <c r="AH53" i="559"/>
  <c r="DG338" i="25"/>
  <c r="DE331" i="25"/>
  <c r="DF326" i="25"/>
  <c r="DF331" i="25" s="1"/>
  <c r="P76" i="25"/>
  <c r="CF129" i="571"/>
  <c r="BZ332" i="25"/>
  <c r="CG67" i="25"/>
  <c r="CJ68" i="25"/>
  <c r="CE68" i="25"/>
  <c r="CW177" i="571"/>
  <c r="Y14" i="559"/>
  <c r="AC53" i="559"/>
  <c r="BZ101" i="25"/>
  <c r="CE88" i="25"/>
  <c r="BH334" i="25"/>
  <c r="BH318" i="25"/>
  <c r="BH346" i="25"/>
  <c r="BH323" i="25"/>
  <c r="BH322" i="25" s="1"/>
  <c r="BH329" i="25" s="1"/>
  <c r="BH345" i="25"/>
  <c r="S22" i="25"/>
  <c r="S96" i="25"/>
  <c r="X83" i="25"/>
  <c r="S58" i="25"/>
  <c r="S60" i="25" s="1"/>
  <c r="S76" i="25" s="1"/>
  <c r="AX308" i="25"/>
  <c r="BW326" i="25"/>
  <c r="BW331" i="25" s="1"/>
  <c r="BW325" i="25"/>
  <c r="BW330" i="25" s="1"/>
  <c r="AW108" i="25"/>
  <c r="AC162" i="571"/>
  <c r="AC176" i="571"/>
  <c r="AC174" i="571" s="1"/>
  <c r="AC173" i="571" s="1"/>
  <c r="CQ167" i="25"/>
  <c r="CV167" i="25"/>
  <c r="AE101" i="25"/>
  <c r="AF190" i="25"/>
  <c r="AF191" i="25" s="1"/>
  <c r="AE28" i="25"/>
  <c r="AE121" i="25"/>
  <c r="DB104" i="25"/>
  <c r="DB33" i="25"/>
  <c r="AT176" i="571"/>
  <c r="AT174" i="571" s="1"/>
  <c r="AT173" i="571" s="1"/>
  <c r="BY177" i="571"/>
  <c r="CP88" i="25"/>
  <c r="CP190" i="25"/>
  <c r="CP191" i="25" s="1"/>
  <c r="N19" i="559"/>
  <c r="CP28" i="25"/>
  <c r="CU88" i="25"/>
  <c r="BE108" i="25"/>
  <c r="AZ127" i="25"/>
  <c r="AN22" i="25"/>
  <c r="AS83" i="25"/>
  <c r="AT101" i="25"/>
  <c r="AT28" i="25"/>
  <c r="AK188" i="25"/>
  <c r="AK189" i="25" s="1"/>
  <c r="AJ118" i="25"/>
  <c r="AH118" i="25"/>
  <c r="CV96" i="25"/>
  <c r="P162" i="571"/>
  <c r="U176" i="571"/>
  <c r="U174" i="571" s="1"/>
  <c r="U173" i="571" s="1"/>
  <c r="Z161" i="571"/>
  <c r="Z162" i="571"/>
  <c r="AE176" i="571"/>
  <c r="AE174" i="571" s="1"/>
  <c r="AE173" i="571" s="1"/>
  <c r="AD158" i="571"/>
  <c r="DD28" i="25"/>
  <c r="DD101" i="25"/>
  <c r="DD88" i="25"/>
  <c r="CB320" i="25"/>
  <c r="CB338" i="25"/>
  <c r="CB347" i="25"/>
  <c r="CB336" i="25"/>
  <c r="CB319" i="25"/>
  <c r="Q96" i="25"/>
  <c r="Q22" i="25"/>
  <c r="Q58" i="25"/>
  <c r="Q83" i="25"/>
  <c r="BU262" i="25"/>
  <c r="BS262" i="25"/>
  <c r="BT262" i="25"/>
  <c r="DC30" i="25"/>
  <c r="DC31" i="25"/>
  <c r="AB53" i="559"/>
  <c r="AG60" i="559" s="1"/>
  <c r="AB66" i="559"/>
  <c r="AV108" i="25"/>
  <c r="AK28" i="25"/>
  <c r="AK121" i="25"/>
  <c r="AL121" i="25"/>
  <c r="AK88" i="25"/>
  <c r="AK101" i="25"/>
  <c r="DA345" i="25"/>
  <c r="DA318" i="25"/>
  <c r="DA308" i="25"/>
  <c r="DA334" i="25"/>
  <c r="DA323" i="25"/>
  <c r="DA322" i="25" s="1"/>
  <c r="DA329" i="25" s="1"/>
  <c r="CB326" i="25"/>
  <c r="CB331" i="25" s="1"/>
  <c r="CB325" i="25"/>
  <c r="CB330" i="25" s="1"/>
  <c r="CQ165" i="25"/>
  <c r="CQ163" i="25" s="1"/>
  <c r="CQ178" i="25" s="1"/>
  <c r="CQ181" i="25" s="1"/>
  <c r="CL167" i="25"/>
  <c r="CQ169" i="25"/>
  <c r="CZ357" i="25"/>
  <c r="DA357" i="25" s="1"/>
  <c r="G345" i="25"/>
  <c r="G308" i="25"/>
  <c r="G277" i="25"/>
  <c r="H319" i="25"/>
  <c r="H347" i="25"/>
  <c r="H320" i="25"/>
  <c r="H327" i="25"/>
  <c r="H338" i="25"/>
  <c r="BS319" i="25"/>
  <c r="BS347" i="25"/>
  <c r="BS320" i="25"/>
  <c r="BS327" i="25"/>
  <c r="BS338" i="25"/>
  <c r="CT336" i="25"/>
  <c r="CT347" i="25"/>
  <c r="CT319" i="25"/>
  <c r="CT327" i="25"/>
  <c r="CY319" i="25"/>
  <c r="CY320" i="25"/>
  <c r="CY327" i="25"/>
  <c r="CY338" i="25"/>
  <c r="CY336" i="25"/>
  <c r="CY347" i="25"/>
  <c r="AN323" i="25"/>
  <c r="AN322" i="25" s="1"/>
  <c r="AN329" i="25" s="1"/>
  <c r="AN334" i="25"/>
  <c r="AN308" i="25"/>
  <c r="AN346" i="25"/>
  <c r="AN345" i="25"/>
  <c r="AN277" i="25"/>
  <c r="CC346" i="25"/>
  <c r="CC308" i="25"/>
  <c r="CC345" i="25"/>
  <c r="CK308" i="25"/>
  <c r="CK334" i="25"/>
  <c r="CK323" i="25"/>
  <c r="CK322" i="25" s="1"/>
  <c r="CK329" i="25" s="1"/>
  <c r="CU28" i="617"/>
  <c r="CZ28" i="617"/>
  <c r="CG323" i="25"/>
  <c r="CG322" i="25" s="1"/>
  <c r="CG329" i="25" s="1"/>
  <c r="CG332" i="25" s="1"/>
  <c r="CG334" i="25"/>
  <c r="AZ188" i="25"/>
  <c r="AZ189" i="25" s="1"/>
  <c r="AZ58" i="25"/>
  <c r="D104" i="25"/>
  <c r="E113" i="25" s="1"/>
  <c r="D41" i="25"/>
  <c r="H356" i="25"/>
  <c r="H370" i="25" s="1"/>
  <c r="H104" i="25"/>
  <c r="H406" i="25"/>
  <c r="H280" i="25"/>
  <c r="H285" i="25" s="1"/>
  <c r="H287" i="25" s="1"/>
  <c r="H90" i="25"/>
  <c r="BY346" i="25"/>
  <c r="BY318" i="25"/>
  <c r="BY323" i="25"/>
  <c r="BY322" i="25" s="1"/>
  <c r="BY329" i="25" s="1"/>
  <c r="BY334" i="25"/>
  <c r="CD319" i="25"/>
  <c r="CD327" i="25"/>
  <c r="CD320" i="25"/>
  <c r="AE177" i="571"/>
  <c r="BT332" i="25"/>
  <c r="BV318" i="25"/>
  <c r="BV323" i="25"/>
  <c r="BV322" i="25" s="1"/>
  <c r="BV329" i="25" s="1"/>
  <c r="CO346" i="25"/>
  <c r="CO345" i="25"/>
  <c r="CO323" i="25"/>
  <c r="CO322" i="25" s="1"/>
  <c r="CO329" i="25" s="1"/>
  <c r="CO308" i="25"/>
  <c r="CO318" i="25"/>
  <c r="CX346" i="25"/>
  <c r="CX345" i="25"/>
  <c r="CX308" i="25"/>
  <c r="CX318" i="25"/>
  <c r="CX277" i="25"/>
  <c r="CX334" i="25"/>
  <c r="Y143" i="25"/>
  <c r="DI143" i="25"/>
  <c r="DB258" i="25"/>
  <c r="DB253" i="25" s="1"/>
  <c r="DB252" i="25" s="1"/>
  <c r="DB259" i="25" s="1"/>
  <c r="BR67" i="571"/>
  <c r="BR99" i="571" s="1"/>
  <c r="BC67" i="571"/>
  <c r="BC99" i="571" s="1"/>
  <c r="AD147" i="25"/>
  <c r="BV345" i="25"/>
  <c r="BV346" i="25"/>
  <c r="CO28" i="617"/>
  <c r="E43" i="25"/>
  <c r="BR298" i="25"/>
  <c r="BX315" i="25"/>
  <c r="BM298" i="25"/>
  <c r="CT24" i="617"/>
  <c r="CE24" i="617"/>
  <c r="DM24" i="617"/>
  <c r="BM44" i="25"/>
  <c r="CT44" i="25"/>
  <c r="CE44" i="25"/>
  <c r="CE315" i="25"/>
  <c r="CB44" i="25"/>
  <c r="CQ51" i="25"/>
  <c r="CY24" i="617"/>
  <c r="E46" i="25"/>
  <c r="DF159" i="571"/>
  <c r="CY177" i="571"/>
  <c r="DL177" i="571"/>
  <c r="N64" i="559"/>
  <c r="N51" i="559"/>
  <c r="CP128" i="25"/>
  <c r="DC206" i="571"/>
  <c r="DC128" i="25"/>
  <c r="DC194" i="571"/>
  <c r="DC60" i="617"/>
  <c r="DC61" i="617" s="1"/>
  <c r="V76" i="25"/>
  <c r="AG51" i="559"/>
  <c r="AF51" i="559"/>
  <c r="CP112" i="25"/>
  <c r="BL76" i="25"/>
  <c r="DL195" i="571"/>
  <c r="DL84" i="25"/>
  <c r="DN118" i="25"/>
  <c r="CN97" i="25"/>
  <c r="CR76" i="25"/>
  <c r="DH195" i="571"/>
  <c r="DH11" i="617"/>
  <c r="DH36" i="617" s="1"/>
  <c r="DH97" i="25"/>
  <c r="DI118" i="25"/>
  <c r="DH76" i="25"/>
  <c r="DH201" i="571" s="1"/>
  <c r="DH213" i="571" s="1"/>
  <c r="DH84" i="25"/>
  <c r="AN147" i="25"/>
  <c r="G43" i="25"/>
  <c r="CF24" i="617"/>
  <c r="CF315" i="25"/>
  <c r="CZ315" i="25"/>
  <c r="K45" i="25"/>
  <c r="DJ24" i="617"/>
  <c r="CF44" i="25"/>
  <c r="CU44" i="25"/>
  <c r="BV315" i="25"/>
  <c r="O52" i="25"/>
  <c r="BY315" i="25"/>
  <c r="AD42" i="559"/>
  <c r="DV45" i="571"/>
  <c r="DV48" i="617" s="1"/>
  <c r="DX45" i="571"/>
  <c r="DX48" i="617" s="1"/>
  <c r="DZ382" i="25"/>
  <c r="DZ240" i="25" s="1"/>
  <c r="BS68" i="25"/>
  <c r="DH13" i="617"/>
  <c r="DM30" i="617" s="1"/>
  <c r="DI119" i="25"/>
  <c r="CO30" i="617"/>
  <c r="DT128" i="571"/>
  <c r="O281" i="25"/>
  <c r="O272" i="25"/>
  <c r="AI281" i="25"/>
  <c r="Y358" i="25"/>
  <c r="AR78" i="25"/>
  <c r="BR78" i="25"/>
  <c r="AD274" i="25"/>
  <c r="AD276" i="25"/>
  <c r="I272" i="25"/>
  <c r="I370" i="25"/>
  <c r="I281" i="25"/>
  <c r="F285" i="25"/>
  <c r="F287" i="25" s="1"/>
  <c r="AQ100" i="25"/>
  <c r="S78" i="25"/>
  <c r="T78" i="25" s="1"/>
  <c r="BA78" i="25"/>
  <c r="J285" i="25"/>
  <c r="J287" i="25" s="1"/>
  <c r="AI276" i="25"/>
  <c r="AK126" i="559"/>
  <c r="AK48" i="559" s="1"/>
  <c r="CJ30" i="617"/>
  <c r="AR68" i="25"/>
  <c r="AW68" i="25"/>
  <c r="AH68" i="25"/>
  <c r="AC68" i="25"/>
  <c r="AP68" i="25"/>
  <c r="AK68" i="25"/>
  <c r="X68" i="25"/>
  <c r="DL119" i="25"/>
  <c r="CI110" i="25"/>
  <c r="DP36" i="25"/>
  <c r="CD110" i="25"/>
  <c r="BC68" i="25"/>
  <c r="BZ68" i="25"/>
  <c r="DM119" i="25"/>
  <c r="DR171" i="571"/>
  <c r="DR220" i="571" s="1"/>
  <c r="DY22" i="613"/>
  <c r="DZ22" i="613" s="1"/>
  <c r="DE126" i="617"/>
  <c r="DC111" i="617"/>
  <c r="DK106" i="617"/>
  <c r="DM92" i="617"/>
  <c r="DM105" i="617" s="1"/>
  <c r="DL106" i="617"/>
  <c r="DL104" i="617"/>
  <c r="DU22" i="613"/>
  <c r="DT48" i="617"/>
  <c r="DS48" i="617"/>
  <c r="DE39" i="571"/>
  <c r="DE59" i="571"/>
  <c r="DE33" i="571"/>
  <c r="CA42" i="571"/>
  <c r="BV130" i="571"/>
  <c r="CA35" i="571"/>
  <c r="BV36" i="571"/>
  <c r="BV37" i="571" s="1"/>
  <c r="BV56" i="571"/>
  <c r="BW34" i="571"/>
  <c r="BV60" i="571"/>
  <c r="CP40" i="571"/>
  <c r="CP32" i="571" s="1"/>
  <c r="CU33" i="571" s="1"/>
  <c r="CO32" i="571"/>
  <c r="CU59" i="571"/>
  <c r="CZ33" i="571"/>
  <c r="CV32" i="571"/>
  <c r="CU39" i="571"/>
  <c r="CA139" i="571"/>
  <c r="DH17" i="571"/>
  <c r="DG17" i="571"/>
  <c r="DI17" i="571"/>
  <c r="DB20" i="571"/>
  <c r="CE58" i="617"/>
  <c r="DE53" i="617"/>
  <c r="DE84" i="617" s="1"/>
  <c r="Y44" i="559"/>
  <c r="T43" i="559"/>
  <c r="Y43" i="559"/>
  <c r="J177" i="571"/>
  <c r="W46" i="559"/>
  <c r="R46" i="559"/>
  <c r="Y45" i="559"/>
  <c r="V46" i="559"/>
  <c r="U46" i="559"/>
  <c r="DM53" i="617"/>
  <c r="AS67" i="571"/>
  <c r="AS99" i="571" s="1"/>
  <c r="AS101" i="571" s="1"/>
  <c r="S46" i="559"/>
  <c r="Q46" i="559"/>
  <c r="DG53" i="617"/>
  <c r="DG84" i="617" s="1"/>
  <c r="P46" i="559"/>
  <c r="T42" i="559"/>
  <c r="BR303" i="25"/>
  <c r="DA54" i="25"/>
  <c r="CV54" i="25"/>
  <c r="BS102" i="25"/>
  <c r="BS131" i="25" s="1"/>
  <c r="E100" i="25"/>
  <c r="F87" i="25"/>
  <c r="E87" i="25"/>
  <c r="DM104" i="25"/>
  <c r="DM33" i="25"/>
  <c r="DM280" i="25" s="1"/>
  <c r="CA33" i="25"/>
  <c r="CA43" i="25" s="1"/>
  <c r="CA104" i="25"/>
  <c r="CA41" i="25"/>
  <c r="CA398" i="25" s="1"/>
  <c r="BN405" i="25"/>
  <c r="BD111" i="25"/>
  <c r="G87" i="25"/>
  <c r="G100" i="25"/>
  <c r="G111" i="25" s="1"/>
  <c r="AU104" i="25"/>
  <c r="AU41" i="25"/>
  <c r="AU43" i="25"/>
  <c r="BL104" i="25"/>
  <c r="H100" i="25"/>
  <c r="I87" i="25"/>
  <c r="H87" i="25"/>
  <c r="DJ329" i="25"/>
  <c r="DK230" i="25"/>
  <c r="DK239" i="25" s="1"/>
  <c r="DK241" i="25" s="1"/>
  <c r="DK311" i="25"/>
  <c r="DK312" i="25"/>
  <c r="DK309" i="25"/>
  <c r="DM28" i="617"/>
  <c r="AK66" i="559"/>
  <c r="DK325" i="25"/>
  <c r="DK330" i="25" s="1"/>
  <c r="DK99" i="25"/>
  <c r="AI18" i="559"/>
  <c r="DP273" i="25"/>
  <c r="DI36" i="617"/>
  <c r="DI338" i="25"/>
  <c r="DH274" i="25"/>
  <c r="AF53" i="559"/>
  <c r="AF60" i="559" s="1"/>
  <c r="DG325" i="25"/>
  <c r="DG330" i="25" s="1"/>
  <c r="DG336" i="25"/>
  <c r="DG320" i="25"/>
  <c r="DG308" i="25"/>
  <c r="DG346" i="25"/>
  <c r="DG323" i="25"/>
  <c r="DG322" i="25" s="1"/>
  <c r="DG329" i="25" s="1"/>
  <c r="DM336" i="25"/>
  <c r="DM319" i="25"/>
  <c r="DM347" i="25"/>
  <c r="DM338" i="25"/>
  <c r="DM327" i="25"/>
  <c r="DM320" i="25"/>
  <c r="DL335" i="25"/>
  <c r="AH63" i="559"/>
  <c r="AH52" i="559"/>
  <c r="DK98" i="25"/>
  <c r="AE66" i="559"/>
  <c r="DG319" i="25"/>
  <c r="DM323" i="25"/>
  <c r="DM322" i="25" s="1"/>
  <c r="DM318" i="25"/>
  <c r="DM345" i="25"/>
  <c r="DM334" i="25"/>
  <c r="DL347" i="25"/>
  <c r="DL336" i="25"/>
  <c r="DL320" i="25"/>
  <c r="DL319" i="25"/>
  <c r="DL338" i="25"/>
  <c r="DL327" i="25"/>
  <c r="DL10" i="617"/>
  <c r="DL345" i="25"/>
  <c r="DL334" i="25"/>
  <c r="DL323" i="25"/>
  <c r="DL322" i="25" s="1"/>
  <c r="DL329" i="25" s="1"/>
  <c r="DL318" i="25"/>
  <c r="DI327" i="25"/>
  <c r="DQ60" i="617"/>
  <c r="T97" i="25"/>
  <c r="AE162" i="25"/>
  <c r="AE166" i="25" s="1"/>
  <c r="AF162" i="25" s="1"/>
  <c r="AF166" i="25" s="1"/>
  <c r="AG162" i="25" s="1"/>
  <c r="AG166" i="25" s="1"/>
  <c r="AH162" i="25" s="1"/>
  <c r="AH166" i="25" s="1"/>
  <c r="AD166" i="25"/>
  <c r="AD167" i="25" s="1"/>
  <c r="DR63" i="25"/>
  <c r="DR36" i="25" s="1"/>
  <c r="CQ366" i="25"/>
  <c r="BH68" i="25"/>
  <c r="DE301" i="25"/>
  <c r="DE302" i="25" s="1"/>
  <c r="DE286" i="25" s="1"/>
  <c r="DF55" i="25"/>
  <c r="Y97" i="25"/>
  <c r="AY43" i="25"/>
  <c r="BD90" i="25"/>
  <c r="AY104" i="25"/>
  <c r="AY41" i="25"/>
  <c r="DP40" i="25"/>
  <c r="DJ296" i="25"/>
  <c r="DJ298" i="25" s="1"/>
  <c r="DJ54" i="25" s="1"/>
  <c r="DL295" i="25"/>
  <c r="I332" i="25"/>
  <c r="DP59" i="25"/>
  <c r="BV274" i="25"/>
  <c r="DF358" i="25"/>
  <c r="DF135" i="25"/>
  <c r="DF136" i="25" s="1"/>
  <c r="DF9" i="617"/>
  <c r="DK28" i="617" s="1"/>
  <c r="DG117" i="25"/>
  <c r="DE272" i="25"/>
  <c r="DF382" i="25"/>
  <c r="DH216" i="25"/>
  <c r="DI211" i="25"/>
  <c r="DI216" i="25" s="1"/>
  <c r="DK142" i="25"/>
  <c r="CP73" i="617"/>
  <c r="CV363" i="25"/>
  <c r="CZ364" i="25"/>
  <c r="CZ369" i="25" s="1"/>
  <c r="CP368" i="25"/>
  <c r="CQ368" i="25" s="1"/>
  <c r="CV360" i="25"/>
  <c r="CU362" i="25"/>
  <c r="CV362" i="25" s="1"/>
  <c r="CQ367" i="25"/>
  <c r="CL368" i="25"/>
  <c r="CL369" i="25" s="1"/>
  <c r="CV28" i="617"/>
  <c r="BX101" i="25"/>
  <c r="BX112" i="25" s="1"/>
  <c r="CL360" i="25"/>
  <c r="DB15" i="617"/>
  <c r="DB38" i="617" s="1"/>
  <c r="CN53" i="617"/>
  <c r="CN84" i="617" s="1"/>
  <c r="BH67" i="571"/>
  <c r="BH99" i="571" s="1"/>
  <c r="AX67" i="571"/>
  <c r="AX99" i="571" s="1"/>
  <c r="CI315" i="25"/>
  <c r="DG138" i="25"/>
  <c r="DG137" i="25"/>
  <c r="DG13" i="617"/>
  <c r="DL86" i="25"/>
  <c r="DH119" i="25"/>
  <c r="DG99" i="25"/>
  <c r="CC297" i="25"/>
  <c r="CK297" i="25"/>
  <c r="CO297" i="25"/>
  <c r="F46" i="25"/>
  <c r="DG30" i="25"/>
  <c r="DG258" i="25" s="1"/>
  <c r="DG253" i="25" s="1"/>
  <c r="DG252" i="25" s="1"/>
  <c r="DG259" i="25" s="1"/>
  <c r="DG31" i="25"/>
  <c r="DG194" i="571"/>
  <c r="DL196" i="571" s="1"/>
  <c r="DG60" i="617"/>
  <c r="DG61" i="617" s="1"/>
  <c r="G274" i="25"/>
  <c r="CY374" i="25"/>
  <c r="DE28" i="25"/>
  <c r="DH367" i="25"/>
  <c r="DH379" i="25"/>
  <c r="DH387" i="25" s="1"/>
  <c r="DJ88" i="25"/>
  <c r="DL88" i="25"/>
  <c r="DL346" i="25"/>
  <c r="DM138" i="25"/>
  <c r="DM137" i="25"/>
  <c r="DG309" i="25"/>
  <c r="DG310" i="25" s="1"/>
  <c r="DH374" i="25"/>
  <c r="DI28" i="617"/>
  <c r="DH127" i="25"/>
  <c r="DM308" i="25"/>
  <c r="DM346" i="25"/>
  <c r="DE315" i="25"/>
  <c r="DG311" i="25"/>
  <c r="DH362" i="25"/>
  <c r="DI362" i="25" s="1"/>
  <c r="DG377" i="25"/>
  <c r="DH138" i="25"/>
  <c r="DN138" i="25"/>
  <c r="DI137" i="25"/>
  <c r="AG126" i="559"/>
  <c r="AG48" i="559" s="1"/>
  <c r="DI76" i="25"/>
  <c r="DI201" i="571" s="1"/>
  <c r="AG132" i="559"/>
  <c r="DJ138" i="25"/>
  <c r="DJ137" i="25"/>
  <c r="DJ76" i="25"/>
  <c r="DO89" i="25" s="1"/>
  <c r="DJ119" i="25"/>
  <c r="DJ99" i="25"/>
  <c r="DO110" i="25" s="1"/>
  <c r="DL137" i="25"/>
  <c r="DL138" i="25"/>
  <c r="DG216" i="25"/>
  <c r="DH376" i="25"/>
  <c r="DI376" i="25" s="1"/>
  <c r="DJ376" i="25" s="1"/>
  <c r="CR28" i="617"/>
  <c r="CN28" i="617"/>
  <c r="DH194" i="571"/>
  <c r="DM196" i="571" s="1"/>
  <c r="DH60" i="617"/>
  <c r="DH61" i="617" s="1"/>
  <c r="DL33" i="25"/>
  <c r="DL104" i="25"/>
  <c r="DL90" i="25"/>
  <c r="DL308" i="25"/>
  <c r="DH309" i="25"/>
  <c r="DH310" i="25" s="1"/>
  <c r="DI356" i="25"/>
  <c r="DJ356" i="25" s="1"/>
  <c r="DI365" i="25"/>
  <c r="DJ365" i="25" s="1"/>
  <c r="DI382" i="25"/>
  <c r="DJ382" i="25" s="1"/>
  <c r="DI389" i="25"/>
  <c r="DJ389" i="25" s="1"/>
  <c r="DJ363" i="25"/>
  <c r="DJ360" i="25"/>
  <c r="DJ385" i="25"/>
  <c r="DL309" i="25"/>
  <c r="DL310" i="25" s="1"/>
  <c r="DL274" i="25"/>
  <c r="DH88" i="25"/>
  <c r="DH108" i="25"/>
  <c r="DH311" i="25"/>
  <c r="DI108" i="25"/>
  <c r="DI309" i="25"/>
  <c r="DI310" i="25" s="1"/>
  <c r="DI358" i="25"/>
  <c r="DI368" i="25"/>
  <c r="DJ368" i="25" s="1"/>
  <c r="DI375" i="25"/>
  <c r="DJ375" i="25" s="1"/>
  <c r="DI381" i="25"/>
  <c r="DJ381" i="25" s="1"/>
  <c r="DJ364" i="25"/>
  <c r="DJ380" i="25"/>
  <c r="DL76" i="25"/>
  <c r="DQ89" i="25" s="1"/>
  <c r="DM118" i="25"/>
  <c r="DL216" i="25"/>
  <c r="DL241" i="25" s="1"/>
  <c r="DL311" i="25"/>
  <c r="DL387" i="25"/>
  <c r="DM108" i="25"/>
  <c r="DM379" i="25"/>
  <c r="DH28" i="25"/>
  <c r="DI311" i="25"/>
  <c r="DJ127" i="25"/>
  <c r="DJ361" i="25"/>
  <c r="DJ372" i="25"/>
  <c r="DL97" i="25"/>
  <c r="DQ109" i="25" s="1"/>
  <c r="DL108" i="25"/>
  <c r="DI88" i="25"/>
  <c r="DI366" i="25"/>
  <c r="DJ366" i="25" s="1"/>
  <c r="DI28" i="25"/>
  <c r="DI31" i="25" s="1"/>
  <c r="DU134" i="25"/>
  <c r="DU341" i="25" s="1"/>
  <c r="DN374" i="25"/>
  <c r="DO374" i="25" s="1"/>
  <c r="DM302" i="25"/>
  <c r="DM286" i="25" s="1"/>
  <c r="DM367" i="25"/>
  <c r="DM272" i="25"/>
  <c r="CL54" i="25"/>
  <c r="DF52" i="25"/>
  <c r="CH24" i="617"/>
  <c r="DD24" i="617"/>
  <c r="DD315" i="25"/>
  <c r="F315" i="25"/>
  <c r="CU315" i="25"/>
  <c r="CS44" i="25"/>
  <c r="F45" i="25"/>
  <c r="CU24" i="617"/>
  <c r="DI315" i="25"/>
  <c r="CS24" i="617"/>
  <c r="CS315" i="25"/>
  <c r="T52" i="25"/>
  <c r="DG141" i="611"/>
  <c r="DH139" i="611" s="1"/>
  <c r="DH141" i="611" s="1"/>
  <c r="DI139" i="611" s="1"/>
  <c r="DI141" i="611" s="1"/>
  <c r="DJ139" i="611" s="1"/>
  <c r="DJ141" i="611" s="1"/>
  <c r="DL139" i="611" s="1"/>
  <c r="DL141" i="611" s="1"/>
  <c r="DM139" i="611" s="1"/>
  <c r="DM141" i="611" s="1"/>
  <c r="DN139" i="611" s="1"/>
  <c r="DN141" i="611" s="1"/>
  <c r="DO139" i="611" s="1"/>
  <c r="DO141" i="611" s="1"/>
  <c r="DQ139" i="611" s="1"/>
  <c r="DQ141" i="611" s="1"/>
  <c r="DR139" i="611" s="1"/>
  <c r="DR141" i="611" s="1"/>
  <c r="DS139" i="611" s="1"/>
  <c r="DS141" i="611" s="1"/>
  <c r="DT139" i="611" s="1"/>
  <c r="DT141" i="611" s="1"/>
  <c r="DV139" i="611" s="1"/>
  <c r="DV141" i="611" s="1"/>
  <c r="DW139" i="611" s="1"/>
  <c r="DW141" i="611" s="1"/>
  <c r="DX139" i="611" s="1"/>
  <c r="DX141" i="611" s="1"/>
  <c r="DY139" i="611" s="1"/>
  <c r="DY141" i="611" s="1"/>
  <c r="EA139" i="611" s="1"/>
  <c r="EA141" i="611" s="1"/>
  <c r="EB139" i="611" s="1"/>
  <c r="EB141" i="611" s="1"/>
  <c r="EC139" i="611" s="1"/>
  <c r="EC141" i="611" s="1"/>
  <c r="ED139" i="611" s="1"/>
  <c r="ED141" i="611" s="1"/>
  <c r="DG128" i="611"/>
  <c r="DH124" i="611"/>
  <c r="DH128" i="611" s="1"/>
  <c r="DG64" i="611"/>
  <c r="DH62" i="611" s="1"/>
  <c r="DG92" i="611"/>
  <c r="DH90" i="611" s="1"/>
  <c r="DG57" i="611"/>
  <c r="DH55" i="611" s="1"/>
  <c r="DH57" i="611" s="1"/>
  <c r="DE86" i="611"/>
  <c r="DE142" i="611"/>
  <c r="DE72" i="611"/>
  <c r="DE65" i="611"/>
  <c r="DG86" i="611"/>
  <c r="DE93" i="611"/>
  <c r="DE135" i="611"/>
  <c r="DE43" i="611"/>
  <c r="DG41" i="611" s="1"/>
  <c r="DH86" i="611"/>
  <c r="DI37" i="611"/>
  <c r="DJ37" i="611" s="1"/>
  <c r="DB14" i="611"/>
  <c r="DC14" i="611"/>
  <c r="DT96" i="611"/>
  <c r="DH50" i="611"/>
  <c r="DH51" i="611" s="1"/>
  <c r="DH64" i="611"/>
  <c r="DI62" i="611" s="1"/>
  <c r="DI124" i="611"/>
  <c r="DH104" i="611"/>
  <c r="DG107" i="611"/>
  <c r="DI138" i="611"/>
  <c r="DM68" i="611"/>
  <c r="DN68" i="611" s="1"/>
  <c r="DO68" i="611" s="1"/>
  <c r="DQ68" i="611" s="1"/>
  <c r="DR68" i="611" s="1"/>
  <c r="DS68" i="611" s="1"/>
  <c r="DT68" i="611" s="1"/>
  <c r="DV68" i="611" s="1"/>
  <c r="DW68" i="611" s="1"/>
  <c r="DX68" i="611" s="1"/>
  <c r="DY68" i="611" s="1"/>
  <c r="EA68" i="611" s="1"/>
  <c r="DH134" i="611"/>
  <c r="DI132" i="611" s="1"/>
  <c r="DJ103" i="611"/>
  <c r="DH69" i="611"/>
  <c r="DG72" i="611"/>
  <c r="DE162" i="611"/>
  <c r="DG99" i="611"/>
  <c r="DG100" i="611" s="1"/>
  <c r="DH110" i="611"/>
  <c r="DG114" i="611"/>
  <c r="DH145" i="611"/>
  <c r="DG149" i="611"/>
  <c r="DJ159" i="611"/>
  <c r="DJ54" i="611"/>
  <c r="DI78" i="611"/>
  <c r="DJ76" i="611" s="1"/>
  <c r="DJ78" i="611" s="1"/>
  <c r="DL76" i="611" s="1"/>
  <c r="DL131" i="611"/>
  <c r="DJ82" i="611"/>
  <c r="DI86" i="611"/>
  <c r="DJ14" i="611"/>
  <c r="DG14" i="611"/>
  <c r="DM14" i="611"/>
  <c r="DD14" i="611"/>
  <c r="DK15" i="611"/>
  <c r="DI14" i="611"/>
  <c r="DE14" i="611"/>
  <c r="DH14" i="611"/>
  <c r="DQ162" i="611"/>
  <c r="DR160" i="611" s="1"/>
  <c r="DS113" i="611"/>
  <c r="DT111" i="611" s="1"/>
  <c r="DO83" i="611"/>
  <c r="DQ48" i="611"/>
  <c r="DX120" i="617"/>
  <c r="DE39" i="613"/>
  <c r="DE13" i="613"/>
  <c r="DU33" i="613"/>
  <c r="DE52" i="613"/>
  <c r="DE53" i="613" s="1"/>
  <c r="DE116" i="617"/>
  <c r="DE114" i="617" s="1"/>
  <c r="DE127" i="617" s="1"/>
  <c r="DE42" i="613"/>
  <c r="DJ52" i="613"/>
  <c r="DJ53" i="613" s="1"/>
  <c r="DL33" i="613"/>
  <c r="DG20" i="613"/>
  <c r="DD13" i="613"/>
  <c r="DD20" i="613"/>
  <c r="DD25" i="613" s="1"/>
  <c r="DC13" i="613"/>
  <c r="DC20" i="613"/>
  <c r="DN33" i="613"/>
  <c r="DI20" i="613"/>
  <c r="DI25" i="613" s="1"/>
  <c r="DM33" i="613"/>
  <c r="DH20" i="613"/>
  <c r="DH25" i="613" s="1"/>
  <c r="DG13" i="613"/>
  <c r="DX18" i="613"/>
  <c r="DX35" i="613" s="1"/>
  <c r="DR23" i="613"/>
  <c r="DX13" i="613"/>
  <c r="DX33" i="613"/>
  <c r="DR30" i="607"/>
  <c r="DO47" i="613"/>
  <c r="DP32" i="607"/>
  <c r="DR23" i="607"/>
  <c r="DS23" i="607" s="1"/>
  <c r="DT23" i="607" s="1"/>
  <c r="DV23" i="607" s="1"/>
  <c r="DR39" i="607"/>
  <c r="DS39" i="607" s="1"/>
  <c r="DT39" i="607" s="1"/>
  <c r="DV39" i="607" s="1"/>
  <c r="DW39" i="607" s="1"/>
  <c r="DX39" i="607" s="1"/>
  <c r="DY39" i="607" s="1"/>
  <c r="EA39" i="607" s="1"/>
  <c r="EB39" i="607" s="1"/>
  <c r="EC39" i="607" s="1"/>
  <c r="ED39" i="607" s="1"/>
  <c r="DR24" i="607"/>
  <c r="DS24" i="607" s="1"/>
  <c r="DT24" i="607" s="1"/>
  <c r="DV24" i="607" s="1"/>
  <c r="DP19" i="607"/>
  <c r="DO88" i="617"/>
  <c r="DO50" i="613"/>
  <c r="DP13" i="607"/>
  <c r="DP51" i="607" s="1"/>
  <c r="DP166" i="25"/>
  <c r="DP151" i="25"/>
  <c r="DP152" i="25" s="1"/>
  <c r="DP153" i="25" s="1"/>
  <c r="DR52" i="571"/>
  <c r="DR375" i="25"/>
  <c r="DR205" i="25"/>
  <c r="DR367" i="25" s="1"/>
  <c r="DR224" i="25"/>
  <c r="DR229" i="25"/>
  <c r="DU211" i="25"/>
  <c r="DV211" i="25"/>
  <c r="DW211" i="25" s="1"/>
  <c r="DX211" i="25" s="1"/>
  <c r="DY211" i="25" s="1"/>
  <c r="DX59" i="25"/>
  <c r="DX35" i="25" s="1"/>
  <c r="DZ134" i="25"/>
  <c r="DZ341" i="25" s="1"/>
  <c r="DX341" i="25"/>
  <c r="DX257" i="25" s="1"/>
  <c r="DX258" i="25" s="1"/>
  <c r="AD45" i="559"/>
  <c r="X46" i="559"/>
  <c r="AI45" i="559"/>
  <c r="AI42" i="559"/>
  <c r="DY220" i="571"/>
  <c r="DY49" i="617" s="1"/>
  <c r="DY176" i="571"/>
  <c r="DV220" i="571"/>
  <c r="DV49" i="617" s="1"/>
  <c r="DV176" i="571"/>
  <c r="DF14" i="613"/>
  <c r="DF39" i="613" s="1"/>
  <c r="DC39" i="613"/>
  <c r="AD43" i="559"/>
  <c r="DF15" i="613" s="1"/>
  <c r="DK14" i="613"/>
  <c r="DP33" i="613" s="1"/>
  <c r="CO53" i="617"/>
  <c r="CO83" i="617" s="1"/>
  <c r="DK89" i="617"/>
  <c r="DJ98" i="617"/>
  <c r="DI37" i="617"/>
  <c r="DM104" i="617"/>
  <c r="DI104" i="617"/>
  <c r="DI89" i="617"/>
  <c r="DE37" i="617"/>
  <c r="CW37" i="617"/>
  <c r="CU30" i="617"/>
  <c r="CK72" i="617"/>
  <c r="DE61" i="617"/>
  <c r="CR37" i="617"/>
  <c r="DJ120" i="617"/>
  <c r="DE72" i="617"/>
  <c r="CJ28" i="617"/>
  <c r="DL114" i="617"/>
  <c r="DH92" i="617"/>
  <c r="DH89" i="617"/>
  <c r="DJ111" i="617"/>
  <c r="DC53" i="617"/>
  <c r="DE89" i="617"/>
  <c r="DD28" i="617"/>
  <c r="DC126" i="617"/>
  <c r="DM89" i="617"/>
  <c r="DL89" i="617"/>
  <c r="DH121" i="617"/>
  <c r="CJ37" i="617"/>
  <c r="CH77" i="617"/>
  <c r="CD61" i="617"/>
  <c r="CP15" i="617"/>
  <c r="DD39" i="613"/>
  <c r="Z46" i="559"/>
  <c r="Y42" i="559"/>
  <c r="AA46" i="559"/>
  <c r="DH39" i="613"/>
  <c r="DL53" i="617"/>
  <c r="DL84" i="617" s="1"/>
  <c r="DK53" i="617"/>
  <c r="DK84" i="617" s="1"/>
  <c r="DK104" i="617"/>
  <c r="DJ89" i="617"/>
  <c r="DL100" i="617"/>
  <c r="DL99" i="617"/>
  <c r="DI92" i="617"/>
  <c r="CO84" i="617"/>
  <c r="DJ92" i="617"/>
  <c r="DM106" i="617"/>
  <c r="CM30" i="617"/>
  <c r="CU72" i="617"/>
  <c r="CZ72" i="617"/>
  <c r="DH28" i="617"/>
  <c r="DC28" i="617"/>
  <c r="DG28" i="617"/>
  <c r="CJ76" i="617"/>
  <c r="CS28" i="617"/>
  <c r="CO37" i="617"/>
  <c r="CP28" i="617"/>
  <c r="CK28" i="617"/>
  <c r="DD104" i="617"/>
  <c r="DI72" i="617"/>
  <c r="DB72" i="617"/>
  <c r="CP30" i="617"/>
  <c r="CK37" i="617"/>
  <c r="CK15" i="617"/>
  <c r="DK92" i="617"/>
  <c r="DO98" i="617"/>
  <c r="CL30" i="617"/>
  <c r="CT30" i="617"/>
  <c r="CY30" i="617"/>
  <c r="CT37" i="617"/>
  <c r="DS120" i="617"/>
  <c r="DN120" i="617"/>
  <c r="CX28" i="617"/>
  <c r="DD72" i="617"/>
  <c r="DJ77" i="617"/>
  <c r="DC104" i="617"/>
  <c r="DC106" i="617"/>
  <c r="DH98" i="617"/>
  <c r="DE104" i="617"/>
  <c r="DE92" i="617"/>
  <c r="DE105" i="617" s="1"/>
  <c r="CP53" i="617"/>
  <c r="DZ93" i="571"/>
  <c r="DU93" i="571"/>
  <c r="AV14" i="559"/>
  <c r="DX49" i="617"/>
  <c r="DW176" i="571"/>
  <c r="DX176" i="571"/>
  <c r="DR51" i="25"/>
  <c r="CA315" i="25"/>
  <c r="CA45" i="25"/>
  <c r="CA44" i="25"/>
  <c r="DH315" i="25"/>
  <c r="DP237" i="25"/>
  <c r="DR237" i="25" s="1"/>
  <c r="DS237" i="25" s="1"/>
  <c r="DT237" i="25" s="1"/>
  <c r="DU237" i="25" s="1"/>
  <c r="DV237" i="25" s="1"/>
  <c r="DW237" i="25" s="1"/>
  <c r="DX237" i="25" s="1"/>
  <c r="DY237" i="25" s="1"/>
  <c r="DZ237" i="25" s="1"/>
  <c r="EA237" i="25" s="1"/>
  <c r="EB237" i="25" s="1"/>
  <c r="EC237" i="25" s="1"/>
  <c r="ED237" i="25" s="1"/>
  <c r="EE237" i="25" s="1"/>
  <c r="DU382" i="25"/>
  <c r="DU240" i="25" s="1"/>
  <c r="DY13" i="613"/>
  <c r="DY33" i="613"/>
  <c r="DP11" i="607"/>
  <c r="DY35" i="607"/>
  <c r="ED35" i="607" s="1"/>
  <c r="DP12" i="607"/>
  <c r="CM297" i="25"/>
  <c r="CQ298" i="25"/>
  <c r="CJ297" i="25"/>
  <c r="CL298" i="25"/>
  <c r="DA297" i="25"/>
  <c r="CW298" i="25"/>
  <c r="DP171" i="571"/>
  <c r="DL77" i="617"/>
  <c r="DF53" i="617"/>
  <c r="CM188" i="571"/>
  <c r="CX142" i="571"/>
  <c r="CX87" i="571"/>
  <c r="DC147" i="571"/>
  <c r="AM161" i="571"/>
  <c r="AN161" i="571" s="1"/>
  <c r="AN158" i="571"/>
  <c r="AR176" i="571"/>
  <c r="AR174" i="571" s="1"/>
  <c r="AR173" i="571" s="1"/>
  <c r="AM162" i="571"/>
  <c r="AN162" i="571" s="1"/>
  <c r="CD151" i="25"/>
  <c r="CD152" i="25" s="1"/>
  <c r="CC152" i="25"/>
  <c r="DB194" i="571"/>
  <c r="DB60" i="617"/>
  <c r="DB61" i="617" s="1"/>
  <c r="CY73" i="617"/>
  <c r="CY53" i="617"/>
  <c r="BO162" i="571"/>
  <c r="BR162" i="571" s="1"/>
  <c r="BT177" i="571"/>
  <c r="CJ87" i="571"/>
  <c r="CJ84" i="571"/>
  <c r="BR158" i="571"/>
  <c r="BO176" i="571"/>
  <c r="BO174" i="571" s="1"/>
  <c r="BO173" i="571" s="1"/>
  <c r="BT176" i="571"/>
  <c r="BT174" i="571" s="1"/>
  <c r="BT173" i="571" s="1"/>
  <c r="O35" i="559"/>
  <c r="CS97" i="571"/>
  <c r="CE144" i="571"/>
  <c r="CJ77" i="571"/>
  <c r="BO177" i="571"/>
  <c r="CQ153" i="25"/>
  <c r="AF161" i="571"/>
  <c r="AF176" i="571"/>
  <c r="AF174" i="571" s="1"/>
  <c r="AF173" i="571" s="1"/>
  <c r="CI83" i="571"/>
  <c r="CN148" i="571"/>
  <c r="CP151" i="25"/>
  <c r="CK158" i="25"/>
  <c r="CK159" i="25" s="1"/>
  <c r="CK160" i="25" s="1"/>
  <c r="DI33" i="613"/>
  <c r="DJ33" i="613"/>
  <c r="DJ13" i="613"/>
  <c r="DJ39" i="613"/>
  <c r="AU14" i="559"/>
  <c r="DW49" i="617"/>
  <c r="DJ205" i="571"/>
  <c r="DO215" i="571" s="1"/>
  <c r="DJ198" i="571"/>
  <c r="DL198" i="571"/>
  <c r="DQ210" i="571" s="1"/>
  <c r="DL205" i="571"/>
  <c r="DQ215" i="571" s="1"/>
  <c r="AW146" i="559"/>
  <c r="AV146" i="559"/>
  <c r="CI87" i="571"/>
  <c r="CT147" i="571"/>
  <c r="CH88" i="571"/>
  <c r="CM142" i="571"/>
  <c r="AW43" i="559"/>
  <c r="DY92" i="571" s="1"/>
  <c r="AM43" i="559"/>
  <c r="AQ43" i="559"/>
  <c r="DS92" i="571" s="1"/>
  <c r="AV43" i="559"/>
  <c r="DX92" i="571" s="1"/>
  <c r="AR43" i="559"/>
  <c r="DT92" i="571" s="1"/>
  <c r="AP43" i="559"/>
  <c r="AU43" i="559"/>
  <c r="DM205" i="571"/>
  <c r="DN216" i="571" s="1"/>
  <c r="DM198" i="571"/>
  <c r="DU70" i="25"/>
  <c r="DP70" i="25"/>
  <c r="DZ357" i="25"/>
  <c r="DW14" i="617"/>
  <c r="DZ74" i="25"/>
  <c r="DZ14" i="617" s="1"/>
  <c r="DZ70" i="25"/>
  <c r="DU357" i="25"/>
  <c r="DR14" i="617"/>
  <c r="DU74" i="25"/>
  <c r="DU14" i="617" s="1"/>
  <c r="DR212" i="25"/>
  <c r="DS212" i="25" s="1"/>
  <c r="DT212" i="25" s="1"/>
  <c r="DU212" i="25" s="1"/>
  <c r="DV212" i="25" s="1"/>
  <c r="DW212" i="25" s="1"/>
  <c r="DX212" i="25" s="1"/>
  <c r="DY212" i="25" s="1"/>
  <c r="DZ212" i="25" s="1"/>
  <c r="EA212" i="25" s="1"/>
  <c r="DN14" i="617"/>
  <c r="DP74" i="25"/>
  <c r="DN94" i="617"/>
  <c r="DN99" i="617"/>
  <c r="DN104" i="617"/>
  <c r="DN89" i="617"/>
  <c r="DN98" i="617"/>
  <c r="DT176" i="571"/>
  <c r="DT220" i="571"/>
  <c r="DS220" i="571"/>
  <c r="DS176" i="571"/>
  <c r="DO48" i="617"/>
  <c r="DR42" i="571"/>
  <c r="DR48" i="617"/>
  <c r="DQ48" i="617"/>
  <c r="DN48" i="617"/>
  <c r="DB18" i="617"/>
  <c r="AJ132" i="559"/>
  <c r="CM68" i="571" l="1"/>
  <c r="DS51" i="25"/>
  <c r="DT51" i="25" s="1"/>
  <c r="DR52" i="25"/>
  <c r="EC248" i="25"/>
  <c r="CK332" i="25"/>
  <c r="CJ10" i="617"/>
  <c r="CJ36" i="617"/>
  <c r="CJ15" i="617"/>
  <c r="CJ18" i="617" s="1"/>
  <c r="DM75" i="617"/>
  <c r="DI10" i="617"/>
  <c r="CJ118" i="25"/>
  <c r="CK118" i="25"/>
  <c r="CW63" i="617"/>
  <c r="CW210" i="571"/>
  <c r="DB63" i="617"/>
  <c r="DB83" i="617" s="1"/>
  <c r="DB209" i="571"/>
  <c r="DB68" i="25"/>
  <c r="Z118" i="559" s="1"/>
  <c r="Z39" i="559" s="1"/>
  <c r="DD76" i="25"/>
  <c r="DD102" i="25" s="1"/>
  <c r="CT110" i="25"/>
  <c r="DA197" i="571"/>
  <c r="CV78" i="25"/>
  <c r="DB79" i="25"/>
  <c r="DB102" i="25"/>
  <c r="G118" i="559"/>
  <c r="G39" i="559"/>
  <c r="J395" i="25"/>
  <c r="J391" i="25"/>
  <c r="CW316" i="25"/>
  <c r="CY316" i="25"/>
  <c r="AC121" i="25"/>
  <c r="CP10" i="617"/>
  <c r="CP36" i="617"/>
  <c r="AI83" i="25"/>
  <c r="AI22" i="25"/>
  <c r="AI96" i="25"/>
  <c r="AN83" i="25"/>
  <c r="CN332" i="25"/>
  <c r="AN241" i="25"/>
  <c r="DA360" i="25"/>
  <c r="BS30" i="25"/>
  <c r="BS258" i="25" s="1"/>
  <c r="BS31" i="25"/>
  <c r="BS103" i="25"/>
  <c r="BS405" i="25" s="1"/>
  <c r="CS325" i="25"/>
  <c r="CS330" i="25" s="1"/>
  <c r="CS326" i="25"/>
  <c r="CS331" i="25" s="1"/>
  <c r="BX121" i="25"/>
  <c r="CA88" i="25"/>
  <c r="DF316" i="25"/>
  <c r="BN104" i="25"/>
  <c r="BN43" i="25"/>
  <c r="BN45" i="25" s="1"/>
  <c r="BN41" i="25"/>
  <c r="CX326" i="25"/>
  <c r="CX331" i="25" s="1"/>
  <c r="CX325" i="25"/>
  <c r="CX330" i="25" s="1"/>
  <c r="CX332" i="25" s="1"/>
  <c r="CA281" i="25"/>
  <c r="CA272" i="25"/>
  <c r="CA78" i="25"/>
  <c r="CB78" i="25" s="1"/>
  <c r="CU11" i="617"/>
  <c r="CU195" i="571"/>
  <c r="CU84" i="25"/>
  <c r="CU97" i="25"/>
  <c r="CU109" i="25" s="1"/>
  <c r="S17" i="559"/>
  <c r="CY31" i="25"/>
  <c r="CY30" i="25"/>
  <c r="CY103" i="25"/>
  <c r="CY405" i="25" s="1"/>
  <c r="CA128" i="25"/>
  <c r="CT108" i="25"/>
  <c r="BI28" i="25"/>
  <c r="CL296" i="25"/>
  <c r="CL295" i="25" s="1"/>
  <c r="AI137" i="25"/>
  <c r="DQ84" i="25"/>
  <c r="AJ17" i="559"/>
  <c r="AJ51" i="559" s="1"/>
  <c r="Q126" i="559"/>
  <c r="Q48" i="559" s="1"/>
  <c r="CS14" i="617"/>
  <c r="Q132" i="559"/>
  <c r="CO127" i="25"/>
  <c r="CQ78" i="25"/>
  <c r="CR110" i="25"/>
  <c r="U76" i="25"/>
  <c r="DM97" i="25"/>
  <c r="DM11" i="617"/>
  <c r="DM15" i="617" s="1"/>
  <c r="CT109" i="25"/>
  <c r="CK36" i="617"/>
  <c r="DM76" i="25"/>
  <c r="DM201" i="571" s="1"/>
  <c r="DM213" i="571" s="1"/>
  <c r="AK17" i="559"/>
  <c r="AK51" i="559" s="1"/>
  <c r="AK58" i="559" s="1"/>
  <c r="BS263" i="25"/>
  <c r="BS100" i="25"/>
  <c r="BS130" i="25" s="1"/>
  <c r="BS120" i="25"/>
  <c r="L79" i="25"/>
  <c r="BV31" i="25"/>
  <c r="CA90" i="25" s="1"/>
  <c r="O336" i="25"/>
  <c r="O338" i="25"/>
  <c r="DZ14" i="613"/>
  <c r="DZ33" i="613" s="1"/>
  <c r="BZ151" i="25"/>
  <c r="BZ152" i="25" s="1"/>
  <c r="BY158" i="25"/>
  <c r="BY159" i="25" s="1"/>
  <c r="BY160" i="25" s="1"/>
  <c r="CB147" i="571"/>
  <c r="CX199" i="571"/>
  <c r="V19" i="559"/>
  <c r="CX101" i="25"/>
  <c r="CX28" i="25"/>
  <c r="DC88" i="25"/>
  <c r="CT71" i="571"/>
  <c r="CT44" i="571"/>
  <c r="BA161" i="571"/>
  <c r="BC161" i="571" s="1"/>
  <c r="BA162" i="571"/>
  <c r="AL67" i="25"/>
  <c r="AL68" i="25" s="1"/>
  <c r="AN66" i="25"/>
  <c r="AN67" i="25" s="1"/>
  <c r="DB44" i="571"/>
  <c r="DA294" i="25"/>
  <c r="DA296" i="25" s="1"/>
  <c r="DA298" i="25" s="1"/>
  <c r="CX296" i="25"/>
  <c r="CX298" i="25" s="1"/>
  <c r="CU382" i="25"/>
  <c r="CU294" i="25" s="1"/>
  <c r="CU296" i="25" s="1"/>
  <c r="CT294" i="25"/>
  <c r="CT296" i="25" s="1"/>
  <c r="CT298" i="25" s="1"/>
  <c r="CT387" i="25"/>
  <c r="EB12" i="613"/>
  <c r="DW18" i="613"/>
  <c r="DW35" i="613" s="1"/>
  <c r="DW14" i="613"/>
  <c r="DW33" i="613" s="1"/>
  <c r="DW110" i="617"/>
  <c r="DW120" i="617" s="1"/>
  <c r="DZ12" i="613"/>
  <c r="BS97" i="25"/>
  <c r="BS109" i="25" s="1"/>
  <c r="BX138" i="25"/>
  <c r="BS137" i="25"/>
  <c r="DF13" i="617"/>
  <c r="DG119" i="25"/>
  <c r="DP14" i="617"/>
  <c r="AN132" i="559"/>
  <c r="AN126" i="559"/>
  <c r="AN48" i="559" s="1"/>
  <c r="CO36" i="617"/>
  <c r="DJ116" i="617"/>
  <c r="DJ128" i="617" s="1"/>
  <c r="DH142" i="611"/>
  <c r="AI97" i="25"/>
  <c r="DI38" i="617"/>
  <c r="CV39" i="571"/>
  <c r="DM129" i="25"/>
  <c r="CR195" i="571"/>
  <c r="CI76" i="25"/>
  <c r="AV127" i="25"/>
  <c r="CG345" i="25"/>
  <c r="AN316" i="25"/>
  <c r="X28" i="25"/>
  <c r="BA108" i="25"/>
  <c r="BA127" i="25"/>
  <c r="BC326" i="25"/>
  <c r="BC331" i="25" s="1"/>
  <c r="BC332" i="25" s="1"/>
  <c r="CA121" i="25"/>
  <c r="DK345" i="25"/>
  <c r="AS159" i="571"/>
  <c r="AS177" i="571" s="1"/>
  <c r="G314" i="25"/>
  <c r="DA152" i="25"/>
  <c r="DA158" i="25" s="1"/>
  <c r="CG159" i="571"/>
  <c r="CG177" i="571" s="1"/>
  <c r="AG177" i="571"/>
  <c r="CD177" i="571"/>
  <c r="AS161" i="571"/>
  <c r="AS168" i="571" s="1"/>
  <c r="AX169" i="571" s="1"/>
  <c r="Y159" i="571"/>
  <c r="AD177" i="571" s="1"/>
  <c r="CK53" i="617"/>
  <c r="CK84" i="617" s="1"/>
  <c r="CF55" i="617"/>
  <c r="BS138" i="25"/>
  <c r="BU144" i="571"/>
  <c r="AS153" i="25"/>
  <c r="DK308" i="25"/>
  <c r="J109" i="25"/>
  <c r="AQ128" i="25"/>
  <c r="CX159" i="571"/>
  <c r="DA128" i="571"/>
  <c r="DA133" i="571" s="1"/>
  <c r="AF398" i="25"/>
  <c r="AN58" i="25"/>
  <c r="M60" i="559"/>
  <c r="DE363" i="25"/>
  <c r="CZ67" i="25"/>
  <c r="CZ198" i="571" s="1"/>
  <c r="DE210" i="571" s="1"/>
  <c r="AB128" i="25"/>
  <c r="BQ108" i="25"/>
  <c r="BS87" i="25"/>
  <c r="CV310" i="25"/>
  <c r="CS108" i="25"/>
  <c r="BR347" i="25"/>
  <c r="CV133" i="571"/>
  <c r="AX22" i="25"/>
  <c r="BC83" i="25"/>
  <c r="AX96" i="25"/>
  <c r="AX137" i="25" s="1"/>
  <c r="DC11" i="617"/>
  <c r="DH29" i="617" s="1"/>
  <c r="DC76" i="25"/>
  <c r="DH89" i="25" s="1"/>
  <c r="AA17" i="559"/>
  <c r="DC195" i="571"/>
  <c r="CH84" i="571"/>
  <c r="CX262" i="25"/>
  <c r="CW262" i="25"/>
  <c r="CY262" i="25"/>
  <c r="CZ262" i="25"/>
  <c r="V121" i="25"/>
  <c r="U28" i="25"/>
  <c r="U88" i="25"/>
  <c r="DH75" i="611"/>
  <c r="DG79" i="611"/>
  <c r="CF363" i="25"/>
  <c r="CG363" i="25" s="1"/>
  <c r="CM251" i="25"/>
  <c r="CM239" i="25"/>
  <c r="CM315" i="25"/>
  <c r="CF251" i="25"/>
  <c r="CF239" i="25"/>
  <c r="CO44" i="571"/>
  <c r="CQ44" i="571" s="1"/>
  <c r="CO71" i="571"/>
  <c r="CQ71" i="571" s="1"/>
  <c r="AG162" i="571"/>
  <c r="AG161" i="571"/>
  <c r="AI161" i="571" s="1"/>
  <c r="AI168" i="571" s="1"/>
  <c r="AV177" i="571"/>
  <c r="BP177" i="571"/>
  <c r="BG33" i="25"/>
  <c r="BG31" i="25"/>
  <c r="BG30" i="25"/>
  <c r="BG103" i="25"/>
  <c r="BG405" i="25" s="1"/>
  <c r="CA374" i="25"/>
  <c r="CA377" i="25" s="1"/>
  <c r="BZ377" i="25"/>
  <c r="BR276" i="25"/>
  <c r="BU367" i="25"/>
  <c r="BV367" i="25" s="1"/>
  <c r="CS67" i="25"/>
  <c r="CS119" i="25"/>
  <c r="CT119" i="25"/>
  <c r="CS13" i="617"/>
  <c r="CS37" i="617" s="1"/>
  <c r="CS99" i="25"/>
  <c r="Y346" i="25"/>
  <c r="Y277" i="25"/>
  <c r="Y318" i="25"/>
  <c r="Y334" i="25"/>
  <c r="Y323" i="25"/>
  <c r="Y322" i="25" s="1"/>
  <c r="Y329" i="25" s="1"/>
  <c r="Y345" i="25"/>
  <c r="CI97" i="571"/>
  <c r="CN104" i="571" s="1"/>
  <c r="DT13" i="613"/>
  <c r="DT33" i="613"/>
  <c r="DD99" i="25"/>
  <c r="DE119" i="25"/>
  <c r="DD119" i="25"/>
  <c r="DD86" i="25"/>
  <c r="DD13" i="617"/>
  <c r="DI86" i="25"/>
  <c r="CC325" i="25"/>
  <c r="CC330" i="25" s="1"/>
  <c r="CC326" i="25"/>
  <c r="CC331" i="25" s="1"/>
  <c r="CK380" i="25"/>
  <c r="CJ286" i="25"/>
  <c r="CJ302" i="25"/>
  <c r="CV382" i="25"/>
  <c r="CV240" i="25" s="1"/>
  <c r="N33" i="25"/>
  <c r="N30" i="25"/>
  <c r="N31" i="25"/>
  <c r="N45" i="25" s="1"/>
  <c r="N79" i="25"/>
  <c r="CV43" i="571"/>
  <c r="DR35" i="613"/>
  <c r="DU18" i="613"/>
  <c r="DK32" i="613"/>
  <c r="DK110" i="617"/>
  <c r="DK120" i="617" s="1"/>
  <c r="DK47" i="613"/>
  <c r="DK51" i="613" s="1"/>
  <c r="BY97" i="571"/>
  <c r="DP220" i="571"/>
  <c r="DP49" i="617" s="1"/>
  <c r="AN100" i="559"/>
  <c r="AN35" i="559" s="1"/>
  <c r="EB68" i="611"/>
  <c r="CI137" i="25"/>
  <c r="CN108" i="25"/>
  <c r="AX334" i="25"/>
  <c r="AX323" i="25"/>
  <c r="AX322" i="25" s="1"/>
  <c r="AX329" i="25" s="1"/>
  <c r="DA169" i="25"/>
  <c r="DA165" i="25"/>
  <c r="DA163" i="25" s="1"/>
  <c r="DA178" i="25" s="1"/>
  <c r="DA181" i="25" s="1"/>
  <c r="BX97" i="571"/>
  <c r="BX77" i="571"/>
  <c r="CO46" i="617"/>
  <c r="CQ218" i="571"/>
  <c r="CQ46" i="617" s="1"/>
  <c r="DF385" i="25"/>
  <c r="DF387" i="25" s="1"/>
  <c r="DE387" i="25"/>
  <c r="DB53" i="617"/>
  <c r="DB82" i="617" s="1"/>
  <c r="DU30" i="607"/>
  <c r="DQ30" i="607"/>
  <c r="DJ42" i="613"/>
  <c r="DH135" i="611"/>
  <c r="DG76" i="25"/>
  <c r="DH121" i="25" s="1"/>
  <c r="CR118" i="25"/>
  <c r="CI11" i="617"/>
  <c r="CI15" i="617" s="1"/>
  <c r="BV332" i="25"/>
  <c r="CG308" i="25"/>
  <c r="AC88" i="25"/>
  <c r="CF190" i="25"/>
  <c r="CF191" i="25" s="1"/>
  <c r="AX277" i="25"/>
  <c r="BZ28" i="25"/>
  <c r="AI60" i="25"/>
  <c r="DK318" i="25"/>
  <c r="AI159" i="571"/>
  <c r="AI177" i="571" s="1"/>
  <c r="CL158" i="25"/>
  <c r="DA158" i="571"/>
  <c r="DA52" i="617" s="1"/>
  <c r="DA53" i="617" s="1"/>
  <c r="DF74" i="617" s="1"/>
  <c r="BA176" i="571"/>
  <c r="BA174" i="571" s="1"/>
  <c r="BA173" i="571" s="1"/>
  <c r="AI162" i="571"/>
  <c r="CD72" i="571"/>
  <c r="CD138" i="571" s="1"/>
  <c r="BX152" i="25"/>
  <c r="BX153" i="25" s="1"/>
  <c r="BF176" i="571"/>
  <c r="BF174" i="571" s="1"/>
  <c r="BF173" i="571" s="1"/>
  <c r="DD51" i="613"/>
  <c r="BV108" i="25"/>
  <c r="H109" i="25"/>
  <c r="DA83" i="25"/>
  <c r="G395" i="25"/>
  <c r="CK143" i="571"/>
  <c r="DK277" i="25"/>
  <c r="BU99" i="571"/>
  <c r="CE369" i="25"/>
  <c r="AP109" i="25"/>
  <c r="DA40" i="571"/>
  <c r="DC176" i="571"/>
  <c r="DC174" i="571" s="1"/>
  <c r="DC173" i="571" s="1"/>
  <c r="DA167" i="25"/>
  <c r="CH77" i="571"/>
  <c r="CS118" i="571"/>
  <c r="O135" i="25"/>
  <c r="O136" i="25" s="1"/>
  <c r="O97" i="25" s="1"/>
  <c r="O109" i="25" s="1"/>
  <c r="CZ119" i="25"/>
  <c r="DB119" i="25"/>
  <c r="CA190" i="25"/>
  <c r="CA191" i="25" s="1"/>
  <c r="BR110" i="25"/>
  <c r="CZ129" i="25"/>
  <c r="BD127" i="25"/>
  <c r="AI58" i="25"/>
  <c r="CS137" i="25"/>
  <c r="BI112" i="25"/>
  <c r="BR320" i="25"/>
  <c r="BU377" i="25"/>
  <c r="DC71" i="571"/>
  <c r="DW13" i="613"/>
  <c r="CX407" i="25"/>
  <c r="CX141" i="25"/>
  <c r="CX143" i="25" s="1"/>
  <c r="DB71" i="571"/>
  <c r="DB72" i="571" s="1"/>
  <c r="CJ76" i="25"/>
  <c r="CO89" i="25" s="1"/>
  <c r="H17" i="559"/>
  <c r="H51" i="559" s="1"/>
  <c r="CX88" i="25"/>
  <c r="CS199" i="571"/>
  <c r="CS101" i="25"/>
  <c r="CS28" i="25"/>
  <c r="Q19" i="559"/>
  <c r="Q53" i="559" s="1"/>
  <c r="DB395" i="25"/>
  <c r="DB289" i="25"/>
  <c r="CL281" i="25"/>
  <c r="CL272" i="25"/>
  <c r="CL274" i="25" s="1"/>
  <c r="DB262" i="25"/>
  <c r="DV262" i="25"/>
  <c r="DE262" i="25"/>
  <c r="DY262" i="25"/>
  <c r="DC262" i="25"/>
  <c r="DX262" i="25"/>
  <c r="DW262" i="25"/>
  <c r="DD262" i="25"/>
  <c r="CT369" i="25"/>
  <c r="CT282" i="25" s="1"/>
  <c r="CU364" i="25"/>
  <c r="BX239" i="25"/>
  <c r="BX251" i="25"/>
  <c r="BC109" i="25"/>
  <c r="CO61" i="571"/>
  <c r="CQ56" i="571"/>
  <c r="CQ61" i="571" s="1"/>
  <c r="BU142" i="571"/>
  <c r="BV128" i="571"/>
  <c r="BZ128" i="571"/>
  <c r="BU64" i="571"/>
  <c r="CL71" i="571"/>
  <c r="CL137" i="571" s="1"/>
  <c r="CK148" i="571"/>
  <c r="CF83" i="571"/>
  <c r="CT36" i="617"/>
  <c r="CT10" i="617"/>
  <c r="EC61" i="611"/>
  <c r="DF59" i="607"/>
  <c r="DF14" i="607"/>
  <c r="DF88" i="617"/>
  <c r="DF58" i="607"/>
  <c r="DF57" i="607"/>
  <c r="CF372" i="25"/>
  <c r="CP372" i="25"/>
  <c r="CO283" i="25"/>
  <c r="CO271" i="25"/>
  <c r="CX67" i="25"/>
  <c r="CX13" i="617"/>
  <c r="CX99" i="25"/>
  <c r="CX119" i="25"/>
  <c r="CX86" i="25"/>
  <c r="V39" i="559" s="1"/>
  <c r="DB37" i="571"/>
  <c r="DB64" i="571"/>
  <c r="DB65" i="571" s="1"/>
  <c r="DB129" i="571" s="1"/>
  <c r="DB134" i="571" s="1"/>
  <c r="DB138" i="571" s="1"/>
  <c r="CN65" i="571"/>
  <c r="CN129" i="571" s="1"/>
  <c r="CN134" i="571" s="1"/>
  <c r="BX262" i="25"/>
  <c r="CA262" i="25"/>
  <c r="BZ262" i="25"/>
  <c r="BY262" i="25"/>
  <c r="CW326" i="25"/>
  <c r="CW331" i="25" s="1"/>
  <c r="CW325" i="25"/>
  <c r="CW330" i="25" s="1"/>
  <c r="AL176" i="571"/>
  <c r="AL174" i="571" s="1"/>
  <c r="AL173" i="571" s="1"/>
  <c r="DP110" i="617"/>
  <c r="DP32" i="613"/>
  <c r="DP13" i="613"/>
  <c r="DP41" i="613"/>
  <c r="DP39" i="613"/>
  <c r="BW341" i="25"/>
  <c r="BW135" i="25"/>
  <c r="BW136" i="25" s="1"/>
  <c r="R118" i="25"/>
  <c r="R58" i="25"/>
  <c r="R60" i="25" s="1"/>
  <c r="R76" i="25" s="1"/>
  <c r="R188" i="25"/>
  <c r="R189" i="25" s="1"/>
  <c r="R22" i="25"/>
  <c r="R96" i="25"/>
  <c r="R108" i="25" s="1"/>
  <c r="CV44" i="571"/>
  <c r="CY119" i="25"/>
  <c r="CD109" i="25"/>
  <c r="BZ128" i="25"/>
  <c r="BY109" i="25"/>
  <c r="W96" i="25"/>
  <c r="W127" i="25" s="1"/>
  <c r="W58" i="25"/>
  <c r="W83" i="25"/>
  <c r="W118" i="25"/>
  <c r="Z188" i="25"/>
  <c r="Z189" i="25" s="1"/>
  <c r="X188" i="25"/>
  <c r="X189" i="25" s="1"/>
  <c r="W22" i="25"/>
  <c r="AB83" i="25"/>
  <c r="P188" i="25"/>
  <c r="P189" i="25" s="1"/>
  <c r="Q188" i="25"/>
  <c r="Q189" i="25" s="1"/>
  <c r="DI126" i="617"/>
  <c r="DI111" i="617"/>
  <c r="DF47" i="613"/>
  <c r="DF51" i="613" s="1"/>
  <c r="DK51" i="607"/>
  <c r="CL59" i="571"/>
  <c r="CL33" i="571"/>
  <c r="DC39" i="571"/>
  <c r="DC33" i="571"/>
  <c r="DC59" i="571"/>
  <c r="CL56" i="571"/>
  <c r="CL61" i="571" s="1"/>
  <c r="CJ61" i="571"/>
  <c r="DA56" i="571"/>
  <c r="DA61" i="571" s="1"/>
  <c r="CY61" i="571"/>
  <c r="CA97" i="571"/>
  <c r="CA84" i="571"/>
  <c r="CA77" i="571"/>
  <c r="CA87" i="571"/>
  <c r="CJ127" i="25"/>
  <c r="AC108" i="25"/>
  <c r="AH108" i="25"/>
  <c r="DF94" i="617"/>
  <c r="DF60" i="607"/>
  <c r="BR159" i="571"/>
  <c r="BR177" i="571" s="1"/>
  <c r="DU39" i="613"/>
  <c r="DI40" i="611"/>
  <c r="DG93" i="611"/>
  <c r="CO29" i="617"/>
  <c r="DK310" i="25"/>
  <c r="DF32" i="571"/>
  <c r="DH118" i="25"/>
  <c r="CG346" i="25"/>
  <c r="CV22" i="25"/>
  <c r="AX346" i="25"/>
  <c r="AX345" i="25"/>
  <c r="BS153" i="25"/>
  <c r="BC158" i="571"/>
  <c r="BC176" i="571" s="1"/>
  <c r="BC174" i="571" s="1"/>
  <c r="BC173" i="571" s="1"/>
  <c r="CT188" i="571"/>
  <c r="CY187" i="571" s="1"/>
  <c r="DB73" i="617"/>
  <c r="CI139" i="571"/>
  <c r="DF171" i="571"/>
  <c r="DF220" i="571" s="1"/>
  <c r="AD14" i="559" s="1"/>
  <c r="CF253" i="25"/>
  <c r="CF252" i="25" s="1"/>
  <c r="CF259" i="25" s="1"/>
  <c r="CS127" i="25"/>
  <c r="DF99" i="25"/>
  <c r="BK108" i="25"/>
  <c r="DK73" i="617"/>
  <c r="CH97" i="571"/>
  <c r="AN153" i="25"/>
  <c r="DG11" i="617"/>
  <c r="DG15" i="617" s="1"/>
  <c r="DG18" i="617" s="1"/>
  <c r="BR336" i="25"/>
  <c r="CZ86" i="25"/>
  <c r="DE86" i="25"/>
  <c r="CX188" i="571"/>
  <c r="BB108" i="25"/>
  <c r="CG310" i="25"/>
  <c r="CN97" i="571"/>
  <c r="CO105" i="571" s="1"/>
  <c r="EC89" i="611"/>
  <c r="EC47" i="611"/>
  <c r="CE23" i="25"/>
  <c r="CE145" i="25"/>
  <c r="CX76" i="25"/>
  <c r="CX97" i="25"/>
  <c r="DC109" i="25" s="1"/>
  <c r="CX11" i="617"/>
  <c r="V17" i="559"/>
  <c r="V51" i="559" s="1"/>
  <c r="CX195" i="571"/>
  <c r="CL325" i="25"/>
  <c r="CL330" i="25" s="1"/>
  <c r="CL332" i="25" s="1"/>
  <c r="CL326" i="25"/>
  <c r="CL331" i="25" s="1"/>
  <c r="BH338" i="25"/>
  <c r="BH320" i="25"/>
  <c r="BH319" i="25"/>
  <c r="BH347" i="25"/>
  <c r="BH336" i="25"/>
  <c r="BH327" i="25"/>
  <c r="AE188" i="25"/>
  <c r="AE189" i="25" s="1"/>
  <c r="AA58" i="25"/>
  <c r="AA60" i="25" s="1"/>
  <c r="AD60" i="25" s="1"/>
  <c r="AA83" i="25"/>
  <c r="AA22" i="25"/>
  <c r="AA190" i="25" s="1"/>
  <c r="AA191" i="25" s="1"/>
  <c r="AF83" i="25"/>
  <c r="AA96" i="25"/>
  <c r="CK78" i="25"/>
  <c r="CK79" i="25" s="1"/>
  <c r="CP87" i="25" s="1"/>
  <c r="CK281" i="25"/>
  <c r="CK272" i="25"/>
  <c r="CK274" i="25" s="1"/>
  <c r="CU368" i="25"/>
  <c r="CV368" i="25" s="1"/>
  <c r="CL40" i="571"/>
  <c r="CN77" i="571"/>
  <c r="CE44" i="571"/>
  <c r="CG44" i="571" s="1"/>
  <c r="DA48" i="617"/>
  <c r="Y27" i="559"/>
  <c r="Y78" i="559"/>
  <c r="CF142" i="571"/>
  <c r="CK147" i="571"/>
  <c r="CF82" i="571"/>
  <c r="CQ43" i="571"/>
  <c r="CC77" i="571"/>
  <c r="CC87" i="571"/>
  <c r="CC111" i="571" s="1"/>
  <c r="CC97" i="571"/>
  <c r="CV163" i="25"/>
  <c r="CV178" i="25" s="1"/>
  <c r="CV181" i="25" s="1"/>
  <c r="BX111" i="571"/>
  <c r="CU374" i="25"/>
  <c r="CV374" i="25" s="1"/>
  <c r="AN347" i="25"/>
  <c r="AN319" i="25"/>
  <c r="AN327" i="25"/>
  <c r="AN336" i="25"/>
  <c r="AN320" i="25"/>
  <c r="AN338" i="25"/>
  <c r="AD83" i="25"/>
  <c r="Y22" i="25"/>
  <c r="Y96" i="25"/>
  <c r="DC69" i="617"/>
  <c r="DD48" i="571"/>
  <c r="DC49" i="571"/>
  <c r="DC36" i="571"/>
  <c r="DA382" i="25"/>
  <c r="CM82" i="571"/>
  <c r="CR147" i="571"/>
  <c r="AX319" i="25"/>
  <c r="AX338" i="25"/>
  <c r="BV109" i="25"/>
  <c r="BQ109" i="25"/>
  <c r="AP118" i="25"/>
  <c r="AP96" i="25"/>
  <c r="T403" i="25"/>
  <c r="T11" i="25"/>
  <c r="DC86" i="25"/>
  <c r="CV71" i="571"/>
  <c r="CV137" i="571" s="1"/>
  <c r="CY68" i="25"/>
  <c r="W118" i="559" s="1"/>
  <c r="W39" i="559" s="1"/>
  <c r="CY198" i="571"/>
  <c r="AB109" i="25"/>
  <c r="W109" i="25"/>
  <c r="BY111" i="571"/>
  <c r="CZ14" i="617"/>
  <c r="X132" i="559"/>
  <c r="X126" i="559"/>
  <c r="X48" i="559" s="1"/>
  <c r="DK54" i="607"/>
  <c r="EC33" i="613"/>
  <c r="EC13" i="613"/>
  <c r="EC16" i="613"/>
  <c r="EA16" i="613"/>
  <c r="EA33" i="613"/>
  <c r="DV13" i="613"/>
  <c r="DV33" i="613"/>
  <c r="CX208" i="571"/>
  <c r="CY190" i="571"/>
  <c r="DJ177" i="571"/>
  <c r="Y176" i="571"/>
  <c r="Y174" i="571" s="1"/>
  <c r="Y173" i="571" s="1"/>
  <c r="T168" i="571"/>
  <c r="T169" i="571" s="1"/>
  <c r="AN101" i="571"/>
  <c r="CK74" i="617"/>
  <c r="BR161" i="571"/>
  <c r="BZ144" i="571"/>
  <c r="DD8" i="571"/>
  <c r="AA11" i="559"/>
  <c r="CC88" i="571"/>
  <c r="CC89" i="571" s="1"/>
  <c r="CC113" i="571" s="1"/>
  <c r="CG83" i="571"/>
  <c r="CG148" i="571" s="1"/>
  <c r="CC84" i="571"/>
  <c r="DD73" i="617"/>
  <c r="DD53" i="617"/>
  <c r="DD82" i="617" s="1"/>
  <c r="CX68" i="571"/>
  <c r="DQ137" i="571"/>
  <c r="DA71" i="571"/>
  <c r="DA137" i="571" s="1"/>
  <c r="CO57" i="617"/>
  <c r="CO80" i="617" s="1"/>
  <c r="CO161" i="571"/>
  <c r="DG181" i="571"/>
  <c r="DB182" i="571"/>
  <c r="DM177" i="571"/>
  <c r="CZ208" i="571"/>
  <c r="BZ161" i="571"/>
  <c r="BZ168" i="571" s="1"/>
  <c r="DO68" i="571"/>
  <c r="BZ154" i="571"/>
  <c r="CL133" i="571"/>
  <c r="DF72" i="617"/>
  <c r="CU30" i="25"/>
  <c r="CU103" i="25"/>
  <c r="CU405" i="25" s="1"/>
  <c r="AR88" i="25"/>
  <c r="AT121" i="25"/>
  <c r="L66" i="559"/>
  <c r="L53" i="559"/>
  <c r="L60" i="559" s="1"/>
  <c r="Q66" i="559"/>
  <c r="DA316" i="25"/>
  <c r="CO377" i="25"/>
  <c r="CP376" i="25"/>
  <c r="CA112" i="25"/>
  <c r="CJ41" i="25"/>
  <c r="CJ33" i="25"/>
  <c r="CJ43" i="25"/>
  <c r="CJ45" i="25"/>
  <c r="CJ104" i="25"/>
  <c r="DK316" i="25"/>
  <c r="DD31" i="25"/>
  <c r="DD90" i="25" s="1"/>
  <c r="DD30" i="25"/>
  <c r="DD258" i="25" s="1"/>
  <c r="DD253" i="25" s="1"/>
  <c r="DD252" i="25" s="1"/>
  <c r="DD259" i="25" s="1"/>
  <c r="R64" i="559"/>
  <c r="DF345" i="25"/>
  <c r="DF318" i="25"/>
  <c r="DF308" i="25"/>
  <c r="BV45" i="25"/>
  <c r="BO60" i="25"/>
  <c r="BO76" i="25" s="1"/>
  <c r="BR58" i="25"/>
  <c r="Y110" i="25"/>
  <c r="T110" i="25"/>
  <c r="BT282" i="25"/>
  <c r="BT370" i="25"/>
  <c r="CA382" i="25"/>
  <c r="CA294" i="25" s="1"/>
  <c r="BZ294" i="25"/>
  <c r="DD201" i="571"/>
  <c r="D398" i="25"/>
  <c r="D46" i="25"/>
  <c r="CV320" i="25"/>
  <c r="T100" i="559"/>
  <c r="CV220" i="571"/>
  <c r="CV49" i="617" s="1"/>
  <c r="T35" i="559"/>
  <c r="CM73" i="617"/>
  <c r="BN76" i="25"/>
  <c r="CD190" i="25"/>
  <c r="CD191" i="25" s="1"/>
  <c r="CD28" i="25"/>
  <c r="CD103" i="25" s="1"/>
  <c r="CD405" i="25" s="1"/>
  <c r="CD88" i="25"/>
  <c r="CH190" i="25"/>
  <c r="CH191" i="25" s="1"/>
  <c r="DD241" i="25"/>
  <c r="DE316" i="25"/>
  <c r="DD316" i="25"/>
  <c r="DF86" i="25"/>
  <c r="DA99" i="25"/>
  <c r="DF110" i="25" s="1"/>
  <c r="DA86" i="25"/>
  <c r="DA13" i="617"/>
  <c r="CZ37" i="617"/>
  <c r="CZ30" i="617"/>
  <c r="DE30" i="617"/>
  <c r="BV103" i="25"/>
  <c r="CR190" i="25"/>
  <c r="CR191" i="25" s="1"/>
  <c r="CS190" i="25"/>
  <c r="CS191" i="25" s="1"/>
  <c r="BE127" i="25"/>
  <c r="BF127" i="25"/>
  <c r="CQ28" i="617"/>
  <c r="CL37" i="617"/>
  <c r="CZ11" i="617"/>
  <c r="DE84" i="25"/>
  <c r="CZ76" i="25"/>
  <c r="CZ89" i="25" s="1"/>
  <c r="CZ195" i="571"/>
  <c r="CZ84" i="25"/>
  <c r="CZ97" i="25"/>
  <c r="DB128" i="25" s="1"/>
  <c r="DD195" i="571"/>
  <c r="DI84" i="25"/>
  <c r="DD118" i="25"/>
  <c r="AB17" i="559"/>
  <c r="DD97" i="25"/>
  <c r="DD11" i="617"/>
  <c r="G316" i="25"/>
  <c r="F316" i="25"/>
  <c r="F241" i="25"/>
  <c r="BJ67" i="25"/>
  <c r="BM66" i="25"/>
  <c r="BM67" i="25" s="1"/>
  <c r="BM68" i="25" s="1"/>
  <c r="I216" i="25"/>
  <c r="I309" i="25"/>
  <c r="I310" i="25" s="1"/>
  <c r="I311" i="25"/>
  <c r="I312" i="25"/>
  <c r="F326" i="25"/>
  <c r="F331" i="25" s="1"/>
  <c r="F325" i="25"/>
  <c r="F330" i="25" s="1"/>
  <c r="CE286" i="25"/>
  <c r="CE302" i="25"/>
  <c r="CF380" i="25"/>
  <c r="CG380" i="25" s="1"/>
  <c r="DF60" i="25"/>
  <c r="AU127" i="25"/>
  <c r="AY108" i="25"/>
  <c r="M51" i="559"/>
  <c r="CP325" i="25"/>
  <c r="CP330" i="25" s="1"/>
  <c r="CP326" i="25"/>
  <c r="CP331" i="25" s="1"/>
  <c r="DF346" i="25"/>
  <c r="BL41" i="25"/>
  <c r="BL43" i="25"/>
  <c r="BN122" i="25"/>
  <c r="DL15" i="617"/>
  <c r="DL18" i="617" s="1"/>
  <c r="DL37" i="617"/>
  <c r="BA68" i="25"/>
  <c r="BF68" i="25"/>
  <c r="BS342" i="25"/>
  <c r="BS343" i="25" s="1"/>
  <c r="X51" i="559"/>
  <c r="X64" i="559"/>
  <c r="AJ88" i="25"/>
  <c r="AM190" i="25"/>
  <c r="AM191" i="25" s="1"/>
  <c r="CU89" i="25"/>
  <c r="CU79" i="25"/>
  <c r="CU102" i="25"/>
  <c r="CU112" i="25" s="1"/>
  <c r="CU37" i="617"/>
  <c r="CU15" i="617"/>
  <c r="CU38" i="617" s="1"/>
  <c r="T310" i="25"/>
  <c r="DD79" i="25"/>
  <c r="DD100" i="25" s="1"/>
  <c r="BV366" i="25"/>
  <c r="BU369" i="25"/>
  <c r="BB101" i="25"/>
  <c r="BD131" i="25" s="1"/>
  <c r="BB88" i="25"/>
  <c r="BB28" i="25"/>
  <c r="BG88" i="25"/>
  <c r="BD121" i="25"/>
  <c r="CW30" i="617"/>
  <c r="CR30" i="617"/>
  <c r="CN138" i="571"/>
  <c r="CB303" i="25"/>
  <c r="BP76" i="25"/>
  <c r="CS84" i="25"/>
  <c r="BT76" i="25"/>
  <c r="BT102" i="25" s="1"/>
  <c r="BT131" i="25" s="1"/>
  <c r="BJ108" i="25"/>
  <c r="CB110" i="25"/>
  <c r="BQ31" i="25"/>
  <c r="BV90" i="25" s="1"/>
  <c r="CF11" i="617"/>
  <c r="CF76" i="25"/>
  <c r="CK84" i="25"/>
  <c r="AQ67" i="25"/>
  <c r="AS66" i="25"/>
  <c r="AS67" i="25" s="1"/>
  <c r="AQ76" i="25"/>
  <c r="CJ240" i="25"/>
  <c r="CK381" i="25"/>
  <c r="CL381" i="25" s="1"/>
  <c r="CJ387" i="25"/>
  <c r="BQ101" i="25"/>
  <c r="BQ112" i="25" s="1"/>
  <c r="BS121" i="25"/>
  <c r="BQ88" i="25"/>
  <c r="CX303" i="25"/>
  <c r="DC303" i="25"/>
  <c r="CY300" i="25"/>
  <c r="BV88" i="25"/>
  <c r="V127" i="25"/>
  <c r="U108" i="25"/>
  <c r="AO103" i="25"/>
  <c r="AO31" i="25"/>
  <c r="AO33" i="25" s="1"/>
  <c r="AO79" i="25"/>
  <c r="AO100" i="25" s="1"/>
  <c r="AO30" i="25"/>
  <c r="T59" i="559"/>
  <c r="CF332" i="25"/>
  <c r="L120" i="25"/>
  <c r="DA241" i="25"/>
  <c r="DB76" i="617"/>
  <c r="T63" i="559"/>
  <c r="DO84" i="25"/>
  <c r="DJ97" i="25"/>
  <c r="DJ195" i="571"/>
  <c r="DJ11" i="617"/>
  <c r="DJ84" i="25"/>
  <c r="AH17" i="559"/>
  <c r="G398" i="25"/>
  <c r="G46" i="25"/>
  <c r="CT283" i="25"/>
  <c r="CT271" i="25"/>
  <c r="CT277" i="25" s="1"/>
  <c r="CU372" i="25"/>
  <c r="CV372" i="25"/>
  <c r="CT377" i="25"/>
  <c r="CJ108" i="25"/>
  <c r="CE137" i="25"/>
  <c r="CF127" i="25"/>
  <c r="AW28" i="25"/>
  <c r="AW101" i="25"/>
  <c r="AY121" i="25"/>
  <c r="BM168" i="571"/>
  <c r="BH162" i="571"/>
  <c r="CL28" i="617"/>
  <c r="CN76" i="25"/>
  <c r="CN89" i="25" s="1"/>
  <c r="DI109" i="25"/>
  <c r="BJ76" i="25"/>
  <c r="BQ103" i="25"/>
  <c r="BQ405" i="25" s="1"/>
  <c r="BI131" i="25"/>
  <c r="AC17" i="559"/>
  <c r="AC51" i="559" s="1"/>
  <c r="AC58" i="559" s="1"/>
  <c r="DE11" i="617"/>
  <c r="DE76" i="25"/>
  <c r="DE195" i="571"/>
  <c r="DE118" i="25"/>
  <c r="DE97" i="25"/>
  <c r="BM345" i="25"/>
  <c r="BM318" i="25"/>
  <c r="BM323" i="25"/>
  <c r="BM322" i="25" s="1"/>
  <c r="BM329" i="25" s="1"/>
  <c r="BM332" i="25" s="1"/>
  <c r="BM346" i="25"/>
  <c r="BM277" i="25"/>
  <c r="BM308" i="25"/>
  <c r="CI31" i="25"/>
  <c r="CN90" i="25" s="1"/>
  <c r="CI30" i="25"/>
  <c r="CI258" i="25" s="1"/>
  <c r="CI253" i="25" s="1"/>
  <c r="CI252" i="25" s="1"/>
  <c r="CI259" i="25" s="1"/>
  <c r="CI103" i="25"/>
  <c r="CI405" i="25" s="1"/>
  <c r="AU44" i="25"/>
  <c r="AU45" i="25" s="1"/>
  <c r="AU405" i="25"/>
  <c r="L31" i="25"/>
  <c r="L45" i="25" s="1"/>
  <c r="L33" i="25"/>
  <c r="AY88" i="25"/>
  <c r="AT88" i="25"/>
  <c r="DD261" i="25"/>
  <c r="AD63" i="559"/>
  <c r="BN68" i="25"/>
  <c r="DB210" i="571"/>
  <c r="CV338" i="25"/>
  <c r="CU31" i="25"/>
  <c r="CU33" i="25" s="1"/>
  <c r="BR257" i="25"/>
  <c r="BU65" i="571"/>
  <c r="BJ127" i="25"/>
  <c r="AX110" i="25"/>
  <c r="BM83" i="25"/>
  <c r="BX190" i="25"/>
  <c r="BX191" i="25" s="1"/>
  <c r="AJ190" i="25"/>
  <c r="AJ191" i="25" s="1"/>
  <c r="BR343" i="25"/>
  <c r="F112" i="25"/>
  <c r="DG195" i="571"/>
  <c r="CF382" i="25"/>
  <c r="CE294" i="25"/>
  <c r="CE296" i="25" s="1"/>
  <c r="CE297" i="25" s="1"/>
  <c r="CE240" i="25"/>
  <c r="CE387" i="25"/>
  <c r="BS289" i="25"/>
  <c r="BS391" i="25"/>
  <c r="CV251" i="25"/>
  <c r="AD137" i="25"/>
  <c r="AD97" i="25"/>
  <c r="AQ88" i="25"/>
  <c r="AL101" i="25"/>
  <c r="AQ112" i="25" s="1"/>
  <c r="AL28" i="25"/>
  <c r="AF121" i="25"/>
  <c r="AE88" i="25"/>
  <c r="DA309" i="25"/>
  <c r="DA310" i="25" s="1"/>
  <c r="Z68" i="25"/>
  <c r="U68" i="25"/>
  <c r="Z127" i="25"/>
  <c r="AA127" i="25"/>
  <c r="X53" i="559"/>
  <c r="AC66" i="559"/>
  <c r="BU277" i="25"/>
  <c r="BU276" i="25"/>
  <c r="DB241" i="25"/>
  <c r="K17" i="559"/>
  <c r="K51" i="559" s="1"/>
  <c r="CO332" i="25"/>
  <c r="S190" i="25"/>
  <c r="S191" i="25" s="1"/>
  <c r="AC60" i="559"/>
  <c r="Z59" i="559"/>
  <c r="AJ60" i="559"/>
  <c r="BU113" i="571"/>
  <c r="O320" i="25"/>
  <c r="BY79" i="25"/>
  <c r="CO387" i="25"/>
  <c r="CA367" i="25"/>
  <c r="CA369" i="25" s="1"/>
  <c r="CA282" i="25" s="1"/>
  <c r="CW129" i="25"/>
  <c r="DK137" i="25"/>
  <c r="BQ33" i="25"/>
  <c r="BQ90" i="25" s="1"/>
  <c r="DA24" i="25"/>
  <c r="DA145" i="25" s="1"/>
  <c r="DA147" i="25" s="1"/>
  <c r="CW23" i="25"/>
  <c r="DM195" i="571"/>
  <c r="CD296" i="25"/>
  <c r="CD297" i="25" s="1"/>
  <c r="CF294" i="25"/>
  <c r="CF296" i="25" s="1"/>
  <c r="BH359" i="25"/>
  <c r="BC272" i="25"/>
  <c r="BC276" i="25" s="1"/>
  <c r="CV230" i="25"/>
  <c r="CV239" i="25" s="1"/>
  <c r="CV241" i="25" s="1"/>
  <c r="CV312" i="25"/>
  <c r="T311" i="25"/>
  <c r="T230" i="25"/>
  <c r="T239" i="25" s="1"/>
  <c r="T241" i="25" s="1"/>
  <c r="T312" i="25"/>
  <c r="DA312" i="25"/>
  <c r="DD276" i="25"/>
  <c r="DD274" i="25"/>
  <c r="CV311" i="25"/>
  <c r="CN13" i="617"/>
  <c r="CQ66" i="25"/>
  <c r="CN67" i="25"/>
  <c r="CN86" i="25"/>
  <c r="CN119" i="25"/>
  <c r="CO119" i="25"/>
  <c r="CS86" i="25"/>
  <c r="CN99" i="25"/>
  <c r="Z190" i="25"/>
  <c r="Z191" i="25" s="1"/>
  <c r="Z88" i="25"/>
  <c r="Z28" i="25"/>
  <c r="Z121" i="25"/>
  <c r="Z101" i="25"/>
  <c r="AE112" i="25" s="1"/>
  <c r="CG101" i="25"/>
  <c r="CK31" i="25"/>
  <c r="CK90" i="25" s="1"/>
  <c r="CK30" i="25"/>
  <c r="CK258" i="25" s="1"/>
  <c r="CK253" i="25" s="1"/>
  <c r="CK252" i="25" s="1"/>
  <c r="CK259" i="25" s="1"/>
  <c r="CK103" i="25"/>
  <c r="CK405" i="25" s="1"/>
  <c r="BV377" i="25"/>
  <c r="BV283" i="25"/>
  <c r="BV271" i="25"/>
  <c r="CU274" i="25"/>
  <c r="CO30" i="25"/>
  <c r="CO258" i="25" s="1"/>
  <c r="CO103" i="25"/>
  <c r="CO405" i="25" s="1"/>
  <c r="CO31" i="25"/>
  <c r="CT90" i="25" s="1"/>
  <c r="Z108" i="25"/>
  <c r="DG118" i="25"/>
  <c r="AE17" i="559"/>
  <c r="DK60" i="25"/>
  <c r="CA76" i="25"/>
  <c r="CF84" i="25"/>
  <c r="CQ380" i="25"/>
  <c r="CQ286" i="25" s="1"/>
  <c r="CO286" i="25"/>
  <c r="CO302" i="25"/>
  <c r="CA380" i="25"/>
  <c r="CA286" i="25" s="1"/>
  <c r="BZ286" i="25"/>
  <c r="BZ387" i="25"/>
  <c r="AX274" i="25"/>
  <c r="AX276" i="25"/>
  <c r="AE108" i="25"/>
  <c r="AE127" i="25"/>
  <c r="DB316" i="25"/>
  <c r="AC79" i="25"/>
  <c r="AC100" i="25" s="1"/>
  <c r="AC33" i="25"/>
  <c r="AC31" i="25"/>
  <c r="AC45" i="25" s="1"/>
  <c r="AC92" i="25" s="1"/>
  <c r="AC30" i="25"/>
  <c r="AC103" i="25"/>
  <c r="AC405" i="25" s="1"/>
  <c r="V31" i="25"/>
  <c r="V45" i="25" s="1"/>
  <c r="V33" i="25"/>
  <c r="V103" i="25"/>
  <c r="V30" i="25"/>
  <c r="V79" i="25"/>
  <c r="CA46" i="25"/>
  <c r="DG391" i="25"/>
  <c r="DG393" i="25" s="1"/>
  <c r="BZ88" i="25"/>
  <c r="BU168" i="571"/>
  <c r="BU162" i="571" s="1"/>
  <c r="BW342" i="25"/>
  <c r="BX342" i="25" s="1"/>
  <c r="AX162" i="571"/>
  <c r="DH326" i="25"/>
  <c r="DH331" i="25" s="1"/>
  <c r="BN153" i="25"/>
  <c r="CG176" i="571"/>
  <c r="CG174" i="571" s="1"/>
  <c r="CG173" i="571" s="1"/>
  <c r="BD87" i="25"/>
  <c r="DG97" i="25"/>
  <c r="DG109" i="25" s="1"/>
  <c r="CE281" i="25"/>
  <c r="CE272" i="25"/>
  <c r="CE274" i="25" s="1"/>
  <c r="AF127" i="25"/>
  <c r="CE31" i="25"/>
  <c r="CE30" i="25"/>
  <c r="CE258" i="25" s="1"/>
  <c r="CE253" i="25" s="1"/>
  <c r="CE252" i="25" s="1"/>
  <c r="CE259" i="25" s="1"/>
  <c r="CE103" i="25"/>
  <c r="CE405" i="25" s="1"/>
  <c r="W66" i="559"/>
  <c r="R53" i="559"/>
  <c r="BL46" i="25"/>
  <c r="BL398" i="25"/>
  <c r="AU46" i="25"/>
  <c r="AU398" i="25"/>
  <c r="DA364" i="25"/>
  <c r="DA369" i="25" s="1"/>
  <c r="DN367" i="25"/>
  <c r="DN369" i="25" s="1"/>
  <c r="DN282" i="25" s="1"/>
  <c r="AY46" i="25"/>
  <c r="AY398" i="25"/>
  <c r="BW101" i="25"/>
  <c r="BW28" i="25"/>
  <c r="BS112" i="25"/>
  <c r="BN131" i="25"/>
  <c r="CE277" i="25"/>
  <c r="CE276" i="25"/>
  <c r="CP237" i="25"/>
  <c r="CQ237" i="25" s="1"/>
  <c r="AR108" i="25"/>
  <c r="AT127" i="25"/>
  <c r="DB325" i="25"/>
  <c r="DB330" i="25" s="1"/>
  <c r="DB326" i="25"/>
  <c r="DB331" i="25" s="1"/>
  <c r="BD405" i="25"/>
  <c r="O22" i="25"/>
  <c r="O96" i="25"/>
  <c r="T83" i="25"/>
  <c r="CU198" i="571"/>
  <c r="DB108" i="25"/>
  <c r="CW127" i="25"/>
  <c r="CX127" i="25"/>
  <c r="CH28" i="25"/>
  <c r="CH101" i="25"/>
  <c r="CH88" i="25"/>
  <c r="F19" i="559"/>
  <c r="F53" i="559" s="1"/>
  <c r="CI190" i="25"/>
  <c r="CI191" i="25" s="1"/>
  <c r="CJ190" i="25"/>
  <c r="CJ191" i="25" s="1"/>
  <c r="CK190" i="25"/>
  <c r="CK191" i="25" s="1"/>
  <c r="BT28" i="25"/>
  <c r="BT101" i="25"/>
  <c r="BT121" i="25"/>
  <c r="BT88" i="25"/>
  <c r="CB96" i="25"/>
  <c r="CB83" i="25"/>
  <c r="CB22" i="25"/>
  <c r="CG83" i="25"/>
  <c r="BR308" i="25"/>
  <c r="BR334" i="25"/>
  <c r="BR323" i="25"/>
  <c r="BR322" i="25" s="1"/>
  <c r="BR329" i="25" s="1"/>
  <c r="BR332" i="25" s="1"/>
  <c r="BR346" i="25"/>
  <c r="BR345" i="25"/>
  <c r="BR318" i="25"/>
  <c r="BR277" i="25"/>
  <c r="AQ43" i="25"/>
  <c r="AQ41" i="25"/>
  <c r="AQ104" i="25"/>
  <c r="CR28" i="25"/>
  <c r="CR101" i="25"/>
  <c r="CR199" i="571"/>
  <c r="CR88" i="25"/>
  <c r="P19" i="559"/>
  <c r="CT190" i="25"/>
  <c r="CT191" i="25" s="1"/>
  <c r="CU190" i="25"/>
  <c r="CU191" i="25" s="1"/>
  <c r="CL22" i="25"/>
  <c r="CQ88" i="25" s="1"/>
  <c r="CL83" i="25"/>
  <c r="CL96" i="25"/>
  <c r="CQ83" i="25"/>
  <c r="BH96" i="25"/>
  <c r="BH137" i="25" s="1"/>
  <c r="BH22" i="25"/>
  <c r="BH88" i="25" s="1"/>
  <c r="CZ110" i="25"/>
  <c r="O19" i="559"/>
  <c r="CQ101" i="25"/>
  <c r="CQ28" i="25"/>
  <c r="DD320" i="25"/>
  <c r="DD338" i="25"/>
  <c r="DD336" i="25"/>
  <c r="DD347" i="25"/>
  <c r="DD319" i="25"/>
  <c r="DD327" i="25"/>
  <c r="CP387" i="25"/>
  <c r="CP294" i="25"/>
  <c r="CQ382" i="25"/>
  <c r="AH112" i="25"/>
  <c r="CM88" i="25"/>
  <c r="CM101" i="25"/>
  <c r="CM28" i="25"/>
  <c r="K19" i="559"/>
  <c r="CM190" i="25"/>
  <c r="CM191" i="25" s="1"/>
  <c r="CN190" i="25"/>
  <c r="CN191" i="25" s="1"/>
  <c r="CO190" i="25"/>
  <c r="CO191" i="25" s="1"/>
  <c r="BO121" i="25"/>
  <c r="BO101" i="25"/>
  <c r="BO28" i="25"/>
  <c r="BO88" i="25"/>
  <c r="AZ28" i="25"/>
  <c r="AZ121" i="25"/>
  <c r="AZ101" i="25"/>
  <c r="AZ112" i="25" s="1"/>
  <c r="AZ88" i="25"/>
  <c r="AS97" i="25"/>
  <c r="AX109" i="25" s="1"/>
  <c r="AM127" i="25"/>
  <c r="AM108" i="25"/>
  <c r="I112" i="25"/>
  <c r="J112" i="25"/>
  <c r="P17" i="559"/>
  <c r="P51" i="559" s="1"/>
  <c r="CR97" i="25"/>
  <c r="CR128" i="25" s="1"/>
  <c r="CC11" i="617"/>
  <c r="CC84" i="25"/>
  <c r="CC76" i="25"/>
  <c r="CL97" i="25"/>
  <c r="CL109" i="25" s="1"/>
  <c r="CL138" i="25"/>
  <c r="CQ138" i="25"/>
  <c r="CX65" i="571"/>
  <c r="CX129" i="571" s="1"/>
  <c r="DC68" i="571"/>
  <c r="BT391" i="25"/>
  <c r="BT289" i="25"/>
  <c r="CF272" i="25"/>
  <c r="CF78" i="25"/>
  <c r="CF281" i="25"/>
  <c r="CG358" i="25"/>
  <c r="CK271" i="25"/>
  <c r="CK283" i="25"/>
  <c r="CL372" i="25"/>
  <c r="CL377" i="25" s="1"/>
  <c r="CK377" i="25"/>
  <c r="DD138" i="25"/>
  <c r="DD137" i="25"/>
  <c r="S53" i="559"/>
  <c r="X60" i="559" s="1"/>
  <c r="X66" i="559"/>
  <c r="AR101" i="25"/>
  <c r="AT131" i="25" s="1"/>
  <c r="AW88" i="25"/>
  <c r="AR28" i="25"/>
  <c r="AR121" i="25"/>
  <c r="AU190" i="25"/>
  <c r="AU191" i="25" s="1"/>
  <c r="BD43" i="25"/>
  <c r="BD104" i="25"/>
  <c r="BD113" i="25" s="1"/>
  <c r="BD41" i="25"/>
  <c r="AG28" i="25"/>
  <c r="AG190" i="25"/>
  <c r="AG191" i="25" s="1"/>
  <c r="AG121" i="25"/>
  <c r="AL88" i="25"/>
  <c r="AG88" i="25"/>
  <c r="AG101" i="25"/>
  <c r="AH131" i="25" s="1"/>
  <c r="AC131" i="25"/>
  <c r="AJ108" i="25"/>
  <c r="AJ127" i="25"/>
  <c r="DA281" i="25"/>
  <c r="DA272" i="25"/>
  <c r="CH60" i="25"/>
  <c r="CL58" i="25"/>
  <c r="AP108" i="25"/>
  <c r="AK108" i="25"/>
  <c r="AK127" i="25"/>
  <c r="AL127" i="25"/>
  <c r="AO108" i="25"/>
  <c r="BV32" i="25"/>
  <c r="BV405" i="25"/>
  <c r="BY28" i="25"/>
  <c r="BY101" i="25"/>
  <c r="BY112" i="25" s="1"/>
  <c r="BY88" i="25"/>
  <c r="BR96" i="25"/>
  <c r="BW83" i="25"/>
  <c r="BR22" i="25"/>
  <c r="BR88" i="25" s="1"/>
  <c r="BR138" i="25"/>
  <c r="BR97" i="25"/>
  <c r="T323" i="25"/>
  <c r="T322" i="25" s="1"/>
  <c r="T329" i="25" s="1"/>
  <c r="T277" i="25"/>
  <c r="T346" i="25"/>
  <c r="T334" i="25"/>
  <c r="T316" i="25"/>
  <c r="T308" i="25"/>
  <c r="T345" i="25"/>
  <c r="T318" i="25"/>
  <c r="BV79" i="25"/>
  <c r="BW78" i="25"/>
  <c r="H46" i="25"/>
  <c r="H398" i="25"/>
  <c r="AD33" i="25"/>
  <c r="CC28" i="25"/>
  <c r="CC101" i="25"/>
  <c r="CC121" i="25"/>
  <c r="BE28" i="25"/>
  <c r="BE88" i="25"/>
  <c r="BE101" i="25"/>
  <c r="BE121" i="25"/>
  <c r="BH97" i="25"/>
  <c r="DO382" i="25"/>
  <c r="DO294" i="25" s="1"/>
  <c r="DO296" i="25" s="1"/>
  <c r="DO298" i="25" s="1"/>
  <c r="DO54" i="25" s="1"/>
  <c r="CT239" i="25"/>
  <c r="CT251" i="25"/>
  <c r="AL108" i="25"/>
  <c r="AG127" i="25"/>
  <c r="AH127" i="25"/>
  <c r="O347" i="25"/>
  <c r="O319" i="25"/>
  <c r="O327" i="25"/>
  <c r="AJ101" i="25"/>
  <c r="AJ121" i="25"/>
  <c r="AL190" i="25"/>
  <c r="AL191" i="25" s="1"/>
  <c r="AJ28" i="25"/>
  <c r="AO88" i="25"/>
  <c r="AK190" i="25"/>
  <c r="AK191" i="25" s="1"/>
  <c r="CN104" i="25"/>
  <c r="CN43" i="25"/>
  <c r="CN33" i="25"/>
  <c r="CN41" i="25"/>
  <c r="CV13" i="617"/>
  <c r="CV86" i="25"/>
  <c r="CV99" i="25"/>
  <c r="DB88" i="25"/>
  <c r="U19" i="559"/>
  <c r="Z66" i="559" s="1"/>
  <c r="CW28" i="25"/>
  <c r="CZ190" i="25"/>
  <c r="CZ191" i="25" s="1"/>
  <c r="CW101" i="25"/>
  <c r="CX190" i="25"/>
  <c r="CX191" i="25" s="1"/>
  <c r="CW199" i="571"/>
  <c r="DA199" i="571" s="1"/>
  <c r="CW190" i="25"/>
  <c r="CW191" i="25" s="1"/>
  <c r="CY190" i="25"/>
  <c r="CY191" i="25" s="1"/>
  <c r="CW88" i="25"/>
  <c r="CW60" i="25"/>
  <c r="DA60" i="25" s="1"/>
  <c r="DA58" i="25"/>
  <c r="CH137" i="25"/>
  <c r="CH127" i="25"/>
  <c r="CI127" i="25"/>
  <c r="BT108" i="25"/>
  <c r="BT137" i="25"/>
  <c r="BT127" i="25"/>
  <c r="BJ121" i="25"/>
  <c r="BJ101" i="25"/>
  <c r="BJ28" i="25"/>
  <c r="BJ88" i="25"/>
  <c r="CB346" i="25"/>
  <c r="CB318" i="25"/>
  <c r="CB345" i="25"/>
  <c r="CB308" i="25"/>
  <c r="CB334" i="25"/>
  <c r="CB277" i="25"/>
  <c r="CB323" i="25"/>
  <c r="CB322" i="25" s="1"/>
  <c r="CB329" i="25" s="1"/>
  <c r="CB332" i="25" s="1"/>
  <c r="CZ68" i="25"/>
  <c r="X118" i="559" s="1"/>
  <c r="X39" i="559" s="1"/>
  <c r="CM137" i="25"/>
  <c r="CM108" i="25"/>
  <c r="CM127" i="25"/>
  <c r="BY108" i="25"/>
  <c r="BY127" i="25"/>
  <c r="BY137" i="25"/>
  <c r="BO127" i="25"/>
  <c r="BO108" i="25"/>
  <c r="AS318" i="25"/>
  <c r="AS323" i="25"/>
  <c r="AS322" i="25" s="1"/>
  <c r="AS329" i="25" s="1"/>
  <c r="AS345" i="25"/>
  <c r="AS334" i="25"/>
  <c r="AS346" i="25"/>
  <c r="AS277" i="25"/>
  <c r="AS308" i="25"/>
  <c r="AS96" i="25"/>
  <c r="AS137" i="25" s="1"/>
  <c r="AS22" i="25"/>
  <c r="AX83" i="25"/>
  <c r="AQ405" i="25"/>
  <c r="AQ44" i="25"/>
  <c r="CG31" i="25"/>
  <c r="CG30" i="25"/>
  <c r="CG103" i="25"/>
  <c r="CG405" i="25" s="1"/>
  <c r="BQ43" i="25"/>
  <c r="BQ45" i="25" s="1"/>
  <c r="BQ104" i="25"/>
  <c r="BQ113" i="25" s="1"/>
  <c r="BQ41" i="25"/>
  <c r="CV334" i="25"/>
  <c r="CV323" i="25"/>
  <c r="CV322" i="25" s="1"/>
  <c r="CV329" i="25" s="1"/>
  <c r="CV318" i="25"/>
  <c r="CV345" i="25"/>
  <c r="CV308" i="25"/>
  <c r="CL308" i="25"/>
  <c r="CL345" i="25"/>
  <c r="CL346" i="25"/>
  <c r="CL310" i="25"/>
  <c r="BH110" i="25"/>
  <c r="BM110" i="25"/>
  <c r="AE59" i="559"/>
  <c r="BL153" i="25"/>
  <c r="CX134" i="571"/>
  <c r="AI101" i="571"/>
  <c r="CY68" i="571"/>
  <c r="DY248" i="25"/>
  <c r="T48" i="559"/>
  <c r="AM100" i="25"/>
  <c r="CD77" i="571"/>
  <c r="CD79" i="571" s="1"/>
  <c r="CD84" i="571"/>
  <c r="CD87" i="571"/>
  <c r="CD97" i="571"/>
  <c r="CG82" i="571"/>
  <c r="DA159" i="25"/>
  <c r="DA160" i="25" s="1"/>
  <c r="CB83" i="571"/>
  <c r="CB148" i="571" s="1"/>
  <c r="CG153" i="571" s="1"/>
  <c r="BX88" i="571"/>
  <c r="BX84" i="571"/>
  <c r="BX99" i="571" s="1"/>
  <c r="CQ133" i="571"/>
  <c r="CM97" i="25"/>
  <c r="CP261" i="25"/>
  <c r="CP263" i="25" s="1"/>
  <c r="CR84" i="25"/>
  <c r="CM76" i="25"/>
  <c r="CM121" i="25" s="1"/>
  <c r="N22" i="559"/>
  <c r="DP193" i="571"/>
  <c r="DP60" i="617" s="1"/>
  <c r="CM84" i="25"/>
  <c r="CM11" i="617"/>
  <c r="CR29" i="617" s="1"/>
  <c r="DU193" i="571"/>
  <c r="DU60" i="617" s="1"/>
  <c r="CV44" i="25"/>
  <c r="AA59" i="559"/>
  <c r="DK159" i="571"/>
  <c r="DK177" i="571" s="1"/>
  <c r="DO210" i="571"/>
  <c r="DL137" i="571"/>
  <c r="DO137" i="571"/>
  <c r="DG52" i="571"/>
  <c r="DE53" i="571"/>
  <c r="DG139" i="571"/>
  <c r="DI177" i="571"/>
  <c r="DA17" i="571"/>
  <c r="DA20" i="571"/>
  <c r="DA22" i="571"/>
  <c r="DL52" i="571"/>
  <c r="DQ53" i="571" s="1"/>
  <c r="DJ53" i="571"/>
  <c r="DN137" i="571"/>
  <c r="DS128" i="571"/>
  <c r="DH139" i="571"/>
  <c r="DM137" i="571"/>
  <c r="DR128" i="571"/>
  <c r="AI14" i="559"/>
  <c r="DK49" i="617"/>
  <c r="DK176" i="571"/>
  <c r="DK174" i="571" s="1"/>
  <c r="DF18" i="571"/>
  <c r="DE17" i="571"/>
  <c r="DL139" i="571"/>
  <c r="DO53" i="571"/>
  <c r="DO182" i="571"/>
  <c r="DO139" i="571"/>
  <c r="CE55" i="617"/>
  <c r="BS64" i="571"/>
  <c r="BS65" i="571" s="1"/>
  <c r="BS129" i="571" s="1"/>
  <c r="BS143" i="571" s="1"/>
  <c r="BS82" i="571"/>
  <c r="BX43" i="571"/>
  <c r="BX71" i="571" s="1"/>
  <c r="BX56" i="571"/>
  <c r="BX61" i="571" s="1"/>
  <c r="BY43" i="571"/>
  <c r="BY71" i="571" s="1"/>
  <c r="BY72" i="571" s="1"/>
  <c r="BY56" i="571"/>
  <c r="BY61" i="571" s="1"/>
  <c r="BT64" i="571"/>
  <c r="BT82" i="571"/>
  <c r="DD33" i="571"/>
  <c r="DD59" i="571"/>
  <c r="DD39" i="571"/>
  <c r="DF39" i="571" s="1"/>
  <c r="DF40" i="571" s="1"/>
  <c r="DG40" i="571" s="1"/>
  <c r="AT146" i="559"/>
  <c r="AT145" i="559" s="1"/>
  <c r="AU146" i="559"/>
  <c r="AU145" i="559" s="1"/>
  <c r="AZ146" i="559"/>
  <c r="AY146" i="559"/>
  <c r="BB146" i="559"/>
  <c r="BA146" i="559"/>
  <c r="AR146" i="559"/>
  <c r="AR42" i="559" s="1"/>
  <c r="DS23" i="613"/>
  <c r="DR26" i="613"/>
  <c r="DP50" i="613"/>
  <c r="DP27" i="607"/>
  <c r="ED16" i="613"/>
  <c r="ED20" i="613" s="1"/>
  <c r="ED33" i="613"/>
  <c r="ED35" i="613"/>
  <c r="ED13" i="613"/>
  <c r="ED120" i="617"/>
  <c r="DR361" i="25"/>
  <c r="DS361" i="25" s="1"/>
  <c r="DT361" i="25" s="1"/>
  <c r="DV361" i="25" s="1"/>
  <c r="AX332" i="25"/>
  <c r="CF365" i="25"/>
  <c r="DW271" i="25"/>
  <c r="DR372" i="25"/>
  <c r="DR283" i="25" s="1"/>
  <c r="DO86" i="25"/>
  <c r="DJ13" i="617"/>
  <c r="DN109" i="25"/>
  <c r="DI206" i="571"/>
  <c r="DJ86" i="25"/>
  <c r="BP128" i="25"/>
  <c r="BO109" i="25"/>
  <c r="BT109" i="25"/>
  <c r="DH55" i="617"/>
  <c r="AI76" i="25"/>
  <c r="DJ30" i="25"/>
  <c r="DJ258" i="25" s="1"/>
  <c r="DJ253" i="25" s="1"/>
  <c r="DJ252" i="25" s="1"/>
  <c r="DJ259" i="25" s="1"/>
  <c r="DJ31" i="25"/>
  <c r="Y241" i="25"/>
  <c r="AD316" i="25"/>
  <c r="AD241" i="25"/>
  <c r="CM152" i="25"/>
  <c r="CN153" i="25" s="1"/>
  <c r="DL30" i="617"/>
  <c r="DG37" i="617"/>
  <c r="DH369" i="25"/>
  <c r="DI367" i="25"/>
  <c r="DJ367" i="25" s="1"/>
  <c r="DJ369" i="25" s="1"/>
  <c r="DM43" i="25"/>
  <c r="DN123" i="25" s="1"/>
  <c r="DM41" i="25"/>
  <c r="DM398" i="25" s="1"/>
  <c r="DM295" i="25"/>
  <c r="DK296" i="25"/>
  <c r="DK298" i="25" s="1"/>
  <c r="CT18" i="617"/>
  <c r="CT38" i="617"/>
  <c r="DK326" i="25"/>
  <c r="DK331" i="25" s="1"/>
  <c r="DK332" i="25" s="1"/>
  <c r="CQ323" i="25"/>
  <c r="CQ322" i="25" s="1"/>
  <c r="CQ329" i="25" s="1"/>
  <c r="CQ334" i="25"/>
  <c r="CQ318" i="25"/>
  <c r="CQ345" i="25"/>
  <c r="CQ308" i="25"/>
  <c r="CQ346" i="25"/>
  <c r="CF33" i="25"/>
  <c r="CF41" i="25"/>
  <c r="CF398" i="25" s="1"/>
  <c r="CF104" i="25"/>
  <c r="DF78" i="25"/>
  <c r="BM239" i="25"/>
  <c r="BM251" i="25"/>
  <c r="BM315" i="25"/>
  <c r="AH103" i="25"/>
  <c r="AH30" i="25"/>
  <c r="AH79" i="25"/>
  <c r="AH33" i="25"/>
  <c r="AH31" i="25"/>
  <c r="Y19" i="559"/>
  <c r="Y53" i="559" s="1"/>
  <c r="DA28" i="25"/>
  <c r="DA103" i="25" s="1"/>
  <c r="DA101" i="25"/>
  <c r="AM131" i="25"/>
  <c r="AM112" i="25"/>
  <c r="CP121" i="25"/>
  <c r="CO102" i="25"/>
  <c r="CO79" i="25"/>
  <c r="AO76" i="25"/>
  <c r="BW58" i="25"/>
  <c r="BU60" i="25"/>
  <c r="BF121" i="25"/>
  <c r="BG121" i="25"/>
  <c r="BF101" i="25"/>
  <c r="BF28" i="25"/>
  <c r="BJ190" i="25"/>
  <c r="BJ191" i="25" s="1"/>
  <c r="BG190" i="25"/>
  <c r="BG191" i="25" s="1"/>
  <c r="BI190" i="25"/>
  <c r="BI191" i="25" s="1"/>
  <c r="BF88" i="25"/>
  <c r="BF190" i="25"/>
  <c r="BF191" i="25" s="1"/>
  <c r="BZ99" i="571"/>
  <c r="BZ101" i="571" s="1"/>
  <c r="AO131" i="25"/>
  <c r="DM110" i="25"/>
  <c r="DI129" i="25"/>
  <c r="DH110" i="25"/>
  <c r="CC128" i="25"/>
  <c r="CD128" i="25"/>
  <c r="CH109" i="25"/>
  <c r="CC109" i="25"/>
  <c r="K59" i="559"/>
  <c r="AB405" i="25"/>
  <c r="AC132" i="25"/>
  <c r="CO10" i="617"/>
  <c r="DP375" i="25"/>
  <c r="DL391" i="25"/>
  <c r="DI379" i="25"/>
  <c r="DI387" i="25" s="1"/>
  <c r="CQ60" i="25"/>
  <c r="CQ97" i="25" s="1"/>
  <c r="CO118" i="25"/>
  <c r="CN84" i="25"/>
  <c r="CD112" i="571"/>
  <c r="AX176" i="571"/>
  <c r="AX174" i="571" s="1"/>
  <c r="AX173" i="571" s="1"/>
  <c r="BM176" i="571"/>
  <c r="BM174" i="571" s="1"/>
  <c r="BM173" i="571" s="1"/>
  <c r="DU296" i="25"/>
  <c r="DU298" i="25" s="1"/>
  <c r="DP385" i="25"/>
  <c r="DP362" i="25"/>
  <c r="EB35" i="25"/>
  <c r="EB193" i="571"/>
  <c r="EB60" i="617" s="1"/>
  <c r="BW318" i="25"/>
  <c r="BW345" i="25"/>
  <c r="BW346" i="25"/>
  <c r="BW277" i="25"/>
  <c r="BW323" i="25"/>
  <c r="BW322" i="25" s="1"/>
  <c r="BW329" i="25" s="1"/>
  <c r="BW332" i="25" s="1"/>
  <c r="BW334" i="25"/>
  <c r="BW308" i="25"/>
  <c r="BY251" i="25"/>
  <c r="BY239" i="25"/>
  <c r="CZ387" i="25"/>
  <c r="DA381" i="25"/>
  <c r="AP60" i="25"/>
  <c r="AP76" i="25" s="1"/>
  <c r="AS58" i="25"/>
  <c r="CV380" i="25"/>
  <c r="CU302" i="25"/>
  <c r="CU286" i="25" s="1"/>
  <c r="BC101" i="25"/>
  <c r="BC28" i="25"/>
  <c r="BC88" i="25"/>
  <c r="BX30" i="25"/>
  <c r="BX258" i="25" s="1"/>
  <c r="BX253" i="25" s="1"/>
  <c r="BX252" i="25" s="1"/>
  <c r="BX259" i="25" s="1"/>
  <c r="BX31" i="25"/>
  <c r="BX103" i="25"/>
  <c r="BX405" i="25" s="1"/>
  <c r="BS232" i="25"/>
  <c r="BR238" i="25"/>
  <c r="BR254" i="25"/>
  <c r="BT342" i="25"/>
  <c r="DK13" i="617"/>
  <c r="DK86" i="25"/>
  <c r="BP67" i="25"/>
  <c r="BR66" i="25"/>
  <c r="BR67" i="25" s="1"/>
  <c r="W68" i="25"/>
  <c r="AB68" i="25"/>
  <c r="Q17" i="559"/>
  <c r="CT118" i="25"/>
  <c r="CS11" i="617"/>
  <c r="CX84" i="25"/>
  <c r="CS195" i="571"/>
  <c r="CS76" i="25"/>
  <c r="CS97" i="25"/>
  <c r="CS109" i="25" s="1"/>
  <c r="CV60" i="25"/>
  <c r="CV84" i="25" s="1"/>
  <c r="CS118" i="25"/>
  <c r="BQ190" i="25"/>
  <c r="BQ191" i="25" s="1"/>
  <c r="BT190" i="25"/>
  <c r="BT191" i="25" s="1"/>
  <c r="BS190" i="25"/>
  <c r="BS191" i="25" s="1"/>
  <c r="BP121" i="25"/>
  <c r="BP28" i="25"/>
  <c r="BP190" i="25"/>
  <c r="BP191" i="25" s="1"/>
  <c r="BP88" i="25"/>
  <c r="BP101" i="25"/>
  <c r="BQ121" i="25"/>
  <c r="BQ127" i="25"/>
  <c r="BP108" i="25"/>
  <c r="BP127" i="25"/>
  <c r="P59" i="559"/>
  <c r="DF374" i="25"/>
  <c r="DF377" i="25" s="1"/>
  <c r="DE377" i="25"/>
  <c r="BN109" i="25"/>
  <c r="BO128" i="25"/>
  <c r="BN128" i="25"/>
  <c r="AA67" i="25"/>
  <c r="AD66" i="25"/>
  <c r="AD67" i="25" s="1"/>
  <c r="AD68" i="25" s="1"/>
  <c r="AA76" i="25"/>
  <c r="AN60" i="25"/>
  <c r="AJ76" i="25"/>
  <c r="AN76" i="25" s="1"/>
  <c r="BU28" i="25"/>
  <c r="BU190" i="25"/>
  <c r="BU191" i="25" s="1"/>
  <c r="BV121" i="25"/>
  <c r="BU121" i="25"/>
  <c r="BU101" i="25"/>
  <c r="BV190" i="25"/>
  <c r="BV191" i="25" s="1"/>
  <c r="BU88" i="25"/>
  <c r="BF60" i="25"/>
  <c r="BH58" i="25"/>
  <c r="CV347" i="25"/>
  <c r="CV319" i="25"/>
  <c r="CV336" i="25"/>
  <c r="BW66" i="25"/>
  <c r="BW67" i="25" s="1"/>
  <c r="BT67" i="25"/>
  <c r="AT76" i="25"/>
  <c r="BZ121" i="25"/>
  <c r="CC190" i="25"/>
  <c r="CC191" i="25" s="1"/>
  <c r="BZ60" i="25"/>
  <c r="CB58" i="25"/>
  <c r="BK60" i="25"/>
  <c r="BM58" i="25"/>
  <c r="CE282" i="25"/>
  <c r="AB100" i="25"/>
  <c r="AC120" i="25"/>
  <c r="EA372" i="25"/>
  <c r="DO271" i="25"/>
  <c r="DT271" i="25" s="1"/>
  <c r="DO283" i="25"/>
  <c r="AP28" i="25"/>
  <c r="AP88" i="25"/>
  <c r="AU88" i="25"/>
  <c r="AP101" i="25"/>
  <c r="AQ121" i="25"/>
  <c r="AP190" i="25"/>
  <c r="AP191" i="25" s="1"/>
  <c r="AP121" i="25"/>
  <c r="AQ190" i="25"/>
  <c r="AQ191" i="25" s="1"/>
  <c r="AR190" i="25"/>
  <c r="AR191" i="25" s="1"/>
  <c r="BL405" i="25"/>
  <c r="DF312" i="25"/>
  <c r="DF230" i="25"/>
  <c r="DF239" i="25" s="1"/>
  <c r="DF241" i="25" s="1"/>
  <c r="DF309" i="25"/>
  <c r="DF310" i="25" s="1"/>
  <c r="DF311" i="25"/>
  <c r="CD60" i="25"/>
  <c r="CG58" i="25"/>
  <c r="BX67" i="25"/>
  <c r="BX76" i="25"/>
  <c r="BX99" i="25"/>
  <c r="CC110" i="25" s="1"/>
  <c r="CC86" i="25"/>
  <c r="CB66" i="25"/>
  <c r="CZ53" i="617"/>
  <c r="CK83" i="617"/>
  <c r="DM387" i="25"/>
  <c r="CO15" i="617"/>
  <c r="CT31" i="617" s="1"/>
  <c r="DL395" i="25"/>
  <c r="H169" i="571"/>
  <c r="CN118" i="25"/>
  <c r="CN11" i="617"/>
  <c r="CN36" i="617" s="1"/>
  <c r="DK143" i="25"/>
  <c r="DH332" i="25"/>
  <c r="BM177" i="571"/>
  <c r="DJ331" i="25"/>
  <c r="DJ332" i="25" s="1"/>
  <c r="DP376" i="25"/>
  <c r="DP361" i="25"/>
  <c r="AY131" i="25"/>
  <c r="BD112" i="25"/>
  <c r="BM108" i="25"/>
  <c r="BR108" i="25"/>
  <c r="BM137" i="25"/>
  <c r="BC137" i="25"/>
  <c r="CQ272" i="25"/>
  <c r="CQ281" i="25"/>
  <c r="DF96" i="25"/>
  <c r="DF137" i="25" s="1"/>
  <c r="DF22" i="25"/>
  <c r="DF191" i="571"/>
  <c r="DF83" i="25"/>
  <c r="DG188" i="25"/>
  <c r="DG189" i="25" s="1"/>
  <c r="DH188" i="25"/>
  <c r="DH189" i="25" s="1"/>
  <c r="DI188" i="25"/>
  <c r="DI189" i="25" s="1"/>
  <c r="CF23" i="25"/>
  <c r="CF145" i="25"/>
  <c r="CT33" i="25"/>
  <c r="CT41" i="25"/>
  <c r="CT398" i="25" s="1"/>
  <c r="CT104" i="25"/>
  <c r="CY90" i="25"/>
  <c r="AM103" i="25"/>
  <c r="AM33" i="25"/>
  <c r="AM30" i="25"/>
  <c r="AM31" i="25"/>
  <c r="DF277" i="25"/>
  <c r="DF323" i="25"/>
  <c r="DF334" i="25"/>
  <c r="CY14" i="617"/>
  <c r="W126" i="559"/>
  <c r="W48" i="559" s="1"/>
  <c r="Y48" i="559" s="1"/>
  <c r="DA74" i="25"/>
  <c r="DA14" i="617" s="1"/>
  <c r="W132" i="559"/>
  <c r="CD137" i="25"/>
  <c r="CI108" i="25"/>
  <c r="CD127" i="25"/>
  <c r="CD108" i="25"/>
  <c r="CE127" i="25"/>
  <c r="CI88" i="25"/>
  <c r="CD121" i="25"/>
  <c r="CD101" i="25"/>
  <c r="CE121" i="25"/>
  <c r="CE190" i="25"/>
  <c r="CE191" i="25" s="1"/>
  <c r="BB121" i="25"/>
  <c r="BA101" i="25"/>
  <c r="BA121" i="25"/>
  <c r="BA190" i="25"/>
  <c r="BA191" i="25" s="1"/>
  <c r="BD190" i="25"/>
  <c r="BD191" i="25" s="1"/>
  <c r="BE190" i="25"/>
  <c r="BE191" i="25" s="1"/>
  <c r="BA88" i="25"/>
  <c r="BA28" i="25"/>
  <c r="BA79" i="25" s="1"/>
  <c r="BA100" i="25" s="1"/>
  <c r="BB190" i="25"/>
  <c r="BB191" i="25" s="1"/>
  <c r="DB141" i="25"/>
  <c r="DB143" i="25" s="1"/>
  <c r="DB407" i="25"/>
  <c r="CK109" i="25"/>
  <c r="CK128" i="25"/>
  <c r="BG127" i="25"/>
  <c r="BF108" i="25"/>
  <c r="U59" i="559"/>
  <c r="BU370" i="25"/>
  <c r="BU282" i="25"/>
  <c r="Z76" i="25"/>
  <c r="AD76" i="25" s="1"/>
  <c r="AV60" i="25"/>
  <c r="AV76" i="25" s="1"/>
  <c r="AX58" i="25"/>
  <c r="DS219" i="25"/>
  <c r="DR27" i="611"/>
  <c r="EC193" i="571"/>
  <c r="EC60" i="617" s="1"/>
  <c r="EC35" i="25"/>
  <c r="BZ254" i="25"/>
  <c r="BZ238" i="25"/>
  <c r="CP274" i="25"/>
  <c r="K67" i="25"/>
  <c r="P68" i="25" s="1"/>
  <c r="O66" i="25"/>
  <c r="O67" i="25" s="1"/>
  <c r="AS176" i="571"/>
  <c r="AS174" i="571" s="1"/>
  <c r="AS173" i="571" s="1"/>
  <c r="CW53" i="617"/>
  <c r="DH377" i="25"/>
  <c r="AH59" i="559"/>
  <c r="CF90" i="25"/>
  <c r="CF43" i="25"/>
  <c r="CF92" i="25" s="1"/>
  <c r="L17" i="559"/>
  <c r="L64" i="559" s="1"/>
  <c r="Q60" i="559"/>
  <c r="CF45" i="25"/>
  <c r="AT190" i="25"/>
  <c r="AT191" i="25" s="1"/>
  <c r="CG52" i="617"/>
  <c r="CL73" i="617" s="1"/>
  <c r="CL176" i="571"/>
  <c r="CL174" i="571" s="1"/>
  <c r="CL173" i="571" s="1"/>
  <c r="DO281" i="25"/>
  <c r="DO78" i="25"/>
  <c r="DO79" i="25" s="1"/>
  <c r="DO272" i="25"/>
  <c r="DP389" i="25"/>
  <c r="DP374" i="25"/>
  <c r="DP360" i="25"/>
  <c r="K76" i="25"/>
  <c r="EA35" i="25"/>
  <c r="EA193" i="571"/>
  <c r="EA60" i="617" s="1"/>
  <c r="CT274" i="25"/>
  <c r="CT276" i="25"/>
  <c r="CE11" i="617"/>
  <c r="CE84" i="25"/>
  <c r="CJ84" i="25"/>
  <c r="CE76" i="25"/>
  <c r="CT286" i="25"/>
  <c r="CV302" i="25"/>
  <c r="CZ356" i="25"/>
  <c r="CZ104" i="25"/>
  <c r="CZ33" i="25"/>
  <c r="Y338" i="25"/>
  <c r="Y336" i="25"/>
  <c r="Y347" i="25"/>
  <c r="Y319" i="25"/>
  <c r="Y320" i="25"/>
  <c r="Y327" i="25"/>
  <c r="BM101" i="25"/>
  <c r="BM88" i="25"/>
  <c r="BM28" i="25"/>
  <c r="M28" i="25"/>
  <c r="M121" i="25"/>
  <c r="N121" i="25"/>
  <c r="M60" i="25"/>
  <c r="M76" i="25" s="1"/>
  <c r="O58" i="25"/>
  <c r="K33" i="25"/>
  <c r="CZ102" i="25"/>
  <c r="CT258" i="25"/>
  <c r="CT253" i="25" s="1"/>
  <c r="BZ113" i="571"/>
  <c r="AD52" i="559"/>
  <c r="AD59" i="559" s="1"/>
  <c r="DE329" i="25"/>
  <c r="DE332" i="25" s="1"/>
  <c r="DF322" i="25"/>
  <c r="DF329" i="25" s="1"/>
  <c r="DF332" i="25" s="1"/>
  <c r="CA387" i="25"/>
  <c r="CF128" i="25"/>
  <c r="CH128" i="25"/>
  <c r="CF109" i="25"/>
  <c r="CJ139" i="571"/>
  <c r="CJ72" i="571"/>
  <c r="CJ138" i="571" s="1"/>
  <c r="DK30" i="25"/>
  <c r="DK31" i="25"/>
  <c r="AE67" i="25"/>
  <c r="AI66" i="25"/>
  <c r="AI67" i="25" s="1"/>
  <c r="Q67" i="25"/>
  <c r="T66" i="25"/>
  <c r="T67" i="25" s="1"/>
  <c r="BU127" i="25"/>
  <c r="BU137" i="25"/>
  <c r="BU108" i="25"/>
  <c r="BV127" i="25"/>
  <c r="DA138" i="25"/>
  <c r="CV138" i="25"/>
  <c r="J52" i="559"/>
  <c r="O59" i="559" s="1"/>
  <c r="O63" i="559"/>
  <c r="DV295" i="25"/>
  <c r="DT296" i="25"/>
  <c r="DT298" i="25" s="1"/>
  <c r="DT54" i="25" s="1"/>
  <c r="DK83" i="25"/>
  <c r="CT102" i="25"/>
  <c r="CU121" i="25"/>
  <c r="CT89" i="25"/>
  <c r="CT121" i="25"/>
  <c r="CT79" i="25"/>
  <c r="DD84" i="25"/>
  <c r="CY195" i="571"/>
  <c r="CY97" i="25"/>
  <c r="W17" i="559"/>
  <c r="CY11" i="617"/>
  <c r="CY118" i="25"/>
  <c r="CY84" i="25"/>
  <c r="CY76" i="25"/>
  <c r="CZ118" i="25"/>
  <c r="BZ108" i="25"/>
  <c r="BZ127" i="25"/>
  <c r="CA127" i="25"/>
  <c r="BZ137" i="25"/>
  <c r="CE108" i="25"/>
  <c r="BK101" i="25"/>
  <c r="BK28" i="25"/>
  <c r="BL121" i="25"/>
  <c r="BK121" i="25"/>
  <c r="BN190" i="25"/>
  <c r="BN191" i="25" s="1"/>
  <c r="BK88" i="25"/>
  <c r="BO190" i="25"/>
  <c r="BO191" i="25" s="1"/>
  <c r="BK190" i="25"/>
  <c r="BK191" i="25" s="1"/>
  <c r="BL190" i="25"/>
  <c r="BL191" i="25" s="1"/>
  <c r="BK127" i="25"/>
  <c r="BL127" i="25"/>
  <c r="AV101" i="25"/>
  <c r="AV88" i="25"/>
  <c r="AZ190" i="25"/>
  <c r="AZ191" i="25" s="1"/>
  <c r="AW190" i="25"/>
  <c r="AW191" i="25" s="1"/>
  <c r="AV28" i="25"/>
  <c r="AY190" i="25"/>
  <c r="AY191" i="25" s="1"/>
  <c r="AV190" i="25"/>
  <c r="AV191" i="25" s="1"/>
  <c r="AV121" i="25"/>
  <c r="AW121" i="25"/>
  <c r="AC122" i="25"/>
  <c r="AB41" i="25"/>
  <c r="AB43" i="25"/>
  <c r="AB104" i="25"/>
  <c r="DZ211" i="25"/>
  <c r="EA211" i="25"/>
  <c r="EB211" i="25" s="1"/>
  <c r="EC211" i="25" s="1"/>
  <c r="ED211" i="25" s="1"/>
  <c r="EE211" i="25" s="1"/>
  <c r="DY295" i="25"/>
  <c r="DW296" i="25"/>
  <c r="DW298" i="25" s="1"/>
  <c r="DW54" i="25" s="1"/>
  <c r="ED193" i="571"/>
  <c r="ED60" i="617" s="1"/>
  <c r="ED35" i="25"/>
  <c r="EE59" i="25"/>
  <c r="EB212" i="25"/>
  <c r="CJ73" i="617"/>
  <c r="CC55" i="617"/>
  <c r="CJ53" i="617"/>
  <c r="CJ83" i="617" s="1"/>
  <c r="CN74" i="617"/>
  <c r="DE83" i="617"/>
  <c r="CH72" i="617"/>
  <c r="CR72" i="617"/>
  <c r="CN72" i="617"/>
  <c r="CI83" i="617"/>
  <c r="DM100" i="617"/>
  <c r="DE55" i="617"/>
  <c r="CI72" i="617"/>
  <c r="CI84" i="617"/>
  <c r="DG82" i="617"/>
  <c r="CI74" i="617"/>
  <c r="CD55" i="617"/>
  <c r="DL55" i="617"/>
  <c r="CT53" i="617"/>
  <c r="CT74" i="617" s="1"/>
  <c r="DO51" i="613"/>
  <c r="DF49" i="617"/>
  <c r="CB176" i="571"/>
  <c r="CB174" i="571" s="1"/>
  <c r="CB173" i="571" s="1"/>
  <c r="BY99" i="571"/>
  <c r="BY113" i="571"/>
  <c r="BY65" i="571"/>
  <c r="CN83" i="617"/>
  <c r="CO72" i="617"/>
  <c r="CT72" i="617"/>
  <c r="CW209" i="571"/>
  <c r="AD162" i="571"/>
  <c r="BU153" i="25"/>
  <c r="BO153" i="25"/>
  <c r="CX190" i="571"/>
  <c r="CD129" i="571"/>
  <c r="CD143" i="571" s="1"/>
  <c r="CW68" i="571"/>
  <c r="CR188" i="571"/>
  <c r="CR190" i="571" s="1"/>
  <c r="CR65" i="571"/>
  <c r="CQ176" i="571"/>
  <c r="CQ174" i="571" s="1"/>
  <c r="CQ173" i="571" s="1"/>
  <c r="CQ52" i="617"/>
  <c r="CQ73" i="617" s="1"/>
  <c r="CP129" i="571"/>
  <c r="CI151" i="25"/>
  <c r="CJ151" i="25" s="1"/>
  <c r="CJ152" i="25" s="1"/>
  <c r="CR68" i="571"/>
  <c r="CM158" i="25"/>
  <c r="CM159" i="25" s="1"/>
  <c r="CM160" i="25" s="1"/>
  <c r="DH82" i="617"/>
  <c r="CH73" i="617"/>
  <c r="DM74" i="617"/>
  <c r="Y35" i="559"/>
  <c r="CD98" i="571"/>
  <c r="BY152" i="25"/>
  <c r="BY153" i="25" s="1"/>
  <c r="CI188" i="571"/>
  <c r="CU72" i="571"/>
  <c r="CU138" i="571" s="1"/>
  <c r="CU139" i="571"/>
  <c r="CN68" i="571"/>
  <c r="DI205" i="571"/>
  <c r="DI215" i="571" s="1"/>
  <c r="O100" i="559"/>
  <c r="DE67" i="25"/>
  <c r="DE68" i="25" s="1"/>
  <c r="AC118" i="559" s="1"/>
  <c r="AC39" i="559" s="1"/>
  <c r="Y162" i="571"/>
  <c r="CH53" i="617"/>
  <c r="CH74" i="617" s="1"/>
  <c r="AD35" i="559"/>
  <c r="DC82" i="617"/>
  <c r="AD161" i="571"/>
  <c r="AD168" i="571" s="1"/>
  <c r="DE209" i="571"/>
  <c r="T162" i="571"/>
  <c r="CX72" i="571"/>
  <c r="CX138" i="571" s="1"/>
  <c r="Y101" i="571"/>
  <c r="BH161" i="571"/>
  <c r="BH168" i="571" s="1"/>
  <c r="BM169" i="571" s="1"/>
  <c r="Y177" i="571"/>
  <c r="CJ72" i="617"/>
  <c r="T101" i="571"/>
  <c r="BX139" i="571"/>
  <c r="BX72" i="571"/>
  <c r="CR139" i="571"/>
  <c r="CR72" i="571"/>
  <c r="CC139" i="571"/>
  <c r="CC72" i="571"/>
  <c r="CC138" i="571" s="1"/>
  <c r="CR53" i="617"/>
  <c r="CR83" i="617" s="1"/>
  <c r="CO65" i="571"/>
  <c r="CQ65" i="571" s="1"/>
  <c r="CO188" i="571"/>
  <c r="CO113" i="571"/>
  <c r="CT68" i="571"/>
  <c r="CO99" i="571"/>
  <c r="CC129" i="571"/>
  <c r="CC98" i="571"/>
  <c r="CC78" i="571"/>
  <c r="CC79" i="571" s="1"/>
  <c r="DI198" i="571"/>
  <c r="DI209" i="571" s="1"/>
  <c r="DH74" i="617"/>
  <c r="CS53" i="617"/>
  <c r="DL82" i="617"/>
  <c r="CM72" i="617"/>
  <c r="BH101" i="571"/>
  <c r="BR101" i="571"/>
  <c r="CV153" i="25"/>
  <c r="CX73" i="617"/>
  <c r="DM84" i="617"/>
  <c r="AD176" i="571"/>
  <c r="AD174" i="571" s="1"/>
  <c r="AD173" i="571" s="1"/>
  <c r="BW181" i="25"/>
  <c r="CM72" i="571"/>
  <c r="CM138" i="571" s="1"/>
  <c r="BW159" i="25"/>
  <c r="BW160" i="25" s="1"/>
  <c r="CB153" i="25"/>
  <c r="BW158" i="25"/>
  <c r="DC139" i="571"/>
  <c r="DC72" i="571"/>
  <c r="CG159" i="25"/>
  <c r="CG160" i="25" s="1"/>
  <c r="CG158" i="25"/>
  <c r="CL153" i="25"/>
  <c r="CG153" i="25"/>
  <c r="BU129" i="571"/>
  <c r="BU78" i="571"/>
  <c r="BU112" i="571"/>
  <c r="BU98" i="571"/>
  <c r="CH139" i="571"/>
  <c r="CH72" i="571"/>
  <c r="CW73" i="617"/>
  <c r="CS190" i="571"/>
  <c r="BX65" i="571"/>
  <c r="AQ146" i="559"/>
  <c r="AQ145" i="559" s="1"/>
  <c r="CQ49" i="617"/>
  <c r="DF176" i="571"/>
  <c r="DF174" i="571" s="1"/>
  <c r="DM55" i="617"/>
  <c r="DJ74" i="617"/>
  <c r="Y161" i="571"/>
  <c r="Y168" i="571" s="1"/>
  <c r="Y169" i="571" s="1"/>
  <c r="DC72" i="617"/>
  <c r="CX72" i="617"/>
  <c r="BZ139" i="571"/>
  <c r="BM151" i="25"/>
  <c r="BR152" i="25" s="1"/>
  <c r="BM17" i="571"/>
  <c r="BR13" i="571"/>
  <c r="BM166" i="25"/>
  <c r="BR59" i="571"/>
  <c r="CX53" i="617"/>
  <c r="DC74" i="617" s="1"/>
  <c r="CT139" i="571"/>
  <c r="CT72" i="571"/>
  <c r="CT138" i="571" s="1"/>
  <c r="CH65" i="571"/>
  <c r="CH188" i="571"/>
  <c r="CH68" i="571"/>
  <c r="DH75" i="617"/>
  <c r="DC55" i="617"/>
  <c r="CW76" i="617"/>
  <c r="AN176" i="571"/>
  <c r="AN174" i="571" s="1"/>
  <c r="AN173" i="571" s="1"/>
  <c r="AJ59" i="559"/>
  <c r="CR10" i="617"/>
  <c r="CU73" i="617"/>
  <c r="CZ73" i="617"/>
  <c r="BY332" i="25"/>
  <c r="V59" i="559"/>
  <c r="BC162" i="571"/>
  <c r="CE332" i="25"/>
  <c r="CP332" i="25"/>
  <c r="CQ177" i="571"/>
  <c r="DI75" i="617"/>
  <c r="DI55" i="617"/>
  <c r="DI82" i="617"/>
  <c r="Y59" i="559"/>
  <c r="BQ153" i="25"/>
  <c r="BP153" i="25"/>
  <c r="CH326" i="25"/>
  <c r="CH331" i="25" s="1"/>
  <c r="CH325" i="25"/>
  <c r="CH330" i="25" s="1"/>
  <c r="CQ326" i="25"/>
  <c r="CQ331" i="25" s="1"/>
  <c r="CQ325" i="25"/>
  <c r="CQ330" i="25" s="1"/>
  <c r="DC370" i="25"/>
  <c r="DD356" i="25"/>
  <c r="DD370" i="25" s="1"/>
  <c r="CW190" i="571"/>
  <c r="CA326" i="25"/>
  <c r="CA331" i="25" s="1"/>
  <c r="CA325" i="25"/>
  <c r="CA330" i="25" s="1"/>
  <c r="AD325" i="25"/>
  <c r="AD330" i="25" s="1"/>
  <c r="AD326" i="25"/>
  <c r="AD331" i="25" s="1"/>
  <c r="DG395" i="25"/>
  <c r="DG289" i="25"/>
  <c r="CA65" i="571"/>
  <c r="CA99" i="571"/>
  <c r="AE60" i="559"/>
  <c r="DA325" i="25"/>
  <c r="DA330" i="25" s="1"/>
  <c r="DA326" i="25"/>
  <c r="DA331" i="25" s="1"/>
  <c r="CM326" i="25"/>
  <c r="CM331" i="25" s="1"/>
  <c r="CM325" i="25"/>
  <c r="CM330" i="25" s="1"/>
  <c r="AI326" i="25"/>
  <c r="AI331" i="25" s="1"/>
  <c r="AI325" i="25"/>
  <c r="AI330" i="25" s="1"/>
  <c r="CF139" i="571"/>
  <c r="CF72" i="571"/>
  <c r="I169" i="571"/>
  <c r="J169" i="571"/>
  <c r="CU177" i="571"/>
  <c r="CZ177" i="571"/>
  <c r="L59" i="559"/>
  <c r="Q59" i="559"/>
  <c r="CU325" i="25"/>
  <c r="CU330" i="25" s="1"/>
  <c r="CU326" i="25"/>
  <c r="CU331" i="25" s="1"/>
  <c r="CZ129" i="571"/>
  <c r="DA65" i="571"/>
  <c r="BC177" i="571"/>
  <c r="BH177" i="571"/>
  <c r="CJ65" i="571"/>
  <c r="CJ188" i="571"/>
  <c r="CJ68" i="571"/>
  <c r="CO68" i="571"/>
  <c r="AF59" i="559"/>
  <c r="J14" i="559"/>
  <c r="CL49" i="617"/>
  <c r="AS325" i="25"/>
  <c r="AS330" i="25" s="1"/>
  <c r="AS326" i="25"/>
  <c r="AS331" i="25" s="1"/>
  <c r="CC158" i="25"/>
  <c r="CC159" i="25" s="1"/>
  <c r="CC160" i="25" s="1"/>
  <c r="CH158" i="25"/>
  <c r="CH159" i="25" s="1"/>
  <c r="CH160" i="25" s="1"/>
  <c r="CZ326" i="25"/>
  <c r="CZ331" i="25" s="1"/>
  <c r="CZ325" i="25"/>
  <c r="CZ330" i="25" s="1"/>
  <c r="BX325" i="25"/>
  <c r="BX330" i="25" s="1"/>
  <c r="BX326" i="25"/>
  <c r="BX331" i="25" s="1"/>
  <c r="AN177" i="571"/>
  <c r="CE65" i="571"/>
  <c r="CE113" i="571"/>
  <c r="CE99" i="571"/>
  <c r="CV176" i="571"/>
  <c r="CV174" i="571" s="1"/>
  <c r="CV173" i="571" s="1"/>
  <c r="CV52" i="617"/>
  <c r="DA176" i="571"/>
  <c r="DA174" i="571" s="1"/>
  <c r="DA173" i="571" s="1"/>
  <c r="CJ332" i="25"/>
  <c r="T14" i="559"/>
  <c r="AC112" i="25"/>
  <c r="Z131" i="25"/>
  <c r="AT30" i="25"/>
  <c r="AT79" i="25"/>
  <c r="AT31" i="25"/>
  <c r="AT103" i="25"/>
  <c r="N66" i="559"/>
  <c r="S66" i="559"/>
  <c r="N53" i="559"/>
  <c r="CU41" i="25"/>
  <c r="CU398" i="25" s="1"/>
  <c r="CR15" i="617"/>
  <c r="CR18" i="617" s="1"/>
  <c r="DG30" i="617"/>
  <c r="DG332" i="25"/>
  <c r="CD326" i="25"/>
  <c r="CD331" i="25" s="1"/>
  <c r="CD325" i="25"/>
  <c r="CD330" i="25" s="1"/>
  <c r="H313" i="25"/>
  <c r="H314" i="25"/>
  <c r="CV325" i="25"/>
  <c r="CV330" i="25" s="1"/>
  <c r="CV326" i="25"/>
  <c r="CV331" i="25" s="1"/>
  <c r="H325" i="25"/>
  <c r="H330" i="25" s="1"/>
  <c r="H326" i="25"/>
  <c r="H331" i="25" s="1"/>
  <c r="AK112" i="25"/>
  <c r="AK103" i="25"/>
  <c r="AK31" i="25"/>
  <c r="AK33" i="25"/>
  <c r="AK30" i="25"/>
  <c r="AK79" i="25"/>
  <c r="DC258" i="25"/>
  <c r="DC253" i="25" s="1"/>
  <c r="DC252" i="25" s="1"/>
  <c r="DC259" i="25" s="1"/>
  <c r="V108" i="25"/>
  <c r="Q108" i="25"/>
  <c r="Q127" i="25"/>
  <c r="T19" i="559"/>
  <c r="DA88" i="25"/>
  <c r="CV28" i="25"/>
  <c r="CV88" i="25"/>
  <c r="CV101" i="25"/>
  <c r="CP103" i="25"/>
  <c r="CP405" i="25" s="1"/>
  <c r="CP31" i="25"/>
  <c r="CP30" i="25"/>
  <c r="CP258" i="25" s="1"/>
  <c r="AB60" i="559"/>
  <c r="CU258" i="25"/>
  <c r="CU253" i="25" s="1"/>
  <c r="CU252" i="25" s="1"/>
  <c r="CU259" i="25" s="1"/>
  <c r="CL68" i="25"/>
  <c r="AH60" i="559"/>
  <c r="R190" i="25"/>
  <c r="R191" i="25" s="1"/>
  <c r="AZ60" i="25"/>
  <c r="BC58" i="25"/>
  <c r="CD31" i="25"/>
  <c r="CV108" i="25"/>
  <c r="DA108" i="25"/>
  <c r="DB41" i="25"/>
  <c r="DB398" i="25" s="1"/>
  <c r="DB290" i="25"/>
  <c r="DB43" i="25"/>
  <c r="DB406" i="25"/>
  <c r="DB280" i="25"/>
  <c r="AE131" i="25"/>
  <c r="AF131" i="25"/>
  <c r="U127" i="25"/>
  <c r="S127" i="25"/>
  <c r="X108" i="25"/>
  <c r="S108" i="25"/>
  <c r="P112" i="25"/>
  <c r="U112" i="25"/>
  <c r="AI53" i="559"/>
  <c r="CR36" i="617"/>
  <c r="DH15" i="617"/>
  <c r="N58" i="559"/>
  <c r="H391" i="25"/>
  <c r="H393" i="25" s="1"/>
  <c r="I392" i="25" s="1"/>
  <c r="H289" i="25"/>
  <c r="H291" i="25" s="1"/>
  <c r="H395" i="25"/>
  <c r="CT325" i="25"/>
  <c r="CT330" i="25" s="1"/>
  <c r="CT326" i="25"/>
  <c r="CT331" i="25" s="1"/>
  <c r="Q60" i="25"/>
  <c r="T58" i="25"/>
  <c r="AY112" i="25"/>
  <c r="AU131" i="25"/>
  <c r="AT112" i="25"/>
  <c r="AS88" i="25"/>
  <c r="AN101" i="25"/>
  <c r="AN88" i="25"/>
  <c r="AN28" i="25"/>
  <c r="W190" i="25"/>
  <c r="W191" i="25" s="1"/>
  <c r="X88" i="25"/>
  <c r="S88" i="25"/>
  <c r="S101" i="25"/>
  <c r="U121" i="25"/>
  <c r="S28" i="25"/>
  <c r="BZ103" i="25"/>
  <c r="BZ405" i="25" s="1"/>
  <c r="BZ31" i="25"/>
  <c r="BZ30" i="25"/>
  <c r="BZ258" i="25" s="1"/>
  <c r="P31" i="25"/>
  <c r="P103" i="25"/>
  <c r="P405" i="25" s="1"/>
  <c r="P30" i="25"/>
  <c r="P79" i="25"/>
  <c r="H113" i="25"/>
  <c r="I113" i="25"/>
  <c r="AI176" i="571"/>
  <c r="AI174" i="571" s="1"/>
  <c r="AI173" i="571" s="1"/>
  <c r="BM101" i="571"/>
  <c r="DH10" i="617"/>
  <c r="CV137" i="25"/>
  <c r="CY325" i="25"/>
  <c r="CY330" i="25" s="1"/>
  <c r="CY326" i="25"/>
  <c r="CY331" i="25" s="1"/>
  <c r="BS326" i="25"/>
  <c r="BS331" i="25" s="1"/>
  <c r="BS325" i="25"/>
  <c r="BS330" i="25" s="1"/>
  <c r="X31" i="25"/>
  <c r="X33" i="25"/>
  <c r="X30" i="25"/>
  <c r="X79" i="25"/>
  <c r="X103" i="25"/>
  <c r="DC104" i="25"/>
  <c r="DC33" i="25"/>
  <c r="Q88" i="25"/>
  <c r="Q101" i="25"/>
  <c r="Q28" i="25"/>
  <c r="R121" i="25"/>
  <c r="Q121" i="25"/>
  <c r="V88" i="25"/>
  <c r="AE79" i="25"/>
  <c r="AE31" i="25"/>
  <c r="AE103" i="25"/>
  <c r="AE30" i="25"/>
  <c r="CF143" i="571"/>
  <c r="CK134" i="571"/>
  <c r="Q190" i="25"/>
  <c r="Q191" i="25" s="1"/>
  <c r="AP42" i="559"/>
  <c r="AP145" i="559"/>
  <c r="CV177" i="571"/>
  <c r="AM42" i="559"/>
  <c r="AW42" i="559"/>
  <c r="AW145" i="559"/>
  <c r="AV42" i="559"/>
  <c r="AV145" i="559"/>
  <c r="DH102" i="25"/>
  <c r="CI79" i="25"/>
  <c r="CI102" i="25"/>
  <c r="DH109" i="25"/>
  <c r="DI128" i="25"/>
  <c r="DH206" i="571"/>
  <c r="CR79" i="25"/>
  <c r="CR121" i="25"/>
  <c r="CV76" i="25"/>
  <c r="CR102" i="25"/>
  <c r="CM109" i="25"/>
  <c r="CM128" i="25"/>
  <c r="CM36" i="617"/>
  <c r="DN128" i="25"/>
  <c r="DM109" i="25"/>
  <c r="DM206" i="571"/>
  <c r="CS121" i="25"/>
  <c r="CI36" i="617"/>
  <c r="CN109" i="25"/>
  <c r="CN128" i="25"/>
  <c r="CO128" i="25"/>
  <c r="DH79" i="25"/>
  <c r="DC205" i="571"/>
  <c r="DD216" i="571" s="1"/>
  <c r="DC198" i="571"/>
  <c r="O44" i="25"/>
  <c r="O315" i="25"/>
  <c r="DH37" i="617"/>
  <c r="DH30" i="617"/>
  <c r="DY128" i="571"/>
  <c r="DT137" i="571"/>
  <c r="BB78" i="25"/>
  <c r="AS78" i="25"/>
  <c r="Y272" i="25"/>
  <c r="Y281" i="25"/>
  <c r="O274" i="25"/>
  <c r="O276" i="25"/>
  <c r="T358" i="25"/>
  <c r="I285" i="25"/>
  <c r="I287" i="25" s="1"/>
  <c r="I289" i="25"/>
  <c r="I291" i="25" s="1"/>
  <c r="I391" i="25"/>
  <c r="I395" i="25"/>
  <c r="I276" i="25"/>
  <c r="I274" i="25"/>
  <c r="AT14" i="559"/>
  <c r="DR49" i="617"/>
  <c r="AP14" i="559"/>
  <c r="DR176" i="571"/>
  <c r="DR159" i="571" s="1"/>
  <c r="DN106" i="617"/>
  <c r="DS63" i="25"/>
  <c r="DS36" i="25" s="1"/>
  <c r="DS40" i="25" s="1"/>
  <c r="BV83" i="571"/>
  <c r="BW37" i="571"/>
  <c r="CV40" i="571"/>
  <c r="BW35" i="571"/>
  <c r="BW39" i="571"/>
  <c r="BW40" i="571" s="1"/>
  <c r="CB35" i="571"/>
  <c r="BW60" i="571"/>
  <c r="CV159" i="25"/>
  <c r="CV160" i="25" s="1"/>
  <c r="CV59" i="571"/>
  <c r="DA33" i="571"/>
  <c r="CV158" i="25"/>
  <c r="CO33" i="571"/>
  <c r="CT33" i="571"/>
  <c r="CQ32" i="571"/>
  <c r="CO59" i="571"/>
  <c r="CO39" i="571"/>
  <c r="DF33" i="571"/>
  <c r="DF158" i="25"/>
  <c r="DF159" i="25"/>
  <c r="DF160" i="25" s="1"/>
  <c r="DF59" i="571"/>
  <c r="CP59" i="571"/>
  <c r="CP39" i="571"/>
  <c r="CP33" i="571"/>
  <c r="BW36" i="571"/>
  <c r="BW48" i="571" s="1"/>
  <c r="CB49" i="571" s="1"/>
  <c r="BV82" i="571"/>
  <c r="BV64" i="571"/>
  <c r="CA43" i="571"/>
  <c r="CA56" i="571"/>
  <c r="CB42" i="571"/>
  <c r="CB45" i="571" s="1"/>
  <c r="DH40" i="571"/>
  <c r="DG32" i="571"/>
  <c r="DS18" i="571"/>
  <c r="DT18" i="571"/>
  <c r="DP18" i="571"/>
  <c r="DR18" i="571"/>
  <c r="DG55" i="617"/>
  <c r="AW14" i="559"/>
  <c r="DL74" i="617"/>
  <c r="DL75" i="617"/>
  <c r="Y46" i="559"/>
  <c r="DE82" i="617"/>
  <c r="DJ75" i="617"/>
  <c r="T46" i="559"/>
  <c r="BL45" i="25"/>
  <c r="H111" i="25"/>
  <c r="I111" i="25"/>
  <c r="CA290" i="25"/>
  <c r="CA280" i="25"/>
  <c r="CA285" i="25" s="1"/>
  <c r="CA287" i="25" s="1"/>
  <c r="CA356" i="25"/>
  <c r="CA370" i="25" s="1"/>
  <c r="CA406" i="25"/>
  <c r="CA105" i="25"/>
  <c r="DM290" i="25"/>
  <c r="DM406" i="25"/>
  <c r="E111" i="25"/>
  <c r="F111" i="25"/>
  <c r="CQ369" i="25"/>
  <c r="DA282" i="25"/>
  <c r="DN370" i="25"/>
  <c r="DN395" i="25" s="1"/>
  <c r="CL282" i="25"/>
  <c r="BR168" i="571"/>
  <c r="BR169" i="571" s="1"/>
  <c r="DJ271" i="25"/>
  <c r="DJ283" i="25"/>
  <c r="DJ316" i="25"/>
  <c r="DI316" i="25"/>
  <c r="DI241" i="25"/>
  <c r="DL201" i="571"/>
  <c r="DL213" i="571" s="1"/>
  <c r="DL102" i="25"/>
  <c r="DQ112" i="25" s="1"/>
  <c r="DL79" i="25"/>
  <c r="DN379" i="25"/>
  <c r="DN387" i="25" s="1"/>
  <c r="DJ201" i="571"/>
  <c r="DJ213" i="571" s="1"/>
  <c r="DJ102" i="25"/>
  <c r="DJ121" i="25"/>
  <c r="DN89" i="25"/>
  <c r="DI102" i="25"/>
  <c r="DI121" i="25"/>
  <c r="DH129" i="25"/>
  <c r="DL110" i="25"/>
  <c r="DG110" i="25"/>
  <c r="DG129" i="25"/>
  <c r="BC101" i="571"/>
  <c r="AX101" i="571"/>
  <c r="CZ282" i="25"/>
  <c r="CZ370" i="25"/>
  <c r="DD104" i="25"/>
  <c r="DE274" i="25"/>
  <c r="DF272" i="25"/>
  <c r="DE276" i="25"/>
  <c r="DF281" i="25"/>
  <c r="AY45" i="25"/>
  <c r="CP369" i="25"/>
  <c r="T109" i="25"/>
  <c r="DL129" i="25"/>
  <c r="DK110" i="25"/>
  <c r="DH31" i="25"/>
  <c r="DH30" i="25"/>
  <c r="DH258" i="25" s="1"/>
  <c r="DH253" i="25" s="1"/>
  <c r="DH252" i="25" s="1"/>
  <c r="DH259" i="25" s="1"/>
  <c r="DM316" i="25"/>
  <c r="DJ362" i="25"/>
  <c r="DE30" i="25"/>
  <c r="DE258" i="25" s="1"/>
  <c r="DE253" i="25" s="1"/>
  <c r="DE252" i="25" s="1"/>
  <c r="DE259" i="25" s="1"/>
  <c r="DE31" i="25"/>
  <c r="DG198" i="571"/>
  <c r="DL210" i="571" s="1"/>
  <c r="DG205" i="571"/>
  <c r="DL215" i="571" s="1"/>
  <c r="DG102" i="25"/>
  <c r="DG79" i="25"/>
  <c r="DF28" i="617"/>
  <c r="DF37" i="617"/>
  <c r="DF54" i="25"/>
  <c r="DF301" i="25"/>
  <c r="DF302" i="25" s="1"/>
  <c r="DF50" i="25"/>
  <c r="DK54" i="25"/>
  <c r="DK50" i="25"/>
  <c r="AK60" i="559"/>
  <c r="DM275" i="25"/>
  <c r="DR275" i="25" s="1"/>
  <c r="DW275" i="25" s="1"/>
  <c r="EB275" i="25" s="1"/>
  <c r="DM276" i="25"/>
  <c r="DM274" i="25"/>
  <c r="DN90" i="25"/>
  <c r="DI33" i="25"/>
  <c r="DI104" i="25"/>
  <c r="DI281" i="25"/>
  <c r="DI272" i="25"/>
  <c r="DI78" i="25"/>
  <c r="DH205" i="571"/>
  <c r="DH198" i="571"/>
  <c r="DM210" i="571" s="1"/>
  <c r="DG316" i="25"/>
  <c r="DG241" i="25"/>
  <c r="DJ129" i="25"/>
  <c r="DJ110" i="25"/>
  <c r="DJ358" i="25"/>
  <c r="DI30" i="25"/>
  <c r="DI258" i="25" s="1"/>
  <c r="DI253" i="25" s="1"/>
  <c r="DI252" i="25" s="1"/>
  <c r="DI259" i="25" s="1"/>
  <c r="CZ374" i="25"/>
  <c r="CZ377" i="25" s="1"/>
  <c r="CY377" i="25"/>
  <c r="DH241" i="25"/>
  <c r="DH316" i="25"/>
  <c r="DF138" i="25"/>
  <c r="DK138" i="25"/>
  <c r="AN109" i="25"/>
  <c r="AI109" i="25"/>
  <c r="DL296" i="25"/>
  <c r="DL298" i="25" s="1"/>
  <c r="DL54" i="25" s="1"/>
  <c r="DP295" i="25"/>
  <c r="DI326" i="25"/>
  <c r="DI325" i="25"/>
  <c r="DL316" i="25"/>
  <c r="DL326" i="25"/>
  <c r="DL325" i="25"/>
  <c r="DM329" i="25"/>
  <c r="DM326" i="25"/>
  <c r="DM325" i="25"/>
  <c r="DN215" i="571"/>
  <c r="DM369" i="25"/>
  <c r="DM128" i="25"/>
  <c r="DL206" i="571"/>
  <c r="DN377" i="25"/>
  <c r="DL43" i="25"/>
  <c r="DQ92" i="25" s="1"/>
  <c r="DL41" i="25"/>
  <c r="DL280" i="25"/>
  <c r="DL290" i="25"/>
  <c r="DL291" i="25" s="1"/>
  <c r="DL406" i="25"/>
  <c r="DI374" i="25"/>
  <c r="DI377" i="25" s="1"/>
  <c r="DH370" i="25"/>
  <c r="DH282" i="25"/>
  <c r="DG90" i="25"/>
  <c r="DG104" i="25"/>
  <c r="DG33" i="25"/>
  <c r="DF240" i="25"/>
  <c r="Y109" i="25"/>
  <c r="AD109" i="25"/>
  <c r="AI166" i="25"/>
  <c r="AI167" i="25" s="1"/>
  <c r="AJ162" i="25"/>
  <c r="AJ166" i="25"/>
  <c r="AI65" i="559"/>
  <c r="AI52" i="559"/>
  <c r="T44" i="25"/>
  <c r="T315" i="25"/>
  <c r="F43" i="25"/>
  <c r="F92" i="25"/>
  <c r="G92" i="25"/>
  <c r="DF24" i="617"/>
  <c r="DF315" i="25"/>
  <c r="DI55" i="611"/>
  <c r="DH58" i="611"/>
  <c r="DG43" i="611"/>
  <c r="DH41" i="611" s="1"/>
  <c r="DG44" i="611"/>
  <c r="DH92" i="611"/>
  <c r="DI90" i="611" s="1"/>
  <c r="DG58" i="611"/>
  <c r="DG65" i="611"/>
  <c r="DG142" i="611"/>
  <c r="DE44" i="611"/>
  <c r="DM131" i="611"/>
  <c r="DL159" i="611"/>
  <c r="DI110" i="611"/>
  <c r="DH114" i="611"/>
  <c r="DE26" i="611"/>
  <c r="DE28" i="611" s="1"/>
  <c r="DG160" i="611"/>
  <c r="DI64" i="611"/>
  <c r="DJ62" i="611" s="1"/>
  <c r="DI65" i="611"/>
  <c r="DL54" i="611"/>
  <c r="DE163" i="611"/>
  <c r="DL103" i="611"/>
  <c r="DH106" i="611"/>
  <c r="DI104" i="611" s="1"/>
  <c r="DJ124" i="611"/>
  <c r="DI128" i="611"/>
  <c r="DH65" i="611"/>
  <c r="DJ86" i="611"/>
  <c r="DL82" i="611"/>
  <c r="DI145" i="611"/>
  <c r="DH149" i="611"/>
  <c r="DH97" i="611"/>
  <c r="DL37" i="611"/>
  <c r="DJ40" i="611"/>
  <c r="DL78" i="611"/>
  <c r="DM76" i="611" s="1"/>
  <c r="DH71" i="611"/>
  <c r="DI69" i="611" s="1"/>
  <c r="DI134" i="611"/>
  <c r="DJ132" i="611" s="1"/>
  <c r="DI142" i="611"/>
  <c r="DJ138" i="611"/>
  <c r="DI48" i="611"/>
  <c r="DV96" i="611"/>
  <c r="DK14" i="611"/>
  <c r="DF14" i="611"/>
  <c r="DR162" i="611"/>
  <c r="DS160" i="611" s="1"/>
  <c r="DT113" i="611"/>
  <c r="DV111" i="611" s="1"/>
  <c r="DO85" i="611"/>
  <c r="DQ83" i="611" s="1"/>
  <c r="DQ50" i="611"/>
  <c r="DE128" i="617"/>
  <c r="DN36" i="613"/>
  <c r="DI42" i="613"/>
  <c r="DI116" i="617"/>
  <c r="DI52" i="613"/>
  <c r="DI53" i="613" s="1"/>
  <c r="DD42" i="613"/>
  <c r="DD116" i="617"/>
  <c r="DD52" i="613"/>
  <c r="DD53" i="613" s="1"/>
  <c r="DI36" i="613"/>
  <c r="DJ114" i="617"/>
  <c r="DM36" i="613"/>
  <c r="DH116" i="617"/>
  <c r="DH52" i="613"/>
  <c r="DH53" i="613" s="1"/>
  <c r="DH42" i="613"/>
  <c r="DC25" i="613"/>
  <c r="DF20" i="613"/>
  <c r="DK20" i="613"/>
  <c r="DG25" i="613"/>
  <c r="DZ18" i="613"/>
  <c r="DP53" i="607"/>
  <c r="DR32" i="607"/>
  <c r="DS30" i="607" s="1"/>
  <c r="DS32" i="607" s="1"/>
  <c r="DT30" i="607" s="1"/>
  <c r="DU24" i="607"/>
  <c r="DU23" i="607"/>
  <c r="DP88" i="617"/>
  <c r="DP98" i="617" s="1"/>
  <c r="DP47" i="613"/>
  <c r="DW23" i="607"/>
  <c r="DX23" i="607" s="1"/>
  <c r="DY23" i="607" s="1"/>
  <c r="EA23" i="607" s="1"/>
  <c r="DP59" i="607"/>
  <c r="DW24" i="607"/>
  <c r="DX24" i="607" s="1"/>
  <c r="DY24" i="607" s="1"/>
  <c r="EA24" i="607" s="1"/>
  <c r="DU165" i="25"/>
  <c r="DP167" i="25"/>
  <c r="DU169" i="25"/>
  <c r="DP163" i="25"/>
  <c r="DP178" i="25" s="1"/>
  <c r="DP181" i="25" s="1"/>
  <c r="DQ166" i="25"/>
  <c r="DS52" i="571"/>
  <c r="DR53" i="571"/>
  <c r="DU361" i="25"/>
  <c r="DW361" i="25"/>
  <c r="DX361" i="25" s="1"/>
  <c r="DY361" i="25" s="1"/>
  <c r="EA361" i="25" s="1"/>
  <c r="DS375" i="25"/>
  <c r="DR377" i="25"/>
  <c r="DR368" i="25"/>
  <c r="DS224" i="25"/>
  <c r="DS229" i="25"/>
  <c r="DR362" i="25"/>
  <c r="DS205" i="25"/>
  <c r="DS367" i="25" s="1"/>
  <c r="DU51" i="25"/>
  <c r="DV51" i="25" s="1"/>
  <c r="DW51" i="25" s="1"/>
  <c r="DX51" i="25" s="1"/>
  <c r="DY51" i="25" s="1"/>
  <c r="AK20" i="559"/>
  <c r="DZ35" i="25"/>
  <c r="DX193" i="571"/>
  <c r="DX60" i="617" s="1"/>
  <c r="DZ59" i="25"/>
  <c r="DF13" i="613"/>
  <c r="DF16" i="613"/>
  <c r="DK39" i="613"/>
  <c r="DK13" i="613"/>
  <c r="DK33" i="613"/>
  <c r="DK16" i="613"/>
  <c r="DK48" i="613" s="1"/>
  <c r="DK49" i="613" s="1"/>
  <c r="DL127" i="617"/>
  <c r="DN92" i="617"/>
  <c r="DN105" i="617" s="1"/>
  <c r="CP38" i="617"/>
  <c r="CP18" i="617"/>
  <c r="DC84" i="617"/>
  <c r="DH100" i="617"/>
  <c r="DH105" i="617"/>
  <c r="DK105" i="617"/>
  <c r="DJ100" i="617"/>
  <c r="DJ105" i="617"/>
  <c r="CP84" i="617"/>
  <c r="CP74" i="617"/>
  <c r="CP83" i="617"/>
  <c r="CM83" i="617"/>
  <c r="CM84" i="617"/>
  <c r="CK38" i="617"/>
  <c r="CK18" i="617"/>
  <c r="CP31" i="617"/>
  <c r="DI105" i="617"/>
  <c r="DI100" i="617"/>
  <c r="DD83" i="617"/>
  <c r="CW83" i="617"/>
  <c r="CU74" i="617"/>
  <c r="AN14" i="559"/>
  <c r="DP15" i="607"/>
  <c r="DO24" i="617"/>
  <c r="DN24" i="617"/>
  <c r="DP55" i="25"/>
  <c r="AM14" i="559"/>
  <c r="DO49" i="617"/>
  <c r="AL14" i="559"/>
  <c r="DN49" i="617"/>
  <c r="DR16" i="613"/>
  <c r="DR92" i="571"/>
  <c r="DR94" i="571" s="1"/>
  <c r="AS43" i="559"/>
  <c r="DU16" i="613" s="1"/>
  <c r="AO43" i="559"/>
  <c r="DY16" i="613"/>
  <c r="DY94" i="571"/>
  <c r="DJ209" i="571"/>
  <c r="DJ210" i="571"/>
  <c r="DJ67" i="25"/>
  <c r="CN143" i="571"/>
  <c r="CN83" i="571"/>
  <c r="CJ111" i="571"/>
  <c r="CO118" i="571" s="1"/>
  <c r="CJ89" i="571"/>
  <c r="CJ113" i="571" s="1"/>
  <c r="DB200" i="571"/>
  <c r="DB205" i="571"/>
  <c r="CH89" i="571"/>
  <c r="CO151" i="25"/>
  <c r="CO152" i="25" s="1"/>
  <c r="CO153" i="25" s="1"/>
  <c r="CX82" i="571"/>
  <c r="CX111" i="571"/>
  <c r="DT94" i="571"/>
  <c r="DT16" i="613"/>
  <c r="DS94" i="571"/>
  <c r="DS16" i="613"/>
  <c r="AT42" i="559"/>
  <c r="DJ216" i="571"/>
  <c r="DJ215" i="571"/>
  <c r="CI88" i="571"/>
  <c r="CI112" i="571" s="1"/>
  <c r="CI84" i="571"/>
  <c r="CI78" i="571"/>
  <c r="CI79" i="571" s="1"/>
  <c r="CI98" i="571"/>
  <c r="DM209" i="571"/>
  <c r="DM67" i="25"/>
  <c r="DM63" i="617"/>
  <c r="DI67" i="25"/>
  <c r="DX16" i="613"/>
  <c r="DX94" i="571"/>
  <c r="DO16" i="613"/>
  <c r="CY147" i="571"/>
  <c r="CT87" i="571"/>
  <c r="CT142" i="571"/>
  <c r="AM46" i="559"/>
  <c r="CS104" i="571"/>
  <c r="BR176" i="571"/>
  <c r="BR174" i="571" s="1"/>
  <c r="BR173" i="571" s="1"/>
  <c r="BW176" i="571"/>
  <c r="BW174" i="571" s="1"/>
  <c r="BW173" i="571" s="1"/>
  <c r="BW177" i="571"/>
  <c r="CE151" i="25"/>
  <c r="CE152" i="25" s="1"/>
  <c r="CE153" i="25" s="1"/>
  <c r="CD158" i="25"/>
  <c r="CD159" i="25" s="1"/>
  <c r="CD160" i="25" s="1"/>
  <c r="AN168" i="571"/>
  <c r="DM216" i="571"/>
  <c r="DW92" i="571"/>
  <c r="DW94" i="571" s="1"/>
  <c r="DW16" i="613"/>
  <c r="AL43" i="559"/>
  <c r="AT43" i="559"/>
  <c r="AX43" i="559"/>
  <c r="CI89" i="571"/>
  <c r="CI113" i="571" s="1"/>
  <c r="CI111" i="571"/>
  <c r="CN118" i="571" s="1"/>
  <c r="AL42" i="559"/>
  <c r="DL209" i="571"/>
  <c r="DL63" i="617"/>
  <c r="DL67" i="25"/>
  <c r="CP158" i="25"/>
  <c r="CP159" i="25" s="1"/>
  <c r="CP160" i="25" s="1"/>
  <c r="CU151" i="25"/>
  <c r="CR151" i="25"/>
  <c r="CR152" i="25" s="1"/>
  <c r="CJ57" i="617"/>
  <c r="CJ80" i="617" s="1"/>
  <c r="CJ99" i="571"/>
  <c r="CJ161" i="571"/>
  <c r="CJ189" i="571" s="1"/>
  <c r="CJ149" i="571"/>
  <c r="DG75" i="617"/>
  <c r="CD153" i="25"/>
  <c r="DH147" i="571"/>
  <c r="DC142" i="571"/>
  <c r="DC87" i="571"/>
  <c r="CM112" i="571"/>
  <c r="CM78" i="571"/>
  <c r="CM98" i="571"/>
  <c r="CM129" i="571"/>
  <c r="DK74" i="617"/>
  <c r="AR14" i="559"/>
  <c r="DT49" i="617"/>
  <c r="AQ14" i="559"/>
  <c r="DS49" i="617"/>
  <c r="AO14" i="559"/>
  <c r="DQ49" i="617"/>
  <c r="DP42" i="571"/>
  <c r="DP45" i="571" s="1"/>
  <c r="DI213" i="571"/>
  <c r="ED248" i="25" l="1"/>
  <c r="F332" i="25"/>
  <c r="CS332" i="25"/>
  <c r="CU31" i="617"/>
  <c r="CJ121" i="25"/>
  <c r="DB121" i="25"/>
  <c r="CZ79" i="25"/>
  <c r="X22" i="559" s="1"/>
  <c r="CU18" i="617"/>
  <c r="CJ38" i="617"/>
  <c r="DM89" i="25"/>
  <c r="CQ11" i="617"/>
  <c r="DE89" i="25"/>
  <c r="DB100" i="25"/>
  <c r="Z22" i="559"/>
  <c r="DB261" i="25"/>
  <c r="DB263" i="25" s="1"/>
  <c r="DI89" i="25"/>
  <c r="BR68" i="25"/>
  <c r="DE79" i="25"/>
  <c r="AC22" i="559" s="1"/>
  <c r="DJ89" i="25"/>
  <c r="DD121" i="25"/>
  <c r="G117" i="559"/>
  <c r="G119" i="559"/>
  <c r="DG89" i="25"/>
  <c r="DL89" i="25"/>
  <c r="DG201" i="571"/>
  <c r="DG213" i="571" s="1"/>
  <c r="DB120" i="25"/>
  <c r="DK76" i="25"/>
  <c r="DL121" i="25" s="1"/>
  <c r="AO130" i="25"/>
  <c r="DM38" i="617"/>
  <c r="DM18" i="617"/>
  <c r="DM20" i="617" s="1"/>
  <c r="DM42" i="617" s="1"/>
  <c r="DM31" i="617"/>
  <c r="DI90" i="25"/>
  <c r="CM79" i="25"/>
  <c r="CM100" i="25" s="1"/>
  <c r="DN121" i="25"/>
  <c r="BW257" i="25"/>
  <c r="DL38" i="617"/>
  <c r="DP382" i="25"/>
  <c r="DP240" i="25" s="1"/>
  <c r="BS132" i="25"/>
  <c r="CV199" i="571"/>
  <c r="AA121" i="25"/>
  <c r="M64" i="559"/>
  <c r="S51" i="559"/>
  <c r="S58" i="559" s="1"/>
  <c r="S64" i="559"/>
  <c r="CU36" i="617"/>
  <c r="CU29" i="617"/>
  <c r="CU10" i="617"/>
  <c r="AI88" i="25"/>
  <c r="AI28" i="25"/>
  <c r="AI101" i="25"/>
  <c r="AI112" i="25" s="1"/>
  <c r="CU128" i="25"/>
  <c r="DD33" i="25"/>
  <c r="DM121" i="25"/>
  <c r="CN79" i="25"/>
  <c r="CN100" i="25" s="1"/>
  <c r="CO38" i="617"/>
  <c r="DM29" i="617"/>
  <c r="CT190" i="571"/>
  <c r="DF73" i="617"/>
  <c r="DA153" i="25"/>
  <c r="CN10" i="617"/>
  <c r="CL297" i="25"/>
  <c r="DF153" i="25"/>
  <c r="CW332" i="25"/>
  <c r="AB108" i="25"/>
  <c r="BC168" i="571"/>
  <c r="BH169" i="571" s="1"/>
  <c r="BI30" i="25"/>
  <c r="BI79" i="25"/>
  <c r="BI31" i="25"/>
  <c r="BI33" i="25" s="1"/>
  <c r="BI103" i="25"/>
  <c r="CY258" i="25"/>
  <c r="CY253" i="25" s="1"/>
  <c r="CY252" i="25" s="1"/>
  <c r="CY259" i="25" s="1"/>
  <c r="CA274" i="25"/>
  <c r="CA276" i="25"/>
  <c r="BN46" i="25"/>
  <c r="BN124" i="25" s="1"/>
  <c r="BN398" i="25"/>
  <c r="BS90" i="25"/>
  <c r="BS45" i="25"/>
  <c r="BS33" i="25"/>
  <c r="DL31" i="617"/>
  <c r="R127" i="25"/>
  <c r="CU190" i="571"/>
  <c r="X58" i="559"/>
  <c r="O128" i="25"/>
  <c r="CY356" i="25"/>
  <c r="CY370" i="25" s="1"/>
  <c r="CY391" i="25" s="1"/>
  <c r="CY33" i="25"/>
  <c r="CY104" i="25"/>
  <c r="AN108" i="25"/>
  <c r="AI108" i="25"/>
  <c r="I22" i="559"/>
  <c r="CM10" i="617"/>
  <c r="AK64" i="559"/>
  <c r="CZ109" i="25"/>
  <c r="AB22" i="559"/>
  <c r="DG38" i="617"/>
  <c r="CK261" i="25"/>
  <c r="CK263" i="25" s="1"/>
  <c r="CI10" i="617"/>
  <c r="DE109" i="25"/>
  <c r="DM102" i="25"/>
  <c r="DN131" i="25" s="1"/>
  <c r="DM79" i="25"/>
  <c r="DM87" i="25" s="1"/>
  <c r="DM10" i="617"/>
  <c r="DM36" i="617"/>
  <c r="CK100" i="25"/>
  <c r="CP111" i="25" s="1"/>
  <c r="DG31" i="617"/>
  <c r="DD263" i="25"/>
  <c r="DM22" i="617"/>
  <c r="DN122" i="25"/>
  <c r="BS111" i="25"/>
  <c r="DM46" i="25"/>
  <c r="DM105" i="25"/>
  <c r="DP48" i="617"/>
  <c r="AN78" i="559"/>
  <c r="AN27" i="559" s="1"/>
  <c r="BV369" i="25"/>
  <c r="CX36" i="617"/>
  <c r="CX10" i="617"/>
  <c r="CX15" i="617"/>
  <c r="Y58" i="25"/>
  <c r="W60" i="25"/>
  <c r="R101" i="25"/>
  <c r="R112" i="25" s="1"/>
  <c r="R28" i="25"/>
  <c r="CX68" i="25"/>
  <c r="V118" i="559" s="1"/>
  <c r="CS198" i="571"/>
  <c r="CH161" i="571"/>
  <c r="CH189" i="571" s="1"/>
  <c r="CH149" i="571"/>
  <c r="CH144" i="571" s="1"/>
  <c r="CH57" i="617"/>
  <c r="CH80" i="617" s="1"/>
  <c r="DZ110" i="617"/>
  <c r="DZ120" i="617" s="1"/>
  <c r="DZ32" i="613"/>
  <c r="EB110" i="617"/>
  <c r="EB120" i="617" s="1"/>
  <c r="EB14" i="613"/>
  <c r="EB18" i="613"/>
  <c r="EB13" i="613"/>
  <c r="EE12" i="613"/>
  <c r="CV296" i="25"/>
  <c r="CU298" i="25"/>
  <c r="CV298" i="25" s="1"/>
  <c r="V53" i="559"/>
  <c r="AA66" i="559"/>
  <c r="V66" i="559"/>
  <c r="DB55" i="617"/>
  <c r="DZ16" i="613"/>
  <c r="DZ39" i="613"/>
  <c r="DD84" i="617"/>
  <c r="DB74" i="617"/>
  <c r="CF91" i="25"/>
  <c r="CO121" i="25"/>
  <c r="CO31" i="617"/>
  <c r="V190" i="25"/>
  <c r="V191" i="25" s="1"/>
  <c r="CD30" i="25"/>
  <c r="CD258" i="25" s="1"/>
  <c r="CD253" i="25" s="1"/>
  <c r="CD252" i="25" s="1"/>
  <c r="CD259" i="25" s="1"/>
  <c r="CT252" i="25"/>
  <c r="CT259" i="25" s="1"/>
  <c r="AZ131" i="25"/>
  <c r="CR109" i="25"/>
  <c r="AO120" i="25"/>
  <c r="CF79" i="25"/>
  <c r="CF261" i="25" s="1"/>
  <c r="CF263" i="25" s="1"/>
  <c r="DC134" i="571"/>
  <c r="DC138" i="571" s="1"/>
  <c r="CV67" i="25"/>
  <c r="CY63" i="617"/>
  <c r="CY210" i="571"/>
  <c r="DD210" i="571"/>
  <c r="CY209" i="571"/>
  <c r="AU108" i="25"/>
  <c r="AQ127" i="25"/>
  <c r="AP127" i="25"/>
  <c r="CM84" i="571"/>
  <c r="CM87" i="571"/>
  <c r="CM97" i="571"/>
  <c r="CM77" i="571"/>
  <c r="CF97" i="571"/>
  <c r="CF87" i="571"/>
  <c r="CF77" i="571"/>
  <c r="CF84" i="571"/>
  <c r="ED47" i="611"/>
  <c r="DL29" i="617"/>
  <c r="DG29" i="617"/>
  <c r="DG10" i="617"/>
  <c r="DG36" i="617"/>
  <c r="CA111" i="571"/>
  <c r="CA89" i="571"/>
  <c r="CA113" i="571" s="1"/>
  <c r="CB87" i="571"/>
  <c r="X127" i="25"/>
  <c r="CX30" i="617"/>
  <c r="DC30" i="617"/>
  <c r="CX37" i="617"/>
  <c r="CP271" i="25"/>
  <c r="CP283" i="25"/>
  <c r="CQ372" i="25"/>
  <c r="BU77" i="571"/>
  <c r="BU79" i="571" s="1"/>
  <c r="BU97" i="571"/>
  <c r="BU111" i="571"/>
  <c r="CJ301" i="25"/>
  <c r="CC332" i="25"/>
  <c r="BG104" i="25"/>
  <c r="BL113" i="25" s="1"/>
  <c r="BG43" i="25"/>
  <c r="BG45" i="25" s="1"/>
  <c r="BG41" i="25"/>
  <c r="BL90" i="25"/>
  <c r="U31" i="25"/>
  <c r="U103" i="25"/>
  <c r="U405" i="25" s="1"/>
  <c r="U30" i="25"/>
  <c r="U79" i="25"/>
  <c r="U100" i="25" s="1"/>
  <c r="DC10" i="617"/>
  <c r="DC15" i="617"/>
  <c r="DC36" i="617"/>
  <c r="DC29" i="617"/>
  <c r="DF363" i="25"/>
  <c r="DF369" i="25" s="1"/>
  <c r="DF282" i="25" s="1"/>
  <c r="DE369" i="25"/>
  <c r="DE282" i="25" s="1"/>
  <c r="DO20" i="613"/>
  <c r="DO25" i="613" s="1"/>
  <c r="DO40" i="613"/>
  <c r="DO34" i="613"/>
  <c r="CW147" i="571"/>
  <c r="CR87" i="571"/>
  <c r="CR142" i="571"/>
  <c r="DD69" i="617"/>
  <c r="DD43" i="571"/>
  <c r="DE48" i="571"/>
  <c r="DD50" i="571"/>
  <c r="DD49" i="571"/>
  <c r="DD36" i="571"/>
  <c r="AA108" i="25"/>
  <c r="AB127" i="25"/>
  <c r="AF108" i="25"/>
  <c r="BW97" i="25"/>
  <c r="CB109" i="25" s="1"/>
  <c r="CB138" i="25"/>
  <c r="CX110" i="25"/>
  <c r="CY129" i="25"/>
  <c r="CX129" i="25"/>
  <c r="DC110" i="25"/>
  <c r="DU41" i="613"/>
  <c r="DU35" i="613"/>
  <c r="CJ84" i="617"/>
  <c r="DG74" i="617"/>
  <c r="DA374" i="25"/>
  <c r="DA377" i="25" s="1"/>
  <c r="BN123" i="25"/>
  <c r="CN102" i="25"/>
  <c r="S121" i="25"/>
  <c r="AL131" i="25"/>
  <c r="BH176" i="571"/>
  <c r="BH174" i="571" s="1"/>
  <c r="BH173" i="571" s="1"/>
  <c r="AX177" i="571"/>
  <c r="R88" i="25"/>
  <c r="BC108" i="25"/>
  <c r="BW138" i="25"/>
  <c r="T96" i="25"/>
  <c r="T108" i="25" s="1"/>
  <c r="Y83" i="25"/>
  <c r="T22" i="25"/>
  <c r="Y88" i="25" s="1"/>
  <c r="DC37" i="571"/>
  <c r="DC64" i="571"/>
  <c r="DC65" i="571" s="1"/>
  <c r="DC129" i="571" s="1"/>
  <c r="AD108" i="25"/>
  <c r="Y137" i="25"/>
  <c r="CK142" i="571"/>
  <c r="CK82" i="571"/>
  <c r="CP147" i="571"/>
  <c r="AA28" i="25"/>
  <c r="AA88" i="25"/>
  <c r="AF88" i="25"/>
  <c r="AA101" i="25"/>
  <c r="AB121" i="25"/>
  <c r="AC190" i="25"/>
  <c r="AC191" i="25" s="1"/>
  <c r="AB190" i="25"/>
  <c r="AB191" i="25" s="1"/>
  <c r="AE190" i="25"/>
  <c r="AE191" i="25" s="1"/>
  <c r="BH326" i="25"/>
  <c r="BH331" i="25" s="1"/>
  <c r="BH325" i="25"/>
  <c r="BH330" i="25" s="1"/>
  <c r="BH332" i="25" s="1"/>
  <c r="CX102" i="25"/>
  <c r="CX79" i="25"/>
  <c r="DF106" i="617"/>
  <c r="DF92" i="617"/>
  <c r="DU120" i="617"/>
  <c r="DP120" i="617"/>
  <c r="CX198" i="571"/>
  <c r="DA198" i="571" s="1"/>
  <c r="DA67" i="25"/>
  <c r="CG372" i="25"/>
  <c r="CF271" i="25"/>
  <c r="CF277" i="25" s="1"/>
  <c r="CF283" i="25"/>
  <c r="CF377" i="25"/>
  <c r="DF104" i="617"/>
  <c r="DF89" i="617"/>
  <c r="DK98" i="617"/>
  <c r="ED61" i="611"/>
  <c r="CF98" i="571"/>
  <c r="CF78" i="571"/>
  <c r="CF79" i="571" s="1"/>
  <c r="CF88" i="571"/>
  <c r="CF112" i="571" s="1"/>
  <c r="BZ64" i="571"/>
  <c r="BZ137" i="571"/>
  <c r="BZ71" i="571" s="1"/>
  <c r="BZ72" i="571" s="1"/>
  <c r="BZ138" i="571" s="1"/>
  <c r="BZ142" i="571"/>
  <c r="CE133" i="571"/>
  <c r="BZ133" i="571"/>
  <c r="CJ102" i="25"/>
  <c r="CK131" i="25" s="1"/>
  <c r="CK121" i="25"/>
  <c r="CJ79" i="25"/>
  <c r="CJ120" i="25" s="1"/>
  <c r="BW137" i="25"/>
  <c r="CS134" i="571"/>
  <c r="CS153" i="571" s="1"/>
  <c r="DQ35" i="607"/>
  <c r="DV35" i="607" s="1"/>
  <c r="EA35" i="607" s="1"/>
  <c r="DQ31" i="607"/>
  <c r="DU31" i="607" s="1"/>
  <c r="N41" i="25"/>
  <c r="N43" i="25"/>
  <c r="CQ137" i="571"/>
  <c r="DI75" i="611"/>
  <c r="DH79" i="611"/>
  <c r="AA51" i="559"/>
  <c r="AA64" i="559"/>
  <c r="AF64" i="559"/>
  <c r="AX101" i="25"/>
  <c r="BC112" i="25" s="1"/>
  <c r="AX28" i="25"/>
  <c r="CX31" i="25"/>
  <c r="CX103" i="25"/>
  <c r="CX405" i="25" s="1"/>
  <c r="CX30" i="25"/>
  <c r="CE138" i="571"/>
  <c r="T336" i="25"/>
  <c r="T347" i="25"/>
  <c r="T338" i="25"/>
  <c r="T327" i="25"/>
  <c r="T319" i="25"/>
  <c r="T320" i="25"/>
  <c r="AN326" i="25"/>
  <c r="AN331" i="25" s="1"/>
  <c r="AN325" i="25"/>
  <c r="AN330" i="25" s="1"/>
  <c r="AN332" i="25" s="1"/>
  <c r="CJ23" i="25"/>
  <c r="CE141" i="25"/>
  <c r="CE143" i="25" s="1"/>
  <c r="CE407" i="25"/>
  <c r="CV364" i="25"/>
  <c r="CV369" i="25" s="1"/>
  <c r="CV282" i="25" s="1"/>
  <c r="CU369" i="25"/>
  <c r="CU282" i="25" s="1"/>
  <c r="EC68" i="611"/>
  <c r="DI110" i="25"/>
  <c r="DD110" i="25"/>
  <c r="DE129" i="25"/>
  <c r="DD129" i="25"/>
  <c r="CM79" i="571"/>
  <c r="CG88" i="571"/>
  <c r="DD74" i="617"/>
  <c r="DZ13" i="613"/>
  <c r="DD55" i="617"/>
  <c r="BB79" i="25"/>
  <c r="CO18" i="617"/>
  <c r="U190" i="25"/>
  <c r="U191" i="25" s="1"/>
  <c r="DB291" i="25"/>
  <c r="CI134" i="571"/>
  <c r="CH99" i="571"/>
  <c r="CC112" i="571"/>
  <c r="DI74" i="617"/>
  <c r="CU387" i="25"/>
  <c r="CQ109" i="25"/>
  <c r="CF369" i="25"/>
  <c r="CF282" i="25" s="1"/>
  <c r="CV294" i="25"/>
  <c r="Y28" i="25"/>
  <c r="AD88" i="25"/>
  <c r="Y101" i="25"/>
  <c r="ED89" i="611"/>
  <c r="CM104" i="571"/>
  <c r="CL177" i="571"/>
  <c r="CA149" i="571"/>
  <c r="CA144" i="571" s="1"/>
  <c r="CA161" i="571"/>
  <c r="W101" i="25"/>
  <c r="W88" i="25"/>
  <c r="W28" i="25"/>
  <c r="X190" i="25"/>
  <c r="X191" i="25" s="1"/>
  <c r="W121" i="25"/>
  <c r="AB88" i="25"/>
  <c r="X121" i="25"/>
  <c r="W108" i="25"/>
  <c r="CO276" i="25"/>
  <c r="CO277" i="25"/>
  <c r="CP148" i="571"/>
  <c r="CK83" i="571"/>
  <c r="BV142" i="571"/>
  <c r="CA133" i="571"/>
  <c r="CS31" i="25"/>
  <c r="CS30" i="25"/>
  <c r="CS103" i="25"/>
  <c r="CS405" i="25" s="1"/>
  <c r="CL380" i="25"/>
  <c r="CL286" i="25" s="1"/>
  <c r="CK302" i="25"/>
  <c r="CK301" i="25" s="1"/>
  <c r="CK286" i="25"/>
  <c r="DI30" i="617"/>
  <c r="DD30" i="617"/>
  <c r="DD37" i="617"/>
  <c r="DC201" i="571"/>
  <c r="DC213" i="571" s="1"/>
  <c r="DC89" i="25"/>
  <c r="DC102" i="25"/>
  <c r="DD131" i="25" s="1"/>
  <c r="DC79" i="25"/>
  <c r="DC121" i="25"/>
  <c r="AD58" i="25"/>
  <c r="DA159" i="571"/>
  <c r="CX177" i="571"/>
  <c r="DC177" i="571"/>
  <c r="BS128" i="25"/>
  <c r="BT128" i="25"/>
  <c r="BX109" i="25"/>
  <c r="BZ158" i="25"/>
  <c r="BZ159" i="25" s="1"/>
  <c r="BZ160" i="25" s="1"/>
  <c r="CA152" i="25"/>
  <c r="CL78" i="25"/>
  <c r="EC112" i="617"/>
  <c r="EC34" i="613"/>
  <c r="EC40" i="613"/>
  <c r="EC20" i="613"/>
  <c r="EA112" i="617"/>
  <c r="EA20" i="613"/>
  <c r="EA40" i="613"/>
  <c r="BZ162" i="571"/>
  <c r="CE169" i="571"/>
  <c r="BZ169" i="571"/>
  <c r="BZ165" i="571"/>
  <c r="CC57" i="617"/>
  <c r="CC149" i="571"/>
  <c r="CC99" i="571"/>
  <c r="CH101" i="571" s="1"/>
  <c r="F56" i="559" s="1"/>
  <c r="CC161" i="571"/>
  <c r="DE8" i="571"/>
  <c r="AB11" i="559"/>
  <c r="CC101" i="571"/>
  <c r="CC150" i="571"/>
  <c r="DG182" i="571"/>
  <c r="DL181" i="571"/>
  <c r="CO189" i="571"/>
  <c r="CO165" i="571"/>
  <c r="CO58" i="617"/>
  <c r="CO81" i="617" s="1"/>
  <c r="CO168" i="571"/>
  <c r="CL240" i="25"/>
  <c r="BV370" i="25"/>
  <c r="BV282" i="25"/>
  <c r="L41" i="25"/>
  <c r="L43" i="25"/>
  <c r="CI33" i="25"/>
  <c r="CI104" i="25"/>
  <c r="CI41" i="25"/>
  <c r="CI45" i="25"/>
  <c r="CI43" i="25"/>
  <c r="CJ123" i="25" s="1"/>
  <c r="CU283" i="25"/>
  <c r="CU271" i="25"/>
  <c r="CU377" i="25"/>
  <c r="AO44" i="25"/>
  <c r="AO405" i="25"/>
  <c r="CY302" i="25"/>
  <c r="CY286" i="25" s="1"/>
  <c r="CY303" i="25"/>
  <c r="DA300" i="25"/>
  <c r="DD303" i="25"/>
  <c r="AX68" i="25"/>
  <c r="AS68" i="25"/>
  <c r="CK29" i="617"/>
  <c r="CF10" i="617"/>
  <c r="CF15" i="617"/>
  <c r="BB33" i="25"/>
  <c r="BB30" i="25"/>
  <c r="BB103" i="25"/>
  <c r="BB31" i="25"/>
  <c r="DD213" i="571"/>
  <c r="CJ356" i="25"/>
  <c r="CJ370" i="25" s="1"/>
  <c r="CJ290" i="25"/>
  <c r="CJ406" i="25"/>
  <c r="CJ313" i="25" s="1"/>
  <c r="CJ280" i="25"/>
  <c r="CJ285" i="25" s="1"/>
  <c r="CJ287" i="25" s="1"/>
  <c r="CQ376" i="25"/>
  <c r="CQ377" i="25" s="1"/>
  <c r="CP377" i="25"/>
  <c r="DE206" i="571"/>
  <c r="DE128" i="25"/>
  <c r="DE102" i="25"/>
  <c r="DE131" i="25" s="1"/>
  <c r="DE201" i="571"/>
  <c r="DE213" i="571" s="1"/>
  <c r="DE121" i="25"/>
  <c r="AH64" i="559"/>
  <c r="AH51" i="559"/>
  <c r="AH58" i="559" s="1"/>
  <c r="DJ109" i="25"/>
  <c r="DO109" i="25"/>
  <c r="DJ128" i="25"/>
  <c r="DJ206" i="571"/>
  <c r="AV68" i="25"/>
  <c r="AQ68" i="25"/>
  <c r="R58" i="559"/>
  <c r="M58" i="559"/>
  <c r="DF11" i="617"/>
  <c r="DF97" i="25"/>
  <c r="DF206" i="571" s="1"/>
  <c r="AD17" i="559"/>
  <c r="AD51" i="559" s="1"/>
  <c r="DF195" i="571"/>
  <c r="DD206" i="571"/>
  <c r="DD128" i="25"/>
  <c r="CJ105" i="25"/>
  <c r="CJ46" i="25"/>
  <c r="CJ398" i="25"/>
  <c r="CJ22" i="617"/>
  <c r="H20" i="559"/>
  <c r="CJ122" i="25"/>
  <c r="BU112" i="25"/>
  <c r="AC64" i="559"/>
  <c r="DE36" i="617"/>
  <c r="DE10" i="617"/>
  <c r="DE29" i="617"/>
  <c r="DE15" i="617"/>
  <c r="AW33" i="25"/>
  <c r="AW79" i="25"/>
  <c r="BB87" i="25" s="1"/>
  <c r="AW103" i="25"/>
  <c r="AW31" i="25"/>
  <c r="AW30" i="25"/>
  <c r="BR76" i="25"/>
  <c r="BG112" i="25"/>
  <c r="BB112" i="25"/>
  <c r="CU100" i="25"/>
  <c r="CU111" i="25" s="1"/>
  <c r="S22" i="559"/>
  <c r="CU261" i="25"/>
  <c r="CU263" i="25" s="1"/>
  <c r="CU87" i="25"/>
  <c r="CF302" i="25"/>
  <c r="CF286" i="25"/>
  <c r="AG64" i="559"/>
  <c r="AB51" i="559"/>
  <c r="AG58" i="559" s="1"/>
  <c r="DF30" i="617"/>
  <c r="DA37" i="617"/>
  <c r="BR60" i="25"/>
  <c r="CV283" i="25"/>
  <c r="CV377" i="25"/>
  <c r="CV271" i="25"/>
  <c r="DJ36" i="617"/>
  <c r="DJ10" i="617"/>
  <c r="DJ29" i="617"/>
  <c r="AO43" i="25"/>
  <c r="AO104" i="25"/>
  <c r="AO41" i="25"/>
  <c r="CK240" i="25"/>
  <c r="CK387" i="25"/>
  <c r="CF102" i="25"/>
  <c r="CK112" i="25" s="1"/>
  <c r="CK89" i="25"/>
  <c r="CG302" i="25"/>
  <c r="CG300" i="25" s="1"/>
  <c r="CG286" i="25"/>
  <c r="I316" i="25"/>
  <c r="I241" i="25"/>
  <c r="I314" i="25"/>
  <c r="J316" i="25"/>
  <c r="J314" i="25"/>
  <c r="BO68" i="25"/>
  <c r="BJ68" i="25"/>
  <c r="DD10" i="617"/>
  <c r="DD15" i="617"/>
  <c r="DI29" i="617"/>
  <c r="DD36" i="617"/>
  <c r="CZ29" i="617"/>
  <c r="CZ10" i="617"/>
  <c r="CZ15" i="617"/>
  <c r="CZ36" i="617"/>
  <c r="DF76" i="25"/>
  <c r="BV112" i="25"/>
  <c r="DG206" i="571"/>
  <c r="V405" i="25"/>
  <c r="V132" i="25"/>
  <c r="CS30" i="617"/>
  <c r="CN30" i="617"/>
  <c r="CN37" i="617"/>
  <c r="DT63" i="25"/>
  <c r="DT36" i="25" s="1"/>
  <c r="DT40" i="25" s="1"/>
  <c r="BQ92" i="25"/>
  <c r="CM102" i="25"/>
  <c r="CM131" i="25" s="1"/>
  <c r="DH128" i="25"/>
  <c r="CU104" i="25"/>
  <c r="CB342" i="25"/>
  <c r="BH108" i="25"/>
  <c r="AR112" i="25"/>
  <c r="CZ87" i="25"/>
  <c r="P64" i="559"/>
  <c r="DO367" i="25"/>
  <c r="V43" i="25"/>
  <c r="V104" i="25"/>
  <c r="V41" i="25"/>
  <c r="DK97" i="25"/>
  <c r="DK11" i="617"/>
  <c r="DK15" i="617" s="1"/>
  <c r="DK195" i="571"/>
  <c r="AI17" i="559"/>
  <c r="DK84" i="25"/>
  <c r="DL118" i="25"/>
  <c r="CO33" i="25"/>
  <c r="CO41" i="25"/>
  <c r="CO122" i="25" s="1"/>
  <c r="CO90" i="25"/>
  <c r="CO43" i="25"/>
  <c r="CO123" i="25" s="1"/>
  <c r="CO356" i="25"/>
  <c r="CO104" i="25"/>
  <c r="CN110" i="25"/>
  <c r="CS110" i="25"/>
  <c r="L118" i="559"/>
  <c r="L39" i="559"/>
  <c r="CE104" i="25"/>
  <c r="CJ90" i="25"/>
  <c r="CE33" i="25"/>
  <c r="CE45" i="25"/>
  <c r="CE41" i="25"/>
  <c r="CE43" i="25"/>
  <c r="CJ92" i="25" s="1"/>
  <c r="CA102" i="25"/>
  <c r="CA79" i="25"/>
  <c r="CA87" i="25" s="1"/>
  <c r="CF89" i="25"/>
  <c r="CT83" i="617"/>
  <c r="AI59" i="559"/>
  <c r="DL109" i="25"/>
  <c r="CN121" i="25"/>
  <c r="CQ76" i="25"/>
  <c r="CQ102" i="25" s="1"/>
  <c r="CR89" i="25"/>
  <c r="BZ253" i="25"/>
  <c r="CU90" i="25"/>
  <c r="CZ90" i="25"/>
  <c r="CZ100" i="25"/>
  <c r="DB130" i="25" s="1"/>
  <c r="CZ261" i="25"/>
  <c r="CZ263" i="25" s="1"/>
  <c r="BC274" i="25"/>
  <c r="V100" i="25"/>
  <c r="V120" i="25"/>
  <c r="AC43" i="25"/>
  <c r="AC41" i="25"/>
  <c r="AC104" i="25"/>
  <c r="AE64" i="559"/>
  <c r="AJ64" i="559"/>
  <c r="AE51" i="559"/>
  <c r="BV276" i="25"/>
  <c r="BV277" i="25"/>
  <c r="AA131" i="25"/>
  <c r="Z112" i="25"/>
  <c r="Z103" i="25"/>
  <c r="Z31" i="25"/>
  <c r="Z30" i="25"/>
  <c r="Z79" i="25"/>
  <c r="Z120" i="25" s="1"/>
  <c r="Q118" i="559"/>
  <c r="Q39" i="559"/>
  <c r="CN68" i="25"/>
  <c r="CS68" i="25"/>
  <c r="CQ67" i="25"/>
  <c r="BH272" i="25"/>
  <c r="BH274" i="25" s="1"/>
  <c r="BG78" i="25"/>
  <c r="BM359" i="25"/>
  <c r="BH281" i="25"/>
  <c r="AL31" i="25"/>
  <c r="AL30" i="25"/>
  <c r="AL103" i="25"/>
  <c r="AL405" i="25" s="1"/>
  <c r="AL33" i="25"/>
  <c r="AL79" i="25"/>
  <c r="CG382" i="25"/>
  <c r="CF240" i="25"/>
  <c r="CF387" i="25"/>
  <c r="W60" i="559"/>
  <c r="R60" i="559"/>
  <c r="CQ302" i="25"/>
  <c r="CO300" i="25"/>
  <c r="DJ379" i="25"/>
  <c r="DJ387" i="25" s="1"/>
  <c r="BW343" i="25"/>
  <c r="CK104" i="25"/>
  <c r="CK43" i="25"/>
  <c r="CK123" i="25" s="1"/>
  <c r="CK41" i="25"/>
  <c r="CK91" i="25" s="1"/>
  <c r="CK33" i="25"/>
  <c r="CK45" i="25"/>
  <c r="CQ13" i="617"/>
  <c r="CQ86" i="25"/>
  <c r="O39" i="559" s="1"/>
  <c r="CQ99" i="25"/>
  <c r="CQ110" i="25" s="1"/>
  <c r="CG296" i="25"/>
  <c r="CF297" i="25"/>
  <c r="CG297" i="25" s="1"/>
  <c r="DA23" i="25"/>
  <c r="CW141" i="25"/>
  <c r="CW143" i="25" s="1"/>
  <c r="CW407" i="25"/>
  <c r="BY261" i="25"/>
  <c r="BY263" i="25" s="1"/>
  <c r="BY100" i="25"/>
  <c r="DL398" i="25"/>
  <c r="DQ91" i="25"/>
  <c r="CN406" i="25"/>
  <c r="CN313" i="25" s="1"/>
  <c r="CN280" i="25"/>
  <c r="CN285" i="25" s="1"/>
  <c r="CN287" i="25" s="1"/>
  <c r="CN290" i="25"/>
  <c r="CN356" i="25"/>
  <c r="CN370" i="25" s="1"/>
  <c r="AJ131" i="25"/>
  <c r="AO112" i="25"/>
  <c r="BD45" i="25"/>
  <c r="CP296" i="25"/>
  <c r="CQ294" i="25"/>
  <c r="CH103" i="25"/>
  <c r="CH405" i="25" s="1"/>
  <c r="CH31" i="25"/>
  <c r="CH30" i="25"/>
  <c r="CH258" i="25" s="1"/>
  <c r="CH253" i="25" s="1"/>
  <c r="CH252" i="25" s="1"/>
  <c r="CH259" i="25" s="1"/>
  <c r="CZ391" i="25"/>
  <c r="DM45" i="25"/>
  <c r="BX332" i="25"/>
  <c r="AD332" i="25"/>
  <c r="EE35" i="25"/>
  <c r="DR233" i="25"/>
  <c r="DS233" i="25" s="1"/>
  <c r="DT233" i="25" s="1"/>
  <c r="DU233" i="25" s="1"/>
  <c r="DV233" i="25" s="1"/>
  <c r="DW233" i="25" s="1"/>
  <c r="DX233" i="25" s="1"/>
  <c r="DY233" i="25" s="1"/>
  <c r="DZ233" i="25" s="1"/>
  <c r="EA233" i="25" s="1"/>
  <c r="BJ103" i="25"/>
  <c r="BJ31" i="25"/>
  <c r="BJ30" i="25"/>
  <c r="BJ33" i="25"/>
  <c r="CN45" i="25"/>
  <c r="AJ30" i="25"/>
  <c r="AJ31" i="25"/>
  <c r="AJ33" i="25" s="1"/>
  <c r="AJ103" i="25"/>
  <c r="AJ405" i="25" s="1"/>
  <c r="AJ79" i="25"/>
  <c r="O326" i="25"/>
  <c r="O331" i="25" s="1"/>
  <c r="O325" i="25"/>
  <c r="O330" i="25" s="1"/>
  <c r="BE131" i="25"/>
  <c r="BE112" i="25"/>
  <c r="BY103" i="25"/>
  <c r="BY405" i="25" s="1"/>
  <c r="BY31" i="25"/>
  <c r="BY30" i="25"/>
  <c r="BY258" i="25" s="1"/>
  <c r="BY253" i="25" s="1"/>
  <c r="BY252" i="25" s="1"/>
  <c r="BY259" i="25" s="1"/>
  <c r="AW112" i="25"/>
  <c r="AR131" i="25"/>
  <c r="CK277" i="25"/>
  <c r="CK276" i="25"/>
  <c r="CF274" i="25"/>
  <c r="CF276" i="25"/>
  <c r="AZ31" i="25"/>
  <c r="AZ30" i="25"/>
  <c r="AZ103" i="25"/>
  <c r="AZ79" i="25"/>
  <c r="BA120" i="25" s="1"/>
  <c r="K66" i="559"/>
  <c r="K53" i="559"/>
  <c r="K60" i="559" s="1"/>
  <c r="O53" i="559"/>
  <c r="CL108" i="25"/>
  <c r="CL137" i="25"/>
  <c r="CQ108" i="25"/>
  <c r="AQ46" i="25"/>
  <c r="AQ398" i="25"/>
  <c r="CB108" i="25"/>
  <c r="CG108" i="25"/>
  <c r="CB137" i="25"/>
  <c r="BT31" i="25"/>
  <c r="BT79" i="25"/>
  <c r="BT103" i="25"/>
  <c r="BT30" i="25"/>
  <c r="BT258" i="25" s="1"/>
  <c r="DA68" i="25"/>
  <c r="O28" i="25"/>
  <c r="O88" i="25"/>
  <c r="O101" i="25"/>
  <c r="DB332" i="25"/>
  <c r="BW103" i="25"/>
  <c r="BW405" i="25" s="1"/>
  <c r="BW31" i="25"/>
  <c r="BW30" i="25"/>
  <c r="DA110" i="25"/>
  <c r="CV30" i="617"/>
  <c r="CV37" i="617"/>
  <c r="DA30" i="617"/>
  <c r="CC10" i="617"/>
  <c r="CC15" i="617"/>
  <c r="CC18" i="617" s="1"/>
  <c r="O108" i="25"/>
  <c r="O127" i="25" s="1"/>
  <c r="O137" i="25"/>
  <c r="AJ112" i="25"/>
  <c r="AK131" i="25"/>
  <c r="AS28" i="25"/>
  <c r="AS79" i="25" s="1"/>
  <c r="AS101" i="25"/>
  <c r="AX88" i="25"/>
  <c r="CZ63" i="617"/>
  <c r="CZ209" i="571"/>
  <c r="CZ210" i="571"/>
  <c r="BJ131" i="25"/>
  <c r="BJ112" i="25"/>
  <c r="CC103" i="25"/>
  <c r="CC405" i="25" s="1"/>
  <c r="CC31" i="25"/>
  <c r="CC30" i="25"/>
  <c r="CC258" i="25" s="1"/>
  <c r="CC253" i="25" s="1"/>
  <c r="CC252" i="25" s="1"/>
  <c r="CC259" i="25" s="1"/>
  <c r="BW109" i="25"/>
  <c r="BR109" i="25"/>
  <c r="BR137" i="25"/>
  <c r="BW108" i="25"/>
  <c r="CH11" i="617"/>
  <c r="CH76" i="25"/>
  <c r="CL60" i="25"/>
  <c r="CQ84" i="25" s="1"/>
  <c r="CH118" i="25"/>
  <c r="CH84" i="25"/>
  <c r="CI118" i="25"/>
  <c r="F17" i="559"/>
  <c r="DA274" i="25"/>
  <c r="DA276" i="25"/>
  <c r="BD46" i="25"/>
  <c r="BD398" i="25"/>
  <c r="CG281" i="25"/>
  <c r="CG272" i="25"/>
  <c r="CC79" i="25"/>
  <c r="CC102" i="25"/>
  <c r="CM31" i="25"/>
  <c r="CM103" i="25"/>
  <c r="CM405" i="25" s="1"/>
  <c r="CM30" i="25"/>
  <c r="CM258" i="25" s="1"/>
  <c r="CM253" i="25" s="1"/>
  <c r="CM252" i="25" s="1"/>
  <c r="CM259" i="25" s="1"/>
  <c r="DD326" i="25"/>
  <c r="DD331" i="25" s="1"/>
  <c r="DD325" i="25"/>
  <c r="DD330" i="25" s="1"/>
  <c r="CQ31" i="25"/>
  <c r="CQ30" i="25"/>
  <c r="CQ103" i="25"/>
  <c r="CQ405" i="25" s="1"/>
  <c r="CG78" i="25"/>
  <c r="BH101" i="25"/>
  <c r="BH28" i="25"/>
  <c r="P66" i="559"/>
  <c r="P53" i="559"/>
  <c r="P60" i="559" s="1"/>
  <c r="CR31" i="25"/>
  <c r="CR103" i="25"/>
  <c r="CR405" i="25" s="1"/>
  <c r="CR30" i="25"/>
  <c r="AQ45" i="25"/>
  <c r="CU63" i="617"/>
  <c r="CU83" i="617" s="1"/>
  <c r="DP294" i="25"/>
  <c r="DP296" i="25" s="1"/>
  <c r="DP298" i="25" s="1"/>
  <c r="AB46" i="25"/>
  <c r="AB398" i="25"/>
  <c r="CG104" i="25"/>
  <c r="CG33" i="25"/>
  <c r="CG45" i="25"/>
  <c r="CG41" i="25"/>
  <c r="U66" i="559"/>
  <c r="U53" i="559"/>
  <c r="BV87" i="25"/>
  <c r="BV261" i="25"/>
  <c r="BV263" i="25" s="1"/>
  <c r="BV100" i="25"/>
  <c r="BV111" i="25" s="1"/>
  <c r="BW88" i="25"/>
  <c r="BR101" i="25"/>
  <c r="BW112" i="25" s="1"/>
  <c r="BR28" i="25"/>
  <c r="AG103" i="25"/>
  <c r="AH132" i="25" s="1"/>
  <c r="AG30" i="25"/>
  <c r="AG31" i="25"/>
  <c r="AG33" i="25"/>
  <c r="AH122" i="25" s="1"/>
  <c r="AG79" i="25"/>
  <c r="BT112" i="25"/>
  <c r="BO112" i="25"/>
  <c r="BD92" i="25"/>
  <c r="DI369" i="25"/>
  <c r="DI282" i="25" s="1"/>
  <c r="BQ46" i="25"/>
  <c r="BQ398" i="25"/>
  <c r="AX108" i="25"/>
  <c r="AS108" i="25"/>
  <c r="DB84" i="25"/>
  <c r="CX118" i="25"/>
  <c r="CW97" i="25"/>
  <c r="CW76" i="25"/>
  <c r="DA76" i="25" s="1"/>
  <c r="DA89" i="25" s="1"/>
  <c r="CW11" i="617"/>
  <c r="CW118" i="25"/>
  <c r="U17" i="559"/>
  <c r="CW195" i="571"/>
  <c r="CW84" i="25"/>
  <c r="CW31" i="25"/>
  <c r="CW103" i="25"/>
  <c r="CW405" i="25" s="1"/>
  <c r="CW30" i="25"/>
  <c r="CW258" i="25" s="1"/>
  <c r="CW253" i="25" s="1"/>
  <c r="CW252" i="25" s="1"/>
  <c r="CW259" i="25" s="1"/>
  <c r="CN22" i="617"/>
  <c r="CN39" i="617" s="1"/>
  <c r="CN398" i="25"/>
  <c r="CN46" i="25"/>
  <c r="L20" i="559"/>
  <c r="CN91" i="25"/>
  <c r="CN105" i="25"/>
  <c r="BH109" i="25"/>
  <c r="BM109" i="25"/>
  <c r="BE33" i="25"/>
  <c r="BE31" i="25"/>
  <c r="BE30" i="25"/>
  <c r="BE79" i="25"/>
  <c r="BE103" i="25"/>
  <c r="AD45" i="25"/>
  <c r="AD104" i="25"/>
  <c r="AD356" i="25"/>
  <c r="AD370" i="25" s="1"/>
  <c r="AD280" i="25"/>
  <c r="AD290" i="25"/>
  <c r="AD406" i="25"/>
  <c r="AD41" i="25"/>
  <c r="BV44" i="25"/>
  <c r="BV33" i="25"/>
  <c r="AL112" i="25"/>
  <c r="AG112" i="25"/>
  <c r="AG131" i="25"/>
  <c r="AR31" i="25"/>
  <c r="AR103" i="25"/>
  <c r="AT132" i="25" s="1"/>
  <c r="AR33" i="25"/>
  <c r="AR30" i="25"/>
  <c r="CL283" i="25"/>
  <c r="CL271" i="25"/>
  <c r="BO30" i="25"/>
  <c r="BO33" i="25"/>
  <c r="BO103" i="25"/>
  <c r="BO31" i="25"/>
  <c r="BO79" i="25"/>
  <c r="CQ387" i="25"/>
  <c r="CQ240" i="25"/>
  <c r="J19" i="559"/>
  <c r="J53" i="559" s="1"/>
  <c r="CL88" i="25"/>
  <c r="CL28" i="25"/>
  <c r="CL101" i="25"/>
  <c r="CG88" i="25"/>
  <c r="CB28" i="25"/>
  <c r="CB88" i="25"/>
  <c r="CB101" i="25"/>
  <c r="CB112" i="25" s="1"/>
  <c r="DM296" i="25"/>
  <c r="DM298" i="25" s="1"/>
  <c r="DM54" i="25" s="1"/>
  <c r="AS109" i="25"/>
  <c r="AR79" i="25"/>
  <c r="AT120" i="25" s="1"/>
  <c r="DO379" i="25"/>
  <c r="DO387" i="25" s="1"/>
  <c r="AQ42" i="559"/>
  <c r="AQ46" i="559" s="1"/>
  <c r="CD89" i="571"/>
  <c r="CD113" i="571" s="1"/>
  <c r="CD111" i="571"/>
  <c r="CG87" i="571"/>
  <c r="CG111" i="571" s="1"/>
  <c r="CD57" i="617"/>
  <c r="CD149" i="571"/>
  <c r="CD161" i="571"/>
  <c r="CD99" i="571"/>
  <c r="CD101" i="571" s="1"/>
  <c r="CO74" i="617"/>
  <c r="BX161" i="571"/>
  <c r="BX149" i="571"/>
  <c r="CB84" i="571"/>
  <c r="CB149" i="571" s="1"/>
  <c r="CG97" i="571"/>
  <c r="CG147" i="571"/>
  <c r="CG77" i="571"/>
  <c r="CG84" i="571"/>
  <c r="BX89" i="571"/>
  <c r="CB88" i="571"/>
  <c r="BC78" i="25"/>
  <c r="L51" i="559"/>
  <c r="L58" i="559" s="1"/>
  <c r="O17" i="559"/>
  <c r="O51" i="559" s="1"/>
  <c r="EE193" i="571"/>
  <c r="EE60" i="617" s="1"/>
  <c r="DZ193" i="571"/>
  <c r="DZ60" i="617" s="1"/>
  <c r="CM15" i="617"/>
  <c r="CR31" i="617" s="1"/>
  <c r="DT182" i="571"/>
  <c r="DY181" i="571"/>
  <c r="DF20" i="571"/>
  <c r="DF22" i="571"/>
  <c r="DF173" i="571" s="1"/>
  <c r="DF17" i="571"/>
  <c r="DR137" i="571"/>
  <c r="DW128" i="571"/>
  <c r="DS137" i="571"/>
  <c r="DX128" i="571"/>
  <c r="DN52" i="571"/>
  <c r="DS53" i="571" s="1"/>
  <c r="DL53" i="571"/>
  <c r="DS182" i="571"/>
  <c r="DX181" i="571"/>
  <c r="BX44" i="571"/>
  <c r="BX138" i="571" s="1"/>
  <c r="DV128" i="571"/>
  <c r="DR182" i="571"/>
  <c r="DW181" i="571"/>
  <c r="DI52" i="571"/>
  <c r="DI53" i="571" s="1"/>
  <c r="DG53" i="571"/>
  <c r="AU42" i="559"/>
  <c r="AX146" i="559"/>
  <c r="AX145" i="559" s="1"/>
  <c r="BT87" i="571"/>
  <c r="BT84" i="571"/>
  <c r="BT97" i="571"/>
  <c r="CQ39" i="571"/>
  <c r="CQ40" i="571" s="1"/>
  <c r="BT77" i="571"/>
  <c r="BT65" i="571"/>
  <c r="BS77" i="571"/>
  <c r="BS97" i="571"/>
  <c r="BS87" i="571"/>
  <c r="BS84" i="571"/>
  <c r="BS98" i="571"/>
  <c r="BS112" i="571"/>
  <c r="BS78" i="571"/>
  <c r="BY44" i="571"/>
  <c r="BY138" i="571" s="1"/>
  <c r="BB145" i="559"/>
  <c r="BB42" i="559"/>
  <c r="AR145" i="559"/>
  <c r="AZ42" i="559"/>
  <c r="AZ145" i="559"/>
  <c r="AY145" i="559"/>
  <c r="AY42" i="559"/>
  <c r="BC146" i="559"/>
  <c r="BA42" i="559"/>
  <c r="BA145" i="559"/>
  <c r="DT23" i="613"/>
  <c r="DS26" i="613"/>
  <c r="EB24" i="607"/>
  <c r="EC24" i="607" s="1"/>
  <c r="ED24" i="607" s="1"/>
  <c r="EB23" i="607"/>
  <c r="EC23" i="607" s="1"/>
  <c r="ED23" i="607" s="1"/>
  <c r="DP51" i="613"/>
  <c r="DZ35" i="613"/>
  <c r="ED112" i="617"/>
  <c r="ED34" i="613"/>
  <c r="ED40" i="613"/>
  <c r="DY137" i="571"/>
  <c r="ED128" i="571"/>
  <c r="DO377" i="25"/>
  <c r="CG365" i="25"/>
  <c r="CG369" i="25" s="1"/>
  <c r="CG282" i="25" s="1"/>
  <c r="DW372" i="25"/>
  <c r="DW283" i="25" s="1"/>
  <c r="EB271" i="25"/>
  <c r="AS60" i="25"/>
  <c r="CA332" i="25"/>
  <c r="AI332" i="25"/>
  <c r="AX76" i="25"/>
  <c r="DO90" i="25"/>
  <c r="DJ33" i="25"/>
  <c r="DJ104" i="25"/>
  <c r="DJ15" i="617"/>
  <c r="DJ30" i="617"/>
  <c r="DJ37" i="617"/>
  <c r="AC123" i="25"/>
  <c r="M79" i="25"/>
  <c r="M33" i="25"/>
  <c r="M31" i="25"/>
  <c r="M30" i="25"/>
  <c r="BZ239" i="25"/>
  <c r="BZ251" i="25"/>
  <c r="BZ315" i="25"/>
  <c r="DS27" i="611"/>
  <c r="DT219" i="25"/>
  <c r="AP131" i="25"/>
  <c r="AQ131" i="25"/>
  <c r="AU112" i="25"/>
  <c r="BF76" i="25"/>
  <c r="BH76" i="25" s="1"/>
  <c r="BH60" i="25"/>
  <c r="AA68" i="25"/>
  <c r="AF68" i="25"/>
  <c r="BC31" i="25"/>
  <c r="BC30" i="25"/>
  <c r="BC103" i="25"/>
  <c r="BC405" i="25" s="1"/>
  <c r="BG131" i="25"/>
  <c r="BF131" i="25"/>
  <c r="AJ122" i="25"/>
  <c r="AH41" i="25"/>
  <c r="AH90" i="25"/>
  <c r="AH104" i="25"/>
  <c r="AH113" i="25" s="1"/>
  <c r="AH43" i="25"/>
  <c r="CA313" i="25"/>
  <c r="I393" i="25"/>
  <c r="J392" i="25" s="1"/>
  <c r="Q64" i="559"/>
  <c r="DA332" i="25"/>
  <c r="CN15" i="617"/>
  <c r="CN31" i="617" s="1"/>
  <c r="AV31" i="25"/>
  <c r="AV103" i="25"/>
  <c r="AV79" i="25"/>
  <c r="AV30" i="25"/>
  <c r="AV131" i="25"/>
  <c r="AW131" i="25"/>
  <c r="AV112" i="25"/>
  <c r="CY109" i="25"/>
  <c r="CY128" i="25"/>
  <c r="DD109" i="25"/>
  <c r="CZ128" i="25"/>
  <c r="BV289" i="25"/>
  <c r="BV391" i="25"/>
  <c r="DX295" i="25"/>
  <c r="DV296" i="25"/>
  <c r="DV298" i="25" s="1"/>
  <c r="DV54" i="25" s="1"/>
  <c r="T68" i="25"/>
  <c r="Y68" i="25"/>
  <c r="DK104" i="25"/>
  <c r="DK33" i="25"/>
  <c r="DB131" i="25"/>
  <c r="CZ112" i="25"/>
  <c r="Y325" i="25"/>
  <c r="Y330" i="25" s="1"/>
  <c r="Y326" i="25"/>
  <c r="Y331" i="25" s="1"/>
  <c r="O60" i="25"/>
  <c r="BU289" i="25"/>
  <c r="BU391" i="25"/>
  <c r="CT22" i="617"/>
  <c r="CT20" i="617" s="1"/>
  <c r="CT42" i="617" s="1"/>
  <c r="CT105" i="25"/>
  <c r="R20" i="559"/>
  <c r="CT46" i="25"/>
  <c r="DF108" i="25"/>
  <c r="DK108" i="25"/>
  <c r="DG127" i="25"/>
  <c r="AP103" i="25"/>
  <c r="AP33" i="25"/>
  <c r="AP90" i="25" s="1"/>
  <c r="AP79" i="25"/>
  <c r="AP31" i="25"/>
  <c r="AP30" i="25"/>
  <c r="EA283" i="25"/>
  <c r="AC130" i="25"/>
  <c r="BK76" i="25"/>
  <c r="BM76" i="25" s="1"/>
  <c r="BM60" i="25"/>
  <c r="BW68" i="25"/>
  <c r="BU103" i="25"/>
  <c r="BU79" i="25"/>
  <c r="BU30" i="25"/>
  <c r="BU258" i="25" s="1"/>
  <c r="BU31" i="25"/>
  <c r="BZ90" i="25" s="1"/>
  <c r="BP112" i="25"/>
  <c r="T17" i="559"/>
  <c r="T51" i="559" s="1"/>
  <c r="CV195" i="571"/>
  <c r="CV97" i="25"/>
  <c r="CV11" i="617"/>
  <c r="CV29" i="617" s="1"/>
  <c r="BS235" i="25"/>
  <c r="BS254" i="25" s="1"/>
  <c r="BS253" i="25" s="1"/>
  <c r="BS252" i="25" s="1"/>
  <c r="BS259" i="25" s="1"/>
  <c r="BT232" i="25"/>
  <c r="BF30" i="25"/>
  <c r="BF79" i="25"/>
  <c r="BF33" i="25"/>
  <c r="BF103" i="25"/>
  <c r="BF31" i="25"/>
  <c r="BU76" i="25"/>
  <c r="BW60" i="25"/>
  <c r="AS76" i="25"/>
  <c r="CP131" i="25"/>
  <c r="AH405" i="25"/>
  <c r="DA11" i="617"/>
  <c r="Y17" i="559"/>
  <c r="DA97" i="25"/>
  <c r="DA84" i="25"/>
  <c r="DA195" i="571"/>
  <c r="DF84" i="25"/>
  <c r="BF112" i="25"/>
  <c r="BB131" i="25"/>
  <c r="BA131" i="25"/>
  <c r="BA112" i="25"/>
  <c r="CD76" i="25"/>
  <c r="CI84" i="25"/>
  <c r="CD11" i="617"/>
  <c r="CD84" i="25"/>
  <c r="CG60" i="25"/>
  <c r="CT128" i="25"/>
  <c r="CS128" i="25"/>
  <c r="CX109" i="25"/>
  <c r="CS36" i="617"/>
  <c r="CX29" i="617"/>
  <c r="CS15" i="617"/>
  <c r="CS10" i="617"/>
  <c r="CS29" i="617"/>
  <c r="BT343" i="25"/>
  <c r="BU342" i="25"/>
  <c r="CF22" i="617"/>
  <c r="CF105" i="25"/>
  <c r="CF46" i="25"/>
  <c r="DI370" i="25"/>
  <c r="DI391" i="25" s="1"/>
  <c r="DI393" i="25" s="1"/>
  <c r="DJ392" i="25" s="1"/>
  <c r="CZ74" i="617"/>
  <c r="CE101" i="571"/>
  <c r="BK30" i="25"/>
  <c r="BK31" i="25"/>
  <c r="BK103" i="25"/>
  <c r="BK33" i="25"/>
  <c r="DD89" i="25"/>
  <c r="CY102" i="25"/>
  <c r="CY121" i="25"/>
  <c r="CY89" i="25"/>
  <c r="CY79" i="25"/>
  <c r="CY10" i="617"/>
  <c r="CY36" i="617"/>
  <c r="DD29" i="617"/>
  <c r="CY29" i="617"/>
  <c r="CY15" i="617"/>
  <c r="AN68" i="25"/>
  <c r="AI68" i="25"/>
  <c r="CZ121" i="25"/>
  <c r="BM30" i="25"/>
  <c r="BM103" i="25"/>
  <c r="BM405" i="25" s="1"/>
  <c r="BM31" i="25"/>
  <c r="BR112" i="25"/>
  <c r="BM112" i="25"/>
  <c r="CZ280" i="25"/>
  <c r="CZ285" i="25" s="1"/>
  <c r="CZ287" i="25" s="1"/>
  <c r="CZ290" i="25"/>
  <c r="CZ43" i="25"/>
  <c r="CZ41" i="25"/>
  <c r="CZ398" i="25" s="1"/>
  <c r="CZ406" i="25"/>
  <c r="CE10" i="617"/>
  <c r="CE15" i="617"/>
  <c r="CJ29" i="617"/>
  <c r="DO275" i="25"/>
  <c r="DT275" i="25" s="1"/>
  <c r="DY275" i="25" s="1"/>
  <c r="ED275" i="25" s="1"/>
  <c r="DO274" i="25"/>
  <c r="CK92" i="25"/>
  <c r="AM405" i="25"/>
  <c r="AO132" i="25"/>
  <c r="AM132" i="25"/>
  <c r="BX102" i="25"/>
  <c r="BX79" i="25"/>
  <c r="CC89" i="25"/>
  <c r="CB60" i="25"/>
  <c r="BZ76" i="25"/>
  <c r="CB76" i="25" s="1"/>
  <c r="CB102" i="25" s="1"/>
  <c r="AX60" i="25"/>
  <c r="CS102" i="25"/>
  <c r="CS112" i="25" s="1"/>
  <c r="CS89" i="25"/>
  <c r="CS79" i="25"/>
  <c r="CX89" i="25"/>
  <c r="BX41" i="25"/>
  <c r="BX398" i="25" s="1"/>
  <c r="BX33" i="25"/>
  <c r="BX104" i="25"/>
  <c r="CC90" i="25"/>
  <c r="BX45" i="25"/>
  <c r="BX90" i="25"/>
  <c r="CV286" i="25"/>
  <c r="CV387" i="25"/>
  <c r="CO261" i="25"/>
  <c r="CO263" i="25" s="1"/>
  <c r="M22" i="559"/>
  <c r="CO100" i="25"/>
  <c r="CP120" i="25"/>
  <c r="DA31" i="25"/>
  <c r="DA30" i="25"/>
  <c r="DA405" i="25"/>
  <c r="AH87" i="25"/>
  <c r="AH100" i="25"/>
  <c r="AJ120" i="25"/>
  <c r="AM87" i="25"/>
  <c r="CF406" i="25"/>
  <c r="CF313" i="25" s="1"/>
  <c r="CF356" i="25"/>
  <c r="CF370" i="25" s="1"/>
  <c r="CF280" i="25"/>
  <c r="CF285" i="25" s="1"/>
  <c r="CF287" i="25" s="1"/>
  <c r="CF290" i="25"/>
  <c r="CF122" i="25"/>
  <c r="BZ112" i="25"/>
  <c r="V68" i="25"/>
  <c r="Q68" i="25"/>
  <c r="AM90" i="25"/>
  <c r="AM104" i="25"/>
  <c r="AM41" i="25"/>
  <c r="AM122" i="25"/>
  <c r="AO122" i="25"/>
  <c r="AM43" i="25"/>
  <c r="CT356" i="25"/>
  <c r="CT370" i="25" s="1"/>
  <c r="CT290" i="25"/>
  <c r="CT406" i="25"/>
  <c r="CT313" i="25" s="1"/>
  <c r="CT280" i="25"/>
  <c r="CT285" i="25" s="1"/>
  <c r="CT287" i="25" s="1"/>
  <c r="CT43" i="25"/>
  <c r="DK30" i="617"/>
  <c r="DK37" i="617"/>
  <c r="DE74" i="617"/>
  <c r="DO112" i="25"/>
  <c r="BC79" i="25"/>
  <c r="BC261" i="25" s="1"/>
  <c r="BC263" i="25" s="1"/>
  <c r="AP112" i="25"/>
  <c r="CN29" i="617"/>
  <c r="BK112" i="25"/>
  <c r="BL131" i="25"/>
  <c r="BK131" i="25"/>
  <c r="W51" i="559"/>
  <c r="W64" i="559"/>
  <c r="AB64" i="559"/>
  <c r="R22" i="559"/>
  <c r="CU120" i="25"/>
  <c r="CT87" i="25"/>
  <c r="CT100" i="25"/>
  <c r="CT261" i="25"/>
  <c r="CT263" i="25" s="1"/>
  <c r="CU131" i="25"/>
  <c r="CT112" i="25"/>
  <c r="AE68" i="25"/>
  <c r="AJ68" i="25"/>
  <c r="K43" i="25"/>
  <c r="L123" i="25" s="1"/>
  <c r="L122" i="25"/>
  <c r="K41" i="25"/>
  <c r="CJ89" i="25"/>
  <c r="CE102" i="25"/>
  <c r="CE79" i="25"/>
  <c r="O76" i="25"/>
  <c r="DO100" i="25"/>
  <c r="DO261" i="25"/>
  <c r="DO263" i="25" s="1"/>
  <c r="BA103" i="25"/>
  <c r="BA33" i="25"/>
  <c r="BA31" i="25"/>
  <c r="BA30" i="25"/>
  <c r="CK23" i="25"/>
  <c r="CF407" i="25"/>
  <c r="CF141" i="25"/>
  <c r="CF143" i="25" s="1"/>
  <c r="CG23" i="25"/>
  <c r="AD19" i="559"/>
  <c r="DF28" i="25"/>
  <c r="DF88" i="25"/>
  <c r="DH190" i="25"/>
  <c r="DH191" i="25" s="1"/>
  <c r="DG190" i="25"/>
  <c r="DG191" i="25" s="1"/>
  <c r="DF101" i="25"/>
  <c r="DI190" i="25"/>
  <c r="DI191" i="25" s="1"/>
  <c r="DK88" i="25"/>
  <c r="CQ274" i="25"/>
  <c r="CB99" i="25"/>
  <c r="CG110" i="25" s="1"/>
  <c r="CG86" i="25"/>
  <c r="BX68" i="25"/>
  <c r="CB67" i="25"/>
  <c r="CC68" i="25"/>
  <c r="DO277" i="25"/>
  <c r="DO276" i="25"/>
  <c r="BY68" i="25"/>
  <c r="BT68" i="25"/>
  <c r="BP103" i="25"/>
  <c r="BP33" i="25"/>
  <c r="BP31" i="25"/>
  <c r="BP30" i="25"/>
  <c r="BP79" i="25"/>
  <c r="Q51" i="559"/>
  <c r="V58" i="559" s="1"/>
  <c r="V64" i="559"/>
  <c r="BP68" i="25"/>
  <c r="BU68" i="25"/>
  <c r="BR315" i="25"/>
  <c r="BR251" i="25"/>
  <c r="BR239" i="25"/>
  <c r="BH112" i="25"/>
  <c r="DA387" i="25"/>
  <c r="DA240" i="25"/>
  <c r="EB361" i="25"/>
  <c r="EC361" i="25" s="1"/>
  <c r="ED361" i="25" s="1"/>
  <c r="EA295" i="25"/>
  <c r="DY296" i="25"/>
  <c r="DY298" i="25" s="1"/>
  <c r="DY54" i="25" s="1"/>
  <c r="EC212" i="25"/>
  <c r="CJ74" i="617"/>
  <c r="CM74" i="617"/>
  <c r="CH83" i="617"/>
  <c r="CH84" i="617"/>
  <c r="DN100" i="617"/>
  <c r="CY74" i="617"/>
  <c r="CR74" i="617"/>
  <c r="BZ153" i="25"/>
  <c r="AD169" i="571"/>
  <c r="AI169" i="571"/>
  <c r="BY129" i="571"/>
  <c r="BY112" i="571"/>
  <c r="BY98" i="571"/>
  <c r="BY78" i="571"/>
  <c r="BY79" i="571" s="1"/>
  <c r="CI152" i="25"/>
  <c r="CI153" i="25" s="1"/>
  <c r="CN158" i="25"/>
  <c r="CN159" i="25" s="1"/>
  <c r="CN160" i="25" s="1"/>
  <c r="CP143" i="571"/>
  <c r="CU134" i="571"/>
  <c r="CP134" i="571"/>
  <c r="CP138" i="571" s="1"/>
  <c r="CP72" i="571" s="1"/>
  <c r="CP73" i="571" s="1"/>
  <c r="CP139" i="571" s="1"/>
  <c r="CR129" i="571"/>
  <c r="CW134" i="571" s="1"/>
  <c r="CV65" i="571"/>
  <c r="AW46" i="559"/>
  <c r="CI158" i="25"/>
  <c r="CI159" i="25" s="1"/>
  <c r="CI160" i="25" s="1"/>
  <c r="CS74" i="617"/>
  <c r="DA72" i="571"/>
  <c r="DA73" i="571" s="1"/>
  <c r="DA139" i="571" s="1"/>
  <c r="CO115" i="571"/>
  <c r="CW74" i="617"/>
  <c r="DI216" i="571"/>
  <c r="DI210" i="571"/>
  <c r="DI63" i="617"/>
  <c r="DI76" i="617" s="1"/>
  <c r="AO42" i="559"/>
  <c r="DN210" i="571"/>
  <c r="AS146" i="559"/>
  <c r="AS42" i="559" s="1"/>
  <c r="AS46" i="559" s="1"/>
  <c r="BX129" i="571"/>
  <c r="CC134" i="571" s="1"/>
  <c r="BX98" i="571"/>
  <c r="BX78" i="571"/>
  <c r="BX79" i="571" s="1"/>
  <c r="BX112" i="571"/>
  <c r="CX74" i="617"/>
  <c r="CH78" i="571"/>
  <c r="CH79" i="571" s="1"/>
  <c r="CH129" i="571"/>
  <c r="CH98" i="571"/>
  <c r="CM107" i="571" s="1"/>
  <c r="BR165" i="25"/>
  <c r="BR163" i="25" s="1"/>
  <c r="BR178" i="25" s="1"/>
  <c r="BR181" i="25" s="1"/>
  <c r="BR169" i="25"/>
  <c r="BR167" i="25"/>
  <c r="CV72" i="571"/>
  <c r="CR138" i="571"/>
  <c r="AP46" i="559"/>
  <c r="CH138" i="571"/>
  <c r="CL72" i="571"/>
  <c r="BR159" i="25"/>
  <c r="BR160" i="25" s="1"/>
  <c r="BR158" i="25"/>
  <c r="BW153" i="25"/>
  <c r="CO129" i="571"/>
  <c r="CO98" i="571"/>
  <c r="CO112" i="571"/>
  <c r="CO78" i="571"/>
  <c r="CO79" i="571" s="1"/>
  <c r="CH112" i="571"/>
  <c r="CM121" i="571" s="1"/>
  <c r="BC169" i="571"/>
  <c r="BU143" i="571"/>
  <c r="CC143" i="571"/>
  <c r="CV332" i="25"/>
  <c r="CY332" i="25"/>
  <c r="H332" i="25"/>
  <c r="CZ332" i="25"/>
  <c r="CV73" i="617"/>
  <c r="DA73" i="617"/>
  <c r="CE98" i="571"/>
  <c r="CE129" i="571"/>
  <c r="CE112" i="571"/>
  <c r="CE78" i="571"/>
  <c r="CE79" i="571" s="1"/>
  <c r="CG65" i="571"/>
  <c r="CZ134" i="571"/>
  <c r="CZ138" i="571" s="1"/>
  <c r="DE356" i="25"/>
  <c r="CQ332" i="25"/>
  <c r="CB257" i="25"/>
  <c r="CC342" i="25"/>
  <c r="CB343" i="25"/>
  <c r="CG342" i="25"/>
  <c r="CA98" i="571"/>
  <c r="CA129" i="571"/>
  <c r="CA112" i="571"/>
  <c r="CA78" i="571"/>
  <c r="CA79" i="571" s="1"/>
  <c r="DD391" i="25"/>
  <c r="DD289" i="25"/>
  <c r="DD395" i="25"/>
  <c r="AS332" i="25"/>
  <c r="CJ112" i="571"/>
  <c r="CJ129" i="571"/>
  <c r="CL65" i="571"/>
  <c r="CJ78" i="571"/>
  <c r="CJ79" i="571" s="1"/>
  <c r="CJ98" i="571"/>
  <c r="CU332" i="25"/>
  <c r="CM332" i="25"/>
  <c r="DF356" i="25"/>
  <c r="DF370" i="25" s="1"/>
  <c r="DF391" i="25" s="1"/>
  <c r="CT332" i="25"/>
  <c r="BY342" i="25"/>
  <c r="BX343" i="25"/>
  <c r="DA66" i="571"/>
  <c r="DA129" i="571"/>
  <c r="CF138" i="571"/>
  <c r="CG72" i="571"/>
  <c r="DC289" i="25"/>
  <c r="DC391" i="25"/>
  <c r="DC393" i="25" s="1"/>
  <c r="DD392" i="25" s="1"/>
  <c r="DC395" i="25"/>
  <c r="CH332" i="25"/>
  <c r="P87" i="25"/>
  <c r="U87" i="25"/>
  <c r="P120" i="25"/>
  <c r="P100" i="25"/>
  <c r="S112" i="25"/>
  <c r="S131" i="25"/>
  <c r="U131" i="25"/>
  <c r="AS112" i="25"/>
  <c r="DB313" i="25"/>
  <c r="DB314" i="25"/>
  <c r="AE120" i="25"/>
  <c r="AE100" i="25"/>
  <c r="AJ87" i="25"/>
  <c r="AF120" i="25"/>
  <c r="DC41" i="25"/>
  <c r="DC398" i="25" s="1"/>
  <c r="DC280" i="25"/>
  <c r="DC290" i="25"/>
  <c r="DC406" i="25"/>
  <c r="X100" i="25"/>
  <c r="AC87" i="25"/>
  <c r="BS332" i="25"/>
  <c r="S30" i="25"/>
  <c r="S103" i="25"/>
  <c r="S33" i="25"/>
  <c r="X90" i="25" s="1"/>
  <c r="S31" i="25"/>
  <c r="S45" i="25" s="1"/>
  <c r="DH38" i="617"/>
  <c r="DH18" i="617"/>
  <c r="DB45" i="25"/>
  <c r="DC123" i="25"/>
  <c r="S79" i="25"/>
  <c r="AK90" i="25"/>
  <c r="AK41" i="25"/>
  <c r="AK43" i="25"/>
  <c r="AK104" i="25"/>
  <c r="AL122" i="25"/>
  <c r="AK122" i="25"/>
  <c r="S60" i="559"/>
  <c r="N60" i="559"/>
  <c r="AT33" i="25"/>
  <c r="AT43" i="25"/>
  <c r="X112" i="25"/>
  <c r="AE33" i="25"/>
  <c r="AI31" i="25"/>
  <c r="T53" i="559"/>
  <c r="Y66" i="559"/>
  <c r="T66" i="559"/>
  <c r="CR38" i="617"/>
  <c r="Q79" i="25"/>
  <c r="Q33" i="25"/>
  <c r="Q30" i="25"/>
  <c r="Q103" i="25"/>
  <c r="Q31" i="25"/>
  <c r="Q45" i="25" s="1"/>
  <c r="AN30" i="25"/>
  <c r="AN103" i="25"/>
  <c r="AN405" i="25" s="1"/>
  <c r="AN79" i="25"/>
  <c r="AN31" i="25"/>
  <c r="CP104" i="25"/>
  <c r="CP33" i="25"/>
  <c r="CP43" i="25"/>
  <c r="CP90" i="25"/>
  <c r="CP41" i="25"/>
  <c r="CP356" i="25"/>
  <c r="CV30" i="25"/>
  <c r="CV31" i="25"/>
  <c r="CV103" i="25"/>
  <c r="CV405" i="25" s="1"/>
  <c r="CD332" i="25"/>
  <c r="CU356" i="25"/>
  <c r="CU280" i="25"/>
  <c r="CU290" i="25"/>
  <c r="CU406" i="25"/>
  <c r="CU313" i="25" s="1"/>
  <c r="CU43" i="25"/>
  <c r="AT100" i="25"/>
  <c r="AU120" i="25"/>
  <c r="AY87" i="25"/>
  <c r="AT87" i="25"/>
  <c r="P58" i="559"/>
  <c r="X405" i="25"/>
  <c r="Z132" i="25"/>
  <c r="BC60" i="25"/>
  <c r="AZ76" i="25"/>
  <c r="BC76" i="25" s="1"/>
  <c r="AT44" i="25"/>
  <c r="AT405" i="25"/>
  <c r="AU132" i="25"/>
  <c r="DK198" i="571"/>
  <c r="DK63" i="617" s="1"/>
  <c r="AF132" i="25"/>
  <c r="AE405" i="25"/>
  <c r="AE132" i="25"/>
  <c r="Q112" i="25"/>
  <c r="V112" i="25"/>
  <c r="Q131" i="25"/>
  <c r="R131" i="25"/>
  <c r="X104" i="25"/>
  <c r="AC90" i="25"/>
  <c r="X43" i="25"/>
  <c r="X41" i="25"/>
  <c r="P33" i="25"/>
  <c r="P45" i="25"/>
  <c r="BZ33" i="25"/>
  <c r="BZ41" i="25"/>
  <c r="BZ398" i="25" s="1"/>
  <c r="BZ104" i="25"/>
  <c r="BZ45" i="25"/>
  <c r="CE90" i="25"/>
  <c r="Q76" i="25"/>
  <c r="T76" i="25" s="1"/>
  <c r="T60" i="25"/>
  <c r="DB285" i="25"/>
  <c r="DB287" i="25" s="1"/>
  <c r="DB22" i="617"/>
  <c r="DB105" i="25"/>
  <c r="Z20" i="559"/>
  <c r="DB122" i="25"/>
  <c r="DB46" i="25"/>
  <c r="CD41" i="25"/>
  <c r="CD398" i="25" s="1"/>
  <c r="CD33" i="25"/>
  <c r="CD90" i="25"/>
  <c r="CD43" i="25"/>
  <c r="CD104" i="25"/>
  <c r="CI90" i="25"/>
  <c r="CD45" i="25"/>
  <c r="AK100" i="25"/>
  <c r="AK120" i="25"/>
  <c r="AK87" i="25"/>
  <c r="AK405" i="25"/>
  <c r="AL132" i="25"/>
  <c r="CU22" i="617"/>
  <c r="CU20" i="617" s="1"/>
  <c r="CU42" i="617" s="1"/>
  <c r="CU105" i="25"/>
  <c r="S20" i="559"/>
  <c r="CU122" i="25"/>
  <c r="CU46" i="25"/>
  <c r="AR46" i="559"/>
  <c r="AX42" i="559"/>
  <c r="AX46" i="559" s="1"/>
  <c r="AU46" i="559"/>
  <c r="AN42" i="559"/>
  <c r="AS145" i="559"/>
  <c r="AV46" i="559"/>
  <c r="CN112" i="25"/>
  <c r="CV102" i="25"/>
  <c r="CQ10" i="617"/>
  <c r="CQ36" i="617"/>
  <c r="CQ15" i="617"/>
  <c r="DC67" i="25"/>
  <c r="DC63" i="617"/>
  <c r="DF198" i="571"/>
  <c r="DC209" i="571"/>
  <c r="DC210" i="571"/>
  <c r="DH261" i="25"/>
  <c r="DH263" i="25" s="1"/>
  <c r="AF22" i="559"/>
  <c r="DH100" i="25"/>
  <c r="CM261" i="25"/>
  <c r="CM263" i="25" s="1"/>
  <c r="CI261" i="25"/>
  <c r="CI263" i="25" s="1"/>
  <c r="CI100" i="25"/>
  <c r="G22" i="559"/>
  <c r="DM215" i="571"/>
  <c r="CN87" i="25"/>
  <c r="CO120" i="25"/>
  <c r="CI18" i="617"/>
  <c r="CI38" i="617"/>
  <c r="CR131" i="25"/>
  <c r="CV109" i="25"/>
  <c r="CR87" i="25"/>
  <c r="CR261" i="25"/>
  <c r="CR263" i="25" s="1"/>
  <c r="CR100" i="25"/>
  <c r="P22" i="559"/>
  <c r="CR120" i="25"/>
  <c r="Y274" i="25"/>
  <c r="Y276" i="25"/>
  <c r="T281" i="25"/>
  <c r="T272" i="25"/>
  <c r="BB100" i="25"/>
  <c r="BB120" i="25"/>
  <c r="BD120" i="25"/>
  <c r="DZ23" i="607"/>
  <c r="DZ24" i="607"/>
  <c r="BV65" i="571"/>
  <c r="BV98" i="571" s="1"/>
  <c r="BV77" i="571"/>
  <c r="BW64" i="571"/>
  <c r="DG59" i="571"/>
  <c r="DG39" i="571"/>
  <c r="DG33" i="571"/>
  <c r="CA61" i="571"/>
  <c r="CB56" i="571"/>
  <c r="CB61" i="571" s="1"/>
  <c r="BV97" i="571"/>
  <c r="BV84" i="571"/>
  <c r="BW82" i="571"/>
  <c r="BV87" i="571"/>
  <c r="CQ33" i="571"/>
  <c r="CQ159" i="25"/>
  <c r="CQ160" i="25" s="1"/>
  <c r="CQ59" i="571"/>
  <c r="CQ158" i="25"/>
  <c r="DI40" i="571"/>
  <c r="DH32" i="571"/>
  <c r="CA71" i="571"/>
  <c r="CB43" i="571"/>
  <c r="CV33" i="571"/>
  <c r="CA44" i="571"/>
  <c r="BV88" i="571"/>
  <c r="BW83" i="571"/>
  <c r="DP20" i="571"/>
  <c r="DP17" i="571"/>
  <c r="DR17" i="571" s="1"/>
  <c r="DS17" i="571" s="1"/>
  <c r="DT17" i="571" s="1"/>
  <c r="DW18" i="571"/>
  <c r="DR20" i="571"/>
  <c r="DT20" i="571"/>
  <c r="DU18" i="571"/>
  <c r="DY18" i="571"/>
  <c r="ED18" i="571" s="1"/>
  <c r="DX18" i="571"/>
  <c r="DS20" i="571"/>
  <c r="DV18" i="571"/>
  <c r="CF113" i="25"/>
  <c r="CA289" i="25"/>
  <c r="CA291" i="25" s="1"/>
  <c r="CA391" i="25"/>
  <c r="DM313" i="25"/>
  <c r="DM314" i="25"/>
  <c r="AK166" i="25"/>
  <c r="AK162" i="25"/>
  <c r="DG280" i="25"/>
  <c r="DG43" i="25"/>
  <c r="DL92" i="25" s="1"/>
  <c r="DG41" i="25"/>
  <c r="DG290" i="25"/>
  <c r="DG291" i="25" s="1"/>
  <c r="DG406" i="25"/>
  <c r="DM331" i="25"/>
  <c r="DR326" i="25"/>
  <c r="DL330" i="25"/>
  <c r="DI330" i="25"/>
  <c r="DJ272" i="25"/>
  <c r="DK272" i="25" s="1"/>
  <c r="DJ78" i="25"/>
  <c r="DJ79" i="25" s="1"/>
  <c r="DO87" i="25" s="1"/>
  <c r="DJ281" i="25"/>
  <c r="DG112" i="25"/>
  <c r="DH131" i="25"/>
  <c r="DG210" i="571"/>
  <c r="DG67" i="25"/>
  <c r="DG68" i="25" s="1"/>
  <c r="AE118" i="559" s="1"/>
  <c r="AE39" i="559" s="1"/>
  <c r="DG63" i="617"/>
  <c r="DL76" i="617" s="1"/>
  <c r="DG209" i="571"/>
  <c r="DH90" i="25"/>
  <c r="DH33" i="25"/>
  <c r="DH104" i="25"/>
  <c r="DM90" i="25"/>
  <c r="DF289" i="25"/>
  <c r="DF395" i="25"/>
  <c r="DD290" i="25"/>
  <c r="DD291" i="25" s="1"/>
  <c r="DD43" i="25"/>
  <c r="DD406" i="25"/>
  <c r="DD41" i="25"/>
  <c r="DD398" i="25" s="1"/>
  <c r="DD280" i="25"/>
  <c r="DJ131" i="25"/>
  <c r="DN112" i="25"/>
  <c r="DI131" i="25"/>
  <c r="DI112" i="25"/>
  <c r="DN391" i="25"/>
  <c r="DL100" i="25"/>
  <c r="AJ22" i="559"/>
  <c r="DL87" i="25"/>
  <c r="DL261" i="25"/>
  <c r="DL263" i="25" s="1"/>
  <c r="DH395" i="25"/>
  <c r="DH289" i="25"/>
  <c r="DL285" i="25"/>
  <c r="DL287" i="25" s="1"/>
  <c r="DL331" i="25"/>
  <c r="DI331" i="25"/>
  <c r="DH63" i="617"/>
  <c r="DM76" i="617" s="1"/>
  <c r="DH209" i="571"/>
  <c r="DH210" i="571"/>
  <c r="DH67" i="25"/>
  <c r="DJ90" i="25"/>
  <c r="DE104" i="25"/>
  <c r="DE33" i="25"/>
  <c r="DE90" i="25"/>
  <c r="DJ282" i="25"/>
  <c r="DJ370" i="25"/>
  <c r="CP370" i="25"/>
  <c r="CP282" i="25"/>
  <c r="DI79" i="25"/>
  <c r="DL105" i="25"/>
  <c r="DL46" i="25"/>
  <c r="AJ20" i="559"/>
  <c r="DL22" i="617"/>
  <c r="DM370" i="25"/>
  <c r="DM282" i="25"/>
  <c r="DH216" i="571"/>
  <c r="DH215" i="571"/>
  <c r="DI275" i="25"/>
  <c r="DI276" i="25"/>
  <c r="DI274" i="25"/>
  <c r="CZ395" i="25"/>
  <c r="CZ289" i="25"/>
  <c r="DL112" i="25"/>
  <c r="DJ277" i="25"/>
  <c r="DM122" i="25"/>
  <c r="DL313" i="25"/>
  <c r="DL314" i="25"/>
  <c r="DL45" i="25"/>
  <c r="DM123" i="25"/>
  <c r="DM330" i="25"/>
  <c r="DR325" i="25"/>
  <c r="CU285" i="25"/>
  <c r="CU287" i="25" s="1"/>
  <c r="DI280" i="25"/>
  <c r="DI41" i="25"/>
  <c r="DI398" i="25" s="1"/>
  <c r="DI290" i="25"/>
  <c r="DI406" i="25"/>
  <c r="DI43" i="25"/>
  <c r="DG261" i="25"/>
  <c r="DG263" i="25" s="1"/>
  <c r="AE22" i="559"/>
  <c r="DG87" i="25"/>
  <c r="DG100" i="25"/>
  <c r="DH120" i="25"/>
  <c r="DH391" i="25"/>
  <c r="DH393" i="25" s="1"/>
  <c r="DF274" i="25"/>
  <c r="DF276" i="25"/>
  <c r="DJ374" i="25"/>
  <c r="DJ377" i="25" s="1"/>
  <c r="CQ282" i="25"/>
  <c r="DH43" i="611"/>
  <c r="DI41" i="611" s="1"/>
  <c r="DH44" i="611"/>
  <c r="DE20" i="611"/>
  <c r="DF20" i="611" s="1"/>
  <c r="DH93" i="611"/>
  <c r="DH107" i="611"/>
  <c r="DI92" i="611"/>
  <c r="DJ90" i="611" s="1"/>
  <c r="DI57" i="611"/>
  <c r="DJ55" i="611" s="1"/>
  <c r="DW96" i="611"/>
  <c r="DL138" i="611"/>
  <c r="DJ142" i="611"/>
  <c r="DI71" i="611"/>
  <c r="DJ69" i="611" s="1"/>
  <c r="DM103" i="611"/>
  <c r="DJ134" i="611"/>
  <c r="DL132" i="611" s="1"/>
  <c r="DM78" i="611"/>
  <c r="DN76" i="611" s="1"/>
  <c r="DM82" i="611"/>
  <c r="DL86" i="611"/>
  <c r="DJ128" i="611"/>
  <c r="DL124" i="611"/>
  <c r="DM159" i="611"/>
  <c r="DH99" i="611"/>
  <c r="DI97" i="611" s="1"/>
  <c r="DN131" i="611"/>
  <c r="DH72" i="611"/>
  <c r="DM37" i="611"/>
  <c r="DL40" i="611"/>
  <c r="DN37" i="611"/>
  <c r="DN40" i="611" s="1"/>
  <c r="DI106" i="611"/>
  <c r="DJ104" i="611" s="1"/>
  <c r="DJ64" i="611"/>
  <c r="DL62" i="611" s="1"/>
  <c r="DI114" i="611"/>
  <c r="DJ110" i="611"/>
  <c r="DI50" i="611"/>
  <c r="DI135" i="611"/>
  <c r="DJ145" i="611"/>
  <c r="DI149" i="611"/>
  <c r="DM54" i="611"/>
  <c r="DG162" i="611"/>
  <c r="DG163" i="611" s="1"/>
  <c r="DG20" i="611" s="1"/>
  <c r="DS162" i="611"/>
  <c r="DT160" i="611" s="1"/>
  <c r="DV113" i="611"/>
  <c r="DW111" i="611" s="1"/>
  <c r="DQ85" i="611"/>
  <c r="DR83" i="611" s="1"/>
  <c r="DR48" i="611"/>
  <c r="DQ51" i="611"/>
  <c r="DH128" i="617"/>
  <c r="DH114" i="617"/>
  <c r="DI128" i="617"/>
  <c r="DI114" i="617"/>
  <c r="DC52" i="613"/>
  <c r="DC53" i="613" s="1"/>
  <c r="DF25" i="613"/>
  <c r="DC116" i="617"/>
  <c r="DC42" i="613"/>
  <c r="DL36" i="613"/>
  <c r="DG116" i="617"/>
  <c r="DK25" i="613"/>
  <c r="DG52" i="613"/>
  <c r="DG53" i="613" s="1"/>
  <c r="DG42" i="613"/>
  <c r="DJ127" i="617"/>
  <c r="DJ122" i="617"/>
  <c r="DD114" i="617"/>
  <c r="DD127" i="617" s="1"/>
  <c r="DD128" i="617"/>
  <c r="DK112" i="617"/>
  <c r="DK111" i="617" s="1"/>
  <c r="DZ41" i="613"/>
  <c r="DQ88" i="617"/>
  <c r="DR13" i="607"/>
  <c r="DT32" i="607"/>
  <c r="DT13" i="607" s="1"/>
  <c r="DS13" i="607"/>
  <c r="DT52" i="571"/>
  <c r="DR13" i="571"/>
  <c r="DR57" i="571"/>
  <c r="DR166" i="25"/>
  <c r="DZ361" i="25"/>
  <c r="DU375" i="25"/>
  <c r="DT229" i="25"/>
  <c r="DS362" i="25"/>
  <c r="DS368" i="25"/>
  <c r="DT224" i="25"/>
  <c r="DT205" i="25"/>
  <c r="DU205" i="25" s="1"/>
  <c r="DN132" i="25"/>
  <c r="AK21" i="559"/>
  <c r="DM304" i="25"/>
  <c r="DM39" i="617"/>
  <c r="DM25" i="617"/>
  <c r="DK40" i="613"/>
  <c r="DK34" i="613"/>
  <c r="DF40" i="613"/>
  <c r="DF48" i="613"/>
  <c r="DF49" i="613" s="1"/>
  <c r="DF112" i="617"/>
  <c r="DZ51" i="25"/>
  <c r="EA51" i="25" s="1"/>
  <c r="DP17" i="607"/>
  <c r="DP52" i="607"/>
  <c r="DP14" i="607"/>
  <c r="DP57" i="607"/>
  <c r="DO90" i="617"/>
  <c r="DP50" i="25"/>
  <c r="DP54" i="25"/>
  <c r="DP301" i="25"/>
  <c r="DR158" i="571"/>
  <c r="DW159" i="571" s="1"/>
  <c r="DR177" i="571"/>
  <c r="CJ204" i="571"/>
  <c r="CJ59" i="617"/>
  <c r="CJ61" i="617" s="1"/>
  <c r="CJ194" i="571"/>
  <c r="CJ205" i="571" s="1"/>
  <c r="DH142" i="571"/>
  <c r="DM147" i="571"/>
  <c r="AS169" i="571"/>
  <c r="AN169" i="571"/>
  <c r="DR67" i="25"/>
  <c r="CJ158" i="25"/>
  <c r="CJ159" i="25" s="1"/>
  <c r="CJ160" i="25" s="1"/>
  <c r="CK152" i="25"/>
  <c r="DG215" i="571"/>
  <c r="DC216" i="571"/>
  <c r="DU112" i="617"/>
  <c r="DU40" i="613"/>
  <c r="CM143" i="571"/>
  <c r="CJ168" i="571"/>
  <c r="CJ165" i="571"/>
  <c r="CJ58" i="617"/>
  <c r="CJ81" i="617" s="1"/>
  <c r="CS151" i="25"/>
  <c r="CS152" i="25" s="1"/>
  <c r="CS153" i="25" s="1"/>
  <c r="CR158" i="25"/>
  <c r="CR159" i="25" s="1"/>
  <c r="CR160" i="25" s="1"/>
  <c r="DL83" i="617"/>
  <c r="CG57" i="617"/>
  <c r="CG149" i="571"/>
  <c r="CF152" i="25"/>
  <c r="CE158" i="25"/>
  <c r="CE159" i="25" s="1"/>
  <c r="CE160" i="25" s="1"/>
  <c r="DO112" i="617"/>
  <c r="DO48" i="613"/>
  <c r="DO49" i="613" s="1"/>
  <c r="DI68" i="25"/>
  <c r="AG118" i="559" s="1"/>
  <c r="AG39" i="559" s="1"/>
  <c r="DS112" i="617"/>
  <c r="DS34" i="613"/>
  <c r="DS20" i="613"/>
  <c r="DS25" i="613" s="1"/>
  <c r="DS40" i="613"/>
  <c r="DS56" i="613" s="1"/>
  <c r="DF200" i="571"/>
  <c r="DB65" i="617"/>
  <c r="DB212" i="571"/>
  <c r="DC82" i="571"/>
  <c r="DC111" i="571"/>
  <c r="CJ101" i="571"/>
  <c r="H56" i="559" s="1"/>
  <c r="CO101" i="571"/>
  <c r="M56" i="559" s="1"/>
  <c r="CZ151" i="25"/>
  <c r="CW151" i="25"/>
  <c r="CU158" i="25"/>
  <c r="CU159" i="25" s="1"/>
  <c r="CU160" i="25" s="1"/>
  <c r="DZ34" i="613"/>
  <c r="DZ112" i="617"/>
  <c r="DZ40" i="613"/>
  <c r="DW34" i="613"/>
  <c r="DW112" i="617"/>
  <c r="DW20" i="613"/>
  <c r="DW40" i="613"/>
  <c r="CT111" i="571"/>
  <c r="CT82" i="571"/>
  <c r="CI57" i="617"/>
  <c r="CI80" i="617" s="1"/>
  <c r="CI161" i="571"/>
  <c r="CI189" i="571" s="1"/>
  <c r="CI99" i="571"/>
  <c r="CI149" i="571"/>
  <c r="AT46" i="559"/>
  <c r="CX118" i="571"/>
  <c r="CO158" i="25"/>
  <c r="CO159" i="25" s="1"/>
  <c r="CO160" i="25" s="1"/>
  <c r="CP152" i="25"/>
  <c r="CP153" i="25" s="1"/>
  <c r="DY34" i="613"/>
  <c r="DY40" i="613"/>
  <c r="DY20" i="613"/>
  <c r="DY112" i="617"/>
  <c r="ED121" i="617" s="1"/>
  <c r="DR40" i="613"/>
  <c r="DR56" i="613" s="1"/>
  <c r="DR112" i="617"/>
  <c r="DR20" i="613"/>
  <c r="DR25" i="613" s="1"/>
  <c r="DR34" i="613"/>
  <c r="CQ66" i="571"/>
  <c r="CQ129" i="571"/>
  <c r="CJ154" i="571"/>
  <c r="H32" i="559" s="1"/>
  <c r="CJ144" i="571"/>
  <c r="CJ150" i="571"/>
  <c r="CO154" i="571"/>
  <c r="M32" i="559" s="1"/>
  <c r="DV92" i="571"/>
  <c r="DV16" i="613"/>
  <c r="EA34" i="613" s="1"/>
  <c r="DD147" i="571"/>
  <c r="CY142" i="571"/>
  <c r="CY87" i="571"/>
  <c r="DX34" i="613"/>
  <c r="DX112" i="617"/>
  <c r="DX40" i="613"/>
  <c r="DX20" i="613"/>
  <c r="DM83" i="617"/>
  <c r="CJ153" i="25"/>
  <c r="DT112" i="617"/>
  <c r="DT34" i="613"/>
  <c r="DT40" i="613"/>
  <c r="DT56" i="613" s="1"/>
  <c r="DT20" i="613"/>
  <c r="CX97" i="571"/>
  <c r="CX77" i="571"/>
  <c r="CH113" i="571"/>
  <c r="CN98" i="571"/>
  <c r="CN88" i="571"/>
  <c r="CN78" i="571"/>
  <c r="CN79" i="571" s="1"/>
  <c r="CN84" i="571"/>
  <c r="DJ68" i="25"/>
  <c r="AH118" i="559" s="1"/>
  <c r="AH39" i="559" s="1"/>
  <c r="CF123" i="25" l="1"/>
  <c r="DN124" i="25"/>
  <c r="DM120" i="25"/>
  <c r="DK89" i="25"/>
  <c r="DK102" i="25"/>
  <c r="DK112" i="25" s="1"/>
  <c r="CO87" i="25"/>
  <c r="CN261" i="25"/>
  <c r="CN263" i="25" s="1"/>
  <c r="CM120" i="25"/>
  <c r="DE87" i="25"/>
  <c r="DE261" i="25"/>
  <c r="DE263" i="25" s="1"/>
  <c r="CN120" i="25"/>
  <c r="L22" i="559"/>
  <c r="K22" i="559"/>
  <c r="DE100" i="25"/>
  <c r="DK201" i="571"/>
  <c r="DK213" i="571" s="1"/>
  <c r="CQ79" i="25"/>
  <c r="DE120" i="25"/>
  <c r="DF79" i="25"/>
  <c r="DG120" i="25" s="1"/>
  <c r="CK87" i="25"/>
  <c r="CV89" i="25"/>
  <c r="AE87" i="25"/>
  <c r="AN112" i="25"/>
  <c r="CX112" i="25"/>
  <c r="DG128" i="25"/>
  <c r="CL387" i="25"/>
  <c r="BI100" i="25"/>
  <c r="BN87" i="25"/>
  <c r="BI87" i="25"/>
  <c r="CY287" i="25"/>
  <c r="CY43" i="25"/>
  <c r="CY45" i="25" s="1"/>
  <c r="CY280" i="25"/>
  <c r="CY285" i="25" s="1"/>
  <c r="CY41" i="25"/>
  <c r="DD91" i="25" s="1"/>
  <c r="CY290" i="25"/>
  <c r="CY291" i="25" s="1"/>
  <c r="CY406" i="25"/>
  <c r="BI405" i="25"/>
  <c r="BI132" i="25"/>
  <c r="DM2" i="607"/>
  <c r="DH87" i="25"/>
  <c r="CF100" i="25"/>
  <c r="CK111" i="25" s="1"/>
  <c r="CF112" i="25"/>
  <c r="CV295" i="25"/>
  <c r="CV297" i="25"/>
  <c r="BS406" i="25"/>
  <c r="BS313" i="25" s="1"/>
  <c r="BS41" i="25"/>
  <c r="BS290" i="25"/>
  <c r="BS291" i="25" s="1"/>
  <c r="BS122" i="25"/>
  <c r="BS104" i="25"/>
  <c r="BS113" i="25" s="1"/>
  <c r="BS280" i="25"/>
  <c r="BS285" i="25" s="1"/>
  <c r="BS287" i="25" s="1"/>
  <c r="BS43" i="25"/>
  <c r="DV63" i="25"/>
  <c r="DV36" i="25" s="1"/>
  <c r="DV40" i="25" s="1"/>
  <c r="DM2" i="613"/>
  <c r="DK78" i="25"/>
  <c r="CJ131" i="25"/>
  <c r="CO112" i="25"/>
  <c r="CY289" i="25"/>
  <c r="CY395" i="25"/>
  <c r="BN90" i="25"/>
  <c r="BI43" i="25"/>
  <c r="BI122" i="25"/>
  <c r="BI104" i="25"/>
  <c r="BI90" i="25"/>
  <c r="BI41" i="25"/>
  <c r="AI30" i="25"/>
  <c r="AI79" i="25"/>
  <c r="AI103" i="25"/>
  <c r="AI405" i="25" s="1"/>
  <c r="DM112" i="25"/>
  <c r="Q58" i="559"/>
  <c r="DM100" i="25"/>
  <c r="DM111" i="25" s="1"/>
  <c r="AK22" i="559"/>
  <c r="DM261" i="25"/>
  <c r="DM263" i="25" s="1"/>
  <c r="CR112" i="25"/>
  <c r="CN131" i="25"/>
  <c r="DM131" i="25"/>
  <c r="BL92" i="25"/>
  <c r="CG271" i="25"/>
  <c r="CG277" i="25" s="1"/>
  <c r="CG283" i="25"/>
  <c r="CG377" i="25"/>
  <c r="AA112" i="25"/>
  <c r="AF112" i="25"/>
  <c r="AB131" i="25"/>
  <c r="CM57" i="617"/>
  <c r="CM80" i="617" s="1"/>
  <c r="CM161" i="571"/>
  <c r="CM189" i="571" s="1"/>
  <c r="CM99" i="571"/>
  <c r="CX210" i="571"/>
  <c r="CS63" i="617"/>
  <c r="DU36" i="25"/>
  <c r="DJ391" i="25"/>
  <c r="DJ393" i="25" s="1"/>
  <c r="DE370" i="25"/>
  <c r="AO45" i="25"/>
  <c r="DF177" i="571"/>
  <c r="DA177" i="571"/>
  <c r="W112" i="25"/>
  <c r="W131" i="25"/>
  <c r="AB112" i="25"/>
  <c r="X131" i="25"/>
  <c r="ED68" i="611"/>
  <c r="CX356" i="25"/>
  <c r="CX370" i="25" s="1"/>
  <c r="CX90" i="25"/>
  <c r="CX33" i="25"/>
  <c r="CX104" i="25"/>
  <c r="DC90" i="25"/>
  <c r="AX103" i="25"/>
  <c r="AX405" i="25" s="1"/>
  <c r="AX31" i="25"/>
  <c r="AX30" i="25"/>
  <c r="AX79" i="25"/>
  <c r="AX87" i="25" s="1"/>
  <c r="DJ75" i="611"/>
  <c r="DI79" i="611"/>
  <c r="CJ100" i="25"/>
  <c r="CK130" i="25" s="1"/>
  <c r="H22" i="559"/>
  <c r="CJ261" i="25"/>
  <c r="CJ263" i="25" s="1"/>
  <c r="CK120" i="25"/>
  <c r="DF105" i="617"/>
  <c r="DK100" i="617"/>
  <c r="CU147" i="571"/>
  <c r="CP142" i="571"/>
  <c r="CP82" i="571"/>
  <c r="DC18" i="617"/>
  <c r="DC31" i="617"/>
  <c r="DC38" i="617"/>
  <c r="DH31" i="617"/>
  <c r="BG398" i="25"/>
  <c r="BG46" i="25"/>
  <c r="CF99" i="571"/>
  <c r="CF101" i="571" s="1"/>
  <c r="CF149" i="571"/>
  <c r="CF161" i="571"/>
  <c r="CF57" i="617"/>
  <c r="V60" i="559"/>
  <c r="AA60" i="559"/>
  <c r="CH194" i="571"/>
  <c r="CH205" i="571" s="1"/>
  <c r="CH216" i="571" s="1"/>
  <c r="CH204" i="571"/>
  <c r="CH59" i="617"/>
  <c r="CH61" i="617" s="1"/>
  <c r="T101" i="25"/>
  <c r="Y112" i="25" s="1"/>
  <c r="T28" i="25"/>
  <c r="DD76" i="617"/>
  <c r="CY76" i="617"/>
  <c r="CY83" i="617"/>
  <c r="DI289" i="25"/>
  <c r="CO131" i="25"/>
  <c r="DA138" i="571"/>
  <c r="DJ112" i="25"/>
  <c r="DE112" i="25"/>
  <c r="CV198" i="571"/>
  <c r="CV63" i="617" s="1"/>
  <c r="CC131" i="25"/>
  <c r="CA153" i="25"/>
  <c r="CC153" i="25"/>
  <c r="AA22" i="559"/>
  <c r="DD120" i="25"/>
  <c r="DC87" i="25"/>
  <c r="DC120" i="25"/>
  <c r="DC100" i="25"/>
  <c r="DH111" i="25" s="1"/>
  <c r="DC261" i="25"/>
  <c r="DC263" i="25" s="1"/>
  <c r="CS258" i="25"/>
  <c r="CS253" i="25" s="1"/>
  <c r="CS252" i="25" s="1"/>
  <c r="CS259" i="25" s="1"/>
  <c r="CK88" i="571"/>
  <c r="CK78" i="571"/>
  <c r="CK98" i="571"/>
  <c r="CM108" i="571" s="1"/>
  <c r="CL83" i="571"/>
  <c r="CA168" i="571"/>
  <c r="CA162" i="571" s="1"/>
  <c r="CA165" i="571"/>
  <c r="AD112" i="25"/>
  <c r="BZ77" i="571"/>
  <c r="BZ97" i="571"/>
  <c r="BZ111" i="571"/>
  <c r="BZ65" i="571"/>
  <c r="CB64" i="571"/>
  <c r="CB111" i="571" s="1"/>
  <c r="CX63" i="617"/>
  <c r="CX83" i="617" s="1"/>
  <c r="CX209" i="571"/>
  <c r="CK87" i="571"/>
  <c r="CK77" i="571"/>
  <c r="CK84" i="571"/>
  <c r="CK97" i="571"/>
  <c r="CM105" i="571" s="1"/>
  <c r="CL82" i="571"/>
  <c r="Y108" i="25"/>
  <c r="T137" i="25"/>
  <c r="DE69" i="617"/>
  <c r="DE50" i="571"/>
  <c r="DE43" i="571"/>
  <c r="DE49" i="571"/>
  <c r="DE36" i="571"/>
  <c r="CR82" i="571"/>
  <c r="CR111" i="571"/>
  <c r="U45" i="25"/>
  <c r="U33" i="25"/>
  <c r="CQ283" i="25"/>
  <c r="CQ271" i="25"/>
  <c r="CN105" i="571"/>
  <c r="EB35" i="613"/>
  <c r="EE18" i="613"/>
  <c r="CH58" i="617"/>
  <c r="CH81" i="617" s="1"/>
  <c r="CH168" i="571"/>
  <c r="CH165" i="571"/>
  <c r="R79" i="25"/>
  <c r="R100" i="25" s="1"/>
  <c r="R103" i="25"/>
  <c r="R405" i="25" s="1"/>
  <c r="R30" i="25"/>
  <c r="R31" i="25"/>
  <c r="R45" i="25" s="1"/>
  <c r="R33" i="25"/>
  <c r="CX18" i="617"/>
  <c r="CX38" i="617"/>
  <c r="Y79" i="25"/>
  <c r="Y30" i="25"/>
  <c r="Y103" i="25"/>
  <c r="Y405" i="25" s="1"/>
  <c r="N398" i="25"/>
  <c r="N46" i="25"/>
  <c r="CX261" i="25"/>
  <c r="CX263" i="25" s="1"/>
  <c r="V22" i="559"/>
  <c r="CX100" i="25"/>
  <c r="DO36" i="613"/>
  <c r="DO42" i="613"/>
  <c r="DT42" i="613" s="1"/>
  <c r="CP277" i="25"/>
  <c r="CP276" i="25"/>
  <c r="EE110" i="617"/>
  <c r="EE120" i="617" s="1"/>
  <c r="EE32" i="613"/>
  <c r="W76" i="25"/>
  <c r="Y76" i="25" s="1"/>
  <c r="Y60" i="25"/>
  <c r="DT25" i="613"/>
  <c r="EC121" i="617"/>
  <c r="DU63" i="25"/>
  <c r="DI285" i="25"/>
  <c r="CZ291" i="25"/>
  <c r="CL78" i="571"/>
  <c r="CT131" i="25"/>
  <c r="CZ111" i="25"/>
  <c r="AX112" i="25"/>
  <c r="T88" i="25"/>
  <c r="EB233" i="25"/>
  <c r="EC233" i="25" s="1"/>
  <c r="ED233" i="25" s="1"/>
  <c r="EE233" i="25" s="1"/>
  <c r="DC112" i="25"/>
  <c r="DC131" i="25"/>
  <c r="CS104" i="25"/>
  <c r="CS33" i="25"/>
  <c r="CS41" i="25"/>
  <c r="CS90" i="25"/>
  <c r="CU148" i="571"/>
  <c r="CP83" i="571"/>
  <c r="W30" i="25"/>
  <c r="W31" i="25"/>
  <c r="W79" i="25"/>
  <c r="W33" i="25"/>
  <c r="W103" i="25"/>
  <c r="CJ141" i="25"/>
  <c r="CJ143" i="25" s="1"/>
  <c r="CJ407" i="25"/>
  <c r="CJ24" i="25"/>
  <c r="CJ145" i="25" s="1"/>
  <c r="T326" i="25"/>
  <c r="T331" i="25" s="1"/>
  <c r="T325" i="25"/>
  <c r="T330" i="25" s="1"/>
  <c r="T332" i="25" s="1"/>
  <c r="CX258" i="25"/>
  <c r="CX253" i="25" s="1"/>
  <c r="CX252" i="25" s="1"/>
  <c r="CX259" i="25" s="1"/>
  <c r="AA58" i="559"/>
  <c r="AF58" i="559"/>
  <c r="Q31" i="559"/>
  <c r="Q92" i="559"/>
  <c r="CS148" i="571"/>
  <c r="AA79" i="25"/>
  <c r="AA120" i="25" s="1"/>
  <c r="AA103" i="25"/>
  <c r="AA30" i="25"/>
  <c r="AA33" i="25"/>
  <c r="AA31" i="25"/>
  <c r="AA45" i="25" s="1"/>
  <c r="CH150" i="571"/>
  <c r="DD37" i="571"/>
  <c r="DD64" i="571"/>
  <c r="DD44" i="571"/>
  <c r="DD71" i="571"/>
  <c r="DF43" i="571"/>
  <c r="CW142" i="571"/>
  <c r="DB147" i="571"/>
  <c r="CW87" i="571"/>
  <c r="CL302" i="25"/>
  <c r="CL300" i="25" s="1"/>
  <c r="CL303" i="25" s="1"/>
  <c r="CF111" i="571"/>
  <c r="CF89" i="571"/>
  <c r="CM111" i="571"/>
  <c r="CM89" i="571"/>
  <c r="DH112" i="25"/>
  <c r="EB33" i="613"/>
  <c r="EB16" i="613"/>
  <c r="EE14" i="613"/>
  <c r="EC111" i="617"/>
  <c r="EC126" i="617"/>
  <c r="CN92" i="25"/>
  <c r="EA126" i="617"/>
  <c r="EA111" i="617"/>
  <c r="M36" i="559"/>
  <c r="CO162" i="571"/>
  <c r="DQ181" i="571"/>
  <c r="DP181" i="571"/>
  <c r="DL182" i="571"/>
  <c r="CC165" i="571"/>
  <c r="CC168" i="571"/>
  <c r="CC58" i="617"/>
  <c r="BZ166" i="571"/>
  <c r="CE166" i="571"/>
  <c r="CC144" i="571"/>
  <c r="CH154" i="571"/>
  <c r="F32" i="559" s="1"/>
  <c r="CO59" i="617"/>
  <c r="CO61" i="617" s="1"/>
  <c r="CO75" i="617" s="1"/>
  <c r="CO194" i="571"/>
  <c r="CO205" i="571" s="1"/>
  <c r="CO204" i="571"/>
  <c r="AC11" i="559"/>
  <c r="DF8" i="571"/>
  <c r="AO46" i="25"/>
  <c r="AO398" i="25"/>
  <c r="CU277" i="25"/>
  <c r="CU276" i="25"/>
  <c r="DI83" i="617"/>
  <c r="DF102" i="25"/>
  <c r="DG131" i="25" s="1"/>
  <c r="DG121" i="25"/>
  <c r="CV277" i="25"/>
  <c r="CV276" i="25"/>
  <c r="DE18" i="617"/>
  <c r="DE31" i="617"/>
  <c r="DE38" i="617"/>
  <c r="CJ39" i="617"/>
  <c r="CJ25" i="617"/>
  <c r="CJ20" i="617"/>
  <c r="CJ42" i="617" s="1"/>
  <c r="CJ289" i="25"/>
  <c r="CJ291" i="25" s="1"/>
  <c r="CJ391" i="25"/>
  <c r="DF201" i="571"/>
  <c r="DF213" i="571" s="1"/>
  <c r="BB41" i="25"/>
  <c r="BB43" i="25"/>
  <c r="BB104" i="25"/>
  <c r="BG90" i="25"/>
  <c r="BB90" i="25"/>
  <c r="BD122" i="25"/>
  <c r="AW100" i="25"/>
  <c r="AY130" i="25" s="1"/>
  <c r="AY120" i="25"/>
  <c r="CJ304" i="25"/>
  <c r="CO93" i="25"/>
  <c r="H21" i="559"/>
  <c r="M67" i="559" s="1"/>
  <c r="BB405" i="25"/>
  <c r="BD132" i="25"/>
  <c r="CI101" i="571"/>
  <c r="G56" i="559" s="1"/>
  <c r="O60" i="559"/>
  <c r="CG303" i="25"/>
  <c r="AW405" i="25"/>
  <c r="AW44" i="25"/>
  <c r="AY132" i="25"/>
  <c r="CF18" i="617"/>
  <c r="CF20" i="617" s="1"/>
  <c r="CK31" i="617"/>
  <c r="CI406" i="25"/>
  <c r="CI313" i="25" s="1"/>
  <c r="CI290" i="25"/>
  <c r="CI356" i="25"/>
  <c r="CI370" i="25" s="1"/>
  <c r="CI280" i="25"/>
  <c r="CI285" i="25" s="1"/>
  <c r="CI287" i="25" s="1"/>
  <c r="L46" i="25"/>
  <c r="L398" i="25"/>
  <c r="CZ31" i="617"/>
  <c r="CZ38" i="617"/>
  <c r="CZ18" i="617"/>
  <c r="DF15" i="617"/>
  <c r="DK31" i="617" s="1"/>
  <c r="DF36" i="617"/>
  <c r="DF10" i="617"/>
  <c r="DD332" i="25"/>
  <c r="DD38" i="617"/>
  <c r="DI31" i="617"/>
  <c r="DD18" i="617"/>
  <c r="AW43" i="25"/>
  <c r="AY123" i="25" s="1"/>
  <c r="AY122" i="25"/>
  <c r="AW104" i="25"/>
  <c r="AW41" i="25"/>
  <c r="DA303" i="25"/>
  <c r="DA302" i="25"/>
  <c r="DF303" i="25"/>
  <c r="G20" i="559"/>
  <c r="CI22" i="617"/>
  <c r="CI46" i="25"/>
  <c r="CJ124" i="25" s="1"/>
  <c r="CI398" i="25"/>
  <c r="CI105" i="25"/>
  <c r="CJ132" i="25" s="1"/>
  <c r="DI395" i="25"/>
  <c r="BZ252" i="25"/>
  <c r="BZ259" i="25" s="1"/>
  <c r="CG298" i="25"/>
  <c r="CQ37" i="617"/>
  <c r="CQ30" i="617"/>
  <c r="Z33" i="25"/>
  <c r="AE90" i="25" s="1"/>
  <c r="Z45" i="25"/>
  <c r="CA261" i="25"/>
  <c r="CA263" i="25" s="1"/>
  <c r="CF87" i="25"/>
  <c r="CA100" i="25"/>
  <c r="CO45" i="25"/>
  <c r="CO92" i="25"/>
  <c r="DK10" i="617"/>
  <c r="DK29" i="617"/>
  <c r="DK36" i="617"/>
  <c r="V46" i="25"/>
  <c r="V398" i="25"/>
  <c r="CO304" i="25"/>
  <c r="CT303" i="25"/>
  <c r="CO303" i="25"/>
  <c r="CQ300" i="25"/>
  <c r="CG294" i="25"/>
  <c r="CG295" i="25" s="1"/>
  <c r="CG387" i="25"/>
  <c r="CG240" i="25"/>
  <c r="CQ68" i="25"/>
  <c r="CV68" i="25"/>
  <c r="T39" i="559" s="1"/>
  <c r="Z405" i="25"/>
  <c r="AA132" i="25"/>
  <c r="CE406" i="25"/>
  <c r="CE313" i="25" s="1"/>
  <c r="CE280" i="25"/>
  <c r="CE285" i="25" s="1"/>
  <c r="CE287" i="25" s="1"/>
  <c r="CE356" i="25"/>
  <c r="CE370" i="25" s="1"/>
  <c r="CE290" i="25"/>
  <c r="DK206" i="571"/>
  <c r="DK109" i="25"/>
  <c r="DL128" i="25"/>
  <c r="T31" i="25"/>
  <c r="T33" i="25" s="1"/>
  <c r="CK280" i="25"/>
  <c r="CK285" i="25" s="1"/>
  <c r="CK287" i="25" s="1"/>
  <c r="CK406" i="25"/>
  <c r="CK313" i="25" s="1"/>
  <c r="CK356" i="25"/>
  <c r="CK370" i="25" s="1"/>
  <c r="CK290" i="25"/>
  <c r="AL100" i="25"/>
  <c r="AL130" i="25" s="1"/>
  <c r="AQ87" i="25"/>
  <c r="AM120" i="25"/>
  <c r="BM358" i="25"/>
  <c r="AE58" i="559"/>
  <c r="AJ58" i="559"/>
  <c r="AC46" i="25"/>
  <c r="AC124" i="25" s="1"/>
  <c r="AC398" i="25"/>
  <c r="CO22" i="617"/>
  <c r="M20" i="559"/>
  <c r="CO398" i="25"/>
  <c r="CO105" i="25"/>
  <c r="CO113" i="25" s="1"/>
  <c r="CO91" i="25"/>
  <c r="AI64" i="559"/>
  <c r="AI51" i="559"/>
  <c r="AI58" i="559" s="1"/>
  <c r="V123" i="25"/>
  <c r="Z100" i="25"/>
  <c r="AE111" i="25" s="1"/>
  <c r="Z87" i="25"/>
  <c r="AL120" i="25"/>
  <c r="CE89" i="25"/>
  <c r="CT91" i="25"/>
  <c r="DA141" i="25"/>
  <c r="DA143" i="25" s="1"/>
  <c r="DA407" i="25"/>
  <c r="CK105" i="25"/>
  <c r="CK132" i="25" s="1"/>
  <c r="CK398" i="25"/>
  <c r="CK122" i="25"/>
  <c r="I20" i="559"/>
  <c r="CK22" i="617"/>
  <c r="CK46" i="25"/>
  <c r="AL104" i="25"/>
  <c r="AQ113" i="25" s="1"/>
  <c r="AL43" i="25"/>
  <c r="AM123" i="25" s="1"/>
  <c r="AL41" i="25"/>
  <c r="AQ90" i="25"/>
  <c r="BH78" i="25"/>
  <c r="BH79" i="25" s="1"/>
  <c r="BG79" i="25"/>
  <c r="BG120" i="25" s="1"/>
  <c r="V130" i="25"/>
  <c r="CE105" i="25"/>
  <c r="CJ113" i="25" s="1"/>
  <c r="CJ91" i="25"/>
  <c r="CE22" i="617"/>
  <c r="CE46" i="25"/>
  <c r="CE398" i="25"/>
  <c r="L117" i="559"/>
  <c r="L119" i="559"/>
  <c r="CO370" i="25"/>
  <c r="CO235" i="25"/>
  <c r="CO290" i="25"/>
  <c r="CO406" i="25"/>
  <c r="CO313" i="25" s="1"/>
  <c r="CO280" i="25"/>
  <c r="CO285" i="25" s="1"/>
  <c r="CO287" i="25" s="1"/>
  <c r="DO369" i="25"/>
  <c r="DP367" i="25"/>
  <c r="CV110" i="25"/>
  <c r="DM124" i="25"/>
  <c r="DQ93" i="25"/>
  <c r="DM132" i="25"/>
  <c r="DQ113" i="25"/>
  <c r="AD395" i="25"/>
  <c r="AD289" i="25"/>
  <c r="AD291" i="25" s="1"/>
  <c r="AD391" i="25"/>
  <c r="U64" i="559"/>
  <c r="Z64" i="559"/>
  <c r="U51" i="559"/>
  <c r="AG120" i="25"/>
  <c r="AL87" i="25"/>
  <c r="AG100" i="25"/>
  <c r="AG87" i="25"/>
  <c r="AG132" i="25"/>
  <c r="AG405" i="25"/>
  <c r="CG274" i="25"/>
  <c r="CG276" i="25"/>
  <c r="CH15" i="617"/>
  <c r="CM31" i="617" s="1"/>
  <c r="CH36" i="617"/>
  <c r="CH29" i="617"/>
  <c r="CH10" i="617"/>
  <c r="DJ276" i="25"/>
  <c r="DL91" i="25"/>
  <c r="DG398" i="25"/>
  <c r="AM46" i="25"/>
  <c r="AO124" i="25" s="1"/>
  <c r="AM398" i="25"/>
  <c r="AJ132" i="25"/>
  <c r="Y332" i="25"/>
  <c r="CB30" i="25"/>
  <c r="CB31" i="25"/>
  <c r="CB103" i="25"/>
  <c r="CB405" i="25" s="1"/>
  <c r="BO43" i="25"/>
  <c r="BO41" i="25"/>
  <c r="BO104" i="25"/>
  <c r="BO90" i="25"/>
  <c r="BO122" i="25"/>
  <c r="AD285" i="25"/>
  <c r="AD287" i="25" s="1"/>
  <c r="CN113" i="25"/>
  <c r="CW102" i="25"/>
  <c r="CW121" i="25"/>
  <c r="CW79" i="25"/>
  <c r="DA79" i="25" s="1"/>
  <c r="DF87" i="25" s="1"/>
  <c r="CX121" i="25"/>
  <c r="DB89" i="25"/>
  <c r="CW89" i="25"/>
  <c r="CG22" i="617"/>
  <c r="CG25" i="617" s="1"/>
  <c r="CG398" i="25"/>
  <c r="CG105" i="25"/>
  <c r="CR41" i="25"/>
  <c r="CR122" i="25" s="1"/>
  <c r="CR43" i="25"/>
  <c r="CR33" i="25"/>
  <c r="CR90" i="25"/>
  <c r="CR104" i="25"/>
  <c r="CC100" i="25"/>
  <c r="CC261" i="25"/>
  <c r="CC263" i="25" s="1"/>
  <c r="CC120" i="25"/>
  <c r="CH121" i="25"/>
  <c r="CH102" i="25"/>
  <c r="CI121" i="25"/>
  <c r="CH79" i="25"/>
  <c r="CL76" i="25"/>
  <c r="CM89" i="25"/>
  <c r="CH89" i="25"/>
  <c r="DA63" i="617"/>
  <c r="DA210" i="571"/>
  <c r="BW33" i="25"/>
  <c r="BW45" i="25"/>
  <c r="BT33" i="25"/>
  <c r="BT45" i="25"/>
  <c r="BT90" i="25"/>
  <c r="AZ44" i="25"/>
  <c r="AZ405" i="25"/>
  <c r="AZ32" i="25"/>
  <c r="AZ33" i="25" s="1"/>
  <c r="AZ132" i="25"/>
  <c r="AO87" i="25"/>
  <c r="AJ100" i="25"/>
  <c r="AO111" i="25" s="1"/>
  <c r="BE132" i="25"/>
  <c r="BE44" i="25"/>
  <c r="BE405" i="25"/>
  <c r="CO124" i="25"/>
  <c r="CN124" i="25"/>
  <c r="CN304" i="25"/>
  <c r="CN93" i="25"/>
  <c r="L21" i="559"/>
  <c r="CW109" i="25"/>
  <c r="DB109" i="25"/>
  <c r="CX128" i="25"/>
  <c r="CW128" i="25"/>
  <c r="BC100" i="25"/>
  <c r="X46" i="25"/>
  <c r="X398" i="25"/>
  <c r="EE361" i="25"/>
  <c r="CL276" i="25"/>
  <c r="CL277" i="25"/>
  <c r="AR405" i="25"/>
  <c r="AR44" i="25"/>
  <c r="AR132" i="25"/>
  <c r="AD313" i="25"/>
  <c r="AD314" i="25"/>
  <c r="BE100" i="25"/>
  <c r="BE120" i="25"/>
  <c r="BE87" i="25"/>
  <c r="DB90" i="25"/>
  <c r="CW33" i="25"/>
  <c r="CW90" i="25"/>
  <c r="CW104" i="25"/>
  <c r="CW356" i="25"/>
  <c r="AG41" i="25"/>
  <c r="AG122" i="25"/>
  <c r="AG43" i="25"/>
  <c r="AH123" i="25" s="1"/>
  <c r="AG104" i="25"/>
  <c r="AL90" i="25"/>
  <c r="AG90" i="25"/>
  <c r="BR30" i="25"/>
  <c r="BR31" i="25"/>
  <c r="BR103" i="25"/>
  <c r="BR405" i="25" s="1"/>
  <c r="BR79" i="25"/>
  <c r="Z60" i="559"/>
  <c r="U60" i="559"/>
  <c r="CR258" i="25"/>
  <c r="CR253" i="25" s="1"/>
  <c r="CR252" i="25" s="1"/>
  <c r="CR259" i="25" s="1"/>
  <c r="CQ33" i="25"/>
  <c r="CQ104" i="25"/>
  <c r="CQ41" i="25"/>
  <c r="CZ76" i="617"/>
  <c r="DE76" i="617"/>
  <c r="AS30" i="25"/>
  <c r="AS31" i="25"/>
  <c r="AS103" i="25"/>
  <c r="AS405" i="25" s="1"/>
  <c r="O103" i="25"/>
  <c r="O405" i="25" s="1"/>
  <c r="O79" i="25"/>
  <c r="O30" i="25"/>
  <c r="BT405" i="25"/>
  <c r="BT132" i="25"/>
  <c r="O66" i="559"/>
  <c r="AZ43" i="25"/>
  <c r="BY90" i="25"/>
  <c r="BY104" i="25"/>
  <c r="BY41" i="25"/>
  <c r="CD91" i="25" s="1"/>
  <c r="BY33" i="25"/>
  <c r="BY45" i="25"/>
  <c r="O332" i="25"/>
  <c r="AJ43" i="25"/>
  <c r="AJ123" i="25" s="1"/>
  <c r="AJ41" i="25"/>
  <c r="AJ104" i="25"/>
  <c r="AO113" i="25" s="1"/>
  <c r="AO90" i="25"/>
  <c r="BJ405" i="25"/>
  <c r="BJ132" i="25"/>
  <c r="CQ296" i="25"/>
  <c r="CP297" i="25"/>
  <c r="AH46" i="25"/>
  <c r="AH398" i="25"/>
  <c r="AW87" i="25"/>
  <c r="AR120" i="25"/>
  <c r="AR87" i="25"/>
  <c r="AR100" i="25"/>
  <c r="BO100" i="25"/>
  <c r="BO120" i="25"/>
  <c r="AR122" i="25"/>
  <c r="AR43" i="25"/>
  <c r="AR104" i="25"/>
  <c r="AR41" i="25"/>
  <c r="AW90" i="25"/>
  <c r="AD46" i="25"/>
  <c r="AD398" i="25"/>
  <c r="BE104" i="25"/>
  <c r="BE43" i="25"/>
  <c r="BE123" i="25" s="1"/>
  <c r="BE41" i="25"/>
  <c r="BE122" i="25"/>
  <c r="AK132" i="25"/>
  <c r="CU91" i="25"/>
  <c r="CP398" i="25"/>
  <c r="AK46" i="25"/>
  <c r="AK398" i="25"/>
  <c r="K46" i="25"/>
  <c r="K398" i="25"/>
  <c r="AR90" i="25"/>
  <c r="AH120" i="25"/>
  <c r="CM29" i="617"/>
  <c r="CL31" i="25"/>
  <c r="CL103" i="25"/>
  <c r="CL405" i="25" s="1"/>
  <c r="CL30" i="25"/>
  <c r="BO405" i="25"/>
  <c r="BO132" i="25"/>
  <c r="BV43" i="25"/>
  <c r="BV290" i="25"/>
  <c r="BV291" i="25" s="1"/>
  <c r="BV406" i="25"/>
  <c r="BV313" i="25" s="1"/>
  <c r="BV104" i="25"/>
  <c r="BV41" i="25"/>
  <c r="BV280" i="25"/>
  <c r="BV285" i="25" s="1"/>
  <c r="BV287" i="25" s="1"/>
  <c r="CN25" i="617"/>
  <c r="CN32" i="617"/>
  <c r="CW15" i="617"/>
  <c r="CW36" i="617"/>
  <c r="CW10" i="617"/>
  <c r="DB29" i="617"/>
  <c r="CW29" i="617"/>
  <c r="CG290" i="25"/>
  <c r="CG280" i="25"/>
  <c r="CG406" i="25"/>
  <c r="CG313" i="25" s="1"/>
  <c r="BH103" i="25"/>
  <c r="BH405" i="25" s="1"/>
  <c r="BH31" i="25"/>
  <c r="BH30" i="25"/>
  <c r="CM43" i="25"/>
  <c r="CQ43" i="25" s="1"/>
  <c r="CM104" i="25"/>
  <c r="CM90" i="25"/>
  <c r="CM33" i="25"/>
  <c r="CM41" i="25"/>
  <c r="F51" i="559"/>
  <c r="K58" i="559" s="1"/>
  <c r="K64" i="559"/>
  <c r="CL11" i="617"/>
  <c r="J17" i="559"/>
  <c r="CC43" i="25"/>
  <c r="CC123" i="25" s="1"/>
  <c r="CC33" i="25"/>
  <c r="CD122" i="25" s="1"/>
  <c r="CC45" i="25"/>
  <c r="CC104" i="25"/>
  <c r="CC41" i="25"/>
  <c r="CC91" i="25" s="1"/>
  <c r="O112" i="25"/>
  <c r="O131" i="25" s="1"/>
  <c r="T112" i="25"/>
  <c r="Y118" i="559"/>
  <c r="Y39" i="559"/>
  <c r="BT261" i="25"/>
  <c r="BT263" i="25" s="1"/>
  <c r="BT120" i="25"/>
  <c r="BT100" i="25"/>
  <c r="BY87" i="25"/>
  <c r="BT87" i="25"/>
  <c r="AZ100" i="25"/>
  <c r="AZ120" i="25"/>
  <c r="AZ87" i="25"/>
  <c r="BJ43" i="25"/>
  <c r="BJ41" i="25"/>
  <c r="BJ104" i="25"/>
  <c r="BJ90" i="25"/>
  <c r="BJ122" i="25"/>
  <c r="CZ83" i="617"/>
  <c r="CH33" i="25"/>
  <c r="CH90" i="25"/>
  <c r="CH41" i="25"/>
  <c r="CH45" i="25"/>
  <c r="CL45" i="25" s="1"/>
  <c r="CH104" i="25"/>
  <c r="CH43" i="25"/>
  <c r="CN391" i="25"/>
  <c r="CN289" i="25"/>
  <c r="CN291" i="25" s="1"/>
  <c r="BS79" i="571"/>
  <c r="CC154" i="571"/>
  <c r="BX144" i="571"/>
  <c r="CD168" i="571"/>
  <c r="CD165" i="571"/>
  <c r="CD166" i="571" s="1"/>
  <c r="CD58" i="617"/>
  <c r="CG142" i="571"/>
  <c r="CG152" i="571"/>
  <c r="CB161" i="571"/>
  <c r="CB165" i="571" s="1"/>
  <c r="BX165" i="571"/>
  <c r="CC166" i="571" s="1"/>
  <c r="BX168" i="571"/>
  <c r="CD150" i="571"/>
  <c r="CD154" i="571"/>
  <c r="CD144" i="571"/>
  <c r="DK210" i="571"/>
  <c r="CB89" i="571"/>
  <c r="BX113" i="571"/>
  <c r="CM18" i="617"/>
  <c r="CM38" i="617"/>
  <c r="DW20" i="571"/>
  <c r="EB18" i="571"/>
  <c r="EB20" i="571" s="1"/>
  <c r="EB181" i="571"/>
  <c r="EB182" i="571" s="1"/>
  <c r="DW182" i="571"/>
  <c r="DV137" i="571"/>
  <c r="EA128" i="571"/>
  <c r="EA137" i="571" s="1"/>
  <c r="DX137" i="571"/>
  <c r="EC128" i="571"/>
  <c r="EC137" i="571" s="1"/>
  <c r="DW137" i="571"/>
  <c r="EB128" i="571"/>
  <c r="EB137" i="571" s="1"/>
  <c r="DV20" i="571"/>
  <c r="EA18" i="571"/>
  <c r="EA20" i="571" s="1"/>
  <c r="CR134" i="571"/>
  <c r="CR153" i="571" s="1"/>
  <c r="EC181" i="571"/>
  <c r="EC182" i="571" s="1"/>
  <c r="DX182" i="571"/>
  <c r="ED181" i="571"/>
  <c r="ED182" i="571" s="1"/>
  <c r="DY182" i="571"/>
  <c r="DX20" i="571"/>
  <c r="EC18" i="571"/>
  <c r="EC20" i="571" s="1"/>
  <c r="CB44" i="571"/>
  <c r="DN53" i="571"/>
  <c r="BS161" i="571"/>
  <c r="BS99" i="571"/>
  <c r="BX101" i="571" s="1"/>
  <c r="BS149" i="571"/>
  <c r="BS111" i="571"/>
  <c r="BS89" i="571"/>
  <c r="BS113" i="571" s="1"/>
  <c r="BT98" i="571"/>
  <c r="BT129" i="571"/>
  <c r="BT143" i="571" s="1"/>
  <c r="BT78" i="571"/>
  <c r="BT79" i="571" s="1"/>
  <c r="BT112" i="571"/>
  <c r="BT161" i="571"/>
  <c r="BT149" i="571"/>
  <c r="BT99" i="571"/>
  <c r="BY101" i="571" s="1"/>
  <c r="BT111" i="571"/>
  <c r="BT89" i="571"/>
  <c r="BT113" i="571" s="1"/>
  <c r="BB46" i="559"/>
  <c r="BC145" i="559"/>
  <c r="BC42" i="559"/>
  <c r="BC46" i="559" s="1"/>
  <c r="AZ46" i="559"/>
  <c r="AY46" i="559"/>
  <c r="BA46" i="559"/>
  <c r="DV23" i="613"/>
  <c r="DT26" i="613"/>
  <c r="DU23" i="613"/>
  <c r="DU26" i="613" s="1"/>
  <c r="EE23" i="607"/>
  <c r="EE24" i="607"/>
  <c r="ED126" i="617"/>
  <c r="ED111" i="617"/>
  <c r="EE18" i="571"/>
  <c r="ED20" i="571"/>
  <c r="ED137" i="571"/>
  <c r="EB372" i="25"/>
  <c r="EB283" i="25" s="1"/>
  <c r="CS131" i="25"/>
  <c r="DJ290" i="25"/>
  <c r="DJ41" i="25"/>
  <c r="DJ398" i="25" s="1"/>
  <c r="DJ43" i="25"/>
  <c r="DJ280" i="25"/>
  <c r="DJ406" i="25"/>
  <c r="DJ38" i="617"/>
  <c r="DJ31" i="617"/>
  <c r="DJ18" i="617"/>
  <c r="CX87" i="25"/>
  <c r="CS261" i="25"/>
  <c r="CS263" i="25" s="1"/>
  <c r="CS100" i="25"/>
  <c r="CS130" i="25" s="1"/>
  <c r="Q22" i="559"/>
  <c r="X20" i="559"/>
  <c r="CZ46" i="25"/>
  <c r="CZ93" i="25" s="1"/>
  <c r="CZ91" i="25"/>
  <c r="CZ22" i="617"/>
  <c r="CZ105" i="25"/>
  <c r="BK132" i="25"/>
  <c r="BK405" i="25"/>
  <c r="BL132" i="25"/>
  <c r="DK41" i="25"/>
  <c r="DK398" i="25" s="1"/>
  <c r="DK290" i="25"/>
  <c r="DK291" i="25" s="1"/>
  <c r="DK406" i="25"/>
  <c r="DK280" i="25"/>
  <c r="DK285" i="25" s="1"/>
  <c r="DK287" i="25" s="1"/>
  <c r="AV100" i="25"/>
  <c r="AV120" i="25"/>
  <c r="AV87" i="25"/>
  <c r="AW120" i="25"/>
  <c r="M45" i="25"/>
  <c r="O31" i="25"/>
  <c r="T64" i="559"/>
  <c r="CS87" i="25"/>
  <c r="BQ120" i="25"/>
  <c r="BP100" i="25"/>
  <c r="BP120" i="25"/>
  <c r="BP132" i="25"/>
  <c r="BP405" i="25"/>
  <c r="BQ132" i="25"/>
  <c r="AD53" i="559"/>
  <c r="AD66" i="559"/>
  <c r="AI66" i="559"/>
  <c r="CK407" i="25"/>
  <c r="CK24" i="25"/>
  <c r="CK141" i="25"/>
  <c r="CK143" i="25" s="1"/>
  <c r="CL23" i="25"/>
  <c r="BA132" i="25"/>
  <c r="BB132" i="25"/>
  <c r="BA405" i="25"/>
  <c r="CU130" i="25"/>
  <c r="CT111" i="25"/>
  <c r="DK18" i="617"/>
  <c r="DK38" i="617"/>
  <c r="CY92" i="25"/>
  <c r="CT92" i="25"/>
  <c r="CT45" i="25"/>
  <c r="CT289" i="25"/>
  <c r="CT291" i="25" s="1"/>
  <c r="CT395" i="25"/>
  <c r="CT391" i="25"/>
  <c r="AH111" i="25"/>
  <c r="AM111" i="25"/>
  <c r="AH130" i="25"/>
  <c r="DA104" i="25"/>
  <c r="DA33" i="25"/>
  <c r="CZ313" i="25"/>
  <c r="CZ314" i="25"/>
  <c r="CY31" i="617"/>
  <c r="CY38" i="617"/>
  <c r="DD31" i="617"/>
  <c r="CY18" i="617"/>
  <c r="BK90" i="25"/>
  <c r="BK41" i="25"/>
  <c r="BK122" i="25"/>
  <c r="BK104" i="25"/>
  <c r="BK43" i="25"/>
  <c r="BL122" i="25"/>
  <c r="CF132" i="25"/>
  <c r="CD10" i="617"/>
  <c r="CD15" i="617"/>
  <c r="CI29" i="617"/>
  <c r="AD64" i="559"/>
  <c r="Y51" i="559"/>
  <c r="Y64" i="559"/>
  <c r="BU102" i="25"/>
  <c r="BW76" i="25"/>
  <c r="BW102" i="25" s="1"/>
  <c r="BF100" i="25"/>
  <c r="BF120" i="25"/>
  <c r="BF87" i="25"/>
  <c r="BU232" i="25"/>
  <c r="BT235" i="25"/>
  <c r="BT254" i="25" s="1"/>
  <c r="BT253" i="25" s="1"/>
  <c r="BT252" i="25" s="1"/>
  <c r="BT259" i="25" s="1"/>
  <c r="R21" i="559"/>
  <c r="CT304" i="25"/>
  <c r="CG141" i="25"/>
  <c r="CG143" i="25" s="1"/>
  <c r="CG407" i="25"/>
  <c r="AM45" i="25"/>
  <c r="AR92" i="25"/>
  <c r="AO123" i="25"/>
  <c r="BU261" i="25"/>
  <c r="BU263" i="25" s="1"/>
  <c r="BU120" i="25"/>
  <c r="BW79" i="25"/>
  <c r="BV120" i="25"/>
  <c r="BU100" i="25"/>
  <c r="BU87" i="25"/>
  <c r="AQ120" i="25"/>
  <c r="AP100" i="25"/>
  <c r="AP111" i="25" s="1"/>
  <c r="AU87" i="25"/>
  <c r="AP120" i="25"/>
  <c r="DH68" i="25"/>
  <c r="AF118" i="559" s="1"/>
  <c r="AF39" i="559" s="1"/>
  <c r="CV79" i="25"/>
  <c r="CV261" i="25" s="1"/>
  <c r="CB68" i="25"/>
  <c r="CG68" i="25"/>
  <c r="CJ87" i="25"/>
  <c r="CE100" i="25"/>
  <c r="CE261" i="25"/>
  <c r="CE263" i="25" s="1"/>
  <c r="CF120" i="25"/>
  <c r="CT120" i="25"/>
  <c r="W58" i="559"/>
  <c r="AB58" i="559"/>
  <c r="CP130" i="25"/>
  <c r="CO111" i="25"/>
  <c r="BX406" i="25"/>
  <c r="BX313" i="25" s="1"/>
  <c r="BX290" i="25"/>
  <c r="BX356" i="25"/>
  <c r="BX370" i="25" s="1"/>
  <c r="BX280" i="25"/>
  <c r="BX285" i="25" s="1"/>
  <c r="BX287" i="25" s="1"/>
  <c r="BX43" i="25"/>
  <c r="BY122" i="25"/>
  <c r="BX122" i="25"/>
  <c r="BZ79" i="25"/>
  <c r="CB79" i="25" s="1"/>
  <c r="BZ102" i="25"/>
  <c r="CE112" i="25" s="1"/>
  <c r="CC87" i="25"/>
  <c r="BY120" i="25"/>
  <c r="BX87" i="25"/>
  <c r="BX261" i="25"/>
  <c r="BX263" i="25" s="1"/>
  <c r="BX120" i="25"/>
  <c r="BX100" i="25"/>
  <c r="CE18" i="617"/>
  <c r="CJ31" i="617"/>
  <c r="CZ45" i="25"/>
  <c r="CZ123" i="25"/>
  <c r="DB123" i="25"/>
  <c r="DA102" i="25"/>
  <c r="DF89" i="25"/>
  <c r="CY112" i="25"/>
  <c r="DD112" i="25"/>
  <c r="CY131" i="25"/>
  <c r="CF25" i="617"/>
  <c r="CG11" i="617"/>
  <c r="CL84" i="25"/>
  <c r="CG84" i="25"/>
  <c r="CD89" i="25"/>
  <c r="CD79" i="25"/>
  <c r="CG76" i="25"/>
  <c r="CD102" i="25"/>
  <c r="CE131" i="25" s="1"/>
  <c r="CI89" i="25"/>
  <c r="BF405" i="25"/>
  <c r="BG132" i="25"/>
  <c r="BF132" i="25"/>
  <c r="CV36" i="617"/>
  <c r="CV10" i="617"/>
  <c r="CV15" i="617"/>
  <c r="CV31" i="617" s="1"/>
  <c r="BU405" i="25"/>
  <c r="BU132" i="25"/>
  <c r="BV132" i="25"/>
  <c r="AP43" i="25"/>
  <c r="AP104" i="25"/>
  <c r="AU113" i="25" s="1"/>
  <c r="AQ122" i="25"/>
  <c r="AU90" i="25"/>
  <c r="AP122" i="25"/>
  <c r="AP41" i="25"/>
  <c r="CT39" i="617"/>
  <c r="CT32" i="617"/>
  <c r="CT25" i="617"/>
  <c r="DX296" i="25"/>
  <c r="DX298" i="25" s="1"/>
  <c r="DX54" i="25" s="1"/>
  <c r="DZ295" i="25"/>
  <c r="AV44" i="25"/>
  <c r="AV405" i="25"/>
  <c r="AV132" i="25"/>
  <c r="AW132" i="25"/>
  <c r="AH45" i="25"/>
  <c r="AH92" i="25" s="1"/>
  <c r="N122" i="25"/>
  <c r="M122" i="25"/>
  <c r="M43" i="25"/>
  <c r="M41" i="25"/>
  <c r="R90" i="25"/>
  <c r="AM113" i="25"/>
  <c r="DA15" i="617"/>
  <c r="DA10" i="617"/>
  <c r="DF29" i="617"/>
  <c r="DA36" i="617"/>
  <c r="DA29" i="617"/>
  <c r="CN38" i="617"/>
  <c r="CN18" i="617"/>
  <c r="CN20" i="617" s="1"/>
  <c r="CN42" i="617" s="1"/>
  <c r="DF261" i="25"/>
  <c r="DF100" i="25"/>
  <c r="DG130" i="25" s="1"/>
  <c r="AD22" i="559"/>
  <c r="CS120" i="25"/>
  <c r="AP87" i="25"/>
  <c r="BP43" i="25"/>
  <c r="BP122" i="25"/>
  <c r="BQ122" i="25"/>
  <c r="BP104" i="25"/>
  <c r="BP41" i="25"/>
  <c r="BP90" i="25"/>
  <c r="DF103" i="25"/>
  <c r="DF405" i="25" s="1"/>
  <c r="DF31" i="25"/>
  <c r="DF30" i="25"/>
  <c r="BF90" i="25"/>
  <c r="BA41" i="25"/>
  <c r="BA104" i="25"/>
  <c r="BB122" i="25"/>
  <c r="BA43" i="25"/>
  <c r="CJ112" i="25"/>
  <c r="CF131" i="25"/>
  <c r="CF289" i="25"/>
  <c r="CF291" i="25" s="1"/>
  <c r="CF391" i="25"/>
  <c r="BX105" i="25"/>
  <c r="BX46" i="25"/>
  <c r="BX131" i="25"/>
  <c r="CC112" i="25"/>
  <c r="BY131" i="25"/>
  <c r="BM33" i="25"/>
  <c r="CY87" i="25"/>
  <c r="CY120" i="25"/>
  <c r="CY261" i="25"/>
  <c r="CY263" i="25" s="1"/>
  <c r="DD87" i="25"/>
  <c r="W22" i="559"/>
  <c r="CY100" i="25"/>
  <c r="CZ120" i="25"/>
  <c r="CF304" i="25"/>
  <c r="CK93" i="25"/>
  <c r="CF124" i="25"/>
  <c r="CF93" i="25"/>
  <c r="BV342" i="25"/>
  <c r="BV343" i="25" s="1"/>
  <c r="BU343" i="25"/>
  <c r="CS38" i="617"/>
  <c r="CS18" i="617"/>
  <c r="CX31" i="617"/>
  <c r="CS31" i="617"/>
  <c r="DA109" i="25"/>
  <c r="DF109" i="25"/>
  <c r="BF43" i="25"/>
  <c r="BF41" i="25"/>
  <c r="BG122" i="25"/>
  <c r="BF122" i="25"/>
  <c r="BF104" i="25"/>
  <c r="BU45" i="25"/>
  <c r="BU90" i="25"/>
  <c r="BU33" i="25"/>
  <c r="AP44" i="25"/>
  <c r="AP405" i="25"/>
  <c r="AQ132" i="25"/>
  <c r="AP132" i="25"/>
  <c r="CZ131" i="25"/>
  <c r="AV43" i="25"/>
  <c r="AV33" i="25"/>
  <c r="BA90" i="25" s="1"/>
  <c r="DE130" i="25"/>
  <c r="DE111" i="25"/>
  <c r="BC43" i="25"/>
  <c r="BC33" i="25"/>
  <c r="DU219" i="25"/>
  <c r="DV219" i="25" s="1"/>
  <c r="DT27" i="611"/>
  <c r="M120" i="25"/>
  <c r="N120" i="25"/>
  <c r="R87" i="25"/>
  <c r="BA87" i="25"/>
  <c r="EA296" i="25"/>
  <c r="EA298" i="25" s="1"/>
  <c r="EA54" i="25" s="1"/>
  <c r="EC295" i="25"/>
  <c r="EC296" i="25" s="1"/>
  <c r="EC298" i="25" s="1"/>
  <c r="EC54" i="25" s="1"/>
  <c r="DT367" i="25"/>
  <c r="DU367" i="25" s="1"/>
  <c r="EB51" i="25"/>
  <c r="EC51" i="25" s="1"/>
  <c r="ED51" i="25" s="1"/>
  <c r="ED212" i="25"/>
  <c r="EE212" i="25" s="1"/>
  <c r="CO121" i="571"/>
  <c r="CD134" i="571"/>
  <c r="BY143" i="571"/>
  <c r="CV66" i="571"/>
  <c r="DA68" i="571" s="1"/>
  <c r="CV129" i="571"/>
  <c r="DA134" i="571" s="1"/>
  <c r="CO107" i="571"/>
  <c r="AO46" i="559"/>
  <c r="CL138" i="571"/>
  <c r="CL73" i="571"/>
  <c r="CL139" i="571" s="1"/>
  <c r="CH134" i="571"/>
  <c r="CH143" i="571"/>
  <c r="BX143" i="571"/>
  <c r="BX134" i="571"/>
  <c r="CO143" i="571"/>
  <c r="CT134" i="571"/>
  <c r="CT153" i="571" s="1"/>
  <c r="CM134" i="571"/>
  <c r="CV138" i="571"/>
  <c r="CV73" i="571"/>
  <c r="CV139" i="571" s="1"/>
  <c r="DM332" i="25"/>
  <c r="DC291" i="25"/>
  <c r="DD393" i="25"/>
  <c r="DE392" i="25" s="1"/>
  <c r="CJ143" i="571"/>
  <c r="CO134" i="571"/>
  <c r="CO138" i="571" s="1"/>
  <c r="CO72" i="571" s="1"/>
  <c r="CJ134" i="571"/>
  <c r="CA143" i="571"/>
  <c r="CF134" i="571"/>
  <c r="CE143" i="571"/>
  <c r="DA130" i="571"/>
  <c r="DA188" i="571"/>
  <c r="DA222" i="571"/>
  <c r="DA223" i="571" s="1"/>
  <c r="CD342" i="25"/>
  <c r="CC343" i="25"/>
  <c r="CG129" i="571"/>
  <c r="CG78" i="571"/>
  <c r="CG79" i="571" s="1"/>
  <c r="CG98" i="571"/>
  <c r="CG66" i="571"/>
  <c r="CG257" i="25"/>
  <c r="CL342" i="25"/>
  <c r="CH342" i="25"/>
  <c r="CG343" i="25"/>
  <c r="CG138" i="571"/>
  <c r="CG73" i="571"/>
  <c r="CG139" i="571" s="1"/>
  <c r="BY343" i="25"/>
  <c r="BZ342" i="25"/>
  <c r="CG112" i="571"/>
  <c r="CL129" i="571"/>
  <c r="CQ134" i="571" s="1"/>
  <c r="CL66" i="571"/>
  <c r="DB132" i="25"/>
  <c r="CP22" i="617"/>
  <c r="CU32" i="617" s="1"/>
  <c r="N20" i="559"/>
  <c r="CP122" i="25"/>
  <c r="CP91" i="25"/>
  <c r="CP105" i="25"/>
  <c r="CD290" i="25"/>
  <c r="CD406" i="25"/>
  <c r="CD313" i="25" s="1"/>
  <c r="CD280" i="25"/>
  <c r="CE122" i="25"/>
  <c r="CD356" i="25"/>
  <c r="DB25" i="617"/>
  <c r="DB39" i="617"/>
  <c r="DB20" i="617"/>
  <c r="DB42" i="617" s="1"/>
  <c r="BZ43" i="25"/>
  <c r="BZ356" i="25"/>
  <c r="BZ370" i="25" s="1"/>
  <c r="BZ290" i="25"/>
  <c r="BZ406" i="25"/>
  <c r="BZ313" i="25" s="1"/>
  <c r="BZ280" i="25"/>
  <c r="BZ285" i="25" s="1"/>
  <c r="BZ287" i="25" s="1"/>
  <c r="BZ122" i="25"/>
  <c r="CA122" i="25"/>
  <c r="P92" i="25"/>
  <c r="U92" i="25"/>
  <c r="AC113" i="25"/>
  <c r="AT111" i="25"/>
  <c r="AY111" i="25"/>
  <c r="AU130" i="25"/>
  <c r="CV104" i="25"/>
  <c r="CV33" i="25"/>
  <c r="CV41" i="25"/>
  <c r="CV398" i="25" s="1"/>
  <c r="CV90" i="25"/>
  <c r="DA90" i="25"/>
  <c r="Q104" i="25"/>
  <c r="Q41" i="25"/>
  <c r="Q122" i="25"/>
  <c r="Q43" i="25"/>
  <c r="V90" i="25"/>
  <c r="R122" i="25"/>
  <c r="Q90" i="25"/>
  <c r="AJ90" i="25"/>
  <c r="AF122" i="25"/>
  <c r="AE104" i="25"/>
  <c r="AE41" i="25"/>
  <c r="AE122" i="25"/>
  <c r="AE43" i="25"/>
  <c r="AT123" i="25"/>
  <c r="AT92" i="25"/>
  <c r="AU123" i="25"/>
  <c r="AY92" i="25"/>
  <c r="AK113" i="25"/>
  <c r="U120" i="25"/>
  <c r="S100" i="25"/>
  <c r="X87" i="25"/>
  <c r="S120" i="25"/>
  <c r="S87" i="25"/>
  <c r="X92" i="25"/>
  <c r="S92" i="25"/>
  <c r="DC285" i="25"/>
  <c r="DC287" i="25" s="1"/>
  <c r="AE130" i="25"/>
  <c r="AF130" i="25"/>
  <c r="P111" i="25"/>
  <c r="U111" i="25"/>
  <c r="BZ105" i="25"/>
  <c r="BZ46" i="25"/>
  <c r="CE91" i="25"/>
  <c r="AN100" i="25"/>
  <c r="AN261" i="25"/>
  <c r="AN263" i="25" s="1"/>
  <c r="AI33" i="25"/>
  <c r="AI45" i="25"/>
  <c r="AI92" i="25" s="1"/>
  <c r="DI332" i="25"/>
  <c r="CU124" i="25"/>
  <c r="CU304" i="25"/>
  <c r="S21" i="559"/>
  <c r="S67" i="559" s="1"/>
  <c r="CU132" i="25"/>
  <c r="CD22" i="617"/>
  <c r="CI91" i="25"/>
  <c r="CD105" i="25"/>
  <c r="CD46" i="25"/>
  <c r="CU45" i="25"/>
  <c r="CZ92" i="25"/>
  <c r="CU123" i="25"/>
  <c r="CU92" i="25"/>
  <c r="CU370" i="25"/>
  <c r="CP123" i="25"/>
  <c r="CP45" i="25"/>
  <c r="CP92" i="25"/>
  <c r="Q92" i="25"/>
  <c r="V92" i="25"/>
  <c r="Q87" i="25"/>
  <c r="Q100" i="25"/>
  <c r="V87" i="25"/>
  <c r="Q120" i="25"/>
  <c r="T60" i="559"/>
  <c r="Y60" i="559"/>
  <c r="AT45" i="25"/>
  <c r="AT122" i="25"/>
  <c r="AT41" i="25"/>
  <c r="AT90" i="25"/>
  <c r="AT104" i="25"/>
  <c r="AY90" i="25"/>
  <c r="AU122" i="25"/>
  <c r="AK45" i="25"/>
  <c r="AK92" i="25" s="1"/>
  <c r="AL123" i="25"/>
  <c r="S104" i="25"/>
  <c r="S113" i="25" s="1"/>
  <c r="S90" i="25"/>
  <c r="S41" i="25"/>
  <c r="U122" i="25"/>
  <c r="S122" i="25"/>
  <c r="S43" i="25"/>
  <c r="AC111" i="25"/>
  <c r="DC22" i="617"/>
  <c r="DC105" i="25"/>
  <c r="DC122" i="25"/>
  <c r="DC46" i="25"/>
  <c r="AA20" i="559"/>
  <c r="Z7" i="559"/>
  <c r="DB2" i="607"/>
  <c r="DB124" i="25"/>
  <c r="DB304" i="25"/>
  <c r="DB2" i="571"/>
  <c r="DB2" i="613"/>
  <c r="Z21" i="559"/>
  <c r="CU39" i="617"/>
  <c r="CU25" i="617"/>
  <c r="AK130" i="25"/>
  <c r="AK111" i="25"/>
  <c r="CE123" i="25"/>
  <c r="CG43" i="25"/>
  <c r="CI92" i="25"/>
  <c r="P104" i="25"/>
  <c r="P43" i="25"/>
  <c r="P123" i="25" s="1"/>
  <c r="P90" i="25"/>
  <c r="P41" i="25"/>
  <c r="U90" i="25"/>
  <c r="P122" i="25"/>
  <c r="CP235" i="25"/>
  <c r="CP290" i="25"/>
  <c r="CP406" i="25"/>
  <c r="CP280" i="25"/>
  <c r="CP285" i="25" s="1"/>
  <c r="CP287" i="25" s="1"/>
  <c r="AN33" i="25"/>
  <c r="AN45" i="25"/>
  <c r="Q132" i="25"/>
  <c r="Q405" i="25"/>
  <c r="U132" i="25"/>
  <c r="S405" i="25"/>
  <c r="S132" i="25"/>
  <c r="DC314" i="25"/>
  <c r="DC313" i="25"/>
  <c r="DF63" i="617"/>
  <c r="DK76" i="617" s="1"/>
  <c r="DF209" i="571"/>
  <c r="DF210" i="571"/>
  <c r="DL68" i="25"/>
  <c r="AJ118" i="559" s="1"/>
  <c r="AJ39" i="559" s="1"/>
  <c r="T58" i="559"/>
  <c r="CQ100" i="25"/>
  <c r="O22" i="559"/>
  <c r="CQ261" i="25"/>
  <c r="CQ263" i="25" s="1"/>
  <c r="DC68" i="25"/>
  <c r="AA118" i="559" s="1"/>
  <c r="AA39" i="559" s="1"/>
  <c r="DF67" i="25"/>
  <c r="CV112" i="25"/>
  <c r="CR130" i="25"/>
  <c r="CR111" i="25"/>
  <c r="CJ130" i="25"/>
  <c r="CO130" i="25"/>
  <c r="CN111" i="25"/>
  <c r="CN130" i="25"/>
  <c r="DC83" i="617"/>
  <c r="CQ38" i="617"/>
  <c r="CQ18" i="617"/>
  <c r="DK67" i="25"/>
  <c r="CM130" i="25"/>
  <c r="DK79" i="25"/>
  <c r="T274" i="25"/>
  <c r="T276" i="25"/>
  <c r="BB130" i="25"/>
  <c r="BD130" i="25"/>
  <c r="AS100" i="25"/>
  <c r="AS87" i="25"/>
  <c r="AS261" i="25"/>
  <c r="AS263" i="25" s="1"/>
  <c r="DK126" i="617"/>
  <c r="BW148" i="571"/>
  <c r="CB153" i="571" s="1"/>
  <c r="CB71" i="571"/>
  <c r="CA72" i="571"/>
  <c r="BW97" i="571"/>
  <c r="BW147" i="571"/>
  <c r="CB152" i="571" s="1"/>
  <c r="DH39" i="571"/>
  <c r="DH33" i="571"/>
  <c r="DH59" i="571"/>
  <c r="BV99" i="571"/>
  <c r="CA101" i="571" s="1"/>
  <c r="BV149" i="571"/>
  <c r="BV161" i="571"/>
  <c r="BW84" i="571"/>
  <c r="BW77" i="571"/>
  <c r="BW128" i="571"/>
  <c r="BV112" i="571"/>
  <c r="BW88" i="571"/>
  <c r="DI32" i="571"/>
  <c r="DJ40" i="571"/>
  <c r="DJ32" i="571" s="1"/>
  <c r="BW87" i="571"/>
  <c r="BW111" i="571" s="1"/>
  <c r="BV111" i="571"/>
  <c r="BV89" i="571"/>
  <c r="BW65" i="571"/>
  <c r="BV129" i="571"/>
  <c r="BV78" i="571"/>
  <c r="BV79" i="571" s="1"/>
  <c r="DU20" i="571"/>
  <c r="DY20" i="571"/>
  <c r="DZ18" i="571"/>
  <c r="DR52" i="617"/>
  <c r="DR73" i="617" s="1"/>
  <c r="DM68" i="25"/>
  <c r="AK118" i="559" s="1"/>
  <c r="AK39" i="559" s="1"/>
  <c r="DL111" i="25"/>
  <c r="DG111" i="25"/>
  <c r="DH130" i="25"/>
  <c r="DI92" i="25"/>
  <c r="DJ123" i="25"/>
  <c r="DI45" i="25"/>
  <c r="DN92" i="25"/>
  <c r="DL39" i="617"/>
  <c r="DL25" i="617"/>
  <c r="DL20" i="617"/>
  <c r="DL42" i="617" s="1"/>
  <c r="DE406" i="25"/>
  <c r="DE280" i="25"/>
  <c r="DE43" i="25"/>
  <c r="DF43" i="25" s="1"/>
  <c r="DE290" i="25"/>
  <c r="DE41" i="25"/>
  <c r="DE398" i="25" s="1"/>
  <c r="DD285" i="25"/>
  <c r="DD287" i="25" s="1"/>
  <c r="DJ285" i="25"/>
  <c r="DL332" i="25"/>
  <c r="DI314" i="25"/>
  <c r="DI313" i="25"/>
  <c r="DR330" i="25"/>
  <c r="DW325" i="25"/>
  <c r="DL2" i="607"/>
  <c r="DL2" i="613"/>
  <c r="DL304" i="25"/>
  <c r="AJ21" i="559"/>
  <c r="DI261" i="25"/>
  <c r="DI263" i="25" s="1"/>
  <c r="DI87" i="25"/>
  <c r="DI120" i="25"/>
  <c r="AG22" i="559"/>
  <c r="DI100" i="25"/>
  <c r="CP289" i="25"/>
  <c r="CP391" i="25"/>
  <c r="DJ395" i="25"/>
  <c r="DJ289" i="25"/>
  <c r="DD22" i="617"/>
  <c r="DD105" i="25"/>
  <c r="DD122" i="25"/>
  <c r="AB20" i="559"/>
  <c r="DD46" i="25"/>
  <c r="DG76" i="617"/>
  <c r="DG83" i="617"/>
  <c r="DJ87" i="25"/>
  <c r="DJ120" i="25"/>
  <c r="DJ100" i="25"/>
  <c r="DO111" i="25" s="1"/>
  <c r="AH22" i="559"/>
  <c r="DJ261" i="25"/>
  <c r="DJ263" i="25" s="1"/>
  <c r="DW326" i="25"/>
  <c r="DR331" i="25"/>
  <c r="DG22" i="617"/>
  <c r="DL32" i="617" s="1"/>
  <c r="DG91" i="25"/>
  <c r="DG105" i="25"/>
  <c r="DL113" i="25" s="1"/>
  <c r="AE20" i="559"/>
  <c r="DG46" i="25"/>
  <c r="AL162" i="25"/>
  <c r="AL166" i="25"/>
  <c r="DK275" i="25"/>
  <c r="DK276" i="25"/>
  <c r="DK274" i="25"/>
  <c r="DM285" i="25"/>
  <c r="DM287" i="25" s="1"/>
  <c r="DH76" i="617"/>
  <c r="DH83" i="617"/>
  <c r="DD313" i="25"/>
  <c r="DD314" i="25"/>
  <c r="DH280" i="25"/>
  <c r="DH41" i="25"/>
  <c r="DH398" i="25" s="1"/>
  <c r="DH290" i="25"/>
  <c r="DH291" i="25" s="1"/>
  <c r="DH406" i="25"/>
  <c r="DH43" i="25"/>
  <c r="DJ275" i="25"/>
  <c r="DJ274" i="25"/>
  <c r="DG45" i="25"/>
  <c r="DG92" i="25"/>
  <c r="DN91" i="25"/>
  <c r="DI91" i="25"/>
  <c r="DI105" i="25"/>
  <c r="AG20" i="559"/>
  <c r="DI22" i="617"/>
  <c r="DI46" i="25"/>
  <c r="DI291" i="25"/>
  <c r="DM395" i="25"/>
  <c r="DM289" i="25"/>
  <c r="DM291" i="25" s="1"/>
  <c r="DM391" i="25"/>
  <c r="DV326" i="25"/>
  <c r="DD92" i="25"/>
  <c r="DD123" i="25"/>
  <c r="DD45" i="25"/>
  <c r="DV325" i="25"/>
  <c r="DG314" i="25"/>
  <c r="DG313" i="25"/>
  <c r="DG285" i="25"/>
  <c r="DG287" i="25" s="1"/>
  <c r="DJ65" i="611"/>
  <c r="DH100" i="611"/>
  <c r="DI72" i="611"/>
  <c r="DI58" i="611"/>
  <c r="DI43" i="611"/>
  <c r="DJ41" i="611" s="1"/>
  <c r="DI44" i="611"/>
  <c r="DJ92" i="611"/>
  <c r="DL90" i="611" s="1"/>
  <c r="DI93" i="611"/>
  <c r="DJ57" i="611"/>
  <c r="DL55" i="611" s="1"/>
  <c r="DN159" i="611"/>
  <c r="DO159" i="611" s="1"/>
  <c r="DN82" i="611"/>
  <c r="DM86" i="611"/>
  <c r="DX96" i="611"/>
  <c r="DJ114" i="611"/>
  <c r="DL110" i="611"/>
  <c r="DI107" i="611"/>
  <c r="DO37" i="611"/>
  <c r="DM40" i="611"/>
  <c r="DO131" i="611"/>
  <c r="DN78" i="611"/>
  <c r="DO76" i="611" s="1"/>
  <c r="DN103" i="611"/>
  <c r="DL142" i="611"/>
  <c r="DM138" i="611"/>
  <c r="DL134" i="611"/>
  <c r="DM132" i="611" s="1"/>
  <c r="DN54" i="611"/>
  <c r="DJ106" i="611"/>
  <c r="DL104" i="611" s="1"/>
  <c r="DJ135" i="611"/>
  <c r="DJ71" i="611"/>
  <c r="DL69" i="611" s="1"/>
  <c r="DJ48" i="611"/>
  <c r="DH160" i="611"/>
  <c r="DG26" i="611"/>
  <c r="DG28" i="611" s="1"/>
  <c r="DL145" i="611"/>
  <c r="DJ149" i="611"/>
  <c r="DI51" i="611"/>
  <c r="DL64" i="611"/>
  <c r="DM62" i="611" s="1"/>
  <c r="DI99" i="611"/>
  <c r="DJ97" i="611" s="1"/>
  <c r="DM124" i="611"/>
  <c r="DL128" i="611"/>
  <c r="DT162" i="611"/>
  <c r="DV160" i="611" s="1"/>
  <c r="DW113" i="611"/>
  <c r="DX111" i="611" s="1"/>
  <c r="DR85" i="611"/>
  <c r="DS83" i="611" s="1"/>
  <c r="DR50" i="611"/>
  <c r="DR51" i="611" s="1"/>
  <c r="DI127" i="617"/>
  <c r="DI122" i="617"/>
  <c r="DK116" i="617"/>
  <c r="DK36" i="613"/>
  <c r="DK52" i="613"/>
  <c r="DK53" i="613" s="1"/>
  <c r="DK42" i="613"/>
  <c r="DC114" i="617"/>
  <c r="DC127" i="617" s="1"/>
  <c r="DC128" i="617"/>
  <c r="DG128" i="617"/>
  <c r="DG114" i="617"/>
  <c r="DF116" i="617"/>
  <c r="DF128" i="617" s="1"/>
  <c r="DF52" i="613"/>
  <c r="DF53" i="613" s="1"/>
  <c r="DF42" i="613"/>
  <c r="DM122" i="617"/>
  <c r="DH127" i="617"/>
  <c r="DQ98" i="617"/>
  <c r="DR19" i="607"/>
  <c r="DR27" i="607" s="1"/>
  <c r="DR66" i="25" s="1"/>
  <c r="DR47" i="613"/>
  <c r="DR11" i="607"/>
  <c r="DR88" i="617"/>
  <c r="DR98" i="617" s="1"/>
  <c r="DR12" i="607"/>
  <c r="DR51" i="607"/>
  <c r="DR15" i="607"/>
  <c r="DS51" i="607"/>
  <c r="DS47" i="613"/>
  <c r="DS19" i="607"/>
  <c r="DS27" i="607" s="1"/>
  <c r="DS11" i="607"/>
  <c r="DS88" i="617"/>
  <c r="DS12" i="607"/>
  <c r="DS15" i="607"/>
  <c r="DS14" i="607" s="1"/>
  <c r="DU13" i="607"/>
  <c r="DT51" i="607"/>
  <c r="DT47" i="613"/>
  <c r="DT88" i="617"/>
  <c r="DT98" i="617" s="1"/>
  <c r="DT15" i="607"/>
  <c r="DT19" i="607"/>
  <c r="DT27" i="607" s="1"/>
  <c r="DT11" i="607"/>
  <c r="DT12" i="607"/>
  <c r="DU32" i="607"/>
  <c r="DZ30" i="607" s="1"/>
  <c r="DV30" i="607"/>
  <c r="DU12" i="571"/>
  <c r="DV12" i="571" s="1"/>
  <c r="DW12" i="571" s="1"/>
  <c r="DX12" i="571" s="1"/>
  <c r="DY12" i="571" s="1"/>
  <c r="DT57" i="571"/>
  <c r="DT166" i="25"/>
  <c r="DT13" i="571"/>
  <c r="DS13" i="571"/>
  <c r="DS57" i="571"/>
  <c r="DS166" i="25"/>
  <c r="DV52" i="571"/>
  <c r="DT53" i="571"/>
  <c r="DV375" i="25"/>
  <c r="DV205" i="25"/>
  <c r="DV367" i="25" s="1"/>
  <c r="DU224" i="25"/>
  <c r="DV224" i="25" s="1"/>
  <c r="DT368" i="25"/>
  <c r="DU368" i="25" s="1"/>
  <c r="DU229" i="25"/>
  <c r="DV229" i="25" s="1"/>
  <c r="DT362" i="25"/>
  <c r="DU362" i="25" s="1"/>
  <c r="DW63" i="25"/>
  <c r="DW36" i="25" s="1"/>
  <c r="DW40" i="25" s="1"/>
  <c r="DF126" i="617"/>
  <c r="DF111" i="617"/>
  <c r="DK121" i="617"/>
  <c r="DO94" i="617"/>
  <c r="DO106" i="617" s="1"/>
  <c r="DP26" i="607"/>
  <c r="DO89" i="617"/>
  <c r="DO99" i="617"/>
  <c r="DO104" i="617"/>
  <c r="DP21" i="607"/>
  <c r="DP58" i="607"/>
  <c r="DP90" i="617"/>
  <c r="DQ24" i="617"/>
  <c r="DR55" i="25"/>
  <c r="DU92" i="571"/>
  <c r="DU94" i="571"/>
  <c r="CN57" i="617"/>
  <c r="CN80" i="617" s="1"/>
  <c r="CN99" i="571"/>
  <c r="CN161" i="571"/>
  <c r="CN189" i="571" s="1"/>
  <c r="DT36" i="613"/>
  <c r="DT116" i="617"/>
  <c r="DT128" i="617" s="1"/>
  <c r="DZ92" i="571"/>
  <c r="DV94" i="571"/>
  <c r="DZ94" i="571" s="1"/>
  <c r="DR116" i="617"/>
  <c r="DR128" i="617" s="1"/>
  <c r="DR36" i="613"/>
  <c r="DY121" i="617"/>
  <c r="DY111" i="617"/>
  <c r="DY126" i="617"/>
  <c r="DZ121" i="617"/>
  <c r="DZ126" i="617"/>
  <c r="DZ111" i="617"/>
  <c r="DF65" i="617"/>
  <c r="DF212" i="571"/>
  <c r="DS116" i="617"/>
  <c r="DS128" i="617" s="1"/>
  <c r="CJ166" i="571"/>
  <c r="CO166" i="571"/>
  <c r="CK153" i="25"/>
  <c r="CM153" i="25"/>
  <c r="DQ112" i="617"/>
  <c r="CY111" i="571"/>
  <c r="CY82" i="571"/>
  <c r="DR126" i="617"/>
  <c r="DR121" i="617"/>
  <c r="DR111" i="617"/>
  <c r="CI204" i="571"/>
  <c r="CI59" i="617"/>
  <c r="CI61" i="617" s="1"/>
  <c r="CI194" i="571"/>
  <c r="CI205" i="571" s="1"/>
  <c r="DW111" i="617"/>
  <c r="DW121" i="617"/>
  <c r="DW126" i="617"/>
  <c r="CW158" i="25"/>
  <c r="CW159" i="25" s="1"/>
  <c r="CW160" i="25" s="1"/>
  <c r="CX151" i="25"/>
  <c r="CX152" i="25" s="1"/>
  <c r="DO126" i="617"/>
  <c r="DO121" i="617"/>
  <c r="DO111" i="617"/>
  <c r="CF153" i="25"/>
  <c r="CH153" i="25"/>
  <c r="H36" i="559"/>
  <c r="CJ169" i="571"/>
  <c r="CJ162" i="571"/>
  <c r="CO169" i="571"/>
  <c r="P92" i="559"/>
  <c r="P31" i="559"/>
  <c r="CR148" i="571"/>
  <c r="DO52" i="617"/>
  <c r="DO73" i="617" s="1"/>
  <c r="DT159" i="571"/>
  <c r="DM142" i="571"/>
  <c r="CN112" i="571"/>
  <c r="CN89" i="571"/>
  <c r="CX104" i="571"/>
  <c r="CT77" i="571"/>
  <c r="CT97" i="571"/>
  <c r="DB151" i="25"/>
  <c r="DB152" i="25" s="1"/>
  <c r="DE151" i="25"/>
  <c r="CZ158" i="25"/>
  <c r="CZ159" i="25" s="1"/>
  <c r="CZ160" i="25" s="1"/>
  <c r="DC118" i="571"/>
  <c r="DS126" i="617"/>
  <c r="DS111" i="617"/>
  <c r="DP92" i="571"/>
  <c r="AN151" i="559" s="1"/>
  <c r="AN43" i="559" s="1"/>
  <c r="CT151" i="25"/>
  <c r="CS158" i="25"/>
  <c r="CS159" i="25" s="1"/>
  <c r="CS160" i="25" s="1"/>
  <c r="DU111" i="617"/>
  <c r="DU126" i="617"/>
  <c r="DK83" i="617"/>
  <c r="CO215" i="571"/>
  <c r="CN107" i="571"/>
  <c r="CN108" i="571"/>
  <c r="CO108" i="571"/>
  <c r="DT111" i="617"/>
  <c r="DT121" i="617"/>
  <c r="DT126" i="617"/>
  <c r="DX121" i="617"/>
  <c r="DX111" i="617"/>
  <c r="DX126" i="617"/>
  <c r="DI147" i="571"/>
  <c r="DN147" i="571" s="1"/>
  <c r="DD142" i="571"/>
  <c r="DD87" i="571"/>
  <c r="DV40" i="613"/>
  <c r="DV112" i="617"/>
  <c r="EA121" i="617" s="1"/>
  <c r="DV20" i="613"/>
  <c r="DV34" i="613"/>
  <c r="CQ130" i="571"/>
  <c r="CQ188" i="571"/>
  <c r="CQ222" i="571"/>
  <c r="CI144" i="571"/>
  <c r="CI154" i="571"/>
  <c r="G32" i="559" s="1"/>
  <c r="CI150" i="571"/>
  <c r="CI58" i="617"/>
  <c r="CI81" i="617" s="1"/>
  <c r="CI168" i="571"/>
  <c r="CI165" i="571"/>
  <c r="CI166" i="571" s="1"/>
  <c r="CT119" i="571"/>
  <c r="CT118" i="571"/>
  <c r="CW152" i="25"/>
  <c r="DC97" i="571"/>
  <c r="DC77" i="571"/>
  <c r="DG77" i="617"/>
  <c r="DB84" i="617"/>
  <c r="DO116" i="617"/>
  <c r="DO128" i="617" s="1"/>
  <c r="DO52" i="613"/>
  <c r="DO53" i="613" s="1"/>
  <c r="CG154" i="571"/>
  <c r="DN112" i="617"/>
  <c r="DN48" i="613"/>
  <c r="DN49" i="613" s="1"/>
  <c r="DW67" i="25"/>
  <c r="EB67" i="25" s="1"/>
  <c r="DR198" i="571"/>
  <c r="CJ82" i="617"/>
  <c r="CJ75" i="617"/>
  <c r="CJ55" i="617"/>
  <c r="CR153" i="25"/>
  <c r="DW177" i="571"/>
  <c r="DW158" i="571"/>
  <c r="DL131" i="25" l="1"/>
  <c r="DM130" i="25"/>
  <c r="R120" i="25"/>
  <c r="AJ111" i="25"/>
  <c r="CC130" i="25"/>
  <c r="DK87" i="25"/>
  <c r="DC76" i="617"/>
  <c r="CE20" i="617"/>
  <c r="R92" i="25"/>
  <c r="BI113" i="25"/>
  <c r="BN113" i="25"/>
  <c r="AN111" i="25"/>
  <c r="BS123" i="25"/>
  <c r="BS92" i="25"/>
  <c r="CV134" i="571"/>
  <c r="CI216" i="571"/>
  <c r="Z92" i="25"/>
  <c r="AI261" i="25"/>
  <c r="AI263" i="25" s="1"/>
  <c r="AI100" i="25"/>
  <c r="AI111" i="25" s="1"/>
  <c r="AI87" i="25"/>
  <c r="BS46" i="25"/>
  <c r="BS124" i="25" s="1"/>
  <c r="BS398" i="25"/>
  <c r="W20" i="559"/>
  <c r="CY91" i="25"/>
  <c r="CY22" i="617"/>
  <c r="CY398" i="25"/>
  <c r="CY46" i="25"/>
  <c r="DD93" i="25" s="1"/>
  <c r="CY105" i="25"/>
  <c r="CY113" i="25" s="1"/>
  <c r="AN87" i="25"/>
  <c r="AJ130" i="25"/>
  <c r="CZ122" i="25"/>
  <c r="BJ113" i="25"/>
  <c r="BI398" i="25"/>
  <c r="BI46" i="25"/>
  <c r="BI124" i="25" s="1"/>
  <c r="BI45" i="25"/>
  <c r="BN92" i="25"/>
  <c r="BI92" i="25"/>
  <c r="BI123" i="25"/>
  <c r="CY314" i="25"/>
  <c r="CY313" i="25"/>
  <c r="BI111" i="25"/>
  <c r="BN111" i="25"/>
  <c r="BX113" i="25"/>
  <c r="DF112" i="25"/>
  <c r="Z130" i="25"/>
  <c r="AK123" i="25"/>
  <c r="BB111" i="25"/>
  <c r="R132" i="25"/>
  <c r="L124" i="25"/>
  <c r="EB34" i="613"/>
  <c r="EB20" i="613"/>
  <c r="EE20" i="613" s="1"/>
  <c r="EB112" i="617"/>
  <c r="EB40" i="613"/>
  <c r="AX100" i="25"/>
  <c r="BC111" i="25" s="1"/>
  <c r="AX261" i="25"/>
  <c r="AX263" i="25" s="1"/>
  <c r="BC87" i="25"/>
  <c r="CX395" i="25"/>
  <c r="CX289" i="25"/>
  <c r="CX391" i="25"/>
  <c r="CM194" i="571"/>
  <c r="CM205" i="571" s="1"/>
  <c r="CM59" i="617"/>
  <c r="CM61" i="617" s="1"/>
  <c r="CM75" i="617" s="1"/>
  <c r="CM204" i="571"/>
  <c r="CV87" i="25"/>
  <c r="CD123" i="25"/>
  <c r="AA104" i="25"/>
  <c r="AA41" i="25"/>
  <c r="AF90" i="25"/>
  <c r="AA43" i="25"/>
  <c r="AB123" i="25" s="1"/>
  <c r="AB122" i="25"/>
  <c r="AA90" i="25"/>
  <c r="DP16" i="613"/>
  <c r="AP113" i="25"/>
  <c r="CG285" i="25"/>
  <c r="CG287" i="25" s="1"/>
  <c r="CF154" i="571"/>
  <c r="CF150" i="571"/>
  <c r="CF144" i="571"/>
  <c r="CM118" i="571"/>
  <c r="CN119" i="571"/>
  <c r="DG147" i="571"/>
  <c r="DB87" i="571"/>
  <c r="DB142" i="571"/>
  <c r="W405" i="25"/>
  <c r="W132" i="25"/>
  <c r="X132" i="25"/>
  <c r="Y100" i="25"/>
  <c r="Y261" i="25"/>
  <c r="Y263" i="25" s="1"/>
  <c r="AD87" i="25"/>
  <c r="CS119" i="571"/>
  <c r="CR118" i="571"/>
  <c r="CH82" i="617"/>
  <c r="CH75" i="617"/>
  <c r="CH55" i="617"/>
  <c r="CP87" i="571"/>
  <c r="CP97" i="571"/>
  <c r="CP77" i="571"/>
  <c r="CQ82" i="571"/>
  <c r="CP84" i="571"/>
  <c r="CH166" i="571"/>
  <c r="EE13" i="613"/>
  <c r="EE16" i="613"/>
  <c r="EE39" i="613"/>
  <c r="EE33" i="613"/>
  <c r="CM149" i="571"/>
  <c r="CM113" i="571"/>
  <c r="CF113" i="571"/>
  <c r="CG89" i="571"/>
  <c r="CG113" i="571" s="1"/>
  <c r="CW82" i="571"/>
  <c r="CW111" i="571"/>
  <c r="DD72" i="571"/>
  <c r="DF71" i="571"/>
  <c r="AF92" i="25"/>
  <c r="AA92" i="25"/>
  <c r="AA100" i="25"/>
  <c r="AA130" i="25" s="1"/>
  <c r="AF87" i="25"/>
  <c r="AB120" i="25"/>
  <c r="AA87" i="25"/>
  <c r="W45" i="25"/>
  <c r="AB92" i="25" s="1"/>
  <c r="Y31" i="25"/>
  <c r="CS280" i="25"/>
  <c r="CS290" i="25"/>
  <c r="CS406" i="25"/>
  <c r="CS313" i="25" s="1"/>
  <c r="CS356" i="25"/>
  <c r="CS370" i="25" s="1"/>
  <c r="CS43" i="25"/>
  <c r="CS123" i="25" s="1"/>
  <c r="R104" i="25"/>
  <c r="R113" i="25" s="1"/>
  <c r="R41" i="25"/>
  <c r="R43" i="25"/>
  <c r="S123" i="25" s="1"/>
  <c r="R111" i="25"/>
  <c r="EE35" i="613"/>
  <c r="EE41" i="613"/>
  <c r="DE37" i="571"/>
  <c r="DE64" i="571"/>
  <c r="DF36" i="571"/>
  <c r="DF48" i="571" s="1"/>
  <c r="CL147" i="571"/>
  <c r="CL97" i="571"/>
  <c r="CL77" i="571"/>
  <c r="CK111" i="571"/>
  <c r="CM119" i="571" s="1"/>
  <c r="CL87" i="571"/>
  <c r="CL111" i="571" s="1"/>
  <c r="BZ98" i="571"/>
  <c r="BZ129" i="571"/>
  <c r="BZ112" i="571"/>
  <c r="BZ78" i="571"/>
  <c r="BZ79" i="571" s="1"/>
  <c r="CB65" i="571"/>
  <c r="CL98" i="571"/>
  <c r="CL148" i="571"/>
  <c r="CL153" i="571" s="1"/>
  <c r="J31" i="559" s="1"/>
  <c r="DD130" i="25"/>
  <c r="DC111" i="25"/>
  <c r="DC130" i="25"/>
  <c r="CF165" i="571"/>
  <c r="CF166" i="571" s="1"/>
  <c r="CF58" i="617"/>
  <c r="CF168" i="571"/>
  <c r="DL75" i="611"/>
  <c r="DJ79" i="611"/>
  <c r="DE395" i="25"/>
  <c r="DE289" i="25"/>
  <c r="DE291" i="25" s="1"/>
  <c r="DE391" i="25"/>
  <c r="DE393" i="25" s="1"/>
  <c r="CM101" i="571"/>
  <c r="K56" i="559" s="1"/>
  <c r="DD65" i="571"/>
  <c r="DF64" i="571"/>
  <c r="W41" i="25"/>
  <c r="W104" i="25"/>
  <c r="AB90" i="25"/>
  <c r="W90" i="25"/>
  <c r="W43" i="25"/>
  <c r="W122" i="25"/>
  <c r="X122" i="25"/>
  <c r="CP88" i="571"/>
  <c r="CP98" i="571"/>
  <c r="CP78" i="571"/>
  <c r="CQ83" i="571"/>
  <c r="CH162" i="571"/>
  <c r="F36" i="559"/>
  <c r="DE44" i="571"/>
  <c r="DF44" i="571" s="1"/>
  <c r="DE71" i="571"/>
  <c r="DE72" i="571" s="1"/>
  <c r="CK99" i="571"/>
  <c r="CK101" i="571" s="1"/>
  <c r="I56" i="559" s="1"/>
  <c r="CK149" i="571"/>
  <c r="CK161" i="571"/>
  <c r="CK57" i="617"/>
  <c r="CK80" i="617" s="1"/>
  <c r="CK189" i="571"/>
  <c r="CL84" i="571"/>
  <c r="CL99" i="571" s="1"/>
  <c r="CK79" i="571"/>
  <c r="CX76" i="617"/>
  <c r="CS83" i="617"/>
  <c r="CM168" i="571"/>
  <c r="CM165" i="571"/>
  <c r="CM166" i="571" s="1"/>
  <c r="CM58" i="617"/>
  <c r="CM81" i="617" s="1"/>
  <c r="CG161" i="571"/>
  <c r="DF37" i="571"/>
  <c r="AA405" i="25"/>
  <c r="AB132" i="25"/>
  <c r="CX148" i="571"/>
  <c r="CS88" i="571"/>
  <c r="CS143" i="571"/>
  <c r="W100" i="25"/>
  <c r="W111" i="25" s="1"/>
  <c r="W87" i="25"/>
  <c r="AB87" i="25"/>
  <c r="W120" i="25"/>
  <c r="X120" i="25"/>
  <c r="CU143" i="571"/>
  <c r="CU88" i="571"/>
  <c r="CZ148" i="571"/>
  <c r="CS398" i="25"/>
  <c r="Q20" i="559"/>
  <c r="CS22" i="617"/>
  <c r="CS46" i="25"/>
  <c r="CS91" i="25"/>
  <c r="CS105" i="25"/>
  <c r="CT122" i="25"/>
  <c r="CL79" i="571"/>
  <c r="DY42" i="613"/>
  <c r="ED42" i="613" s="1"/>
  <c r="DT58" i="613"/>
  <c r="CQ277" i="25"/>
  <c r="CQ276" i="25"/>
  <c r="U41" i="25"/>
  <c r="U104" i="25"/>
  <c r="V122" i="25"/>
  <c r="CR77" i="571"/>
  <c r="CR97" i="571"/>
  <c r="CB128" i="571"/>
  <c r="CB77" i="571"/>
  <c r="CB97" i="571"/>
  <c r="CK89" i="571"/>
  <c r="CK112" i="571"/>
  <c r="CM122" i="571" s="1"/>
  <c r="CL88" i="571"/>
  <c r="CL112" i="571" s="1"/>
  <c r="T103" i="25"/>
  <c r="T405" i="25" s="1"/>
  <c r="T79" i="25"/>
  <c r="T87" i="25" s="1"/>
  <c r="T30" i="25"/>
  <c r="CZ147" i="571"/>
  <c r="CU142" i="571"/>
  <c r="CU87" i="571"/>
  <c r="AX43" i="25"/>
  <c r="BC92" i="25" s="1"/>
  <c r="AX33" i="25"/>
  <c r="CX290" i="25"/>
  <c r="CX41" i="25"/>
  <c r="CX43" i="25"/>
  <c r="CX280" i="25"/>
  <c r="CX285" i="25" s="1"/>
  <c r="CX287" i="25" s="1"/>
  <c r="CX406" i="25"/>
  <c r="CC162" i="571"/>
  <c r="CH169" i="571"/>
  <c r="DQ182" i="571"/>
  <c r="DU182" i="571" s="1"/>
  <c r="DU181" i="571"/>
  <c r="DV181" i="571"/>
  <c r="DK68" i="25"/>
  <c r="DG8" i="571"/>
  <c r="AD11" i="559"/>
  <c r="DK8" i="571"/>
  <c r="CO55" i="617"/>
  <c r="CO82" i="617"/>
  <c r="BY134" i="571"/>
  <c r="DF18" i="617"/>
  <c r="DF38" i="617"/>
  <c r="BG113" i="25"/>
  <c r="BB113" i="25"/>
  <c r="AN92" i="25"/>
  <c r="AW113" i="25"/>
  <c r="CI25" i="617"/>
  <c r="CN33" i="617" s="1"/>
  <c r="CI39" i="617"/>
  <c r="CI20" i="617"/>
  <c r="CI42" i="617" s="1"/>
  <c r="BB398" i="25"/>
  <c r="BB46" i="25"/>
  <c r="BD124" i="25" s="1"/>
  <c r="AW46" i="25"/>
  <c r="AY124" i="25" s="1"/>
  <c r="AW398" i="25"/>
  <c r="CI391" i="25"/>
  <c r="CI289" i="25"/>
  <c r="CI291" i="25" s="1"/>
  <c r="CT113" i="25"/>
  <c r="CO132" i="25"/>
  <c r="CI304" i="25"/>
  <c r="G21" i="559"/>
  <c r="L67" i="559" s="1"/>
  <c r="AW45" i="25"/>
  <c r="BB45" i="25"/>
  <c r="BG92" i="25"/>
  <c r="BB92" i="25"/>
  <c r="BD123" i="25"/>
  <c r="AL46" i="25"/>
  <c r="AM124" i="25" s="1"/>
  <c r="AL398" i="25"/>
  <c r="BL78" i="25"/>
  <c r="BL79" i="25" s="1"/>
  <c r="BL87" i="25" s="1"/>
  <c r="BM281" i="25"/>
  <c r="BM272" i="25"/>
  <c r="BJ78" i="25"/>
  <c r="CK113" i="25"/>
  <c r="AL124" i="25"/>
  <c r="CO289" i="25"/>
  <c r="CO291" i="25" s="1"/>
  <c r="CO391" i="25"/>
  <c r="CJ93" i="25"/>
  <c r="CE304" i="25"/>
  <c r="CO25" i="617"/>
  <c r="CO33" i="617" s="1"/>
  <c r="CO32" i="617"/>
  <c r="CO39" i="617"/>
  <c r="CO20" i="617"/>
  <c r="CO42" i="617" s="1"/>
  <c r="CQ304" i="25"/>
  <c r="CV303" i="25"/>
  <c r="CQ303" i="25"/>
  <c r="CK25" i="617"/>
  <c r="CK39" i="617"/>
  <c r="CK20" i="617"/>
  <c r="CK42" i="617" s="1"/>
  <c r="DJ122" i="25"/>
  <c r="AR113" i="25"/>
  <c r="CK32" i="617"/>
  <c r="CJ32" i="617"/>
  <c r="CE25" i="617"/>
  <c r="CJ33" i="617" s="1"/>
  <c r="CM124" i="25"/>
  <c r="CK304" i="25"/>
  <c r="I21" i="559"/>
  <c r="N67" i="559" s="1"/>
  <c r="CK124" i="25"/>
  <c r="CP93" i="25"/>
  <c r="AQ111" i="25"/>
  <c r="AM130" i="25"/>
  <c r="DK100" i="25"/>
  <c r="DK111" i="25" s="1"/>
  <c r="CK33" i="617"/>
  <c r="DO282" i="25"/>
  <c r="DO285" i="25" s="1"/>
  <c r="DO370" i="25"/>
  <c r="CO236" i="25"/>
  <c r="CP236" i="25" s="1"/>
  <c r="CQ236" i="25" s="1"/>
  <c r="CO254" i="25"/>
  <c r="CO253" i="25" s="1"/>
  <c r="CO252" i="25" s="1"/>
  <c r="CO259" i="25" s="1"/>
  <c r="BG100" i="25"/>
  <c r="BG130" i="25" s="1"/>
  <c r="BI120" i="25"/>
  <c r="BG87" i="25"/>
  <c r="AL45" i="25"/>
  <c r="AQ92" i="25"/>
  <c r="Z111" i="25"/>
  <c r="CK289" i="25"/>
  <c r="CK291" i="25" s="1"/>
  <c r="CK391" i="25"/>
  <c r="CE289" i="25"/>
  <c r="CE291" i="25" s="1"/>
  <c r="CE391" i="25"/>
  <c r="CA111" i="25"/>
  <c r="CF111" i="25"/>
  <c r="Z43" i="25"/>
  <c r="AA122" i="25"/>
  <c r="Z90" i="25"/>
  <c r="Z41" i="25"/>
  <c r="Z104" i="25"/>
  <c r="Z113" i="25" s="1"/>
  <c r="Z122" i="25"/>
  <c r="BE45" i="25"/>
  <c r="EE51" i="25"/>
  <c r="AZ41" i="25"/>
  <c r="AZ104" i="25"/>
  <c r="AZ113" i="25" s="1"/>
  <c r="AZ45" i="25"/>
  <c r="AZ90" i="25"/>
  <c r="AZ122" i="25"/>
  <c r="BA122" i="25"/>
  <c r="BE90" i="25"/>
  <c r="CL41" i="25"/>
  <c r="CL104" i="25"/>
  <c r="CL90" i="25"/>
  <c r="CL33" i="25"/>
  <c r="CH112" i="25"/>
  <c r="CH131" i="25"/>
  <c r="CI131" i="25"/>
  <c r="CM112" i="25"/>
  <c r="DI122" i="25"/>
  <c r="P46" i="25"/>
  <c r="P124" i="25" s="1"/>
  <c r="P398" i="25"/>
  <c r="AT46" i="25"/>
  <c r="AT398" i="25"/>
  <c r="AE46" i="25"/>
  <c r="AF124" i="25" s="1"/>
  <c r="AE398" i="25"/>
  <c r="BF46" i="25"/>
  <c r="BF398" i="25"/>
  <c r="CH92" i="25"/>
  <c r="CI123" i="25"/>
  <c r="CL43" i="25"/>
  <c r="CQ92" i="25" s="1"/>
  <c r="CH123" i="25"/>
  <c r="BJ92" i="25"/>
  <c r="BJ45" i="25"/>
  <c r="BJ123" i="25"/>
  <c r="BT130" i="25"/>
  <c r="BT111" i="25"/>
  <c r="BY111" i="25"/>
  <c r="CC398" i="25"/>
  <c r="CC22" i="617"/>
  <c r="CC46" i="25"/>
  <c r="CC105" i="25"/>
  <c r="CC132" i="25" s="1"/>
  <c r="BH33" i="25"/>
  <c r="BM90" i="25" s="1"/>
  <c r="CW18" i="617"/>
  <c r="CW38" i="617"/>
  <c r="DB31" i="617"/>
  <c r="CW31" i="617"/>
  <c r="BV398" i="25"/>
  <c r="BV46" i="25"/>
  <c r="BX124" i="25" s="1"/>
  <c r="CA92" i="25"/>
  <c r="BV92" i="25"/>
  <c r="AR46" i="25"/>
  <c r="AR124" i="25" s="1"/>
  <c r="AR398" i="25"/>
  <c r="AJ45" i="25"/>
  <c r="AO92" i="25"/>
  <c r="BY105" i="25"/>
  <c r="BY398" i="25"/>
  <c r="BY46" i="25"/>
  <c r="BY124" i="25" s="1"/>
  <c r="BE92" i="25"/>
  <c r="AZ123" i="25"/>
  <c r="AZ92" i="25"/>
  <c r="CQ22" i="617"/>
  <c r="CQ20" i="617" s="1"/>
  <c r="CQ42" i="617" s="1"/>
  <c r="CQ105" i="25"/>
  <c r="CQ91" i="25"/>
  <c r="CQ52" i="25"/>
  <c r="O20" i="559"/>
  <c r="CQ398" i="25"/>
  <c r="BR261" i="25"/>
  <c r="BR263" i="25" s="1"/>
  <c r="BR100" i="25"/>
  <c r="CR290" i="25"/>
  <c r="CR406" i="25"/>
  <c r="CR356" i="25"/>
  <c r="CR280" i="25"/>
  <c r="CR285" i="25" s="1"/>
  <c r="CR287" i="25" s="1"/>
  <c r="CW131" i="25"/>
  <c r="DB112" i="25"/>
  <c r="CX131" i="25"/>
  <c r="CW112" i="25"/>
  <c r="BO45" i="25"/>
  <c r="BO92" i="25"/>
  <c r="BO123" i="25"/>
  <c r="BP46" i="25"/>
  <c r="BQ124" i="25" s="1"/>
  <c r="BP398" i="25"/>
  <c r="M46" i="25"/>
  <c r="M124" i="25" s="1"/>
  <c r="M398" i="25"/>
  <c r="CH406" i="25"/>
  <c r="CH313" i="25" s="1"/>
  <c r="CH356" i="25"/>
  <c r="CH280" i="25"/>
  <c r="CH285" i="25" s="1"/>
  <c r="CH287" i="25" s="1"/>
  <c r="CH290" i="25"/>
  <c r="J51" i="559"/>
  <c r="O58" i="559" s="1"/>
  <c r="O64" i="559"/>
  <c r="CM123" i="25"/>
  <c r="CM45" i="25"/>
  <c r="CQ45" i="25" s="1"/>
  <c r="CM92" i="25"/>
  <c r="CN123" i="25"/>
  <c r="CQ90" i="25"/>
  <c r="BW280" i="25"/>
  <c r="BW285" i="25" s="1"/>
  <c r="BW287" i="25" s="1"/>
  <c r="BW290" i="25"/>
  <c r="BW291" i="25" s="1"/>
  <c r="BW43" i="25"/>
  <c r="BW406" i="25"/>
  <c r="BW313" i="25" s="1"/>
  <c r="BW304" i="25"/>
  <c r="BW41" i="25"/>
  <c r="BW104" i="25"/>
  <c r="S46" i="25"/>
  <c r="S398" i="25"/>
  <c r="CR123" i="25"/>
  <c r="AP46" i="25"/>
  <c r="AQ124" i="25" s="1"/>
  <c r="AP398" i="25"/>
  <c r="CL36" i="617"/>
  <c r="CL15" i="617"/>
  <c r="CQ29" i="617"/>
  <c r="CL10" i="617"/>
  <c r="CM356" i="25"/>
  <c r="CM290" i="25"/>
  <c r="CM406" i="25"/>
  <c r="CM313" i="25" s="1"/>
  <c r="CM280" i="25"/>
  <c r="CM285" i="25" s="1"/>
  <c r="CM287" i="25" s="1"/>
  <c r="BH261" i="25"/>
  <c r="BH263" i="25" s="1"/>
  <c r="BH100" i="25"/>
  <c r="BE46" i="25"/>
  <c r="BE124" i="25" s="1"/>
  <c r="BE398" i="25"/>
  <c r="AR123" i="25"/>
  <c r="AR45" i="25"/>
  <c r="AW92" i="25"/>
  <c r="BO130" i="25"/>
  <c r="CQ295" i="25"/>
  <c r="CQ297" i="25"/>
  <c r="BR33" i="25"/>
  <c r="BR45" i="25"/>
  <c r="AL113" i="25"/>
  <c r="AG113" i="25"/>
  <c r="CW290" i="25"/>
  <c r="CW280" i="25"/>
  <c r="CW285" i="25" s="1"/>
  <c r="CW287" i="25" s="1"/>
  <c r="CW43" i="25"/>
  <c r="CW41" i="25"/>
  <c r="CW406" i="25"/>
  <c r="BE130" i="25"/>
  <c r="BE111" i="25"/>
  <c r="CQ89" i="25"/>
  <c r="CL102" i="25"/>
  <c r="CQ112" i="25" s="1"/>
  <c r="CR22" i="617"/>
  <c r="CR398" i="25"/>
  <c r="P20" i="559"/>
  <c r="CR105" i="25"/>
  <c r="CR132" i="25" s="1"/>
  <c r="CR91" i="25"/>
  <c r="CR46" i="25"/>
  <c r="CS122" i="25"/>
  <c r="U22" i="559"/>
  <c r="CW100" i="25"/>
  <c r="DB87" i="25"/>
  <c r="CW261" i="25"/>
  <c r="CW263" i="25" s="1"/>
  <c r="CW120" i="25"/>
  <c r="CX120" i="25"/>
  <c r="CW87" i="25"/>
  <c r="BO113" i="25"/>
  <c r="CB104" i="25"/>
  <c r="CG90" i="25"/>
  <c r="CB45" i="25"/>
  <c r="CB33" i="25"/>
  <c r="CB90" i="25"/>
  <c r="CB41" i="25"/>
  <c r="CH18" i="617"/>
  <c r="CH31" i="617"/>
  <c r="CH38" i="617"/>
  <c r="AG111" i="25"/>
  <c r="AG130" i="25"/>
  <c r="AL111" i="25"/>
  <c r="CM22" i="617"/>
  <c r="CM398" i="25"/>
  <c r="CM105" i="25"/>
  <c r="K20" i="559"/>
  <c r="CM122" i="25"/>
  <c r="CM91" i="25"/>
  <c r="CN122" i="25"/>
  <c r="BV113" i="25"/>
  <c r="CA113" i="25"/>
  <c r="O100" i="25"/>
  <c r="O87" i="25"/>
  <c r="AG46" i="25"/>
  <c r="AG398" i="25"/>
  <c r="CR92" i="25"/>
  <c r="CR45" i="25"/>
  <c r="Z58" i="559"/>
  <c r="U58" i="559"/>
  <c r="DJ291" i="25"/>
  <c r="Q46" i="25"/>
  <c r="Q398" i="25"/>
  <c r="BA46" i="25"/>
  <c r="BB124" i="25" s="1"/>
  <c r="BA398" i="25"/>
  <c r="BK46" i="25"/>
  <c r="BK398" i="25"/>
  <c r="BH87" i="25"/>
  <c r="CH398" i="25"/>
  <c r="CH105" i="25"/>
  <c r="CH22" i="617"/>
  <c r="CH46" i="25"/>
  <c r="F20" i="559"/>
  <c r="CH91" i="25"/>
  <c r="CI122" i="25"/>
  <c r="CH122" i="25"/>
  <c r="BJ46" i="25"/>
  <c r="BJ124" i="25" s="1"/>
  <c r="BJ398" i="25"/>
  <c r="AZ130" i="25"/>
  <c r="AZ111" i="25"/>
  <c r="BA130" i="25"/>
  <c r="CC406" i="25"/>
  <c r="CC313" i="25" s="1"/>
  <c r="CC122" i="25"/>
  <c r="CC290" i="25"/>
  <c r="CC356" i="25"/>
  <c r="CC370" i="25" s="1"/>
  <c r="CC280" i="25"/>
  <c r="CC285" i="25" s="1"/>
  <c r="CC287" i="25" s="1"/>
  <c r="AW111" i="25"/>
  <c r="AR130" i="25"/>
  <c r="AT130" i="25"/>
  <c r="AR111" i="25"/>
  <c r="AJ46" i="25"/>
  <c r="AJ124" i="25" s="1"/>
  <c r="AJ398" i="25"/>
  <c r="BY290" i="25"/>
  <c r="BY43" i="25"/>
  <c r="BZ123" i="25" s="1"/>
  <c r="BY406" i="25"/>
  <c r="BY313" i="25" s="1"/>
  <c r="BY280" i="25"/>
  <c r="BY285" i="25" s="1"/>
  <c r="BY287" i="25" s="1"/>
  <c r="BY356" i="25"/>
  <c r="BY370" i="25" s="1"/>
  <c r="AS33" i="25"/>
  <c r="AS90" i="25" s="1"/>
  <c r="AS43" i="25"/>
  <c r="AX92" i="25" s="1"/>
  <c r="AS356" i="25"/>
  <c r="AS370" i="25" s="1"/>
  <c r="CQ280" i="25"/>
  <c r="CQ285" i="25" s="1"/>
  <c r="CQ287" i="25" s="1"/>
  <c r="CQ290" i="25"/>
  <c r="CQ406" i="25"/>
  <c r="AG123" i="25"/>
  <c r="AG45" i="25"/>
  <c r="CW370" i="25"/>
  <c r="DA356" i="25"/>
  <c r="DA370" i="25" s="1"/>
  <c r="BT290" i="25"/>
  <c r="BT291" i="25" s="1"/>
  <c r="BT104" i="25"/>
  <c r="BT280" i="25"/>
  <c r="BT285" i="25" s="1"/>
  <c r="BT287" i="25" s="1"/>
  <c r="BT41" i="25"/>
  <c r="BT406" i="25"/>
  <c r="BT43" i="25"/>
  <c r="BT122" i="25"/>
  <c r="BW90" i="25"/>
  <c r="DA83" i="617"/>
  <c r="DA76" i="617"/>
  <c r="CH120" i="25"/>
  <c r="CH261" i="25"/>
  <c r="CH263" i="25" s="1"/>
  <c r="CI120" i="25"/>
  <c r="CH100" i="25"/>
  <c r="CM87" i="25"/>
  <c r="CL79" i="25"/>
  <c r="CH87" i="25"/>
  <c r="F22" i="559"/>
  <c r="J22" i="559" s="1"/>
  <c r="BO46" i="25"/>
  <c r="BO124" i="25" s="1"/>
  <c r="BO398" i="25"/>
  <c r="CD169" i="571"/>
  <c r="CD162" i="571"/>
  <c r="BX162" i="571"/>
  <c r="CB162" i="571" s="1"/>
  <c r="CB168" i="571" s="1"/>
  <c r="CC169" i="571"/>
  <c r="AI22" i="559"/>
  <c r="DK261" i="25"/>
  <c r="DL120" i="25"/>
  <c r="BY154" i="571"/>
  <c r="BT144" i="571"/>
  <c r="BS144" i="571"/>
  <c r="BX154" i="571"/>
  <c r="BT168" i="571"/>
  <c r="BT165" i="571"/>
  <c r="BY166" i="571" s="1"/>
  <c r="BS165" i="571"/>
  <c r="BX166" i="571" s="1"/>
  <c r="BS168" i="571"/>
  <c r="DW52" i="617"/>
  <c r="DW73" i="617" s="1"/>
  <c r="EB159" i="571"/>
  <c r="DV26" i="613"/>
  <c r="DW23" i="613"/>
  <c r="EE20" i="571"/>
  <c r="DJ45" i="25"/>
  <c r="DO92" i="25"/>
  <c r="DO91" i="25"/>
  <c r="DJ46" i="25"/>
  <c r="DJ124" i="25" s="1"/>
  <c r="DJ22" i="617"/>
  <c r="DJ105" i="25"/>
  <c r="DO113" i="25" s="1"/>
  <c r="AH20" i="559"/>
  <c r="DJ313" i="25"/>
  <c r="DJ314" i="25"/>
  <c r="DF267" i="25"/>
  <c r="DF263" i="25"/>
  <c r="AP45" i="25"/>
  <c r="AQ123" i="25"/>
  <c r="AP123" i="25"/>
  <c r="AU92" i="25"/>
  <c r="BX130" i="25"/>
  <c r="CC111" i="25"/>
  <c r="BX111" i="25"/>
  <c r="BY130" i="25"/>
  <c r="BZ261" i="25"/>
  <c r="BZ263" i="25" s="1"/>
  <c r="BZ100" i="25"/>
  <c r="CE111" i="25" s="1"/>
  <c r="BZ87" i="25"/>
  <c r="BZ120" i="25"/>
  <c r="CA120" i="25"/>
  <c r="DV330" i="25"/>
  <c r="EA325" i="25"/>
  <c r="DV331" i="25"/>
  <c r="EA326" i="25"/>
  <c r="DW331" i="25"/>
  <c r="EB326" i="25"/>
  <c r="DA112" i="25"/>
  <c r="DA87" i="25"/>
  <c r="CV100" i="25"/>
  <c r="CV111" i="25" s="1"/>
  <c r="AP92" i="25"/>
  <c r="AV104" i="25"/>
  <c r="AV113" i="25" s="1"/>
  <c r="AW122" i="25"/>
  <c r="AV90" i="25"/>
  <c r="AV45" i="25"/>
  <c r="AV122" i="25"/>
  <c r="AV41" i="25"/>
  <c r="BF113" i="25"/>
  <c r="DF104" i="25"/>
  <c r="DF90" i="25"/>
  <c r="DF33" i="25"/>
  <c r="DK90" i="25"/>
  <c r="DA18" i="617"/>
  <c r="DA38" i="617"/>
  <c r="DF31" i="617"/>
  <c r="M123" i="25"/>
  <c r="N123" i="25"/>
  <c r="CG102" i="25"/>
  <c r="CG89" i="25"/>
  <c r="CL89" i="25"/>
  <c r="BZ131" i="25"/>
  <c r="CA131" i="25"/>
  <c r="CC92" i="25"/>
  <c r="BX123" i="25"/>
  <c r="BX92" i="25"/>
  <c r="CE87" i="25"/>
  <c r="BW100" i="25"/>
  <c r="BW111" i="25" s="1"/>
  <c r="BW261" i="25"/>
  <c r="BW263" i="25" s="1"/>
  <c r="BW87" i="25"/>
  <c r="AM92" i="25"/>
  <c r="BU235" i="25"/>
  <c r="BU254" i="25" s="1"/>
  <c r="BU253" i="25" s="1"/>
  <c r="BU252" i="25" s="1"/>
  <c r="BU259" i="25" s="1"/>
  <c r="BF130" i="25"/>
  <c r="BF111" i="25"/>
  <c r="Y58" i="559"/>
  <c r="AD58" i="559"/>
  <c r="BL124" i="25"/>
  <c r="CL141" i="25"/>
  <c r="CL143" i="25" s="1"/>
  <c r="CL407" i="25"/>
  <c r="AV130" i="25"/>
  <c r="AV111" i="25"/>
  <c r="AW130" i="25"/>
  <c r="BA111" i="25"/>
  <c r="DK105" i="25"/>
  <c r="DK22" i="617"/>
  <c r="AI20" i="559"/>
  <c r="DL122" i="25"/>
  <c r="CZ132" i="25"/>
  <c r="CZ113" i="25"/>
  <c r="CZ2" i="571"/>
  <c r="CZ304" i="25"/>
  <c r="X7" i="559"/>
  <c r="CZ2" i="613"/>
  <c r="CZ2" i="607"/>
  <c r="X21" i="559"/>
  <c r="X67" i="559" s="1"/>
  <c r="DV27" i="611"/>
  <c r="DW219" i="25"/>
  <c r="BX132" i="25"/>
  <c r="BY132" i="25"/>
  <c r="CC113" i="25"/>
  <c r="DA31" i="617"/>
  <c r="CV38" i="617"/>
  <c r="CV18" i="617"/>
  <c r="CD100" i="25"/>
  <c r="CE130" i="25" s="1"/>
  <c r="CG79" i="25"/>
  <c r="CD120" i="25"/>
  <c r="CD261" i="25"/>
  <c r="CD263" i="25" s="1"/>
  <c r="CD87" i="25"/>
  <c r="CI87" i="25"/>
  <c r="CE120" i="25"/>
  <c r="CZ39" i="617"/>
  <c r="CZ20" i="617"/>
  <c r="CZ42" i="617" s="1"/>
  <c r="CZ25" i="617"/>
  <c r="CZ33" i="617" s="1"/>
  <c r="EB198" i="571"/>
  <c r="DW330" i="25"/>
  <c r="EB325" i="25"/>
  <c r="T22" i="559"/>
  <c r="BF123" i="25"/>
  <c r="BF45" i="25"/>
  <c r="BH43" i="25"/>
  <c r="BH92" i="25" s="1"/>
  <c r="BF92" i="25"/>
  <c r="BG123" i="25"/>
  <c r="CY130" i="25"/>
  <c r="DD111" i="25"/>
  <c r="CZ130" i="25"/>
  <c r="CY111" i="25"/>
  <c r="Y22" i="559"/>
  <c r="DA100" i="25"/>
  <c r="DF111" i="25" s="1"/>
  <c r="DA261" i="25"/>
  <c r="BB123" i="25"/>
  <c r="BA45" i="25"/>
  <c r="BA92" i="25"/>
  <c r="BA123" i="25"/>
  <c r="EB295" i="25"/>
  <c r="DZ296" i="25"/>
  <c r="DZ298" i="25" s="1"/>
  <c r="BX289" i="25"/>
  <c r="BX291" i="25" s="1"/>
  <c r="BX391" i="25"/>
  <c r="BV130" i="25"/>
  <c r="BU130" i="25"/>
  <c r="BU111" i="25"/>
  <c r="R67" i="559"/>
  <c r="BV131" i="25"/>
  <c r="BU131" i="25"/>
  <c r="BP113" i="25"/>
  <c r="BK113" i="25"/>
  <c r="CK145" i="25"/>
  <c r="CL24" i="25"/>
  <c r="CL145" i="25" s="1"/>
  <c r="CL147" i="25" s="1"/>
  <c r="AD60" i="559"/>
  <c r="AI60" i="559"/>
  <c r="DK313" i="25"/>
  <c r="DK314" i="25"/>
  <c r="AV92" i="25"/>
  <c r="AW123" i="25"/>
  <c r="AV123" i="25"/>
  <c r="BM406" i="25"/>
  <c r="BM313" i="25" s="1"/>
  <c r="BM304" i="25"/>
  <c r="BM104" i="25"/>
  <c r="BM280" i="25"/>
  <c r="BM285" i="25" s="1"/>
  <c r="BM287" i="25" s="1"/>
  <c r="BM356" i="25"/>
  <c r="BM370" i="25" s="1"/>
  <c r="BM290" i="25"/>
  <c r="BM41" i="25"/>
  <c r="BM398" i="25" s="1"/>
  <c r="CG10" i="617"/>
  <c r="CG15" i="617"/>
  <c r="CL29" i="617"/>
  <c r="CB100" i="25"/>
  <c r="CB87" i="25"/>
  <c r="CB261" i="25"/>
  <c r="CB263" i="25" s="1"/>
  <c r="BK45" i="25"/>
  <c r="BK123" i="25"/>
  <c r="BK92" i="25"/>
  <c r="BL123" i="25"/>
  <c r="BM43" i="25"/>
  <c r="CZ32" i="617"/>
  <c r="BC290" i="25"/>
  <c r="BC41" i="25"/>
  <c r="BC398" i="25" s="1"/>
  <c r="BC280" i="25"/>
  <c r="BC285" i="25" s="1"/>
  <c r="BC287" i="25" s="1"/>
  <c r="BC356" i="25"/>
  <c r="BC370" i="25" s="1"/>
  <c r="BC406" i="25"/>
  <c r="BC313" i="25" s="1"/>
  <c r="BC45" i="25"/>
  <c r="BC104" i="25"/>
  <c r="BU290" i="25"/>
  <c r="BU291" i="25" s="1"/>
  <c r="BU41" i="25"/>
  <c r="BU280" i="25"/>
  <c r="BU285" i="25" s="1"/>
  <c r="BU287" i="25" s="1"/>
  <c r="BU104" i="25"/>
  <c r="BU122" i="25"/>
  <c r="BU406" i="25"/>
  <c r="BU43" i="25"/>
  <c r="BZ92" i="25" s="1"/>
  <c r="BV122" i="25"/>
  <c r="BQ123" i="25"/>
  <c r="BP92" i="25"/>
  <c r="BP45" i="25"/>
  <c r="BP123" i="25"/>
  <c r="CD112" i="25"/>
  <c r="CD131" i="25"/>
  <c r="CI112" i="25"/>
  <c r="CJ111" i="25"/>
  <c r="CF130" i="25"/>
  <c r="AP130" i="25"/>
  <c r="AU111" i="25"/>
  <c r="AQ130" i="25"/>
  <c r="CD18" i="617"/>
  <c r="CD20" i="617" s="1"/>
  <c r="CI31" i="617"/>
  <c r="DA41" i="25"/>
  <c r="DA398" i="25" s="1"/>
  <c r="DA406" i="25"/>
  <c r="DA280" i="25"/>
  <c r="DA285" i="25" s="1"/>
  <c r="DA287" i="25" s="1"/>
  <c r="DA290" i="25"/>
  <c r="BP130" i="25"/>
  <c r="BQ130" i="25"/>
  <c r="O33" i="25"/>
  <c r="T90" i="25" s="1"/>
  <c r="CT130" i="25"/>
  <c r="CX111" i="25"/>
  <c r="CS111" i="25"/>
  <c r="CV68" i="571"/>
  <c r="CJ216" i="571"/>
  <c r="CV130" i="571"/>
  <c r="CV222" i="571"/>
  <c r="CV188" i="571"/>
  <c r="CQ68" i="571"/>
  <c r="CT148" i="571"/>
  <c r="R92" i="559"/>
  <c r="R31" i="559" s="1"/>
  <c r="AM13" i="559"/>
  <c r="CL68" i="571"/>
  <c r="CL188" i="571"/>
  <c r="CL130" i="571"/>
  <c r="CL222" i="571"/>
  <c r="CH343" i="25"/>
  <c r="CI342" i="25"/>
  <c r="CG222" i="571"/>
  <c r="CG130" i="571"/>
  <c r="CG144" i="571" s="1"/>
  <c r="CG188" i="571"/>
  <c r="CG99" i="571"/>
  <c r="DA208" i="571"/>
  <c r="DA209" i="571"/>
  <c r="CL134" i="571"/>
  <c r="CQ342" i="25"/>
  <c r="CL343" i="25"/>
  <c r="CM342" i="25"/>
  <c r="CL257" i="25"/>
  <c r="CD343" i="25"/>
  <c r="CE342" i="25"/>
  <c r="CA342" i="25"/>
  <c r="CA343" i="25" s="1"/>
  <c r="BZ343" i="25"/>
  <c r="CG143" i="571"/>
  <c r="CO73" i="571"/>
  <c r="CO139" i="571" s="1"/>
  <c r="CO150" i="571" s="1"/>
  <c r="CQ72" i="571"/>
  <c r="CE113" i="25"/>
  <c r="BZ132" i="25"/>
  <c r="CA132" i="25"/>
  <c r="CP132" i="25"/>
  <c r="CP113" i="25"/>
  <c r="CP291" i="25"/>
  <c r="AN290" i="25"/>
  <c r="AN104" i="25"/>
  <c r="AN41" i="25"/>
  <c r="AN398" i="25" s="1"/>
  <c r="AN43" i="25"/>
  <c r="AN280" i="25"/>
  <c r="AN285" i="25" s="1"/>
  <c r="AN287" i="25" s="1"/>
  <c r="AN356" i="25"/>
  <c r="AN370" i="25" s="1"/>
  <c r="AN406" i="25"/>
  <c r="AN90" i="25"/>
  <c r="CP254" i="25"/>
  <c r="CP253" i="25" s="1"/>
  <c r="CP238" i="25"/>
  <c r="CP313" i="25" s="1"/>
  <c r="CQ235" i="25"/>
  <c r="DC2" i="607"/>
  <c r="DC304" i="25"/>
  <c r="AA7" i="559"/>
  <c r="DC2" i="571"/>
  <c r="DC2" i="613"/>
  <c r="AA21" i="559"/>
  <c r="DC124" i="25"/>
  <c r="AT124" i="25"/>
  <c r="AU124" i="25"/>
  <c r="CU395" i="25"/>
  <c r="CU391" i="25"/>
  <c r="CU289" i="25"/>
  <c r="CU291" i="25" s="1"/>
  <c r="AI280" i="25"/>
  <c r="AI285" i="25" s="1"/>
  <c r="AI287" i="25" s="1"/>
  <c r="AI90" i="25"/>
  <c r="AI356" i="25"/>
  <c r="AI370" i="25" s="1"/>
  <c r="AI41" i="25"/>
  <c r="AI290" i="25"/>
  <c r="AI43" i="25"/>
  <c r="AI104" i="25"/>
  <c r="AI113" i="25" s="1"/>
  <c r="AI406" i="25"/>
  <c r="X111" i="25"/>
  <c r="U130" i="25"/>
  <c r="S130" i="25"/>
  <c r="S111" i="25"/>
  <c r="AF123" i="25"/>
  <c r="AE123" i="25"/>
  <c r="AE45" i="25"/>
  <c r="AE113" i="25"/>
  <c r="AJ113" i="25"/>
  <c r="Q123" i="25"/>
  <c r="BZ289" i="25"/>
  <c r="BZ291" i="25" s="1"/>
  <c r="BZ391" i="25"/>
  <c r="DC132" i="25"/>
  <c r="T356" i="25"/>
  <c r="T370" i="25" s="1"/>
  <c r="T104" i="25"/>
  <c r="T41" i="25"/>
  <c r="T290" i="25"/>
  <c r="T406" i="25"/>
  <c r="T280" i="25"/>
  <c r="T285" i="25" s="1"/>
  <c r="T287" i="25" s="1"/>
  <c r="T45" i="25"/>
  <c r="CV406" i="25"/>
  <c r="CV280" i="25"/>
  <c r="CV285" i="25" s="1"/>
  <c r="CV287" i="25" s="1"/>
  <c r="CV290" i="25"/>
  <c r="CP25" i="617"/>
  <c r="CP39" i="617"/>
  <c r="CP32" i="617"/>
  <c r="CP20" i="617"/>
  <c r="CP42" i="617" s="1"/>
  <c r="BW112" i="571"/>
  <c r="U113" i="25"/>
  <c r="P113" i="25"/>
  <c r="DC39" i="617"/>
  <c r="DC25" i="617"/>
  <c r="DC20" i="617"/>
  <c r="DC42" i="617" s="1"/>
  <c r="Q111" i="25"/>
  <c r="V111" i="25"/>
  <c r="Q130" i="25"/>
  <c r="R130" i="25"/>
  <c r="CD304" i="25"/>
  <c r="CI93" i="25"/>
  <c r="CE124" i="25"/>
  <c r="CI32" i="617"/>
  <c r="CD25" i="617"/>
  <c r="CU113" i="25"/>
  <c r="CE92" i="25"/>
  <c r="CA123" i="25"/>
  <c r="CD285" i="25"/>
  <c r="CD287" i="25" s="1"/>
  <c r="Q113" i="25"/>
  <c r="V113" i="25"/>
  <c r="U123" i="25"/>
  <c r="AT113" i="25"/>
  <c r="AY113" i="25"/>
  <c r="CI113" i="25"/>
  <c r="CD132" i="25"/>
  <c r="CD113" i="25"/>
  <c r="CE132" i="25"/>
  <c r="CE93" i="25"/>
  <c r="CA124" i="25"/>
  <c r="CV22" i="617"/>
  <c r="CV105" i="25"/>
  <c r="T20" i="559"/>
  <c r="CV91" i="25"/>
  <c r="DA91" i="25"/>
  <c r="X113" i="25"/>
  <c r="CD370" i="25"/>
  <c r="DF68" i="25"/>
  <c r="AD39" i="559" s="1"/>
  <c r="CV267" i="25"/>
  <c r="CV263" i="25"/>
  <c r="DF83" i="617"/>
  <c r="DF76" i="617"/>
  <c r="DR50" i="25"/>
  <c r="DR24" i="617" s="1"/>
  <c r="AS111" i="25"/>
  <c r="DS121" i="617"/>
  <c r="DN142" i="571"/>
  <c r="BW78" i="571"/>
  <c r="BW79" i="571" s="1"/>
  <c r="BW129" i="571"/>
  <c r="BW149" i="571"/>
  <c r="CB154" i="571" s="1"/>
  <c r="BV113" i="571"/>
  <c r="BW89" i="571"/>
  <c r="DJ33" i="571"/>
  <c r="DJ39" i="571"/>
  <c r="DJ59" i="571"/>
  <c r="BW66" i="571"/>
  <c r="BW130" i="571" s="1"/>
  <c r="BW161" i="571"/>
  <c r="BW165" i="571" s="1"/>
  <c r="BV168" i="571"/>
  <c r="BV165" i="571"/>
  <c r="CA166" i="571" s="1"/>
  <c r="BW98" i="571"/>
  <c r="DI59" i="571"/>
  <c r="DI33" i="571"/>
  <c r="DI39" i="571"/>
  <c r="DI158" i="25"/>
  <c r="DI159" i="25" s="1"/>
  <c r="DI160" i="25" s="1"/>
  <c r="BW142" i="571"/>
  <c r="CB133" i="571"/>
  <c r="CA154" i="571"/>
  <c r="BV144" i="571"/>
  <c r="CA138" i="571"/>
  <c r="CB72" i="571"/>
  <c r="CB138" i="571" s="1"/>
  <c r="BV143" i="571"/>
  <c r="CA134" i="571"/>
  <c r="CB137" i="571"/>
  <c r="DK32" i="571"/>
  <c r="DZ20" i="571"/>
  <c r="DG123" i="25"/>
  <c r="DI39" i="617"/>
  <c r="DI25" i="617"/>
  <c r="DI32" i="617"/>
  <c r="DI20" i="617"/>
  <c r="DI42" i="617" s="1"/>
  <c r="DN113" i="25"/>
  <c r="DI113" i="25"/>
  <c r="DG113" i="25"/>
  <c r="DD2" i="607"/>
  <c r="DD124" i="25"/>
  <c r="AB21" i="559"/>
  <c r="AB7" i="559"/>
  <c r="DD2" i="613"/>
  <c r="DD2" i="571"/>
  <c r="DD304" i="25"/>
  <c r="DD113" i="25"/>
  <c r="DD132" i="25"/>
  <c r="DE92" i="25"/>
  <c r="DE123" i="25"/>
  <c r="DE45" i="25"/>
  <c r="DF45" i="25" s="1"/>
  <c r="DJ92" i="25"/>
  <c r="DH22" i="617"/>
  <c r="DH46" i="25"/>
  <c r="DI124" i="25" s="1"/>
  <c r="DH91" i="25"/>
  <c r="DH105" i="25"/>
  <c r="DH122" i="25"/>
  <c r="AF20" i="559"/>
  <c r="DM91" i="25"/>
  <c r="AE21" i="559"/>
  <c r="AE67" i="559" s="1"/>
  <c r="DG304" i="25"/>
  <c r="DG2" i="607"/>
  <c r="DG93" i="25"/>
  <c r="DG2" i="613"/>
  <c r="DG2" i="571"/>
  <c r="DL93" i="25"/>
  <c r="DE285" i="25"/>
  <c r="DE287" i="25" s="1"/>
  <c r="DM92" i="25"/>
  <c r="DH123" i="25"/>
  <c r="DH92" i="25"/>
  <c r="DH45" i="25"/>
  <c r="DH285" i="25"/>
  <c r="DH287" i="25" s="1"/>
  <c r="DJ111" i="25"/>
  <c r="DJ130" i="25"/>
  <c r="DD25" i="617"/>
  <c r="DD32" i="617"/>
  <c r="DD39" i="617"/>
  <c r="DD20" i="617"/>
  <c r="DD42" i="617" s="1"/>
  <c r="DE22" i="617"/>
  <c r="DE122" i="25"/>
  <c r="DE105" i="25"/>
  <c r="AC20" i="559"/>
  <c r="DE91" i="25"/>
  <c r="DE46" i="25"/>
  <c r="DJ91" i="25"/>
  <c r="DE313" i="25"/>
  <c r="DE314" i="25"/>
  <c r="DN93" i="25"/>
  <c r="DI2" i="613"/>
  <c r="DI93" i="25"/>
  <c r="DI2" i="607"/>
  <c r="AG21" i="559"/>
  <c r="DK43" i="25"/>
  <c r="DH314" i="25"/>
  <c r="DH313" i="25"/>
  <c r="AM162" i="25"/>
  <c r="AM166" i="25"/>
  <c r="DG32" i="617"/>
  <c r="DG39" i="617"/>
  <c r="DG25" i="617"/>
  <c r="DG33" i="617" s="1"/>
  <c r="DG20" i="617"/>
  <c r="DI111" i="25"/>
  <c r="DI130" i="25"/>
  <c r="DY271" i="25"/>
  <c r="DT372" i="25"/>
  <c r="DI123" i="25"/>
  <c r="DL57" i="611"/>
  <c r="DM55" i="611" s="1"/>
  <c r="DL92" i="611"/>
  <c r="DM90" i="611" s="1"/>
  <c r="DL93" i="611"/>
  <c r="DJ43" i="611"/>
  <c r="DL41" i="611" s="1"/>
  <c r="DJ58" i="611"/>
  <c r="DJ93" i="611"/>
  <c r="DH162" i="611"/>
  <c r="DH163" i="611" s="1"/>
  <c r="DH20" i="611" s="1"/>
  <c r="DN124" i="611"/>
  <c r="DM128" i="611"/>
  <c r="DL65" i="611"/>
  <c r="DL149" i="611"/>
  <c r="DM145" i="611"/>
  <c r="DJ50" i="611"/>
  <c r="DJ51" i="611"/>
  <c r="DO54" i="611"/>
  <c r="DO78" i="611"/>
  <c r="DQ76" i="611" s="1"/>
  <c r="DO40" i="611"/>
  <c r="DQ37" i="611"/>
  <c r="DL71" i="611"/>
  <c r="DM69" i="611" s="1"/>
  <c r="DM134" i="611"/>
  <c r="DN132" i="611" s="1"/>
  <c r="DM110" i="611"/>
  <c r="DL114" i="611"/>
  <c r="DI100" i="611"/>
  <c r="DM64" i="611"/>
  <c r="DN62" i="611" s="1"/>
  <c r="DJ107" i="611"/>
  <c r="DL135" i="611"/>
  <c r="DO103" i="611"/>
  <c r="DY96" i="611"/>
  <c r="EA96" i="611" s="1"/>
  <c r="DQ159" i="611"/>
  <c r="DO163" i="611"/>
  <c r="DJ99" i="611"/>
  <c r="DL97" i="611" s="1"/>
  <c r="DL106" i="611"/>
  <c r="DM104" i="611" s="1"/>
  <c r="DL107" i="611"/>
  <c r="DQ131" i="611"/>
  <c r="DJ72" i="611"/>
  <c r="DN138" i="611"/>
  <c r="DM142" i="611"/>
  <c r="DO82" i="611"/>
  <c r="DN86" i="611"/>
  <c r="DV162" i="611"/>
  <c r="DW160" i="611" s="1"/>
  <c r="DX113" i="611"/>
  <c r="DY111" i="611" s="1"/>
  <c r="DS85" i="611"/>
  <c r="DT83" i="611" s="1"/>
  <c r="DQ78" i="611"/>
  <c r="DS48" i="611"/>
  <c r="DT114" i="617"/>
  <c r="DT127" i="617" s="1"/>
  <c r="DS114" i="617"/>
  <c r="DS127" i="617" s="1"/>
  <c r="DH122" i="617"/>
  <c r="DK128" i="617"/>
  <c r="DK114" i="617"/>
  <c r="DK127" i="617" s="1"/>
  <c r="DG127" i="617"/>
  <c r="DL122" i="617"/>
  <c r="DF114" i="617"/>
  <c r="DF127" i="617" s="1"/>
  <c r="DR14" i="607"/>
  <c r="DR48" i="613"/>
  <c r="DR49" i="613" s="1"/>
  <c r="DR17" i="607"/>
  <c r="DR52" i="607"/>
  <c r="DR53" i="607"/>
  <c r="DR50" i="613"/>
  <c r="DR51" i="613" s="1"/>
  <c r="DQ90" i="617"/>
  <c r="DU11" i="607"/>
  <c r="DV32" i="607"/>
  <c r="DW30" i="607" s="1"/>
  <c r="DT53" i="607"/>
  <c r="DT50" i="613"/>
  <c r="DT51" i="613" s="1"/>
  <c r="DS52" i="607"/>
  <c r="DS17" i="607"/>
  <c r="DU15" i="607"/>
  <c r="DU14" i="607" s="1"/>
  <c r="DS48" i="613"/>
  <c r="DS49" i="613" s="1"/>
  <c r="DS53" i="607"/>
  <c r="DS50" i="613"/>
  <c r="DS51" i="613" s="1"/>
  <c r="DU19" i="607"/>
  <c r="DU27" i="607" s="1"/>
  <c r="DT17" i="607"/>
  <c r="DT52" i="607"/>
  <c r="DT48" i="613"/>
  <c r="DT49" i="613" s="1"/>
  <c r="DU12" i="607"/>
  <c r="DT14" i="607"/>
  <c r="DU51" i="607"/>
  <c r="DU88" i="617"/>
  <c r="DU98" i="617" s="1"/>
  <c r="DU47" i="613"/>
  <c r="DS98" i="617"/>
  <c r="DV53" i="571"/>
  <c r="DW52" i="571"/>
  <c r="DU151" i="25"/>
  <c r="DU13" i="571"/>
  <c r="DU57" i="571"/>
  <c r="DU166" i="25"/>
  <c r="DU17" i="571"/>
  <c r="DV17" i="571" s="1"/>
  <c r="DW375" i="25"/>
  <c r="DV377" i="25"/>
  <c r="DW224" i="25"/>
  <c r="DV368" i="25"/>
  <c r="DW205" i="25"/>
  <c r="DW367" i="25" s="1"/>
  <c r="DW229" i="25"/>
  <c r="DV362" i="25"/>
  <c r="DX63" i="25"/>
  <c r="DX36" i="25" s="1"/>
  <c r="DX40" i="25" s="1"/>
  <c r="DR114" i="617"/>
  <c r="DR127" i="617" s="1"/>
  <c r="DP54" i="607"/>
  <c r="DP60" i="607"/>
  <c r="DP94" i="617"/>
  <c r="DP106" i="617" s="1"/>
  <c r="DP89" i="617"/>
  <c r="DP99" i="617"/>
  <c r="DP104" i="617"/>
  <c r="DO92" i="617"/>
  <c r="DR301" i="25"/>
  <c r="DR302" i="25" s="1"/>
  <c r="DS55" i="25"/>
  <c r="CN194" i="571"/>
  <c r="CN205" i="571" s="1"/>
  <c r="CN59" i="617"/>
  <c r="CN61" i="617" s="1"/>
  <c r="CN204" i="571"/>
  <c r="DR62" i="25"/>
  <c r="DR18" i="25" s="1"/>
  <c r="DR86" i="25"/>
  <c r="DR13" i="617"/>
  <c r="DR30" i="617" s="1"/>
  <c r="DR119" i="25"/>
  <c r="DN13" i="617"/>
  <c r="DN30" i="617" s="1"/>
  <c r="DP66" i="25"/>
  <c r="DQ119" i="25" s="1"/>
  <c r="DW198" i="571"/>
  <c r="CQ223" i="571"/>
  <c r="CQ67" i="571"/>
  <c r="DV121" i="617"/>
  <c r="DV111" i="617"/>
  <c r="DV126" i="617"/>
  <c r="DI142" i="571"/>
  <c r="CY119" i="571"/>
  <c r="CY118" i="571"/>
  <c r="DQ121" i="617"/>
  <c r="DQ126" i="617"/>
  <c r="DQ111" i="617"/>
  <c r="DF84" i="617"/>
  <c r="DK77" i="617"/>
  <c r="DN126" i="617"/>
  <c r="DN111" i="617"/>
  <c r="DN121" i="617"/>
  <c r="CI162" i="571"/>
  <c r="G36" i="559"/>
  <c r="CI169" i="571"/>
  <c r="CT158" i="25"/>
  <c r="CT159" i="25" s="1"/>
  <c r="CT160" i="25" s="1"/>
  <c r="CU152" i="25"/>
  <c r="DG151" i="25"/>
  <c r="DC151" i="25"/>
  <c r="DC152" i="25" s="1"/>
  <c r="DC153" i="25" s="1"/>
  <c r="DB158" i="25"/>
  <c r="DB159" i="25" s="1"/>
  <c r="DB160" i="25" s="1"/>
  <c r="DO30" i="617"/>
  <c r="DQ13" i="617"/>
  <c r="DQ30" i="617" s="1"/>
  <c r="M57" i="559"/>
  <c r="M109" i="559"/>
  <c r="M37" i="559"/>
  <c r="DU20" i="613"/>
  <c r="CN165" i="571"/>
  <c r="CN166" i="571" s="1"/>
  <c r="CN58" i="617"/>
  <c r="CN81" i="617" s="1"/>
  <c r="CN168" i="571"/>
  <c r="DR210" i="571"/>
  <c r="DR63" i="617"/>
  <c r="DR76" i="617" s="1"/>
  <c r="DD111" i="571"/>
  <c r="DD82" i="571"/>
  <c r="CN149" i="571"/>
  <c r="CN113" i="571"/>
  <c r="CR88" i="571"/>
  <c r="CR143" i="571"/>
  <c r="CW148" i="571"/>
  <c r="CX153" i="25"/>
  <c r="CI55" i="617"/>
  <c r="CI75" i="617"/>
  <c r="CI82" i="617"/>
  <c r="CO102" i="571"/>
  <c r="CN101" i="571"/>
  <c r="L56" i="559" s="1"/>
  <c r="CN102" i="571"/>
  <c r="DP20" i="613"/>
  <c r="DC104" i="571"/>
  <c r="DP159" i="571"/>
  <c r="DP177" i="571" s="1"/>
  <c r="DV25" i="613"/>
  <c r="DZ20" i="613"/>
  <c r="CT152" i="25"/>
  <c r="CT153" i="25" s="1"/>
  <c r="DJ151" i="25"/>
  <c r="DO151" i="25" s="1"/>
  <c r="DO152" i="25" s="1"/>
  <c r="DE158" i="25"/>
  <c r="DE159" i="25" s="1"/>
  <c r="DE160" i="25" s="1"/>
  <c r="DE152" i="25"/>
  <c r="DE153" i="25" s="1"/>
  <c r="CT105" i="571"/>
  <c r="CT104" i="571"/>
  <c r="CN122" i="571"/>
  <c r="CN121" i="571"/>
  <c r="CO122" i="571"/>
  <c r="DT177" i="571"/>
  <c r="DT158" i="571"/>
  <c r="H109" i="559"/>
  <c r="H37" i="559"/>
  <c r="H57" i="559"/>
  <c r="DO114" i="617"/>
  <c r="CY151" i="25"/>
  <c r="CY152" i="25" s="1"/>
  <c r="CY153" i="25" s="1"/>
  <c r="CX158" i="25"/>
  <c r="CX159" i="25" s="1"/>
  <c r="CX160" i="25" s="1"/>
  <c r="CY97" i="571"/>
  <c r="CY77" i="571"/>
  <c r="R123" i="25" l="1"/>
  <c r="CI33" i="617"/>
  <c r="DL130" i="25"/>
  <c r="AX111" i="25"/>
  <c r="BM45" i="25"/>
  <c r="CX291" i="25"/>
  <c r="CY304" i="25"/>
  <c r="CY2" i="607"/>
  <c r="W21" i="559"/>
  <c r="W67" i="559" s="1"/>
  <c r="CY2" i="613"/>
  <c r="CY93" i="25"/>
  <c r="CY2" i="571"/>
  <c r="W7" i="559"/>
  <c r="CZ124" i="25"/>
  <c r="CY25" i="617"/>
  <c r="CY33" i="617" s="1"/>
  <c r="CY39" i="617"/>
  <c r="CY32" i="617"/>
  <c r="CY20" i="617"/>
  <c r="CY42" i="617" s="1"/>
  <c r="CK113" i="571"/>
  <c r="CM116" i="571" s="1"/>
  <c r="CL89" i="571"/>
  <c r="CL113" i="571" s="1"/>
  <c r="CL115" i="571" s="1"/>
  <c r="DE148" i="571"/>
  <c r="CZ88" i="571"/>
  <c r="CZ143" i="571"/>
  <c r="DF128" i="571"/>
  <c r="DF133" i="571" s="1"/>
  <c r="AA46" i="25"/>
  <c r="AB124" i="25" s="1"/>
  <c r="AA398" i="25"/>
  <c r="EB96" i="611"/>
  <c r="AS92" i="25"/>
  <c r="AE124" i="25"/>
  <c r="CY123" i="25"/>
  <c r="CX92" i="25"/>
  <c r="CX45" i="25"/>
  <c r="DC92" i="25"/>
  <c r="CS25" i="617"/>
  <c r="CS33" i="617" s="1"/>
  <c r="CS32" i="617"/>
  <c r="CS39" i="617"/>
  <c r="CU83" i="571"/>
  <c r="CU112" i="571"/>
  <c r="CP107" i="571"/>
  <c r="CP108" i="571"/>
  <c r="W123" i="25"/>
  <c r="X123" i="25"/>
  <c r="W398" i="25"/>
  <c r="W46" i="25"/>
  <c r="DD129" i="571"/>
  <c r="DD134" i="571" s="1"/>
  <c r="DD138" i="571" s="1"/>
  <c r="DE65" i="571"/>
  <c r="DE129" i="571" s="1"/>
  <c r="DF72" i="571"/>
  <c r="DF138" i="571" s="1"/>
  <c r="CP79" i="571"/>
  <c r="DP34" i="613"/>
  <c r="DU34" i="613"/>
  <c r="DP40" i="613"/>
  <c r="DP112" i="617"/>
  <c r="DP48" i="613"/>
  <c r="DP49" i="613" s="1"/>
  <c r="W92" i="25"/>
  <c r="AF113" i="25"/>
  <c r="AA113" i="25"/>
  <c r="CM215" i="571"/>
  <c r="AX356" i="25"/>
  <c r="AX370" i="25" s="1"/>
  <c r="AX104" i="25"/>
  <c r="BC113" i="25" s="1"/>
  <c r="AX41" i="25"/>
  <c r="AX45" i="25"/>
  <c r="AX280" i="25"/>
  <c r="AX285" i="25" s="1"/>
  <c r="AX287" i="25" s="1"/>
  <c r="AX406" i="25"/>
  <c r="AX313" i="25" s="1"/>
  <c r="AX290" i="25"/>
  <c r="W113" i="25"/>
  <c r="AB113" i="25"/>
  <c r="CM102" i="571"/>
  <c r="DF69" i="617"/>
  <c r="DG48" i="571"/>
  <c r="DF49" i="571"/>
  <c r="DF137" i="571"/>
  <c r="DG142" i="571"/>
  <c r="DL147" i="571"/>
  <c r="CP33" i="617"/>
  <c r="CL143" i="571"/>
  <c r="CX398" i="25"/>
  <c r="CX105" i="25"/>
  <c r="CX91" i="25"/>
  <c r="CX22" i="617"/>
  <c r="V20" i="559"/>
  <c r="CY122" i="25"/>
  <c r="CX46" i="25"/>
  <c r="DC91" i="25"/>
  <c r="CU89" i="571"/>
  <c r="CU82" i="571"/>
  <c r="CU111" i="571"/>
  <c r="CV87" i="571"/>
  <c r="CB142" i="571"/>
  <c r="CG133" i="571"/>
  <c r="CR105" i="571"/>
  <c r="CR104" i="571"/>
  <c r="CS105" i="571"/>
  <c r="U46" i="25"/>
  <c r="U398" i="25"/>
  <c r="CS113" i="25"/>
  <c r="CT132" i="25"/>
  <c r="CS83" i="571"/>
  <c r="CS112" i="571"/>
  <c r="CS121" i="571" s="1"/>
  <c r="CS89" i="571"/>
  <c r="CK168" i="571"/>
  <c r="CK58" i="617"/>
  <c r="CK81" i="617" s="1"/>
  <c r="CK165" i="571"/>
  <c r="CK166" i="571" s="1"/>
  <c r="CL161" i="571"/>
  <c r="CP112" i="571"/>
  <c r="CQ88" i="571"/>
  <c r="CQ112" i="571" s="1"/>
  <c r="CQ121" i="571" s="1"/>
  <c r="CF162" i="571"/>
  <c r="CF169" i="571"/>
  <c r="BZ143" i="571"/>
  <c r="BZ134" i="571"/>
  <c r="CE134" i="571"/>
  <c r="R46" i="25"/>
  <c r="R124" i="25" s="1"/>
  <c r="R398" i="25"/>
  <c r="CS45" i="25"/>
  <c r="CS92" i="25"/>
  <c r="CT123" i="25"/>
  <c r="CS285" i="25"/>
  <c r="CS287" i="25" s="1"/>
  <c r="CW118" i="571"/>
  <c r="CX119" i="571"/>
  <c r="CW119" i="571"/>
  <c r="CM115" i="571"/>
  <c r="EE112" i="617"/>
  <c r="EE34" i="613"/>
  <c r="EE40" i="613"/>
  <c r="CP105" i="571"/>
  <c r="CP104" i="571"/>
  <c r="AD111" i="25"/>
  <c r="CS20" i="617"/>
  <c r="CS42" i="617" s="1"/>
  <c r="CV45" i="25"/>
  <c r="CZ87" i="571"/>
  <c r="DE147" i="571"/>
  <c r="CZ142" i="571"/>
  <c r="CS304" i="25"/>
  <c r="Q21" i="559"/>
  <c r="Q67" i="559" s="1"/>
  <c r="CS93" i="25"/>
  <c r="CT124" i="25"/>
  <c r="CG58" i="617"/>
  <c r="CG189" i="571"/>
  <c r="CG165" i="571"/>
  <c r="CG166" i="571" s="1"/>
  <c r="K36" i="559"/>
  <c r="CM162" i="571"/>
  <c r="CM169" i="571"/>
  <c r="CK194" i="571"/>
  <c r="CK205" i="571" s="1"/>
  <c r="CK216" i="571" s="1"/>
  <c r="CK59" i="617"/>
  <c r="CK61" i="617" s="1"/>
  <c r="CK204" i="571"/>
  <c r="CL142" i="571"/>
  <c r="CL152" i="571"/>
  <c r="J30" i="559" s="1"/>
  <c r="AF111" i="25"/>
  <c r="AB130" i="25"/>
  <c r="AA111" i="25"/>
  <c r="CQ147" i="571"/>
  <c r="CQ97" i="571"/>
  <c r="CQ104" i="571" s="1"/>
  <c r="CQ77" i="571"/>
  <c r="CM55" i="617"/>
  <c r="CM82" i="617"/>
  <c r="DJ44" i="611"/>
  <c r="DL58" i="611"/>
  <c r="CG162" i="571"/>
  <c r="CG168" i="571" s="1"/>
  <c r="CX314" i="25"/>
  <c r="CX313" i="25"/>
  <c r="Y87" i="25"/>
  <c r="T100" i="25"/>
  <c r="Y111" i="25" s="1"/>
  <c r="T261" i="25"/>
  <c r="T263" i="25" s="1"/>
  <c r="AB111" i="25"/>
  <c r="X130" i="25"/>
  <c r="W130" i="25"/>
  <c r="CX143" i="571"/>
  <c r="DC148" i="571"/>
  <c r="CX88" i="571"/>
  <c r="CL149" i="571"/>
  <c r="CL57" i="617"/>
  <c r="CK150" i="571"/>
  <c r="CK144" i="571"/>
  <c r="CQ78" i="571"/>
  <c r="CQ79" i="571" s="1"/>
  <c r="CQ148" i="571"/>
  <c r="CQ98" i="571"/>
  <c r="CQ107" i="571" s="1"/>
  <c r="DM75" i="611"/>
  <c r="DL79" i="611"/>
  <c r="CB98" i="571"/>
  <c r="CB78" i="571"/>
  <c r="CB79" i="571" s="1"/>
  <c r="CB66" i="571"/>
  <c r="CB129" i="571"/>
  <c r="CB134" i="571" s="1"/>
  <c r="CB112" i="571"/>
  <c r="CS391" i="25"/>
  <c r="CS289" i="25"/>
  <c r="CS291" i="25" s="1"/>
  <c r="CS395" i="25"/>
  <c r="Y33" i="25"/>
  <c r="CW77" i="571"/>
  <c r="CW97" i="571"/>
  <c r="CM144" i="571"/>
  <c r="CM154" i="571"/>
  <c r="K32" i="559" s="1"/>
  <c r="CM150" i="571"/>
  <c r="CP57" i="617"/>
  <c r="CP80" i="617" s="1"/>
  <c r="CP161" i="571"/>
  <c r="CP99" i="571"/>
  <c r="CQ84" i="571"/>
  <c r="CQ87" i="571"/>
  <c r="CQ111" i="571" s="1"/>
  <c r="CQ118" i="571" s="1"/>
  <c r="CP89" i="571"/>
  <c r="CP111" i="571"/>
  <c r="DB82" i="571"/>
  <c r="DB111" i="571"/>
  <c r="BC90" i="25"/>
  <c r="CK154" i="571"/>
  <c r="I32" i="559" s="1"/>
  <c r="CV43" i="25"/>
  <c r="CV92" i="25" s="1"/>
  <c r="EB126" i="617"/>
  <c r="EB121" i="617"/>
  <c r="EB111" i="617"/>
  <c r="DR122" i="617"/>
  <c r="AI11" i="559"/>
  <c r="DP8" i="571"/>
  <c r="F109" i="559"/>
  <c r="F57" i="559"/>
  <c r="F37" i="559"/>
  <c r="AE11" i="559"/>
  <c r="DH8" i="571"/>
  <c r="EA181" i="571"/>
  <c r="DZ181" i="571"/>
  <c r="DV182" i="571"/>
  <c r="DZ182" i="571" s="1"/>
  <c r="BH90" i="25"/>
  <c r="CT33" i="617"/>
  <c r="DJ132" i="25"/>
  <c r="BF124" i="25"/>
  <c r="CG356" i="25"/>
  <c r="CG370" i="25" s="1"/>
  <c r="CB43" i="25"/>
  <c r="CG92" i="25" s="1"/>
  <c r="AP124" i="25"/>
  <c r="BL100" i="25"/>
  <c r="BN120" i="25"/>
  <c r="BQ87" i="25"/>
  <c r="DK267" i="25"/>
  <c r="BG124" i="25"/>
  <c r="BY123" i="25"/>
  <c r="AA123" i="25"/>
  <c r="AD43" i="25"/>
  <c r="Z123" i="25"/>
  <c r="BM274" i="25"/>
  <c r="BM276" i="25"/>
  <c r="BK78" i="25"/>
  <c r="BK79" i="25" s="1"/>
  <c r="BL120" i="25" s="1"/>
  <c r="BJ79" i="25"/>
  <c r="DK46" i="25"/>
  <c r="CH20" i="617"/>
  <c r="CH42" i="617" s="1"/>
  <c r="Z46" i="25"/>
  <c r="Z398" i="25"/>
  <c r="BI130" i="25"/>
  <c r="BG111" i="25"/>
  <c r="DO395" i="25"/>
  <c r="DO391" i="25"/>
  <c r="DO289" i="25"/>
  <c r="DO291" i="25" s="1"/>
  <c r="BK124" i="25"/>
  <c r="BU46" i="25"/>
  <c r="BU398" i="25"/>
  <c r="CW92" i="25"/>
  <c r="CW45" i="25"/>
  <c r="DB92" i="25"/>
  <c r="DA43" i="25"/>
  <c r="CX123" i="25"/>
  <c r="CW123" i="25"/>
  <c r="CC124" i="25"/>
  <c r="CC304" i="25"/>
  <c r="Q124" i="25"/>
  <c r="BZ124" i="25"/>
  <c r="CD124" i="25"/>
  <c r="T46" i="25"/>
  <c r="T398" i="25"/>
  <c r="AI46" i="25"/>
  <c r="AI398" i="25"/>
  <c r="N124" i="25"/>
  <c r="CC93" i="25"/>
  <c r="AV46" i="25"/>
  <c r="AW124" i="25" s="1"/>
  <c r="AV398" i="25"/>
  <c r="CL100" i="25"/>
  <c r="CQ111" i="25" s="1"/>
  <c r="CQ87" i="25"/>
  <c r="CL261" i="25"/>
  <c r="BT46" i="25"/>
  <c r="BT124" i="25" s="1"/>
  <c r="BT398" i="25"/>
  <c r="AL92" i="25"/>
  <c r="AG92" i="25"/>
  <c r="AS391" i="25"/>
  <c r="AS393" i="25" s="1"/>
  <c r="AS289" i="25"/>
  <c r="AS395" i="25"/>
  <c r="AS41" i="25"/>
  <c r="AS104" i="25"/>
  <c r="AX113" i="25" s="1"/>
  <c r="AS290" i="25"/>
  <c r="AS280" i="25"/>
  <c r="AS285" i="25" s="1"/>
  <c r="AS287" i="25" s="1"/>
  <c r="AS406" i="25"/>
  <c r="AS45" i="25"/>
  <c r="AX90" i="25"/>
  <c r="BY92" i="25"/>
  <c r="CD92" i="25"/>
  <c r="CH25" i="617"/>
  <c r="CH39" i="617"/>
  <c r="CH32" i="617"/>
  <c r="CM132" i="25"/>
  <c r="CM113" i="25"/>
  <c r="CN132" i="25"/>
  <c r="CR93" i="25"/>
  <c r="P21" i="559"/>
  <c r="P67" i="559" s="1"/>
  <c r="CR304" i="25"/>
  <c r="CR124" i="25"/>
  <c r="CS124" i="25"/>
  <c r="CV46" i="25"/>
  <c r="CW105" i="25"/>
  <c r="CW398" i="25"/>
  <c r="CW22" i="617"/>
  <c r="U20" i="559"/>
  <c r="CW46" i="25"/>
  <c r="CW91" i="25"/>
  <c r="DB91" i="25"/>
  <c r="CX122" i="25"/>
  <c r="CW122" i="25"/>
  <c r="CL38" i="617"/>
  <c r="CL18" i="617"/>
  <c r="CQ31" i="617"/>
  <c r="BE113" i="25"/>
  <c r="BY391" i="25"/>
  <c r="BY289" i="25"/>
  <c r="BY291" i="25" s="1"/>
  <c r="CB398" i="25"/>
  <c r="CG91" i="25"/>
  <c r="CB105" i="25"/>
  <c r="CG113" i="25" s="1"/>
  <c r="BR406" i="25"/>
  <c r="BR313" i="25" s="1"/>
  <c r="BR356" i="25"/>
  <c r="BR370" i="25" s="1"/>
  <c r="BR43" i="25"/>
  <c r="BW92" i="25" s="1"/>
  <c r="BR290" i="25"/>
  <c r="BR304" i="25"/>
  <c r="BR104" i="25"/>
  <c r="BW113" i="25" s="1"/>
  <c r="BR280" i="25"/>
  <c r="BR285" i="25" s="1"/>
  <c r="BR287" i="25" s="1"/>
  <c r="BR41" i="25"/>
  <c r="CB46" i="25"/>
  <c r="CL92" i="25"/>
  <c r="CD93" i="25"/>
  <c r="BP124" i="25"/>
  <c r="BR90" i="25"/>
  <c r="CH111" i="25"/>
  <c r="CI130" i="25"/>
  <c r="CH130" i="25"/>
  <c r="CM111" i="25"/>
  <c r="BT92" i="25"/>
  <c r="BT123" i="25"/>
  <c r="BY113" i="25"/>
  <c r="BT113" i="25"/>
  <c r="DA395" i="25"/>
  <c r="DA289" i="25"/>
  <c r="DA291" i="25" s="1"/>
  <c r="DA391" i="25"/>
  <c r="CC289" i="25"/>
  <c r="CC291" i="25" s="1"/>
  <c r="CC391" i="25"/>
  <c r="AG124" i="25"/>
  <c r="AH124" i="25"/>
  <c r="CM25" i="617"/>
  <c r="CM32" i="617"/>
  <c r="CM39" i="617"/>
  <c r="CB113" i="25"/>
  <c r="CR113" i="25"/>
  <c r="CS132" i="25"/>
  <c r="BW398" i="25"/>
  <c r="BW46" i="25"/>
  <c r="CH370" i="25"/>
  <c r="CL356" i="25"/>
  <c r="CL370" i="25" s="1"/>
  <c r="BH45" i="25"/>
  <c r="BH290" i="25"/>
  <c r="BH41" i="25"/>
  <c r="BH280" i="25"/>
  <c r="BH406" i="25"/>
  <c r="BH313" i="25" s="1"/>
  <c r="BH304" i="25"/>
  <c r="BH104" i="25"/>
  <c r="BM113" i="25" s="1"/>
  <c r="BH356" i="25"/>
  <c r="BH370" i="25" s="1"/>
  <c r="CC25" i="617"/>
  <c r="CC20" i="617"/>
  <c r="AZ46" i="25"/>
  <c r="AZ398" i="25"/>
  <c r="CI132" i="25"/>
  <c r="CH113" i="25"/>
  <c r="CH132" i="25"/>
  <c r="O111" i="25"/>
  <c r="O130" i="25" s="1"/>
  <c r="T111" i="25"/>
  <c r="CW130" i="25"/>
  <c r="DB111" i="25"/>
  <c r="CX130" i="25"/>
  <c r="CW111" i="25"/>
  <c r="CR32" i="617"/>
  <c r="CR25" i="617"/>
  <c r="CR39" i="617"/>
  <c r="CR20" i="617"/>
  <c r="CR42" i="617" s="1"/>
  <c r="CM370" i="25"/>
  <c r="CQ356" i="25"/>
  <c r="CQ370" i="25" s="1"/>
  <c r="CG46" i="25"/>
  <c r="CG304" i="25" s="1"/>
  <c r="BT314" i="25"/>
  <c r="BT313" i="25"/>
  <c r="CW391" i="25"/>
  <c r="CW395" i="25"/>
  <c r="CW289" i="25"/>
  <c r="CW291" i="25" s="1"/>
  <c r="CI124" i="25"/>
  <c r="CH304" i="25"/>
  <c r="CM93" i="25"/>
  <c r="F21" i="559"/>
  <c r="CL46" i="25"/>
  <c r="CH93" i="25"/>
  <c r="CH124" i="25"/>
  <c r="CM20" i="617"/>
  <c r="CM42" i="617" s="1"/>
  <c r="CB280" i="25"/>
  <c r="CB285" i="25" s="1"/>
  <c r="CB287" i="25" s="1"/>
  <c r="CB406" i="25"/>
  <c r="CB313" i="25" s="1"/>
  <c r="CB356" i="25"/>
  <c r="CB370" i="25" s="1"/>
  <c r="CB304" i="25"/>
  <c r="CB290" i="25"/>
  <c r="CW313" i="25"/>
  <c r="CW314" i="25"/>
  <c r="BH111" i="25"/>
  <c r="CR370" i="25"/>
  <c r="CV356" i="25"/>
  <c r="CV370" i="25" s="1"/>
  <c r="CQ24" i="617"/>
  <c r="CQ25" i="617" s="1"/>
  <c r="CQ50" i="25"/>
  <c r="CQ39" i="617"/>
  <c r="AK124" i="25"/>
  <c r="CL290" i="25"/>
  <c r="CL406" i="25"/>
  <c r="CL280" i="25"/>
  <c r="CL285" i="25" s="1"/>
  <c r="CL287" i="25" s="1"/>
  <c r="CL22" i="617"/>
  <c r="CL91" i="25"/>
  <c r="J20" i="559"/>
  <c r="CL105" i="25"/>
  <c r="CL113" i="25" s="1"/>
  <c r="CL398" i="25"/>
  <c r="CU33" i="617"/>
  <c r="CG169" i="571"/>
  <c r="CB111" i="25"/>
  <c r="DK45" i="25"/>
  <c r="BS162" i="571"/>
  <c r="BX169" i="571"/>
  <c r="BW144" i="571"/>
  <c r="DK39" i="571"/>
  <c r="BT162" i="571"/>
  <c r="BY169" i="571"/>
  <c r="EB177" i="571"/>
  <c r="EB158" i="571"/>
  <c r="DX23" i="613"/>
  <c r="DW26" i="613"/>
  <c r="DW25" i="613"/>
  <c r="DJ39" i="617"/>
  <c r="DJ25" i="617"/>
  <c r="DO93" i="25"/>
  <c r="AH21" i="559"/>
  <c r="DJ2" i="607"/>
  <c r="DJ2" i="613"/>
  <c r="DJ20" i="617"/>
  <c r="DJ42" i="617" s="1"/>
  <c r="DW27" i="611"/>
  <c r="DX219" i="25"/>
  <c r="DK39" i="617"/>
  <c r="O406" i="25"/>
  <c r="O290" i="25"/>
  <c r="O356" i="25"/>
  <c r="O370" i="25" s="1"/>
  <c r="O104" i="25"/>
  <c r="O113" i="25" s="1"/>
  <c r="O45" i="25"/>
  <c r="O280" i="25"/>
  <c r="O285" i="25" s="1"/>
  <c r="O287" i="25" s="1"/>
  <c r="O90" i="25"/>
  <c r="O41" i="25"/>
  <c r="DA22" i="617"/>
  <c r="DA39" i="617" s="1"/>
  <c r="DA105" i="25"/>
  <c r="DA113" i="25" s="1"/>
  <c r="Y20" i="559"/>
  <c r="BC46" i="25"/>
  <c r="BM289" i="25"/>
  <c r="BM291" i="25" s="1"/>
  <c r="BM395" i="25"/>
  <c r="BM391" i="25"/>
  <c r="EB296" i="25"/>
  <c r="EB298" i="25" s="1"/>
  <c r="EB54" i="25" s="1"/>
  <c r="ED295" i="25"/>
  <c r="DA263" i="25"/>
  <c r="DA267" i="25"/>
  <c r="EA331" i="25"/>
  <c r="BU113" i="25"/>
  <c r="BZ113" i="25"/>
  <c r="CG261" i="25"/>
  <c r="CG100" i="25"/>
  <c r="CG87" i="25"/>
  <c r="CL87" i="25"/>
  <c r="BZ111" i="25"/>
  <c r="BZ130" i="25"/>
  <c r="CA130" i="25"/>
  <c r="DA111" i="25"/>
  <c r="BU123" i="25"/>
  <c r="BU92" i="25"/>
  <c r="BV123" i="25"/>
  <c r="BC395" i="25"/>
  <c r="BC289" i="25"/>
  <c r="BC291" i="25" s="1"/>
  <c r="BC391" i="25"/>
  <c r="BM92" i="25"/>
  <c r="BM46" i="25"/>
  <c r="CD111" i="25"/>
  <c r="CD130" i="25"/>
  <c r="CI111" i="25"/>
  <c r="DL132" i="25"/>
  <c r="CG112" i="25"/>
  <c r="CL112" i="25"/>
  <c r="BA113" i="25"/>
  <c r="EB331" i="25"/>
  <c r="EA330" i="25"/>
  <c r="CG18" i="617"/>
  <c r="CG20" i="617" s="1"/>
  <c r="CL31" i="617"/>
  <c r="EB63" i="617"/>
  <c r="EB210" i="571"/>
  <c r="DA314" i="25"/>
  <c r="DA313" i="25"/>
  <c r="BU314" i="25"/>
  <c r="BU313" i="25"/>
  <c r="EB330" i="25"/>
  <c r="DF41" i="25"/>
  <c r="DF398" i="25" s="1"/>
  <c r="DF280" i="25"/>
  <c r="DF285" i="25" s="1"/>
  <c r="DF287" i="25" s="1"/>
  <c r="DF290" i="25"/>
  <c r="DF291" i="25" s="1"/>
  <c r="DF406" i="25"/>
  <c r="DY372" i="25"/>
  <c r="DY283" i="25" s="1"/>
  <c r="ED271" i="25"/>
  <c r="ED372" i="25" s="1"/>
  <c r="CV67" i="571"/>
  <c r="CV223" i="571"/>
  <c r="DO47" i="617"/>
  <c r="CT143" i="571"/>
  <c r="CT88" i="571"/>
  <c r="CV88" i="571" s="1"/>
  <c r="CY148" i="571"/>
  <c r="CM343" i="25"/>
  <c r="CN342" i="25"/>
  <c r="CE343" i="25"/>
  <c r="CF342" i="25"/>
  <c r="CF343" i="25" s="1"/>
  <c r="CV342" i="25"/>
  <c r="CQ343" i="25"/>
  <c r="CR342" i="25"/>
  <c r="CQ257" i="25"/>
  <c r="CL67" i="571"/>
  <c r="CL51" i="617" s="1"/>
  <c r="CL223" i="571"/>
  <c r="CJ342" i="25"/>
  <c r="CI343" i="25"/>
  <c r="CQ138" i="571"/>
  <c r="CQ73" i="571"/>
  <c r="CG67" i="571"/>
  <c r="CG223" i="571"/>
  <c r="CL101" i="571"/>
  <c r="J56" i="559" s="1"/>
  <c r="CV32" i="617"/>
  <c r="CV39" i="617"/>
  <c r="CV20" i="617"/>
  <c r="CV42" i="617" s="1"/>
  <c r="CG93" i="25"/>
  <c r="AI313" i="25"/>
  <c r="AI314" i="25"/>
  <c r="AS113" i="25"/>
  <c r="AN113" i="25"/>
  <c r="T313" i="25"/>
  <c r="T314" i="25"/>
  <c r="CQ238" i="25"/>
  <c r="CV313" i="25" s="1"/>
  <c r="CQ254" i="25"/>
  <c r="AN314" i="25"/>
  <c r="AN313" i="25"/>
  <c r="AN289" i="25"/>
  <c r="AN291" i="25" s="1"/>
  <c r="AN391" i="25"/>
  <c r="AN393" i="25" s="1"/>
  <c r="AN395" i="25"/>
  <c r="CB73" i="571"/>
  <c r="CB139" i="571" s="1"/>
  <c r="AJ92" i="25"/>
  <c r="AE92" i="25"/>
  <c r="AI391" i="25"/>
  <c r="AI289" i="25"/>
  <c r="AI291" i="25" s="1"/>
  <c r="AI395" i="25"/>
  <c r="CP251" i="25"/>
  <c r="CP252" i="25" s="1"/>
  <c r="CP315" i="25"/>
  <c r="CP239" i="25"/>
  <c r="CD391" i="25"/>
  <c r="CD289" i="25"/>
  <c r="CD291" i="25" s="1"/>
  <c r="CG395" i="25"/>
  <c r="CG289" i="25"/>
  <c r="CG291" i="25" s="1"/>
  <c r="CG391" i="25"/>
  <c r="CF371" i="25"/>
  <c r="CV113" i="25"/>
  <c r="T43" i="25"/>
  <c r="T92" i="25"/>
  <c r="T289" i="25"/>
  <c r="T291" i="25" s="1"/>
  <c r="T391" i="25"/>
  <c r="T395" i="25"/>
  <c r="AN46" i="25"/>
  <c r="AJ67" i="559"/>
  <c r="DL33" i="617"/>
  <c r="AG67" i="559"/>
  <c r="BV162" i="571"/>
  <c r="CA169" i="571"/>
  <c r="CB166" i="571"/>
  <c r="BW166" i="571"/>
  <c r="BW99" i="571"/>
  <c r="BW113" i="571"/>
  <c r="BW143" i="571"/>
  <c r="DK159" i="25"/>
  <c r="DK160" i="25" s="1"/>
  <c r="DK33" i="571"/>
  <c r="DK158" i="25"/>
  <c r="DK59" i="571"/>
  <c r="DK40" i="571"/>
  <c r="DL40" i="571" s="1"/>
  <c r="DI33" i="617"/>
  <c r="DG42" i="617"/>
  <c r="AO166" i="25"/>
  <c r="AN166" i="25"/>
  <c r="AO162" i="25"/>
  <c r="DH39" i="617"/>
  <c r="DH25" i="617"/>
  <c r="DH32" i="617"/>
  <c r="DH20" i="617"/>
  <c r="DH42" i="617" s="1"/>
  <c r="DM32" i="617"/>
  <c r="DE25" i="617"/>
  <c r="DE39" i="617"/>
  <c r="DE32" i="617"/>
  <c r="DE20" i="617"/>
  <c r="DE42" i="617" s="1"/>
  <c r="DJ32" i="617"/>
  <c r="DH113" i="25"/>
  <c r="DH132" i="25"/>
  <c r="DM113" i="25"/>
  <c r="DI132" i="25"/>
  <c r="DT283" i="25"/>
  <c r="DT377" i="25"/>
  <c r="DK92" i="25"/>
  <c r="DL123" i="25"/>
  <c r="DE93" i="25"/>
  <c r="DE304" i="25"/>
  <c r="DE2" i="571"/>
  <c r="AC21" i="559"/>
  <c r="DE2" i="613"/>
  <c r="DE124" i="25"/>
  <c r="DJ93" i="25"/>
  <c r="DE2" i="607"/>
  <c r="AC7" i="559"/>
  <c r="DE132" i="25"/>
  <c r="DE113" i="25"/>
  <c r="DJ113" i="25"/>
  <c r="AI7" i="559"/>
  <c r="DK52" i="25"/>
  <c r="DK2" i="613"/>
  <c r="DK2" i="607"/>
  <c r="DL124" i="25"/>
  <c r="AI21" i="559"/>
  <c r="DK2" i="571"/>
  <c r="DH304" i="25"/>
  <c r="DH93" i="25"/>
  <c r="DH2" i="613"/>
  <c r="AF21" i="559"/>
  <c r="DH2" i="607"/>
  <c r="DH124" i="25"/>
  <c r="DM93" i="25"/>
  <c r="DM135" i="611"/>
  <c r="DM92" i="611"/>
  <c r="DN90" i="611" s="1"/>
  <c r="DL43" i="611"/>
  <c r="DM41" i="611" s="1"/>
  <c r="DM65" i="611"/>
  <c r="DM57" i="611"/>
  <c r="DN55" i="611" s="1"/>
  <c r="DR131" i="611"/>
  <c r="DJ100" i="611"/>
  <c r="DN134" i="611"/>
  <c r="DO132" i="611" s="1"/>
  <c r="DS37" i="611"/>
  <c r="DS40" i="611" s="1"/>
  <c r="DQ40" i="611"/>
  <c r="DR37" i="611"/>
  <c r="DN145" i="611"/>
  <c r="DM149" i="611"/>
  <c r="DO124" i="611"/>
  <c r="DN128" i="611"/>
  <c r="DO138" i="611"/>
  <c r="DN142" i="611"/>
  <c r="DL99" i="611"/>
  <c r="DM97" i="611" s="1"/>
  <c r="DL72" i="611"/>
  <c r="DQ54" i="611"/>
  <c r="DQ82" i="611"/>
  <c r="DO86" i="611"/>
  <c r="DN110" i="611"/>
  <c r="DM114" i="611"/>
  <c r="DM71" i="611"/>
  <c r="DN69" i="611" s="1"/>
  <c r="DM106" i="611"/>
  <c r="DN104" i="611" s="1"/>
  <c r="DR159" i="611"/>
  <c r="DQ163" i="611"/>
  <c r="DQ103" i="611"/>
  <c r="DN64" i="611"/>
  <c r="DL48" i="611"/>
  <c r="DI160" i="611"/>
  <c r="DH26" i="611"/>
  <c r="DH28" i="611" s="1"/>
  <c r="DW162" i="611"/>
  <c r="DX160" i="611" s="1"/>
  <c r="DY113" i="611"/>
  <c r="EA111" i="611" s="1"/>
  <c r="EA113" i="611" s="1"/>
  <c r="EB111" i="611" s="1"/>
  <c r="EB113" i="611" s="1"/>
  <c r="EC111" i="611" s="1"/>
  <c r="EC113" i="611" s="1"/>
  <c r="ED111" i="611" s="1"/>
  <c r="ED113" i="611" s="1"/>
  <c r="DT85" i="611"/>
  <c r="DV83" i="611" s="1"/>
  <c r="DR76" i="611"/>
  <c r="DS50" i="611"/>
  <c r="DS51" i="611"/>
  <c r="DK122" i="617"/>
  <c r="DV13" i="607"/>
  <c r="DV12" i="607" s="1"/>
  <c r="DQ94" i="617"/>
  <c r="DQ92" i="617" s="1"/>
  <c r="DQ104" i="617"/>
  <c r="DQ99" i="617"/>
  <c r="DQ89" i="617"/>
  <c r="DR21" i="607"/>
  <c r="DR90" i="617"/>
  <c r="DR58" i="607"/>
  <c r="DU59" i="607"/>
  <c r="DU50" i="613"/>
  <c r="DU51" i="613" s="1"/>
  <c r="DU53" i="607"/>
  <c r="DU17" i="607"/>
  <c r="DU48" i="613"/>
  <c r="DU49" i="613" s="1"/>
  <c r="DU52" i="607"/>
  <c r="DU57" i="607"/>
  <c r="DS90" i="617"/>
  <c r="DS21" i="607"/>
  <c r="DS58" i="607"/>
  <c r="DV15" i="607"/>
  <c r="DV19" i="607"/>
  <c r="DV27" i="607" s="1"/>
  <c r="DV88" i="617"/>
  <c r="DW32" i="607"/>
  <c r="DX30" i="607" s="1"/>
  <c r="DT58" i="607"/>
  <c r="DT21" i="607"/>
  <c r="DT90" i="617"/>
  <c r="DW17" i="571"/>
  <c r="DU152" i="25"/>
  <c r="DU153" i="25" s="1"/>
  <c r="DZ169" i="25"/>
  <c r="DU163" i="25"/>
  <c r="DU178" i="25" s="1"/>
  <c r="DU181" i="25" s="1"/>
  <c r="DZ165" i="25"/>
  <c r="DU167" i="25"/>
  <c r="DX52" i="571"/>
  <c r="DW53" i="571"/>
  <c r="DW377" i="25"/>
  <c r="DX375" i="25"/>
  <c r="DW362" i="25"/>
  <c r="DX229" i="25"/>
  <c r="DW368" i="25"/>
  <c r="DX224" i="25"/>
  <c r="DX205" i="25"/>
  <c r="DX367" i="25" s="1"/>
  <c r="DY63" i="25"/>
  <c r="DP92" i="617"/>
  <c r="DO105" i="617"/>
  <c r="DO100" i="617"/>
  <c r="DT55" i="25"/>
  <c r="DT50" i="25" s="1"/>
  <c r="DT52" i="25" s="1"/>
  <c r="DS301" i="25"/>
  <c r="DS50" i="25"/>
  <c r="DS52" i="25" s="1"/>
  <c r="DR380" i="25"/>
  <c r="DR286" i="25"/>
  <c r="DY159" i="571"/>
  <c r="DT52" i="617"/>
  <c r="DT73" i="617" s="1"/>
  <c r="CZ152" i="25"/>
  <c r="CY158" i="25"/>
  <c r="CY159" i="25" s="1"/>
  <c r="CY160" i="25" s="1"/>
  <c r="DP25" i="613"/>
  <c r="DN116" i="617"/>
  <c r="DN52" i="613"/>
  <c r="DN53" i="613" s="1"/>
  <c r="DS36" i="613"/>
  <c r="CR112" i="571"/>
  <c r="CR83" i="571"/>
  <c r="CR89" i="571"/>
  <c r="DQ52" i="617"/>
  <c r="DQ73" i="617" s="1"/>
  <c r="DV159" i="571"/>
  <c r="DD118" i="571"/>
  <c r="DD119" i="571"/>
  <c r="DL151" i="25"/>
  <c r="DG152" i="25"/>
  <c r="DG153" i="25" s="1"/>
  <c r="DG158" i="25"/>
  <c r="DG159" i="25" s="1"/>
  <c r="DG160" i="25" s="1"/>
  <c r="CQ51" i="617"/>
  <c r="CV74" i="571"/>
  <c r="CV219" i="571" s="1"/>
  <c r="DP62" i="25"/>
  <c r="DO127" i="617"/>
  <c r="DO122" i="617"/>
  <c r="DJ152" i="25"/>
  <c r="DJ158" i="25"/>
  <c r="DJ159" i="25" s="1"/>
  <c r="DJ160" i="25" s="1"/>
  <c r="DN52" i="617"/>
  <c r="DN73" i="617" s="1"/>
  <c r="DP158" i="571"/>
  <c r="DU171" i="571"/>
  <c r="DU220" i="571" s="1"/>
  <c r="DS159" i="571"/>
  <c r="M110" i="559"/>
  <c r="M108" i="559"/>
  <c r="CU153" i="25"/>
  <c r="G37" i="559"/>
  <c r="G109" i="559"/>
  <c r="G57" i="559"/>
  <c r="DW210" i="571"/>
  <c r="DW63" i="617"/>
  <c r="CY105" i="571"/>
  <c r="CY104" i="571"/>
  <c r="H108" i="559"/>
  <c r="H110" i="559"/>
  <c r="DV36" i="613"/>
  <c r="DV116" i="617"/>
  <c r="CW88" i="571"/>
  <c r="DB148" i="571"/>
  <c r="CW143" i="571"/>
  <c r="CN115" i="571"/>
  <c r="CO116" i="571"/>
  <c r="CN116" i="571"/>
  <c r="DQ116" i="617"/>
  <c r="DU25" i="613"/>
  <c r="AP18" i="559"/>
  <c r="AP65" i="559" s="1"/>
  <c r="DR85" i="25"/>
  <c r="DR404" i="25"/>
  <c r="DR221" i="25" s="1"/>
  <c r="CN82" i="617"/>
  <c r="CN75" i="617"/>
  <c r="CN55" i="617"/>
  <c r="CN144" i="571"/>
  <c r="CN150" i="571"/>
  <c r="CN154" i="571"/>
  <c r="L32" i="559" s="1"/>
  <c r="DD97" i="571"/>
  <c r="DD77" i="571"/>
  <c r="L36" i="559"/>
  <c r="CN169" i="571"/>
  <c r="CN162" i="571"/>
  <c r="AM18" i="559"/>
  <c r="AM65" i="559" s="1"/>
  <c r="DO404" i="25"/>
  <c r="DO348" i="25" s="1"/>
  <c r="DH151" i="25"/>
  <c r="DH152" i="25" s="1"/>
  <c r="DC158" i="25"/>
  <c r="DC159" i="25" s="1"/>
  <c r="DC160" i="25" s="1"/>
  <c r="DT122" i="617"/>
  <c r="DP13" i="617"/>
  <c r="DP30" i="617" s="1"/>
  <c r="DP86" i="25"/>
  <c r="CW153" i="25"/>
  <c r="CN215" i="571"/>
  <c r="CO216" i="571"/>
  <c r="CN216" i="571"/>
  <c r="DD33" i="617" l="1"/>
  <c r="AB67" i="559"/>
  <c r="T113" i="25"/>
  <c r="CB92" i="25"/>
  <c r="S124" i="25"/>
  <c r="CX105" i="571"/>
  <c r="CW104" i="571"/>
  <c r="CP121" i="571"/>
  <c r="CP122" i="571"/>
  <c r="X124" i="25"/>
  <c r="W124" i="25"/>
  <c r="CU78" i="571"/>
  <c r="CU98" i="571"/>
  <c r="CU107" i="571" s="1"/>
  <c r="DC119" i="571"/>
  <c r="DB118" i="571"/>
  <c r="CP118" i="571"/>
  <c r="CP119" i="571"/>
  <c r="CR119" i="571"/>
  <c r="CP101" i="571"/>
  <c r="N56" i="559" s="1"/>
  <c r="CP102" i="571"/>
  <c r="CB113" i="571"/>
  <c r="CG115" i="571" s="1"/>
  <c r="CB99" i="571"/>
  <c r="CG101" i="571" s="1"/>
  <c r="CB130" i="571"/>
  <c r="CB144" i="571" s="1"/>
  <c r="CB222" i="571"/>
  <c r="CL154" i="571"/>
  <c r="J32" i="559" s="1"/>
  <c r="CL150" i="571"/>
  <c r="CZ82" i="571"/>
  <c r="CZ111" i="571"/>
  <c r="CZ119" i="571" s="1"/>
  <c r="CZ89" i="571"/>
  <c r="DA87" i="571"/>
  <c r="EE126" i="617"/>
  <c r="EE111" i="617"/>
  <c r="EE121" i="617"/>
  <c r="CL189" i="571"/>
  <c r="CL58" i="617"/>
  <c r="CL81" i="617" s="1"/>
  <c r="CL165" i="571"/>
  <c r="CL166" i="571" s="1"/>
  <c r="CS113" i="571"/>
  <c r="CS115" i="571" s="1"/>
  <c r="CS149" i="571"/>
  <c r="CU113" i="571"/>
  <c r="CU149" i="571"/>
  <c r="CX2" i="613"/>
  <c r="CX93" i="25"/>
  <c r="CX2" i="571"/>
  <c r="V7" i="559"/>
  <c r="CY124" i="25"/>
  <c r="V21" i="559"/>
  <c r="CX2" i="607"/>
  <c r="CX304" i="25"/>
  <c r="DC93" i="25"/>
  <c r="DF73" i="571"/>
  <c r="AX398" i="25"/>
  <c r="AX46" i="25"/>
  <c r="CM216" i="571"/>
  <c r="CZ83" i="571"/>
  <c r="CZ112" i="571"/>
  <c r="CZ121" i="571" s="1"/>
  <c r="CQ99" i="571"/>
  <c r="CQ101" i="571" s="1"/>
  <c r="O56" i="559" s="1"/>
  <c r="CQ57" i="617"/>
  <c r="CQ80" i="617" s="1"/>
  <c r="DH148" i="571"/>
  <c r="DC88" i="571"/>
  <c r="DC143" i="571"/>
  <c r="DB97" i="571"/>
  <c r="DB77" i="571"/>
  <c r="CP113" i="571"/>
  <c r="CP149" i="571"/>
  <c r="CQ89" i="571"/>
  <c r="CP189" i="571"/>
  <c r="CP168" i="571"/>
  <c r="CP165" i="571"/>
  <c r="CP166" i="571" s="1"/>
  <c r="CP58" i="617"/>
  <c r="CP81" i="617" s="1"/>
  <c r="CQ161" i="571"/>
  <c r="CQ152" i="571"/>
  <c r="O30" i="559" s="1"/>
  <c r="CQ142" i="571"/>
  <c r="K37" i="559"/>
  <c r="K109" i="559"/>
  <c r="K57" i="559"/>
  <c r="CG194" i="571"/>
  <c r="CG205" i="571" s="1"/>
  <c r="CG59" i="617"/>
  <c r="CG61" i="617" s="1"/>
  <c r="CG204" i="571"/>
  <c r="CV147" i="571"/>
  <c r="CV111" i="571"/>
  <c r="CV118" i="571" s="1"/>
  <c r="CY132" i="25"/>
  <c r="CX113" i="25"/>
  <c r="DC113" i="25"/>
  <c r="DH48" i="571"/>
  <c r="DG69" i="617"/>
  <c r="DG43" i="571"/>
  <c r="DG49" i="571"/>
  <c r="DG36" i="571"/>
  <c r="DG50" i="571"/>
  <c r="DF65" i="571"/>
  <c r="DJ148" i="571"/>
  <c r="DE88" i="571"/>
  <c r="DE112" i="571" s="1"/>
  <c r="DE121" i="571" s="1"/>
  <c r="Y104" i="25"/>
  <c r="Y41" i="25"/>
  <c r="Y45" i="25"/>
  <c r="Y280" i="25"/>
  <c r="Y285" i="25" s="1"/>
  <c r="Y287" i="25" s="1"/>
  <c r="Y356" i="25"/>
  <c r="Y370" i="25" s="1"/>
  <c r="Y290" i="25"/>
  <c r="Y406" i="25"/>
  <c r="AD90" i="25"/>
  <c r="Y90" i="25"/>
  <c r="CB143" i="571"/>
  <c r="CG134" i="571"/>
  <c r="CK55" i="617"/>
  <c r="CK75" i="617"/>
  <c r="CK82" i="617"/>
  <c r="DJ147" i="571"/>
  <c r="DE87" i="571"/>
  <c r="DE142" i="571"/>
  <c r="I36" i="559"/>
  <c r="CK162" i="571"/>
  <c r="CL162" i="571" s="1"/>
  <c r="CL168" i="571" s="1"/>
  <c r="CK169" i="571"/>
  <c r="U124" i="25"/>
  <c r="V124" i="25"/>
  <c r="CU84" i="571"/>
  <c r="CU97" i="571"/>
  <c r="CU77" i="571"/>
  <c r="CU79" i="571" s="1"/>
  <c r="CV82" i="571"/>
  <c r="CX25" i="617"/>
  <c r="CX39" i="617"/>
  <c r="CX32" i="617"/>
  <c r="CX20" i="617"/>
  <c r="CX42" i="617" s="1"/>
  <c r="DC32" i="617"/>
  <c r="DN65" i="611"/>
  <c r="DM107" i="611"/>
  <c r="DL44" i="611"/>
  <c r="DA45" i="25"/>
  <c r="DK263" i="25"/>
  <c r="DN75" i="611"/>
  <c r="DM79" i="611"/>
  <c r="CQ153" i="571"/>
  <c r="O31" i="559" s="1"/>
  <c r="CQ143" i="571"/>
  <c r="CX83" i="571"/>
  <c r="CX89" i="571"/>
  <c r="CX112" i="571"/>
  <c r="CX121" i="571" s="1"/>
  <c r="CS78" i="571"/>
  <c r="CS79" i="571" s="1"/>
  <c r="CS98" i="571"/>
  <c r="CS107" i="571" s="1"/>
  <c r="CS84" i="571"/>
  <c r="CZ118" i="571"/>
  <c r="CU118" i="571"/>
  <c r="CU119" i="571"/>
  <c r="DQ147" i="571"/>
  <c r="DQ142" i="571" s="1"/>
  <c r="DL142" i="571"/>
  <c r="AX395" i="25"/>
  <c r="AX391" i="25"/>
  <c r="AX289" i="25"/>
  <c r="AX291" i="25" s="1"/>
  <c r="DU121" i="617"/>
  <c r="DP126" i="617"/>
  <c r="DP121" i="617"/>
  <c r="DP111" i="617"/>
  <c r="DE134" i="571"/>
  <c r="DE138" i="571" s="1"/>
  <c r="DE143" i="571"/>
  <c r="CU121" i="571"/>
  <c r="EC96" i="611"/>
  <c r="CL144" i="571"/>
  <c r="DV11" i="607"/>
  <c r="DV51" i="607"/>
  <c r="EE181" i="571"/>
  <c r="EA182" i="571"/>
  <c r="EE182" i="571" s="1"/>
  <c r="AF11" i="559"/>
  <c r="DI8" i="571"/>
  <c r="F108" i="559"/>
  <c r="F110" i="559"/>
  <c r="AN11" i="559"/>
  <c r="DU8" i="571"/>
  <c r="CR33" i="617"/>
  <c r="CQ113" i="25"/>
  <c r="BQ111" i="25"/>
  <c r="BN130" i="25"/>
  <c r="BL111" i="25"/>
  <c r="BJ100" i="25"/>
  <c r="BJ120" i="25"/>
  <c r="BJ87" i="25"/>
  <c r="BO87" i="25"/>
  <c r="AA124" i="25"/>
  <c r="Z124" i="25"/>
  <c r="BM78" i="25"/>
  <c r="BM79" i="25" s="1"/>
  <c r="BK100" i="25"/>
  <c r="BL130" i="25" s="1"/>
  <c r="BK120" i="25"/>
  <c r="BK87" i="25"/>
  <c r="BP87" i="25"/>
  <c r="BU124" i="25"/>
  <c r="CQ93" i="25"/>
  <c r="CL304" i="25"/>
  <c r="CQ289" i="25"/>
  <c r="CQ291" i="25" s="1"/>
  <c r="CQ395" i="25"/>
  <c r="CQ391" i="25"/>
  <c r="BH398" i="25"/>
  <c r="BH46" i="25"/>
  <c r="BR113" i="25"/>
  <c r="BR92" i="25"/>
  <c r="AV124" i="25"/>
  <c r="CL52" i="25"/>
  <c r="CL313" i="25"/>
  <c r="CL314" i="25"/>
  <c r="BH289" i="25"/>
  <c r="BH291" i="25" s="1"/>
  <c r="CL395" i="25"/>
  <c r="CL391" i="25"/>
  <c r="CL289" i="25"/>
  <c r="CL291" i="25" s="1"/>
  <c r="CK371" i="25"/>
  <c r="CL20" i="617"/>
  <c r="CL42" i="617" s="1"/>
  <c r="CW2" i="571"/>
  <c r="CW304" i="25"/>
  <c r="CW2" i="607"/>
  <c r="U21" i="559"/>
  <c r="U7" i="559"/>
  <c r="CW2" i="613"/>
  <c r="CW93" i="25"/>
  <c r="CW124" i="25"/>
  <c r="DB93" i="25"/>
  <c r="CX124" i="25"/>
  <c r="DA46" i="25"/>
  <c r="CW113" i="25"/>
  <c r="CX132" i="25"/>
  <c r="CW132" i="25"/>
  <c r="DB113" i="25"/>
  <c r="AS398" i="25"/>
  <c r="AS46" i="25"/>
  <c r="AX392" i="25"/>
  <c r="AX393" i="25" s="1"/>
  <c r="AS201" i="25"/>
  <c r="CV304" i="25"/>
  <c r="T21" i="559"/>
  <c r="T67" i="559" s="1"/>
  <c r="CV2" i="607"/>
  <c r="CV93" i="25"/>
  <c r="T7" i="559"/>
  <c r="CV2" i="613"/>
  <c r="CV52" i="25"/>
  <c r="CV2" i="571"/>
  <c r="CL93" i="25"/>
  <c r="DA32" i="617"/>
  <c r="BV124" i="25"/>
  <c r="CL32" i="617"/>
  <c r="CL39" i="617"/>
  <c r="CV391" i="25"/>
  <c r="CV289" i="25"/>
  <c r="CV291" i="25" s="1"/>
  <c r="CV395" i="25"/>
  <c r="CB289" i="25"/>
  <c r="CB291" i="25" s="1"/>
  <c r="CA371" i="25"/>
  <c r="CB395" i="25"/>
  <c r="CB391" i="25"/>
  <c r="J21" i="559"/>
  <c r="O67" i="559" s="1"/>
  <c r="K67" i="559"/>
  <c r="CM289" i="25"/>
  <c r="CM291" i="25" s="1"/>
  <c r="CM391" i="25"/>
  <c r="BR289" i="25"/>
  <c r="BR291" i="25" s="1"/>
  <c r="BR391" i="25"/>
  <c r="BR395" i="25"/>
  <c r="CW39" i="617"/>
  <c r="CW32" i="617"/>
  <c r="CW25" i="617"/>
  <c r="DB32" i="617"/>
  <c r="CM33" i="617"/>
  <c r="CH33" i="617"/>
  <c r="BH113" i="25"/>
  <c r="DF92" i="25"/>
  <c r="DA92" i="25"/>
  <c r="AZ124" i="25"/>
  <c r="BA124" i="25"/>
  <c r="CH289" i="25"/>
  <c r="CH291" i="25" s="1"/>
  <c r="CH391" i="25"/>
  <c r="O46" i="25"/>
  <c r="O398" i="25"/>
  <c r="CQ32" i="617"/>
  <c r="CR391" i="25"/>
  <c r="CR289" i="25"/>
  <c r="CR291" i="25" s="1"/>
  <c r="CR395" i="25"/>
  <c r="CB93" i="25"/>
  <c r="BR46" i="25"/>
  <c r="BR93" i="25" s="1"/>
  <c r="BR398" i="25"/>
  <c r="CW20" i="617"/>
  <c r="CW42" i="617" s="1"/>
  <c r="AS313" i="25"/>
  <c r="AS291" i="25"/>
  <c r="CL267" i="25"/>
  <c r="CL263" i="25"/>
  <c r="BW162" i="571"/>
  <c r="BW168" i="571" s="1"/>
  <c r="BW169" i="571" s="1"/>
  <c r="DT26" i="607"/>
  <c r="DT94" i="617" s="1"/>
  <c r="DT106" i="617" s="1"/>
  <c r="DR26" i="607"/>
  <c r="DR94" i="617" s="1"/>
  <c r="DS26" i="607"/>
  <c r="DS52" i="613" s="1"/>
  <c r="DS53" i="613" s="1"/>
  <c r="EB52" i="617"/>
  <c r="EB73" i="617" s="1"/>
  <c r="DW116" i="617"/>
  <c r="DW36" i="613"/>
  <c r="DY23" i="613"/>
  <c r="DX26" i="613"/>
  <c r="DX25" i="613"/>
  <c r="DA20" i="617"/>
  <c r="DA42" i="617" s="1"/>
  <c r="ED296" i="25"/>
  <c r="ED298" i="25" s="1"/>
  <c r="ED54" i="25" s="1"/>
  <c r="EE295" i="25"/>
  <c r="EE296" i="25" s="1"/>
  <c r="EE298" i="25" s="1"/>
  <c r="O92" i="25"/>
  <c r="O43" i="25"/>
  <c r="O314" i="25"/>
  <c r="O313" i="25"/>
  <c r="DY219" i="25"/>
  <c r="DX27" i="611"/>
  <c r="CG267" i="25"/>
  <c r="CG263" i="25"/>
  <c r="O395" i="25"/>
  <c r="O391" i="25"/>
  <c r="O393" i="25" s="1"/>
  <c r="T392" i="25" s="1"/>
  <c r="T393" i="25" s="1"/>
  <c r="Y392" i="25" s="1"/>
  <c r="O289" i="25"/>
  <c r="O291" i="25" s="1"/>
  <c r="DF314" i="25"/>
  <c r="DF313" i="25"/>
  <c r="DF46" i="25"/>
  <c r="DF22" i="617"/>
  <c r="AD20" i="559"/>
  <c r="DF91" i="25"/>
  <c r="DF105" i="25"/>
  <c r="DG122" i="25"/>
  <c r="DK91" i="25"/>
  <c r="CG111" i="25"/>
  <c r="CL111" i="25"/>
  <c r="ED283" i="25"/>
  <c r="DY36" i="25"/>
  <c r="DY40" i="25" s="1"/>
  <c r="DZ40" i="25" s="1"/>
  <c r="EA63" i="25"/>
  <c r="DW76" i="617"/>
  <c r="EB76" i="617"/>
  <c r="DA74" i="571"/>
  <c r="DA219" i="571" s="1"/>
  <c r="CV51" i="617"/>
  <c r="CV72" i="617" s="1"/>
  <c r="CB74" i="571"/>
  <c r="CB219" i="571" s="1"/>
  <c r="CY88" i="571"/>
  <c r="DD148" i="571"/>
  <c r="CY143" i="571"/>
  <c r="CT83" i="571"/>
  <c r="CT112" i="571"/>
  <c r="CT89" i="571"/>
  <c r="CV89" i="571" s="1"/>
  <c r="DH153" i="25"/>
  <c r="DA342" i="25"/>
  <c r="CV257" i="25"/>
  <c r="CW342" i="25"/>
  <c r="CV343" i="25"/>
  <c r="CL53" i="617"/>
  <c r="CL80" i="617"/>
  <c r="CJ343" i="25"/>
  <c r="CK342" i="25"/>
  <c r="CK343" i="25" s="1"/>
  <c r="CR343" i="25"/>
  <c r="CS342" i="25"/>
  <c r="CO342" i="25"/>
  <c r="CN343" i="25"/>
  <c r="CG51" i="617"/>
  <c r="CG53" i="617" s="1"/>
  <c r="CG55" i="617" s="1"/>
  <c r="CL74" i="571"/>
  <c r="CL219" i="571" s="1"/>
  <c r="CQ139" i="571"/>
  <c r="CQ74" i="571"/>
  <c r="CQ219" i="571" s="1"/>
  <c r="CQ239" i="25"/>
  <c r="CQ251" i="25"/>
  <c r="CQ313" i="25"/>
  <c r="CQ315" i="25"/>
  <c r="CR313" i="25"/>
  <c r="CP259" i="25"/>
  <c r="DQ106" i="617"/>
  <c r="BW101" i="571"/>
  <c r="CB101" i="571"/>
  <c r="DM40" i="571"/>
  <c r="DL32" i="571"/>
  <c r="DH33" i="617"/>
  <c r="DM33" i="617"/>
  <c r="DZ63" i="25"/>
  <c r="AC67" i="559"/>
  <c r="AH67" i="559"/>
  <c r="AS167" i="25"/>
  <c r="AS175" i="25"/>
  <c r="AN167" i="25"/>
  <c r="DK315" i="25"/>
  <c r="DK24" i="617"/>
  <c r="DK25" i="617" s="1"/>
  <c r="AP162" i="25"/>
  <c r="AP166" i="25"/>
  <c r="AO151" i="25"/>
  <c r="AF67" i="559"/>
  <c r="AK67" i="559"/>
  <c r="DE33" i="617"/>
  <c r="DJ33" i="617"/>
  <c r="DK20" i="617"/>
  <c r="DK42" i="617" s="1"/>
  <c r="DN57" i="611"/>
  <c r="DO55" i="611" s="1"/>
  <c r="DM93" i="611"/>
  <c r="DN92" i="611"/>
  <c r="DO90" i="611" s="1"/>
  <c r="DN93" i="611"/>
  <c r="DL100" i="611"/>
  <c r="DN135" i="611"/>
  <c r="DM58" i="611"/>
  <c r="DM43" i="611"/>
  <c r="DN41" i="611" s="1"/>
  <c r="DO145" i="611"/>
  <c r="DN149" i="611"/>
  <c r="DI162" i="611"/>
  <c r="DI163" i="611" s="1"/>
  <c r="DI20" i="611" s="1"/>
  <c r="DS159" i="611"/>
  <c r="DR163" i="611"/>
  <c r="DN71" i="611"/>
  <c r="DO69" i="611" s="1"/>
  <c r="DR82" i="611"/>
  <c r="DQ86" i="611"/>
  <c r="DO142" i="611"/>
  <c r="DQ138" i="611"/>
  <c r="DS131" i="611"/>
  <c r="DL50" i="611"/>
  <c r="DL51" i="611" s="1"/>
  <c r="DR103" i="611"/>
  <c r="DN106" i="611"/>
  <c r="DO104" i="611" s="1"/>
  <c r="DN107" i="611"/>
  <c r="DO110" i="611"/>
  <c r="DN114" i="611"/>
  <c r="DR54" i="611"/>
  <c r="DM99" i="611"/>
  <c r="DN97" i="611" s="1"/>
  <c r="DT37" i="611"/>
  <c r="DR40" i="611"/>
  <c r="DO134" i="611"/>
  <c r="DQ132" i="611" s="1"/>
  <c r="DO62" i="611"/>
  <c r="DM72" i="611"/>
  <c r="DQ124" i="611"/>
  <c r="DO128" i="611"/>
  <c r="DX162" i="611"/>
  <c r="DY160" i="611" s="1"/>
  <c r="DV85" i="611"/>
  <c r="DW83" i="611" s="1"/>
  <c r="DR78" i="611"/>
  <c r="DT48" i="611"/>
  <c r="DV47" i="613"/>
  <c r="DQ105" i="617"/>
  <c r="DQ100" i="617"/>
  <c r="DW13" i="607"/>
  <c r="DW51" i="607" s="1"/>
  <c r="DR104" i="617"/>
  <c r="DR99" i="617"/>
  <c r="DR89" i="617"/>
  <c r="DT52" i="613"/>
  <c r="DT53" i="613" s="1"/>
  <c r="DV17" i="607"/>
  <c r="DV52" i="607"/>
  <c r="DV48" i="613"/>
  <c r="DU58" i="607"/>
  <c r="DU90" i="617"/>
  <c r="DU21" i="607"/>
  <c r="DV50" i="613"/>
  <c r="DV53" i="607"/>
  <c r="DS60" i="607"/>
  <c r="DV98" i="617"/>
  <c r="DT89" i="617"/>
  <c r="DT104" i="617"/>
  <c r="DT99" i="617"/>
  <c r="DX32" i="607"/>
  <c r="DY30" i="607" s="1"/>
  <c r="DV14" i="607"/>
  <c r="DS104" i="617"/>
  <c r="DS99" i="617"/>
  <c r="DS89" i="617"/>
  <c r="DX17" i="571"/>
  <c r="DX53" i="571"/>
  <c r="DY52" i="571"/>
  <c r="DV13" i="571"/>
  <c r="DV57" i="571"/>
  <c r="DV166" i="25"/>
  <c r="DY375" i="25"/>
  <c r="DY205" i="25"/>
  <c r="DZ205" i="25" s="1"/>
  <c r="DX362" i="25"/>
  <c r="DY229" i="25"/>
  <c r="DX368" i="25"/>
  <c r="DY224" i="25"/>
  <c r="DZ36" i="25"/>
  <c r="DP100" i="617"/>
  <c r="DP105" i="617"/>
  <c r="DT24" i="617"/>
  <c r="DS24" i="617"/>
  <c r="DU55" i="25"/>
  <c r="DT301" i="25"/>
  <c r="DP221" i="25"/>
  <c r="DD104" i="571"/>
  <c r="DD105" i="571"/>
  <c r="CR98" i="571"/>
  <c r="CV83" i="571"/>
  <c r="CR78" i="571"/>
  <c r="CR79" i="571" s="1"/>
  <c r="CR84" i="571"/>
  <c r="DU116" i="617"/>
  <c r="DU42" i="613"/>
  <c r="DU36" i="613"/>
  <c r="DT151" i="25"/>
  <c r="DN404" i="25"/>
  <c r="DN348" i="25" s="1"/>
  <c r="AL18" i="559"/>
  <c r="AL65" i="559" s="1"/>
  <c r="DP18" i="25"/>
  <c r="CQ53" i="617"/>
  <c r="CQ72" i="617"/>
  <c r="CR121" i="571"/>
  <c r="CR122" i="571"/>
  <c r="CS122" i="571"/>
  <c r="DN128" i="617"/>
  <c r="DN114" i="617"/>
  <c r="L57" i="559"/>
  <c r="L109" i="559"/>
  <c r="L37" i="559"/>
  <c r="G110" i="559"/>
  <c r="G108" i="559"/>
  <c r="DR365" i="25"/>
  <c r="AO18" i="559"/>
  <c r="AO65" i="559" s="1"/>
  <c r="DS158" i="571"/>
  <c r="DS177" i="571"/>
  <c r="DU159" i="571"/>
  <c r="DU177" i="571" s="1"/>
  <c r="DV177" i="571"/>
  <c r="DV158" i="571"/>
  <c r="CR149" i="571"/>
  <c r="CR113" i="571"/>
  <c r="DP116" i="617"/>
  <c r="DP36" i="613"/>
  <c r="DP42" i="613"/>
  <c r="DP52" i="613"/>
  <c r="DP53" i="613" s="1"/>
  <c r="CZ153" i="25"/>
  <c r="DB153" i="25"/>
  <c r="DM151" i="25"/>
  <c r="DM152" i="25" s="1"/>
  <c r="DI152" i="25"/>
  <c r="DI153" i="25" s="1"/>
  <c r="DH158" i="25"/>
  <c r="DH159" i="25" s="1"/>
  <c r="DH160" i="25" s="1"/>
  <c r="DQ128" i="617"/>
  <c r="DQ114" i="617"/>
  <c r="DG148" i="571"/>
  <c r="DB88" i="571"/>
  <c r="DB143" i="571"/>
  <c r="DU49" i="617"/>
  <c r="AS14" i="559"/>
  <c r="CV148" i="571"/>
  <c r="CV112" i="571"/>
  <c r="CV121" i="571" s="1"/>
  <c r="CW83" i="571"/>
  <c r="CW112" i="571"/>
  <c r="DA88" i="571"/>
  <c r="CW89" i="571"/>
  <c r="DV128" i="617"/>
  <c r="DV114" i="617"/>
  <c r="DP176" i="571"/>
  <c r="DP174" i="571" s="1"/>
  <c r="DP52" i="617"/>
  <c r="DP73" i="617" s="1"/>
  <c r="T13" i="559"/>
  <c r="CV47" i="617"/>
  <c r="DL152" i="25"/>
  <c r="DL153" i="25" s="1"/>
  <c r="DQ151" i="25"/>
  <c r="DL158" i="25"/>
  <c r="DL159" i="25" s="1"/>
  <c r="DL160" i="25" s="1"/>
  <c r="DY177" i="571"/>
  <c r="DY158" i="571"/>
  <c r="DN47" i="617"/>
  <c r="AL13" i="559"/>
  <c r="CB169" i="571" l="1"/>
  <c r="CB115" i="571"/>
  <c r="CU105" i="571"/>
  <c r="CU104" i="571"/>
  <c r="DF129" i="571"/>
  <c r="DF134" i="571" s="1"/>
  <c r="DF66" i="571"/>
  <c r="CU115" i="571"/>
  <c r="CP116" i="571"/>
  <c r="CP115" i="571"/>
  <c r="CS154" i="571"/>
  <c r="Q32" i="559" s="1"/>
  <c r="CS144" i="571"/>
  <c r="CS150" i="571"/>
  <c r="CS57" i="617"/>
  <c r="CS80" i="617" s="1"/>
  <c r="CS99" i="571"/>
  <c r="CS101" i="571" s="1"/>
  <c r="Q56" i="559" s="1"/>
  <c r="CS161" i="571"/>
  <c r="CX33" i="617"/>
  <c r="DC33" i="617"/>
  <c r="CU161" i="571"/>
  <c r="CU99" i="571"/>
  <c r="CU101" i="571" s="1"/>
  <c r="S56" i="559" s="1"/>
  <c r="CU57" i="617"/>
  <c r="CU80" i="617" s="1"/>
  <c r="CL169" i="571"/>
  <c r="J36" i="559"/>
  <c r="AD92" i="25"/>
  <c r="Y43" i="25"/>
  <c r="Y92" i="25"/>
  <c r="DO148" i="571"/>
  <c r="DT148" i="571" s="1"/>
  <c r="DY148" i="571" s="1"/>
  <c r="ED148" i="571" s="1"/>
  <c r="K110" i="559"/>
  <c r="K108" i="559"/>
  <c r="CQ189" i="571"/>
  <c r="CQ58" i="617"/>
  <c r="CQ81" i="617" s="1"/>
  <c r="CQ165" i="571"/>
  <c r="CQ166" i="571" s="1"/>
  <c r="CP59" i="617"/>
  <c r="CP61" i="617" s="1"/>
  <c r="CP204" i="571"/>
  <c r="CP194" i="571"/>
  <c r="CP205" i="571" s="1"/>
  <c r="DC89" i="571"/>
  <c r="DC112" i="571"/>
  <c r="DC121" i="571" s="1"/>
  <c r="DC83" i="571"/>
  <c r="CZ78" i="571"/>
  <c r="CZ79" i="571" s="1"/>
  <c r="CZ98" i="571"/>
  <c r="CZ107" i="571" s="1"/>
  <c r="CU154" i="571"/>
  <c r="S32" i="559" s="1"/>
  <c r="CU150" i="571"/>
  <c r="CU144" i="571"/>
  <c r="CL59" i="617"/>
  <c r="CL61" i="617" s="1"/>
  <c r="CL75" i="617" s="1"/>
  <c r="CL194" i="571"/>
  <c r="CL205" i="571" s="1"/>
  <c r="CL204" i="571"/>
  <c r="CX78" i="571"/>
  <c r="CX79" i="571" s="1"/>
  <c r="CX98" i="571"/>
  <c r="CX107" i="571" s="1"/>
  <c r="CX84" i="571"/>
  <c r="DO75" i="611"/>
  <c r="DN79" i="611"/>
  <c r="Y314" i="25"/>
  <c r="Y313" i="25"/>
  <c r="CV97" i="571"/>
  <c r="CV104" i="571" s="1"/>
  <c r="CV77" i="571"/>
  <c r="DE82" i="571"/>
  <c r="DE89" i="571"/>
  <c r="DE111" i="571"/>
  <c r="DF87" i="571"/>
  <c r="Y395" i="25"/>
  <c r="Y289" i="25"/>
  <c r="Y291" i="25" s="1"/>
  <c r="Y391" i="25"/>
  <c r="Y393" i="25" s="1"/>
  <c r="AD392" i="25" s="1"/>
  <c r="AD393" i="25" s="1"/>
  <c r="AI392" i="25" s="1"/>
  <c r="AI393" i="25" s="1"/>
  <c r="Y398" i="25"/>
  <c r="Y46" i="25"/>
  <c r="DG64" i="571"/>
  <c r="DG37" i="571"/>
  <c r="DG87" i="571"/>
  <c r="DH36" i="571"/>
  <c r="DH49" i="571"/>
  <c r="DH43" i="571"/>
  <c r="DI48" i="571"/>
  <c r="DH50" i="571"/>
  <c r="DH69" i="617"/>
  <c r="CQ149" i="571"/>
  <c r="CQ113" i="571"/>
  <c r="CQ115" i="571" s="1"/>
  <c r="DM148" i="571"/>
  <c r="DR148" i="571" s="1"/>
  <c r="DW148" i="571" s="1"/>
  <c r="CZ77" i="571"/>
  <c r="CZ97" i="571"/>
  <c r="CZ105" i="571" s="1"/>
  <c r="CZ84" i="571"/>
  <c r="DA82" i="571"/>
  <c r="I109" i="559"/>
  <c r="I37" i="559"/>
  <c r="I57" i="559"/>
  <c r="DG44" i="571"/>
  <c r="DG71" i="571"/>
  <c r="CP169" i="571"/>
  <c r="CP162" i="571"/>
  <c r="CQ162" i="571" s="1"/>
  <c r="CQ168" i="571" s="1"/>
  <c r="N36" i="559"/>
  <c r="CZ113" i="571"/>
  <c r="CZ115" i="571" s="1"/>
  <c r="CZ149" i="571"/>
  <c r="DN58" i="611"/>
  <c r="ED96" i="611"/>
  <c r="CX149" i="571"/>
  <c r="CX113" i="571"/>
  <c r="CX115" i="571" s="1"/>
  <c r="DO147" i="571"/>
  <c r="DO142" i="571" s="1"/>
  <c r="DJ142" i="571"/>
  <c r="AD113" i="25"/>
  <c r="Y113" i="25"/>
  <c r="CV152" i="571"/>
  <c r="T30" i="559" s="1"/>
  <c r="CV142" i="571"/>
  <c r="CP154" i="571"/>
  <c r="N32" i="559" s="1"/>
  <c r="CP150" i="571"/>
  <c r="CP144" i="571"/>
  <c r="DC105" i="571"/>
  <c r="DB104" i="571"/>
  <c r="DF74" i="571"/>
  <c r="DF219" i="571" s="1"/>
  <c r="DF139" i="571"/>
  <c r="V67" i="559"/>
  <c r="AA67" i="559"/>
  <c r="DA147" i="571"/>
  <c r="DA111" i="571"/>
  <c r="DA118" i="571" s="1"/>
  <c r="CB67" i="571"/>
  <c r="CG74" i="571" s="1"/>
  <c r="CG219" i="571" s="1"/>
  <c r="CG47" i="617" s="1"/>
  <c r="CB223" i="571"/>
  <c r="DB119" i="571"/>
  <c r="CW105" i="571"/>
  <c r="DU26" i="607"/>
  <c r="DU52" i="613" s="1"/>
  <c r="DU53" i="613" s="1"/>
  <c r="DT54" i="607"/>
  <c r="DS94" i="617"/>
  <c r="DS92" i="617" s="1"/>
  <c r="DS100" i="617" s="1"/>
  <c r="DS54" i="607"/>
  <c r="DT60" i="607"/>
  <c r="DR60" i="607"/>
  <c r="DR54" i="607"/>
  <c r="DW19" i="607"/>
  <c r="DW27" i="607" s="1"/>
  <c r="DW66" i="25" s="1"/>
  <c r="DR52" i="613"/>
  <c r="DR53" i="613" s="1"/>
  <c r="DZ8" i="571"/>
  <c r="AS11" i="559"/>
  <c r="DJ8" i="571"/>
  <c r="AG11" i="559"/>
  <c r="BM100" i="25"/>
  <c r="BM261" i="25"/>
  <c r="BM263" i="25" s="1"/>
  <c r="BR87" i="25"/>
  <c r="BM87" i="25"/>
  <c r="BK111" i="25"/>
  <c r="BK130" i="25"/>
  <c r="BP111" i="25"/>
  <c r="BJ130" i="25"/>
  <c r="BJ111" i="25"/>
  <c r="BO111" i="25"/>
  <c r="CV50" i="25"/>
  <c r="CV315" i="25"/>
  <c r="CV24" i="617"/>
  <c r="CV25" i="617" s="1"/>
  <c r="CV33" i="617" s="1"/>
  <c r="AX201" i="25"/>
  <c r="BC392" i="25"/>
  <c r="BC393" i="25" s="1"/>
  <c r="U67" i="559"/>
  <c r="Z67" i="559"/>
  <c r="CW33" i="617"/>
  <c r="DB33" i="617"/>
  <c r="AX146" i="25"/>
  <c r="AX147" i="25" s="1"/>
  <c r="AS206" i="25"/>
  <c r="AS247" i="25"/>
  <c r="BW93" i="25"/>
  <c r="DA2" i="571"/>
  <c r="DA93" i="25"/>
  <c r="DA52" i="25"/>
  <c r="Y21" i="559"/>
  <c r="Y67" i="559" s="1"/>
  <c r="DA304" i="25"/>
  <c r="DA2" i="607"/>
  <c r="DA2" i="613"/>
  <c r="Y7" i="559"/>
  <c r="CL24" i="617"/>
  <c r="CL25" i="617" s="1"/>
  <c r="CL51" i="25"/>
  <c r="CL315" i="25"/>
  <c r="EA159" i="571"/>
  <c r="EA158" i="571" s="1"/>
  <c r="EA23" i="613"/>
  <c r="DY26" i="613"/>
  <c r="DY25" i="613"/>
  <c r="DZ25" i="613" s="1"/>
  <c r="DZ23" i="613"/>
  <c r="DZ26" i="613" s="1"/>
  <c r="DX36" i="613"/>
  <c r="DX116" i="617"/>
  <c r="DW128" i="617"/>
  <c r="DW114" i="617"/>
  <c r="DV51" i="613"/>
  <c r="DV49" i="613"/>
  <c r="DY52" i="617"/>
  <c r="DY73" i="617" s="1"/>
  <c r="ED159" i="571"/>
  <c r="DY53" i="571"/>
  <c r="EA52" i="571"/>
  <c r="DF25" i="617"/>
  <c r="DF39" i="617"/>
  <c r="DF20" i="617"/>
  <c r="DF42" i="617" s="1"/>
  <c r="DF32" i="617"/>
  <c r="DK32" i="617"/>
  <c r="DY377" i="25"/>
  <c r="EA375" i="25"/>
  <c r="DZ219" i="25"/>
  <c r="EA219" i="25" s="1"/>
  <c r="DY27" i="611"/>
  <c r="DF2" i="571"/>
  <c r="AD7" i="559"/>
  <c r="AD21" i="559"/>
  <c r="DF2" i="607"/>
  <c r="DF304" i="25"/>
  <c r="DF2" i="613"/>
  <c r="DG124" i="25"/>
  <c r="DF93" i="25"/>
  <c r="DK93" i="25"/>
  <c r="DF113" i="25"/>
  <c r="DG132" i="25"/>
  <c r="DK113" i="25"/>
  <c r="EA205" i="25"/>
  <c r="EA367" i="25" s="1"/>
  <c r="EB63" i="25"/>
  <c r="EA36" i="25"/>
  <c r="CV53" i="617"/>
  <c r="CV74" i="617" s="1"/>
  <c r="DA72" i="617"/>
  <c r="DA47" i="617"/>
  <c r="Y13" i="559"/>
  <c r="DA218" i="571"/>
  <c r="DA46" i="617" s="1"/>
  <c r="CT149" i="571"/>
  <c r="CT113" i="571"/>
  <c r="DD143" i="571"/>
  <c r="DI148" i="571"/>
  <c r="DD88" i="571"/>
  <c r="DF88" i="571" s="1"/>
  <c r="CT78" i="571"/>
  <c r="CT79" i="571" s="1"/>
  <c r="CT84" i="571"/>
  <c r="CT98" i="571"/>
  <c r="CY89" i="571"/>
  <c r="CY83" i="571"/>
  <c r="CY112" i="571"/>
  <c r="CT121" i="571"/>
  <c r="CU122" i="571"/>
  <c r="CT122" i="571"/>
  <c r="CL72" i="617"/>
  <c r="CQ47" i="617"/>
  <c r="O13" i="559"/>
  <c r="CS343" i="25"/>
  <c r="CT342" i="25"/>
  <c r="CP342" i="25"/>
  <c r="CP343" i="25" s="1"/>
  <c r="CO343" i="25"/>
  <c r="DB342" i="25"/>
  <c r="DF342" i="25"/>
  <c r="DA343" i="25"/>
  <c r="DA257" i="25"/>
  <c r="CW343" i="25"/>
  <c r="CX342" i="25"/>
  <c r="J13" i="559"/>
  <c r="CL47" i="617"/>
  <c r="CL74" i="617"/>
  <c r="CL82" i="617"/>
  <c r="CL83" i="617"/>
  <c r="CL84" i="617"/>
  <c r="CL55" i="617"/>
  <c r="DN40" i="571"/>
  <c r="DO40" i="571" s="1"/>
  <c r="DO32" i="571" s="1"/>
  <c r="DM32" i="571"/>
  <c r="DM158" i="25" s="1"/>
  <c r="DM159" i="25" s="1"/>
  <c r="DM160" i="25" s="1"/>
  <c r="DL39" i="571"/>
  <c r="DL59" i="571"/>
  <c r="DL33" i="571"/>
  <c r="DW11" i="607"/>
  <c r="DZ375" i="25"/>
  <c r="AO152" i="25"/>
  <c r="AO153" i="25" s="1"/>
  <c r="AP151" i="25"/>
  <c r="AQ162" i="25"/>
  <c r="AQ166" i="25"/>
  <c r="DN43" i="611"/>
  <c r="DN44" i="611" s="1"/>
  <c r="DN72" i="611"/>
  <c r="DM44" i="611"/>
  <c r="DO57" i="611"/>
  <c r="DQ55" i="611" s="1"/>
  <c r="DO92" i="611"/>
  <c r="DQ90" i="611" s="1"/>
  <c r="DN99" i="611"/>
  <c r="DN100" i="611"/>
  <c r="DT159" i="611"/>
  <c r="DS163" i="611"/>
  <c r="DO135" i="611"/>
  <c r="DM100" i="611"/>
  <c r="DO114" i="611"/>
  <c r="DQ110" i="611"/>
  <c r="DS103" i="611"/>
  <c r="DT131" i="611"/>
  <c r="DS82" i="611"/>
  <c r="DR86" i="611"/>
  <c r="DO64" i="611"/>
  <c r="DR138" i="611"/>
  <c r="DQ142" i="611"/>
  <c r="DQ134" i="611"/>
  <c r="DR132" i="611" s="1"/>
  <c r="DO149" i="611"/>
  <c r="DQ145" i="611"/>
  <c r="DR124" i="611"/>
  <c r="DQ128" i="611"/>
  <c r="DV37" i="611"/>
  <c r="DT40" i="611"/>
  <c r="DS54" i="611"/>
  <c r="DO106" i="611"/>
  <c r="DQ104" i="611" s="1"/>
  <c r="DM48" i="611"/>
  <c r="DO71" i="611"/>
  <c r="DQ69" i="611" s="1"/>
  <c r="DO72" i="611"/>
  <c r="DJ160" i="611"/>
  <c r="DI26" i="611"/>
  <c r="DI28" i="611" s="1"/>
  <c r="DY162" i="611"/>
  <c r="EA160" i="611" s="1"/>
  <c r="EA162" i="611" s="1"/>
  <c r="EB160" i="611" s="1"/>
  <c r="EB162" i="611" s="1"/>
  <c r="EC160" i="611" s="1"/>
  <c r="EC162" i="611" s="1"/>
  <c r="ED160" i="611" s="1"/>
  <c r="ED162" i="611" s="1"/>
  <c r="DW85" i="611"/>
  <c r="DX83" i="611" s="1"/>
  <c r="DS76" i="611"/>
  <c r="DT51" i="611"/>
  <c r="DT50" i="611"/>
  <c r="DT92" i="617"/>
  <c r="DT100" i="617" s="1"/>
  <c r="DW15" i="607"/>
  <c r="DW14" i="607" s="1"/>
  <c r="DW88" i="617"/>
  <c r="DW47" i="613"/>
  <c r="DR106" i="617"/>
  <c r="DR92" i="617"/>
  <c r="DW12" i="607"/>
  <c r="DX13" i="607"/>
  <c r="DU60" i="607"/>
  <c r="DU54" i="607"/>
  <c r="DU94" i="617"/>
  <c r="DU106" i="617" s="1"/>
  <c r="DY32" i="607"/>
  <c r="DU104" i="617"/>
  <c r="DU99" i="617"/>
  <c r="DU89" i="617"/>
  <c r="DV58" i="607"/>
  <c r="DV90" i="617"/>
  <c r="DV21" i="607"/>
  <c r="DV26" i="607" s="1"/>
  <c r="DW57" i="571"/>
  <c r="DW13" i="571"/>
  <c r="DW166" i="25"/>
  <c r="DY17" i="571"/>
  <c r="DY367" i="25"/>
  <c r="DZ367" i="25" s="1"/>
  <c r="DZ224" i="25"/>
  <c r="EA224" i="25" s="1"/>
  <c r="DY368" i="25"/>
  <c r="DZ368" i="25" s="1"/>
  <c r="DZ229" i="25"/>
  <c r="EA229" i="25" s="1"/>
  <c r="DY362" i="25"/>
  <c r="DZ362" i="25" s="1"/>
  <c r="DP365" i="25"/>
  <c r="DV55" i="25"/>
  <c r="DV50" i="25" s="1"/>
  <c r="DV52" i="25" s="1"/>
  <c r="DU54" i="25"/>
  <c r="DU301" i="25"/>
  <c r="DU50" i="25"/>
  <c r="DQ152" i="25"/>
  <c r="DQ153" i="25" s="1"/>
  <c r="DV151" i="25"/>
  <c r="EA151" i="25" s="1"/>
  <c r="DV127" i="617"/>
  <c r="DV122" i="617"/>
  <c r="DM153" i="25"/>
  <c r="CW113" i="571"/>
  <c r="CW149" i="571"/>
  <c r="CV143" i="571"/>
  <c r="CV153" i="571"/>
  <c r="T31" i="559" s="1"/>
  <c r="DB83" i="571"/>
  <c r="DB112" i="571"/>
  <c r="DB89" i="571"/>
  <c r="DQ122" i="617"/>
  <c r="DQ127" i="617"/>
  <c r="DA148" i="571"/>
  <c r="DA112" i="571"/>
  <c r="DA121" i="571" s="1"/>
  <c r="DL148" i="571"/>
  <c r="DQ148" i="571" s="1"/>
  <c r="DG88" i="571"/>
  <c r="DN152" i="25"/>
  <c r="DR151" i="25"/>
  <c r="DR152" i="25" s="1"/>
  <c r="DP128" i="617"/>
  <c r="DP114" i="617"/>
  <c r="CV149" i="571"/>
  <c r="CV113" i="571"/>
  <c r="CV115" i="571" s="1"/>
  <c r="DN122" i="617"/>
  <c r="DN127" i="617"/>
  <c r="DS122" i="617"/>
  <c r="CQ74" i="617"/>
  <c r="CQ84" i="617"/>
  <c r="CQ83" i="617"/>
  <c r="DY151" i="25"/>
  <c r="ED151" i="25" s="1"/>
  <c r="ED152" i="25" s="1"/>
  <c r="DT152" i="25"/>
  <c r="DU128" i="617"/>
  <c r="DU114" i="617"/>
  <c r="CV78" i="571"/>
  <c r="CV79" i="571" s="1"/>
  <c r="CV98" i="571"/>
  <c r="CV107" i="571" s="1"/>
  <c r="CR150" i="571"/>
  <c r="CR154" i="571"/>
  <c r="P32" i="559" s="1"/>
  <c r="CR144" i="571"/>
  <c r="DP404" i="25"/>
  <c r="AN18" i="559"/>
  <c r="AN65" i="559" s="1"/>
  <c r="DP85" i="25"/>
  <c r="CR107" i="571"/>
  <c r="CR108" i="571"/>
  <c r="CS108" i="571"/>
  <c r="DV52" i="617"/>
  <c r="L108" i="559"/>
  <c r="L110" i="559"/>
  <c r="CR161" i="571"/>
  <c r="CR189" i="571" s="1"/>
  <c r="CR57" i="617"/>
  <c r="CR80" i="617" s="1"/>
  <c r="CR99" i="571"/>
  <c r="DJ153" i="25"/>
  <c r="CW122" i="571"/>
  <c r="CW121" i="571"/>
  <c r="CX122" i="571"/>
  <c r="CW98" i="571"/>
  <c r="CW78" i="571"/>
  <c r="CW79" i="571" s="1"/>
  <c r="CW84" i="571"/>
  <c r="CR115" i="571"/>
  <c r="CR116" i="571"/>
  <c r="CS116" i="571"/>
  <c r="DS52" i="617"/>
  <c r="DS73" i="617" s="1"/>
  <c r="DX159" i="571"/>
  <c r="DU158" i="571"/>
  <c r="DZ171" i="571"/>
  <c r="DZ220" i="571" s="1"/>
  <c r="DO93" i="611" l="1"/>
  <c r="DB105" i="571"/>
  <c r="CQ169" i="571"/>
  <c r="O36" i="559"/>
  <c r="DG72" i="571"/>
  <c r="DE113" i="571"/>
  <c r="DE115" i="571" s="1"/>
  <c r="DE149" i="571"/>
  <c r="DQ75" i="611"/>
  <c r="DO79" i="611"/>
  <c r="DC113" i="571"/>
  <c r="DC115" i="571" s="1"/>
  <c r="DC149" i="571"/>
  <c r="CP82" i="617"/>
  <c r="CP75" i="617"/>
  <c r="CP55" i="617"/>
  <c r="DF130" i="571"/>
  <c r="DF68" i="571"/>
  <c r="DF222" i="571"/>
  <c r="DF223" i="571" s="1"/>
  <c r="CZ144" i="571"/>
  <c r="CZ154" i="571"/>
  <c r="X32" i="559" s="1"/>
  <c r="CZ150" i="571"/>
  <c r="DH44" i="571"/>
  <c r="DH71" i="571"/>
  <c r="DH72" i="571" s="1"/>
  <c r="DE118" i="571"/>
  <c r="DE119" i="571"/>
  <c r="CQ194" i="571"/>
  <c r="CQ205" i="571" s="1"/>
  <c r="CQ215" i="571" s="1"/>
  <c r="CQ59" i="617"/>
  <c r="CQ61" i="617" s="1"/>
  <c r="CQ204" i="571"/>
  <c r="DO58" i="611"/>
  <c r="DA142" i="571"/>
  <c r="DA152" i="571"/>
  <c r="Y30" i="559" s="1"/>
  <c r="AD13" i="559"/>
  <c r="DF47" i="617"/>
  <c r="N57" i="559"/>
  <c r="N37" i="559"/>
  <c r="N109" i="559"/>
  <c r="I108" i="559"/>
  <c r="I110" i="559"/>
  <c r="DA77" i="571"/>
  <c r="DA97" i="571"/>
  <c r="DA104" i="571" s="1"/>
  <c r="DH87" i="571"/>
  <c r="DH64" i="571"/>
  <c r="DH37" i="571"/>
  <c r="DH88" i="571" s="1"/>
  <c r="DG65" i="571"/>
  <c r="DE97" i="571"/>
  <c r="DE77" i="571"/>
  <c r="DF77" i="571" s="1"/>
  <c r="DF82" i="571"/>
  <c r="DF97" i="571" s="1"/>
  <c r="CX161" i="571"/>
  <c r="CX99" i="571"/>
  <c r="CX101" i="571" s="1"/>
  <c r="V56" i="559" s="1"/>
  <c r="CX57" i="617"/>
  <c r="CX80" i="617" s="1"/>
  <c r="J57" i="559"/>
  <c r="J37" i="559"/>
  <c r="CS189" i="571"/>
  <c r="CS162" i="571"/>
  <c r="CS168" i="571" s="1"/>
  <c r="CS165" i="571"/>
  <c r="CS166" i="571" s="1"/>
  <c r="CS58" i="617"/>
  <c r="CS81" i="617" s="1"/>
  <c r="DO41" i="611"/>
  <c r="DN26" i="611"/>
  <c r="DN28" i="611" s="1"/>
  <c r="CX144" i="571"/>
  <c r="CX150" i="571"/>
  <c r="CX154" i="571"/>
  <c r="V32" i="559" s="1"/>
  <c r="CZ99" i="571"/>
  <c r="CZ101" i="571" s="1"/>
  <c r="X56" i="559" s="1"/>
  <c r="CZ161" i="571"/>
  <c r="CZ57" i="617"/>
  <c r="CZ80" i="617" s="1"/>
  <c r="CQ144" i="571"/>
  <c r="CQ154" i="571"/>
  <c r="O32" i="559" s="1"/>
  <c r="CQ150" i="571"/>
  <c r="DI50" i="571"/>
  <c r="DI69" i="617"/>
  <c r="DJ48" i="571"/>
  <c r="DI49" i="571"/>
  <c r="DI36" i="571"/>
  <c r="DI43" i="571"/>
  <c r="DG111" i="571"/>
  <c r="DG82" i="571"/>
  <c r="DF147" i="571"/>
  <c r="DF111" i="571"/>
  <c r="DF118" i="571" s="1"/>
  <c r="DC78" i="571"/>
  <c r="DC79" i="571" s="1"/>
  <c r="DC98" i="571"/>
  <c r="DC107" i="571" s="1"/>
  <c r="DC84" i="571"/>
  <c r="CP216" i="571"/>
  <c r="CP215" i="571"/>
  <c r="CU189" i="571"/>
  <c r="CU58" i="617"/>
  <c r="CU81" i="617" s="1"/>
  <c r="CU165" i="571"/>
  <c r="CU166" i="571" s="1"/>
  <c r="CU162" i="571"/>
  <c r="CU168" i="571" s="1"/>
  <c r="CZ104" i="571"/>
  <c r="DT105" i="617"/>
  <c r="DW53" i="607"/>
  <c r="DS106" i="617"/>
  <c r="DW50" i="613"/>
  <c r="DL8" i="571"/>
  <c r="AH11" i="559"/>
  <c r="AX11" i="559"/>
  <c r="EE8" i="571"/>
  <c r="BC11" i="559" s="1"/>
  <c r="BM111" i="25"/>
  <c r="BR111" i="25"/>
  <c r="CL33" i="617"/>
  <c r="CQ33" i="617"/>
  <c r="DA315" i="25"/>
  <c r="DA24" i="617"/>
  <c r="DA25" i="617" s="1"/>
  <c r="DA33" i="617" s="1"/>
  <c r="BC201" i="25"/>
  <c r="BH392" i="25"/>
  <c r="AX247" i="25"/>
  <c r="AX206" i="25"/>
  <c r="BC146" i="25"/>
  <c r="BC147" i="25" s="1"/>
  <c r="AS216" i="25"/>
  <c r="AS309" i="25"/>
  <c r="AS310" i="25" s="1"/>
  <c r="AS311" i="25"/>
  <c r="AS312" i="25"/>
  <c r="EA177" i="571"/>
  <c r="EA52" i="617"/>
  <c r="EA73" i="617" s="1"/>
  <c r="DO59" i="571"/>
  <c r="DO33" i="571"/>
  <c r="DO39" i="571"/>
  <c r="DZ42" i="613"/>
  <c r="DZ36" i="613"/>
  <c r="DZ116" i="617"/>
  <c r="DX128" i="617"/>
  <c r="DX114" i="617"/>
  <c r="DY36" i="613"/>
  <c r="DY116" i="617"/>
  <c r="DW127" i="617"/>
  <c r="DW122" i="617"/>
  <c r="EB23" i="613"/>
  <c r="EA26" i="613"/>
  <c r="EA25" i="613"/>
  <c r="DZ32" i="607"/>
  <c r="EE30" i="607" s="1"/>
  <c r="EA30" i="607"/>
  <c r="EB52" i="571"/>
  <c r="EA53" i="571"/>
  <c r="ED158" i="571"/>
  <c r="ED177" i="571"/>
  <c r="DN153" i="25"/>
  <c r="DO153" i="25"/>
  <c r="EB148" i="571"/>
  <c r="DR153" i="25"/>
  <c r="AD67" i="559"/>
  <c r="AI67" i="559"/>
  <c r="EB219" i="25"/>
  <c r="EA27" i="611"/>
  <c r="DK33" i="617"/>
  <c r="EB375" i="25"/>
  <c r="EA377" i="25"/>
  <c r="EA368" i="25"/>
  <c r="EB224" i="25"/>
  <c r="EA362" i="25"/>
  <c r="EB229" i="25"/>
  <c r="EB205" i="25"/>
  <c r="EC63" i="25"/>
  <c r="EB36" i="25"/>
  <c r="DW98" i="617"/>
  <c r="DV73" i="617"/>
  <c r="CV83" i="617"/>
  <c r="DA74" i="617"/>
  <c r="CY121" i="571"/>
  <c r="CZ122" i="571"/>
  <c r="CY122" i="571"/>
  <c r="CT99" i="571"/>
  <c r="CT161" i="571"/>
  <c r="CV161" i="571" s="1"/>
  <c r="CT57" i="617"/>
  <c r="CT80" i="617" s="1"/>
  <c r="DN148" i="571"/>
  <c r="CY84" i="571"/>
  <c r="CY98" i="571"/>
  <c r="CY78" i="571"/>
  <c r="CY79" i="571" s="1"/>
  <c r="DA83" i="571"/>
  <c r="DA78" i="571" s="1"/>
  <c r="DA79" i="571" s="1"/>
  <c r="CV84" i="571"/>
  <c r="CV57" i="617" s="1"/>
  <c r="CV80" i="617" s="1"/>
  <c r="CY149" i="571"/>
  <c r="CY113" i="571"/>
  <c r="CU116" i="571"/>
  <c r="CT115" i="571"/>
  <c r="CT116" i="571"/>
  <c r="DA89" i="571"/>
  <c r="DA113" i="571" s="1"/>
  <c r="DA115" i="571" s="1"/>
  <c r="CT107" i="571"/>
  <c r="CU108" i="571"/>
  <c r="CT108" i="571"/>
  <c r="DD112" i="571"/>
  <c r="DD89" i="571"/>
  <c r="CT150" i="571"/>
  <c r="CT144" i="571"/>
  <c r="CT154" i="571"/>
  <c r="R32" i="559" s="1"/>
  <c r="DY152" i="25"/>
  <c r="CY342" i="25"/>
  <c r="CX343" i="25"/>
  <c r="DK342" i="25"/>
  <c r="DG342" i="25"/>
  <c r="DF343" i="25"/>
  <c r="DF257" i="25"/>
  <c r="CT343" i="25"/>
  <c r="CU342" i="25"/>
  <c r="CU343" i="25" s="1"/>
  <c r="DC342" i="25"/>
  <c r="DB343" i="25"/>
  <c r="DM33" i="571"/>
  <c r="DM59" i="571"/>
  <c r="DM39" i="571"/>
  <c r="DN32" i="571"/>
  <c r="DO65" i="611"/>
  <c r="AP152" i="25"/>
  <c r="AP153" i="25" s="1"/>
  <c r="AQ151" i="25"/>
  <c r="AR152" i="25" s="1"/>
  <c r="AR162" i="25"/>
  <c r="AR166" i="25"/>
  <c r="DO107" i="611"/>
  <c r="DQ92" i="611"/>
  <c r="DR90" i="611" s="1"/>
  <c r="DQ57" i="611"/>
  <c r="DR55" i="611" s="1"/>
  <c r="DO43" i="611"/>
  <c r="DQ41" i="611" s="1"/>
  <c r="DT82" i="611"/>
  <c r="DS86" i="611"/>
  <c r="DT103" i="611"/>
  <c r="DJ162" i="611"/>
  <c r="DJ163" i="611" s="1"/>
  <c r="DJ20" i="611" s="1"/>
  <c r="DK20" i="611" s="1"/>
  <c r="DR128" i="611"/>
  <c r="DS124" i="611"/>
  <c r="DR134" i="611"/>
  <c r="DS132" i="611" s="1"/>
  <c r="DV159" i="611"/>
  <c r="DT163" i="611"/>
  <c r="DQ71" i="611"/>
  <c r="DR69" i="611" s="1"/>
  <c r="DQ106" i="611"/>
  <c r="DR104" i="611" s="1"/>
  <c r="DW37" i="611"/>
  <c r="DV40" i="611"/>
  <c r="DX37" i="611"/>
  <c r="DX40" i="611" s="1"/>
  <c r="DQ62" i="611"/>
  <c r="DR110" i="611"/>
  <c r="DQ114" i="611"/>
  <c r="DO97" i="611"/>
  <c r="DR145" i="611"/>
  <c r="DQ149" i="611"/>
  <c r="DM50" i="611"/>
  <c r="DM51" i="611" s="1"/>
  <c r="DT54" i="611"/>
  <c r="DQ135" i="611"/>
  <c r="DS138" i="611"/>
  <c r="DR142" i="611"/>
  <c r="DV131" i="611"/>
  <c r="DX85" i="611"/>
  <c r="DY83" i="611" s="1"/>
  <c r="DS78" i="611"/>
  <c r="DV48" i="611"/>
  <c r="DW51" i="613"/>
  <c r="DS105" i="617"/>
  <c r="DW48" i="613"/>
  <c r="DW49" i="613" s="1"/>
  <c r="DW52" i="607"/>
  <c r="DW17" i="607"/>
  <c r="DW58" i="607" s="1"/>
  <c r="DU92" i="617"/>
  <c r="DU105" i="617" s="1"/>
  <c r="DY13" i="607"/>
  <c r="DY88" i="617" s="1"/>
  <c r="DR100" i="617"/>
  <c r="DR105" i="617"/>
  <c r="DV60" i="607"/>
  <c r="DV54" i="607"/>
  <c r="DV94" i="617"/>
  <c r="DV52" i="613"/>
  <c r="DV53" i="613" s="1"/>
  <c r="DW62" i="25"/>
  <c r="DW18" i="25" s="1"/>
  <c r="DW86" i="25"/>
  <c r="DW13" i="617"/>
  <c r="DV104" i="617"/>
  <c r="DV99" i="617"/>
  <c r="DV89" i="617"/>
  <c r="DX12" i="607"/>
  <c r="DX88" i="617"/>
  <c r="DX51" i="607"/>
  <c r="DX15" i="607"/>
  <c r="DX14" i="607" s="1"/>
  <c r="DX47" i="613"/>
  <c r="DX11" i="607"/>
  <c r="DX19" i="607"/>
  <c r="DX27" i="607" s="1"/>
  <c r="DY13" i="571"/>
  <c r="DZ12" i="571"/>
  <c r="EA12" i="571" s="1"/>
  <c r="DY166" i="25"/>
  <c r="DY57" i="571"/>
  <c r="DX13" i="571"/>
  <c r="DX57" i="571"/>
  <c r="DX166" i="25"/>
  <c r="DV24" i="617"/>
  <c r="DW55" i="25"/>
  <c r="DV301" i="25"/>
  <c r="DV302" i="25" s="1"/>
  <c r="CR102" i="571"/>
  <c r="CR101" i="571"/>
  <c r="P56" i="559" s="1"/>
  <c r="CS102" i="571"/>
  <c r="DU176" i="571"/>
  <c r="DU174" i="571" s="1"/>
  <c r="DU52" i="617"/>
  <c r="DU73" i="617" s="1"/>
  <c r="DX177" i="571"/>
  <c r="DX158" i="571"/>
  <c r="DZ159" i="571"/>
  <c r="DZ177" i="571" s="1"/>
  <c r="DA98" i="571"/>
  <c r="DA107" i="571" s="1"/>
  <c r="CR162" i="571"/>
  <c r="CR165" i="571"/>
  <c r="CR166" i="571" s="1"/>
  <c r="CR58" i="617"/>
  <c r="CR81" i="617" s="1"/>
  <c r="DB121" i="571"/>
  <c r="DB122" i="571"/>
  <c r="DC122" i="571"/>
  <c r="CW108" i="571"/>
  <c r="CW107" i="571"/>
  <c r="CX108" i="571"/>
  <c r="DB78" i="571"/>
  <c r="DB79" i="571" s="1"/>
  <c r="DB98" i="571"/>
  <c r="DB84" i="571"/>
  <c r="CW144" i="571"/>
  <c r="CW150" i="571"/>
  <c r="CW154" i="571"/>
  <c r="U32" i="559" s="1"/>
  <c r="CW57" i="617"/>
  <c r="CW80" i="617" s="1"/>
  <c r="CW161" i="571"/>
  <c r="CW189" i="571" s="1"/>
  <c r="CW99" i="571"/>
  <c r="DU122" i="617"/>
  <c r="DU127" i="617"/>
  <c r="CV144" i="571"/>
  <c r="CV150" i="571"/>
  <c r="CV154" i="571"/>
  <c r="T32" i="559" s="1"/>
  <c r="DS152" i="25"/>
  <c r="DS153" i="25" s="1"/>
  <c r="DW151" i="25"/>
  <c r="EB151" i="25" s="1"/>
  <c r="EC152" i="25" s="1"/>
  <c r="DA143" i="571"/>
  <c r="DA153" i="571"/>
  <c r="Y31" i="559" s="1"/>
  <c r="DF148" i="571"/>
  <c r="DF112" i="571"/>
  <c r="DF121" i="571" s="1"/>
  <c r="CW115" i="571"/>
  <c r="CW116" i="571"/>
  <c r="CX116" i="571"/>
  <c r="DW152" i="25"/>
  <c r="DV152" i="25"/>
  <c r="DV153" i="25" s="1"/>
  <c r="CR204" i="571"/>
  <c r="CR59" i="617"/>
  <c r="CR61" i="617" s="1"/>
  <c r="CR194" i="571"/>
  <c r="AX14" i="559"/>
  <c r="DZ49" i="617"/>
  <c r="DP122" i="617"/>
  <c r="DP127" i="617"/>
  <c r="DG83" i="571"/>
  <c r="DG112" i="571"/>
  <c r="DG89" i="571"/>
  <c r="DB149" i="571"/>
  <c r="DB113" i="571"/>
  <c r="DF218" i="571" l="1"/>
  <c r="DF46" i="617" s="1"/>
  <c r="DJ36" i="571"/>
  <c r="DJ50" i="571"/>
  <c r="DJ43" i="571"/>
  <c r="DK43" i="571" s="1"/>
  <c r="DJ49" i="571"/>
  <c r="DJ69" i="617"/>
  <c r="DH112" i="571"/>
  <c r="DH121" i="571" s="1"/>
  <c r="CU194" i="571"/>
  <c r="CU59" i="617"/>
  <c r="CU61" i="617" s="1"/>
  <c r="CU204" i="571"/>
  <c r="DI44" i="571"/>
  <c r="DI71" i="571"/>
  <c r="DI72" i="571" s="1"/>
  <c r="CZ189" i="571"/>
  <c r="CZ162" i="571"/>
  <c r="CZ168" i="571" s="1"/>
  <c r="CZ165" i="571"/>
  <c r="CZ166" i="571" s="1"/>
  <c r="CZ58" i="617"/>
  <c r="CZ81" i="617" s="1"/>
  <c r="Q36" i="559"/>
  <c r="CS169" i="571"/>
  <c r="CX189" i="571"/>
  <c r="CX162" i="571"/>
  <c r="CX168" i="571" s="1"/>
  <c r="CX165" i="571"/>
  <c r="CX166" i="571" s="1"/>
  <c r="CX58" i="617"/>
  <c r="CX81" i="617" s="1"/>
  <c r="DH65" i="571"/>
  <c r="DH129" i="571" s="1"/>
  <c r="CQ75" i="617"/>
  <c r="CQ82" i="617"/>
  <c r="CQ55" i="617"/>
  <c r="DC144" i="571"/>
  <c r="DC150" i="571"/>
  <c r="DC154" i="571"/>
  <c r="AA32" i="559" s="1"/>
  <c r="DR75" i="611"/>
  <c r="DQ79" i="611"/>
  <c r="DC57" i="617"/>
  <c r="DC80" i="617" s="1"/>
  <c r="DC161" i="571"/>
  <c r="DC99" i="571"/>
  <c r="DC101" i="571" s="1"/>
  <c r="AA56" i="559" s="1"/>
  <c r="DG118" i="571"/>
  <c r="DG119" i="571"/>
  <c r="DE154" i="571"/>
  <c r="AC32" i="559" s="1"/>
  <c r="DE144" i="571"/>
  <c r="DE150" i="571"/>
  <c r="CU169" i="571"/>
  <c r="S36" i="559"/>
  <c r="DG97" i="571"/>
  <c r="DI37" i="571"/>
  <c r="DI88" i="571" s="1"/>
  <c r="DI64" i="571"/>
  <c r="DI87" i="571"/>
  <c r="CS59" i="617"/>
  <c r="CS61" i="617" s="1"/>
  <c r="CS194" i="571"/>
  <c r="CS204" i="571"/>
  <c r="DF104" i="571"/>
  <c r="DG77" i="571"/>
  <c r="DH82" i="571"/>
  <c r="DH97" i="571" s="1"/>
  <c r="DH104" i="571" s="1"/>
  <c r="DH111" i="571"/>
  <c r="DH118" i="571" s="1"/>
  <c r="DH89" i="571"/>
  <c r="O37" i="559"/>
  <c r="O57" i="559"/>
  <c r="DE104" i="571"/>
  <c r="DE105" i="571"/>
  <c r="DY47" i="613"/>
  <c r="DQ58" i="611"/>
  <c r="DF152" i="571"/>
  <c r="AD30" i="559" s="1"/>
  <c r="DF142" i="571"/>
  <c r="DG129" i="571"/>
  <c r="N110" i="559"/>
  <c r="N108" i="559"/>
  <c r="DU100" i="617"/>
  <c r="DM8" i="571"/>
  <c r="AJ11" i="559"/>
  <c r="DF33" i="617"/>
  <c r="BC247" i="25"/>
  <c r="BC206" i="25"/>
  <c r="BH146" i="25"/>
  <c r="BH147" i="25" s="1"/>
  <c r="AS316" i="25"/>
  <c r="AS241" i="25"/>
  <c r="AS314" i="25"/>
  <c r="AX309" i="25"/>
  <c r="AX310" i="25" s="1"/>
  <c r="AX312" i="25"/>
  <c r="AX216" i="25"/>
  <c r="AX311" i="25"/>
  <c r="DW50" i="25"/>
  <c r="DW52" i="25" s="1"/>
  <c r="DW24" i="617" s="1"/>
  <c r="EC159" i="571"/>
  <c r="EE159" i="571" s="1"/>
  <c r="EE177" i="571" s="1"/>
  <c r="EE171" i="571"/>
  <c r="EE220" i="571" s="1"/>
  <c r="EC23" i="613"/>
  <c r="EB26" i="613"/>
  <c r="EB25" i="613"/>
  <c r="DY128" i="617"/>
  <c r="DY114" i="617"/>
  <c r="DZ128" i="617"/>
  <c r="DZ114" i="617"/>
  <c r="EA116" i="617"/>
  <c r="EA36" i="613"/>
  <c r="DX127" i="617"/>
  <c r="DX122" i="617"/>
  <c r="DY19" i="607"/>
  <c r="DY27" i="607" s="1"/>
  <c r="EA32" i="607"/>
  <c r="EB30" i="607" s="1"/>
  <c r="EA57" i="571"/>
  <c r="EA56" i="571" s="1"/>
  <c r="EB12" i="571"/>
  <c r="EA166" i="25"/>
  <c r="EA13" i="571"/>
  <c r="EC52" i="571"/>
  <c r="EB53" i="571"/>
  <c r="ED52" i="617"/>
  <c r="ED73" i="617" s="1"/>
  <c r="EB152" i="25"/>
  <c r="EB27" i="611"/>
  <c r="EC219" i="25"/>
  <c r="EC375" i="25"/>
  <c r="EB377" i="25"/>
  <c r="ED153" i="25"/>
  <c r="EC205" i="25"/>
  <c r="EB367" i="25"/>
  <c r="EC229" i="25"/>
  <c r="EB362" i="25"/>
  <c r="EB368" i="25"/>
  <c r="EC224" i="25"/>
  <c r="ED63" i="25"/>
  <c r="EE63" i="25" s="1"/>
  <c r="EC36" i="25"/>
  <c r="DW30" i="617"/>
  <c r="CV99" i="571"/>
  <c r="CV101" i="571" s="1"/>
  <c r="T56" i="559" s="1"/>
  <c r="CV189" i="571"/>
  <c r="CV59" i="617" s="1"/>
  <c r="CV61" i="617" s="1"/>
  <c r="DA149" i="571"/>
  <c r="DA150" i="571" s="1"/>
  <c r="CY115" i="571"/>
  <c r="CY116" i="571"/>
  <c r="CZ116" i="571"/>
  <c r="CU102" i="571"/>
  <c r="CT101" i="571"/>
  <c r="R56" i="559" s="1"/>
  <c r="CT102" i="571"/>
  <c r="DD149" i="571"/>
  <c r="DD113" i="571"/>
  <c r="CY154" i="571"/>
  <c r="W32" i="559" s="1"/>
  <c r="CY150" i="571"/>
  <c r="CY144" i="571"/>
  <c r="CY107" i="571"/>
  <c r="CZ108" i="571"/>
  <c r="CY108" i="571"/>
  <c r="DS148" i="571"/>
  <c r="DD121" i="571"/>
  <c r="DE122" i="571"/>
  <c r="DD122" i="571"/>
  <c r="CY99" i="571"/>
  <c r="CY57" i="617"/>
  <c r="CY80" i="617" s="1"/>
  <c r="CY161" i="571"/>
  <c r="DF89" i="571"/>
  <c r="DF149" i="571" s="1"/>
  <c r="DA84" i="571"/>
  <c r="DA57" i="617" s="1"/>
  <c r="DA80" i="617" s="1"/>
  <c r="CT189" i="571"/>
  <c r="CT165" i="571"/>
  <c r="CT166" i="571" s="1"/>
  <c r="CT58" i="617"/>
  <c r="CT81" i="617" s="1"/>
  <c r="CT162" i="571"/>
  <c r="CT168" i="571" s="1"/>
  <c r="DX152" i="25"/>
  <c r="DY153" i="25" s="1"/>
  <c r="DK257" i="25"/>
  <c r="DP342" i="25"/>
  <c r="DQ342" i="25" s="1"/>
  <c r="DQ343" i="25" s="1"/>
  <c r="DK343" i="25"/>
  <c r="DL342" i="25"/>
  <c r="DC343" i="25"/>
  <c r="DD342" i="25"/>
  <c r="DH342" i="25"/>
  <c r="DG343" i="25"/>
  <c r="CZ342" i="25"/>
  <c r="CZ343" i="25" s="1"/>
  <c r="CY343" i="25"/>
  <c r="DV106" i="617"/>
  <c r="DN59" i="571"/>
  <c r="DN39" i="571"/>
  <c r="DN33" i="571"/>
  <c r="DZ13" i="607"/>
  <c r="DZ51" i="607" s="1"/>
  <c r="DY12" i="607"/>
  <c r="DZ12" i="607" s="1"/>
  <c r="DY51" i="607"/>
  <c r="DY11" i="607"/>
  <c r="DZ11" i="607" s="1"/>
  <c r="DY15" i="607"/>
  <c r="DY48" i="613" s="1"/>
  <c r="DY49" i="613" s="1"/>
  <c r="AT162" i="25"/>
  <c r="AT166" i="25"/>
  <c r="AQ152" i="25"/>
  <c r="AQ153" i="25" s="1"/>
  <c r="DQ107" i="611"/>
  <c r="DO44" i="611"/>
  <c r="DQ93" i="611"/>
  <c r="DR92" i="611"/>
  <c r="DS90" i="611" s="1"/>
  <c r="DQ43" i="611"/>
  <c r="DR41" i="611" s="1"/>
  <c r="DR57" i="611"/>
  <c r="DS55" i="611" s="1"/>
  <c r="DW40" i="611"/>
  <c r="DY37" i="611"/>
  <c r="DS134" i="611"/>
  <c r="DT132" i="611" s="1"/>
  <c r="DS142" i="611"/>
  <c r="DT138" i="611"/>
  <c r="DR149" i="611"/>
  <c r="DS145" i="611"/>
  <c r="DS110" i="611"/>
  <c r="DR114" i="611"/>
  <c r="DQ72" i="611"/>
  <c r="DR135" i="611"/>
  <c r="DR71" i="611"/>
  <c r="DS69" i="611" s="1"/>
  <c r="DV82" i="611"/>
  <c r="DT86" i="611"/>
  <c r="DW131" i="611"/>
  <c r="DO99" i="611"/>
  <c r="DO26" i="611" s="1"/>
  <c r="DQ64" i="611"/>
  <c r="DT124" i="611"/>
  <c r="DS128" i="611"/>
  <c r="DN48" i="611"/>
  <c r="DN51" i="611" s="1"/>
  <c r="DL160" i="611"/>
  <c r="DJ26" i="611"/>
  <c r="DJ28" i="611" s="1"/>
  <c r="DV54" i="611"/>
  <c r="DR106" i="611"/>
  <c r="DS104" i="611" s="1"/>
  <c r="DW159" i="611"/>
  <c r="DV163" i="611"/>
  <c r="DV103" i="611"/>
  <c r="DY85" i="611"/>
  <c r="EA83" i="611" s="1"/>
  <c r="EA85" i="611" s="1"/>
  <c r="EB83" i="611" s="1"/>
  <c r="EB85" i="611" s="1"/>
  <c r="EC83" i="611" s="1"/>
  <c r="EC85" i="611" s="1"/>
  <c r="ED83" i="611" s="1"/>
  <c r="ED85" i="611" s="1"/>
  <c r="DT76" i="611"/>
  <c r="DV50" i="611"/>
  <c r="DV51" i="611" s="1"/>
  <c r="DW90" i="617"/>
  <c r="DW21" i="607"/>
  <c r="DW26" i="607" s="1"/>
  <c r="DW52" i="613" s="1"/>
  <c r="DW53" i="613" s="1"/>
  <c r="DW85" i="25"/>
  <c r="DW404" i="25"/>
  <c r="DW221" i="25" s="1"/>
  <c r="AU18" i="559"/>
  <c r="AU65" i="559" s="1"/>
  <c r="DX98" i="617"/>
  <c r="DY98" i="617"/>
  <c r="DV92" i="617"/>
  <c r="DX52" i="607"/>
  <c r="DX48" i="613"/>
  <c r="DX49" i="613" s="1"/>
  <c r="DX17" i="607"/>
  <c r="DX50" i="613"/>
  <c r="DX51" i="613" s="1"/>
  <c r="DX53" i="607"/>
  <c r="DZ166" i="25"/>
  <c r="DZ13" i="571"/>
  <c r="DZ151" i="25"/>
  <c r="DZ17" i="571"/>
  <c r="EA17" i="571" s="1"/>
  <c r="EB17" i="571" s="1"/>
  <c r="EC17" i="571" s="1"/>
  <c r="ED17" i="571" s="1"/>
  <c r="DZ57" i="571"/>
  <c r="DV380" i="25"/>
  <c r="DV286" i="25"/>
  <c r="DX55" i="25"/>
  <c r="DW301" i="25"/>
  <c r="DW302" i="25" s="1"/>
  <c r="DF143" i="571"/>
  <c r="DF153" i="571"/>
  <c r="AD31" i="559" s="1"/>
  <c r="CR205" i="571"/>
  <c r="CR200" i="571"/>
  <c r="DW153" i="25"/>
  <c r="DB115" i="571"/>
  <c r="DB116" i="571"/>
  <c r="DC116" i="571"/>
  <c r="DG121" i="571"/>
  <c r="DG122" i="571"/>
  <c r="DH122" i="571"/>
  <c r="CR75" i="617"/>
  <c r="CR82" i="617"/>
  <c r="CR55" i="617"/>
  <c r="DT153" i="25"/>
  <c r="CW162" i="571"/>
  <c r="CW58" i="617"/>
  <c r="CW81" i="617" s="1"/>
  <c r="CW165" i="571"/>
  <c r="CW166" i="571" s="1"/>
  <c r="DB107" i="571"/>
  <c r="DB108" i="571"/>
  <c r="DC108" i="571"/>
  <c r="DV148" i="571"/>
  <c r="CV165" i="571"/>
  <c r="CV166" i="571" s="1"/>
  <c r="CV58" i="617"/>
  <c r="CV81" i="617" s="1"/>
  <c r="CW59" i="617"/>
  <c r="CW61" i="617" s="1"/>
  <c r="CW194" i="571"/>
  <c r="CW204" i="571"/>
  <c r="DX52" i="617"/>
  <c r="DZ158" i="571"/>
  <c r="DG78" i="571"/>
  <c r="DG79" i="571" s="1"/>
  <c r="DG98" i="571"/>
  <c r="DG107" i="571" s="1"/>
  <c r="DG84" i="571"/>
  <c r="DB150" i="571"/>
  <c r="DB154" i="571"/>
  <c r="Z32" i="559" s="1"/>
  <c r="DB144" i="571"/>
  <c r="DG113" i="571"/>
  <c r="DG149" i="571"/>
  <c r="CW101" i="571"/>
  <c r="U56" i="559" s="1"/>
  <c r="CW102" i="571"/>
  <c r="CX102" i="571"/>
  <c r="DB57" i="617"/>
  <c r="DB80" i="617" s="1"/>
  <c r="DB161" i="571"/>
  <c r="DB99" i="571"/>
  <c r="CR168" i="571"/>
  <c r="CS200" i="571" l="1"/>
  <c r="CS205" i="571"/>
  <c r="CS215" i="571" s="1"/>
  <c r="DI111" i="571"/>
  <c r="DI82" i="571"/>
  <c r="DI97" i="571" s="1"/>
  <c r="X36" i="559"/>
  <c r="CZ169" i="571"/>
  <c r="DY40" i="611"/>
  <c r="EA37" i="611"/>
  <c r="DG134" i="571"/>
  <c r="DG138" i="571" s="1"/>
  <c r="DG143" i="571"/>
  <c r="CS55" i="617"/>
  <c r="CS75" i="617"/>
  <c r="CS82" i="617"/>
  <c r="DI65" i="571"/>
  <c r="DI77" i="571"/>
  <c r="DC162" i="571"/>
  <c r="DC168" i="571" s="1"/>
  <c r="DC58" i="617"/>
  <c r="DC81" i="617" s="1"/>
  <c r="DC165" i="571"/>
  <c r="DC166" i="571" s="1"/>
  <c r="DS75" i="611"/>
  <c r="DR79" i="611"/>
  <c r="DH77" i="571"/>
  <c r="V36" i="559"/>
  <c r="CX169" i="571"/>
  <c r="CZ194" i="571"/>
  <c r="CZ59" i="617"/>
  <c r="CZ61" i="617" s="1"/>
  <c r="CZ204" i="571"/>
  <c r="DJ37" i="571"/>
  <c r="DJ64" i="571"/>
  <c r="DJ87" i="571"/>
  <c r="DK87" i="571" s="1"/>
  <c r="S57" i="559"/>
  <c r="S109" i="559"/>
  <c r="S37" i="559" s="1"/>
  <c r="DH134" i="571"/>
  <c r="DH138" i="571" s="1"/>
  <c r="DH143" i="571"/>
  <c r="CX59" i="617"/>
  <c r="CX61" i="617" s="1"/>
  <c r="CX194" i="571"/>
  <c r="CX204" i="571"/>
  <c r="CU82" i="617"/>
  <c r="CU55" i="617"/>
  <c r="CU75" i="617"/>
  <c r="DH105" i="571"/>
  <c r="DG105" i="571"/>
  <c r="DG104" i="571"/>
  <c r="Q109" i="559"/>
  <c r="Q57" i="559"/>
  <c r="Q37" i="559"/>
  <c r="DI89" i="571"/>
  <c r="DS135" i="611"/>
  <c r="DR58" i="611"/>
  <c r="DH113" i="571"/>
  <c r="DH115" i="571" s="1"/>
  <c r="DH149" i="571"/>
  <c r="DK36" i="571"/>
  <c r="DK48" i="571" s="1"/>
  <c r="DH119" i="571"/>
  <c r="CU205" i="571"/>
  <c r="CU215" i="571" s="1"/>
  <c r="CU200" i="571"/>
  <c r="DJ71" i="571"/>
  <c r="DJ44" i="571"/>
  <c r="DK44" i="571" s="1"/>
  <c r="EA13" i="607"/>
  <c r="EA15" i="607" s="1"/>
  <c r="DZ88" i="617"/>
  <c r="DZ98" i="617" s="1"/>
  <c r="DN8" i="571"/>
  <c r="AK11" i="559"/>
  <c r="CV194" i="571"/>
  <c r="CV205" i="571" s="1"/>
  <c r="CV215" i="571" s="1"/>
  <c r="BC309" i="25"/>
  <c r="BC310" i="25" s="1"/>
  <c r="BC311" i="25"/>
  <c r="BC312" i="25"/>
  <c r="BC216" i="25"/>
  <c r="AX241" i="25"/>
  <c r="AX316" i="25"/>
  <c r="AX314" i="25"/>
  <c r="DX50" i="25"/>
  <c r="DX52" i="25" s="1"/>
  <c r="DX24" i="617" s="1"/>
  <c r="DA144" i="571"/>
  <c r="CV204" i="571"/>
  <c r="EC158" i="571"/>
  <c r="EC177" i="571"/>
  <c r="BC14" i="559"/>
  <c r="EE49" i="617"/>
  <c r="EA114" i="617"/>
  <c r="EA128" i="617"/>
  <c r="DZ127" i="617"/>
  <c r="DZ122" i="617"/>
  <c r="EB116" i="617"/>
  <c r="EB36" i="613"/>
  <c r="DY127" i="617"/>
  <c r="DY122" i="617"/>
  <c r="ED23" i="613"/>
  <c r="EC26" i="613"/>
  <c r="EC25" i="613"/>
  <c r="DZ19" i="607"/>
  <c r="DZ27" i="607" s="1"/>
  <c r="DY50" i="613"/>
  <c r="DY51" i="613" s="1"/>
  <c r="DY53" i="607"/>
  <c r="DZ47" i="613"/>
  <c r="DY14" i="607"/>
  <c r="DZ15" i="607"/>
  <c r="DZ57" i="607" s="1"/>
  <c r="DY17" i="607"/>
  <c r="DY90" i="617" s="1"/>
  <c r="EA12" i="607"/>
  <c r="EA19" i="607"/>
  <c r="EA11" i="607"/>
  <c r="DY52" i="607"/>
  <c r="EB32" i="607"/>
  <c r="EC30" i="607" s="1"/>
  <c r="EC53" i="571"/>
  <c r="ED52" i="571"/>
  <c r="ED53" i="571" s="1"/>
  <c r="EB57" i="571"/>
  <c r="EB56" i="571" s="1"/>
  <c r="EB166" i="25"/>
  <c r="EC12" i="571"/>
  <c r="EB13" i="571"/>
  <c r="EA152" i="25"/>
  <c r="EB153" i="25" s="1"/>
  <c r="EE169" i="25"/>
  <c r="EE165" i="25"/>
  <c r="AR153" i="25"/>
  <c r="ED375" i="25"/>
  <c r="ED377" i="25" s="1"/>
  <c r="EA148" i="571"/>
  <c r="EC153" i="25"/>
  <c r="EC27" i="611"/>
  <c r="ED219" i="25"/>
  <c r="ED205" i="25"/>
  <c r="EE205" i="25" s="1"/>
  <c r="EC368" i="25"/>
  <c r="ED224" i="25"/>
  <c r="EC362" i="25"/>
  <c r="ED229" i="25"/>
  <c r="EC367" i="25"/>
  <c r="ED36" i="25"/>
  <c r="DX73" i="617"/>
  <c r="DW99" i="617"/>
  <c r="DW104" i="617"/>
  <c r="DA154" i="571"/>
  <c r="Y32" i="559" s="1"/>
  <c r="DA99" i="571"/>
  <c r="DA101" i="571" s="1"/>
  <c r="Y56" i="559" s="1"/>
  <c r="DF113" i="571"/>
  <c r="DF115" i="571" s="1"/>
  <c r="CT59" i="617"/>
  <c r="CT61" i="617" s="1"/>
  <c r="CT204" i="571"/>
  <c r="CT194" i="571"/>
  <c r="CY189" i="571"/>
  <c r="CY58" i="617"/>
  <c r="CY81" i="617" s="1"/>
  <c r="CY162" i="571"/>
  <c r="CY168" i="571" s="1"/>
  <c r="CY165" i="571"/>
  <c r="CY166" i="571" s="1"/>
  <c r="DD115" i="571"/>
  <c r="DE116" i="571"/>
  <c r="DD116" i="571"/>
  <c r="R36" i="559"/>
  <c r="CT169" i="571"/>
  <c r="DX148" i="571"/>
  <c r="DD150" i="571"/>
  <c r="DD144" i="571"/>
  <c r="DD154" i="571"/>
  <c r="AB32" i="559" s="1"/>
  <c r="CV162" i="571"/>
  <c r="CV168" i="571" s="1"/>
  <c r="CV169" i="571" s="1"/>
  <c r="DA161" i="571"/>
  <c r="DA189" i="571" s="1"/>
  <c r="DA59" i="617" s="1"/>
  <c r="DA61" i="617" s="1"/>
  <c r="CZ102" i="571"/>
  <c r="CY101" i="571"/>
  <c r="W56" i="559" s="1"/>
  <c r="CY102" i="571"/>
  <c r="DX153" i="25"/>
  <c r="DZ152" i="25"/>
  <c r="DM342" i="25"/>
  <c r="DN342" i="25" s="1"/>
  <c r="DL343" i="25"/>
  <c r="DH343" i="25"/>
  <c r="DI342" i="25"/>
  <c r="DD343" i="25"/>
  <c r="DE342" i="25"/>
  <c r="DE343" i="25" s="1"/>
  <c r="DU342" i="25"/>
  <c r="DP257" i="25"/>
  <c r="DR342" i="25"/>
  <c r="DS342" i="25" s="1"/>
  <c r="DT342" i="25" s="1"/>
  <c r="DW89" i="617"/>
  <c r="DW94" i="617"/>
  <c r="DW106" i="617" s="1"/>
  <c r="AU162" i="25"/>
  <c r="AT12" i="571"/>
  <c r="AU166" i="25"/>
  <c r="DR43" i="611"/>
  <c r="DS41" i="611" s="1"/>
  <c r="DR44" i="611"/>
  <c r="DS57" i="611"/>
  <c r="DT55" i="611" s="1"/>
  <c r="DS92" i="611"/>
  <c r="DT90" i="611" s="1"/>
  <c r="DS93" i="611"/>
  <c r="DQ44" i="611"/>
  <c r="DR93" i="611"/>
  <c r="DW103" i="611"/>
  <c r="DQ97" i="611"/>
  <c r="DO28" i="611"/>
  <c r="DR107" i="611"/>
  <c r="DO100" i="611"/>
  <c r="DO20" i="611" s="1"/>
  <c r="DS71" i="611"/>
  <c r="DT69" i="611" s="1"/>
  <c r="DT110" i="611"/>
  <c r="DS114" i="611"/>
  <c r="DL162" i="611"/>
  <c r="DR62" i="611"/>
  <c r="DX131" i="611"/>
  <c r="DW82" i="611"/>
  <c r="DV86" i="611"/>
  <c r="DS106" i="611"/>
  <c r="DT104" i="611" s="1"/>
  <c r="DV124" i="611"/>
  <c r="DT128" i="611"/>
  <c r="DS149" i="611"/>
  <c r="DT145" i="611"/>
  <c r="DX159" i="611"/>
  <c r="DW163" i="611"/>
  <c r="DW54" i="611"/>
  <c r="DQ65" i="611"/>
  <c r="DR72" i="611"/>
  <c r="DV138" i="611"/>
  <c r="DT142" i="611"/>
  <c r="DT134" i="611"/>
  <c r="DV132" i="611" s="1"/>
  <c r="DT78" i="611"/>
  <c r="DW48" i="611"/>
  <c r="DW60" i="607"/>
  <c r="DW54" i="607"/>
  <c r="DX90" i="617"/>
  <c r="DX58" i="607"/>
  <c r="DX21" i="607"/>
  <c r="DX26" i="607" s="1"/>
  <c r="DV105" i="617"/>
  <c r="DV100" i="617"/>
  <c r="DZ163" i="25"/>
  <c r="DZ178" i="25" s="1"/>
  <c r="DZ181" i="25" s="1"/>
  <c r="DZ167" i="25"/>
  <c r="DW286" i="25"/>
  <c r="DW380" i="25"/>
  <c r="DX301" i="25"/>
  <c r="DY55" i="25"/>
  <c r="CW82" i="617"/>
  <c r="CW55" i="617"/>
  <c r="CW75" i="617"/>
  <c r="DB75" i="617"/>
  <c r="CR65" i="617"/>
  <c r="CR84" i="617" s="1"/>
  <c r="CR212" i="571"/>
  <c r="DG144" i="571"/>
  <c r="DG154" i="571"/>
  <c r="AE32" i="559" s="1"/>
  <c r="DG150" i="571"/>
  <c r="CR216" i="571"/>
  <c r="CR215" i="571"/>
  <c r="CS216" i="571"/>
  <c r="P36" i="559"/>
  <c r="CR169" i="571"/>
  <c r="DG115" i="571"/>
  <c r="DH116" i="571"/>
  <c r="DG57" i="617"/>
  <c r="DG80" i="617" s="1"/>
  <c r="DG99" i="571"/>
  <c r="DG101" i="571" s="1"/>
  <c r="AE56" i="559" s="1"/>
  <c r="DG161" i="571"/>
  <c r="CV75" i="617"/>
  <c r="CV82" i="617"/>
  <c r="CV55" i="617"/>
  <c r="DB102" i="571"/>
  <c r="DB101" i="571"/>
  <c r="Z56" i="559" s="1"/>
  <c r="DC102" i="571"/>
  <c r="T36" i="559"/>
  <c r="DB162" i="571"/>
  <c r="DB168" i="571" s="1"/>
  <c r="DB58" i="617"/>
  <c r="DB81" i="617" s="1"/>
  <c r="DB165" i="571"/>
  <c r="DB166" i="571" s="1"/>
  <c r="DZ52" i="617"/>
  <c r="DZ176" i="571"/>
  <c r="DZ174" i="571" s="1"/>
  <c r="CW205" i="571"/>
  <c r="CW200" i="571"/>
  <c r="CW168" i="571"/>
  <c r="DF144" i="571"/>
  <c r="DF150" i="571"/>
  <c r="DF154" i="571"/>
  <c r="AD32" i="559" s="1"/>
  <c r="DK147" i="571" l="1"/>
  <c r="DK152" i="571" s="1"/>
  <c r="CX82" i="617"/>
  <c r="CX75" i="617"/>
  <c r="CX55" i="617"/>
  <c r="DC75" i="617"/>
  <c r="DJ88" i="571"/>
  <c r="DK37" i="571"/>
  <c r="DI104" i="571"/>
  <c r="DI105" i="571"/>
  <c r="DH150" i="571"/>
  <c r="DH144" i="571"/>
  <c r="DH154" i="571"/>
  <c r="AF32" i="559" s="1"/>
  <c r="CZ200" i="571"/>
  <c r="CZ205" i="571"/>
  <c r="DZ53" i="607"/>
  <c r="DI149" i="571"/>
  <c r="EA47" i="613"/>
  <c r="DJ72" i="571"/>
  <c r="DK72" i="571" s="1"/>
  <c r="DK138" i="571" s="1"/>
  <c r="DK71" i="571"/>
  <c r="CU212" i="571"/>
  <c r="CU65" i="617"/>
  <c r="CU84" i="617" s="1"/>
  <c r="CX205" i="571"/>
  <c r="CX216" i="571" s="1"/>
  <c r="CX200" i="571"/>
  <c r="DJ65" i="571"/>
  <c r="DJ129" i="571" s="1"/>
  <c r="DK64" i="571"/>
  <c r="CS212" i="571"/>
  <c r="CS65" i="617"/>
  <c r="CS84" i="617" s="1"/>
  <c r="DK69" i="617"/>
  <c r="DL48" i="571"/>
  <c r="DK49" i="571"/>
  <c r="CZ82" i="617"/>
  <c r="DE75" i="617"/>
  <c r="CZ55" i="617"/>
  <c r="CZ75" i="617"/>
  <c r="DT75" i="611"/>
  <c r="DV75" i="611" s="1"/>
  <c r="DW75" i="611" s="1"/>
  <c r="DX75" i="611" s="1"/>
  <c r="DY75" i="611" s="1"/>
  <c r="EA75" i="611" s="1"/>
  <c r="EB75" i="611" s="1"/>
  <c r="DS79" i="611"/>
  <c r="DI129" i="571"/>
  <c r="DI112" i="571"/>
  <c r="EA40" i="611"/>
  <c r="EB37" i="611"/>
  <c r="EC37" i="611"/>
  <c r="EC40" i="611" s="1"/>
  <c r="X109" i="559"/>
  <c r="X37" i="559" s="1"/>
  <c r="X57" i="559"/>
  <c r="DI118" i="571"/>
  <c r="DI119" i="571"/>
  <c r="DI113" i="571"/>
  <c r="DI116" i="571" s="1"/>
  <c r="EA51" i="607"/>
  <c r="EA88" i="617"/>
  <c r="DJ111" i="571"/>
  <c r="DJ82" i="571"/>
  <c r="DJ97" i="571" s="1"/>
  <c r="V57" i="559"/>
  <c r="V109" i="559"/>
  <c r="V37" i="559" s="1"/>
  <c r="AA36" i="559"/>
  <c r="DC169" i="571"/>
  <c r="DZ59" i="607"/>
  <c r="DZ50" i="613"/>
  <c r="DZ51" i="613" s="1"/>
  <c r="DY21" i="607"/>
  <c r="DY26" i="607" s="1"/>
  <c r="DY54" i="607" s="1"/>
  <c r="DY58" i="607"/>
  <c r="DO8" i="571"/>
  <c r="AL11" i="559"/>
  <c r="EE375" i="25"/>
  <c r="DA194" i="571"/>
  <c r="DA205" i="571" s="1"/>
  <c r="DA215" i="571" s="1"/>
  <c r="DA58" i="617"/>
  <c r="DA81" i="617" s="1"/>
  <c r="BC241" i="25"/>
  <c r="BC316" i="25"/>
  <c r="BC314" i="25"/>
  <c r="DY50" i="25"/>
  <c r="DY52" i="25" s="1"/>
  <c r="DY24" i="617" s="1"/>
  <c r="DA162" i="571"/>
  <c r="DA168" i="571" s="1"/>
  <c r="DA169" i="571" s="1"/>
  <c r="EC52" i="617"/>
  <c r="EC73" i="617" s="1"/>
  <c r="EE158" i="571"/>
  <c r="ED26" i="613"/>
  <c r="ED25" i="613"/>
  <c r="EE23" i="613"/>
  <c r="EE26" i="613" s="1"/>
  <c r="EC116" i="617"/>
  <c r="EC36" i="613"/>
  <c r="EB128" i="617"/>
  <c r="EB114" i="617"/>
  <c r="EA127" i="617"/>
  <c r="EA122" i="617"/>
  <c r="DZ52" i="607"/>
  <c r="DZ17" i="607"/>
  <c r="DZ58" i="607" s="1"/>
  <c r="DZ48" i="613"/>
  <c r="DZ49" i="613" s="1"/>
  <c r="DZ14" i="607"/>
  <c r="EC32" i="607"/>
  <c r="ED30" i="607" s="1"/>
  <c r="EA17" i="607"/>
  <c r="EA52" i="607"/>
  <c r="EA48" i="613"/>
  <c r="EA49" i="613" s="1"/>
  <c r="EA53" i="607"/>
  <c r="EA27" i="607"/>
  <c r="EA50" i="613"/>
  <c r="EA51" i="613" s="1"/>
  <c r="EA98" i="617"/>
  <c r="EB13" i="607"/>
  <c r="EA14" i="607"/>
  <c r="EC166" i="25"/>
  <c r="EC13" i="571"/>
  <c r="ED12" i="571"/>
  <c r="EC57" i="571"/>
  <c r="EC56" i="571" s="1"/>
  <c r="DA204" i="571"/>
  <c r="DO342" i="25"/>
  <c r="DO343" i="25" s="1"/>
  <c r="DN343" i="25"/>
  <c r="EE36" i="25"/>
  <c r="DG116" i="571"/>
  <c r="DZ153" i="25"/>
  <c r="EA153" i="25"/>
  <c r="EC148" i="571"/>
  <c r="ED27" i="611"/>
  <c r="EE219" i="25"/>
  <c r="ED362" i="25"/>
  <c r="EE362" i="25" s="1"/>
  <c r="EE229" i="25"/>
  <c r="ED367" i="25"/>
  <c r="EE367" i="25" s="1"/>
  <c r="EE224" i="25"/>
  <c r="ED368" i="25"/>
  <c r="EE368" i="25" s="1"/>
  <c r="DZ73" i="617"/>
  <c r="CY194" i="571"/>
  <c r="CY204" i="571"/>
  <c r="CY59" i="617"/>
  <c r="CY61" i="617" s="1"/>
  <c r="R57" i="559"/>
  <c r="R109" i="559"/>
  <c r="R37" i="559" s="1"/>
  <c r="CT200" i="571"/>
  <c r="CT205" i="571"/>
  <c r="DI115" i="571"/>
  <c r="CY169" i="571"/>
  <c r="W36" i="559"/>
  <c r="DA165" i="571"/>
  <c r="DA166" i="571" s="1"/>
  <c r="DI150" i="571"/>
  <c r="DI144" i="571"/>
  <c r="DI154" i="571"/>
  <c r="AG32" i="559" s="1"/>
  <c r="CT82" i="617"/>
  <c r="CT75" i="617"/>
  <c r="CT55" i="617"/>
  <c r="DU257" i="25"/>
  <c r="DV342" i="25"/>
  <c r="DW342" i="25" s="1"/>
  <c r="DX342" i="25" s="1"/>
  <c r="DY342" i="25" s="1"/>
  <c r="DZ342" i="25"/>
  <c r="DI343" i="25"/>
  <c r="DJ342" i="25"/>
  <c r="DJ343" i="25" s="1"/>
  <c r="DM343" i="25"/>
  <c r="DW92" i="617"/>
  <c r="AU12" i="571"/>
  <c r="AV166" i="25"/>
  <c r="AV162" i="25"/>
  <c r="AT13" i="571"/>
  <c r="AT151" i="25"/>
  <c r="DT57" i="611"/>
  <c r="DV55" i="611" s="1"/>
  <c r="DT58" i="611"/>
  <c r="DT92" i="611"/>
  <c r="DV90" i="611" s="1"/>
  <c r="DS43" i="611"/>
  <c r="DT41" i="611" s="1"/>
  <c r="DS44" i="611"/>
  <c r="DS58" i="611"/>
  <c r="DT135" i="611"/>
  <c r="DT106" i="611"/>
  <c r="DV104" i="611" s="1"/>
  <c r="DM160" i="611"/>
  <c r="DL26" i="611"/>
  <c r="DL28" i="611" s="1"/>
  <c r="DS72" i="611"/>
  <c r="DP227" i="25"/>
  <c r="DQ142" i="25" s="1"/>
  <c r="DQ143" i="25" s="1"/>
  <c r="DP379" i="25"/>
  <c r="DQ99" i="611"/>
  <c r="DY159" i="611"/>
  <c r="DX163" i="611"/>
  <c r="DV128" i="611"/>
  <c r="DW124" i="611"/>
  <c r="DX82" i="611"/>
  <c r="DW86" i="611"/>
  <c r="DR64" i="611"/>
  <c r="DR65" i="611" s="1"/>
  <c r="DP143" i="25"/>
  <c r="DV134" i="611"/>
  <c r="DW132" i="611" s="1"/>
  <c r="DT71" i="611"/>
  <c r="DV69" i="611" s="1"/>
  <c r="DV142" i="611"/>
  <c r="DW138" i="611"/>
  <c r="DX54" i="611"/>
  <c r="DV145" i="611"/>
  <c r="DT149" i="611"/>
  <c r="DS107" i="611"/>
  <c r="DY131" i="611"/>
  <c r="EA131" i="611" s="1"/>
  <c r="DL163" i="611"/>
  <c r="DL20" i="611" s="1"/>
  <c r="DV110" i="611"/>
  <c r="DT114" i="611"/>
  <c r="DX103" i="611"/>
  <c r="DV76" i="611"/>
  <c r="DV77" i="611" s="1"/>
  <c r="DT79" i="611"/>
  <c r="DW50" i="611"/>
  <c r="DW51" i="611" s="1"/>
  <c r="DX99" i="617"/>
  <c r="DX104" i="617"/>
  <c r="DX89" i="617"/>
  <c r="DY99" i="617"/>
  <c r="DY104" i="617"/>
  <c r="DY89" i="617"/>
  <c r="DX52" i="613"/>
  <c r="DX53" i="613" s="1"/>
  <c r="DX54" i="607"/>
  <c r="DX94" i="617"/>
  <c r="DX60" i="607"/>
  <c r="DY301" i="25"/>
  <c r="DZ55" i="25"/>
  <c r="CW212" i="571"/>
  <c r="CW65" i="617"/>
  <c r="U36" i="559"/>
  <c r="CW169" i="571"/>
  <c r="T57" i="559"/>
  <c r="T37" i="559"/>
  <c r="DB169" i="571"/>
  <c r="Z36" i="559"/>
  <c r="DG58" i="617"/>
  <c r="DG81" i="617" s="1"/>
  <c r="DG165" i="571"/>
  <c r="DG166" i="571" s="1"/>
  <c r="DG162" i="571"/>
  <c r="DG168" i="571" s="1"/>
  <c r="CW215" i="571"/>
  <c r="CW216" i="571"/>
  <c r="DB215" i="571"/>
  <c r="P37" i="559"/>
  <c r="P57" i="559"/>
  <c r="P109" i="559"/>
  <c r="DA55" i="617"/>
  <c r="DA82" i="617"/>
  <c r="DA75" i="617"/>
  <c r="DJ77" i="571" l="1"/>
  <c r="DK77" i="571" s="1"/>
  <c r="DK137" i="571"/>
  <c r="DK142" i="571" s="1"/>
  <c r="DK73" i="571"/>
  <c r="DJ118" i="571"/>
  <c r="DJ119" i="571"/>
  <c r="DJ134" i="571"/>
  <c r="DJ138" i="571" s="1"/>
  <c r="DJ143" i="571"/>
  <c r="CZ212" i="571"/>
  <c r="CZ65" i="617"/>
  <c r="DJ112" i="571"/>
  <c r="DK88" i="571"/>
  <c r="ED37" i="611"/>
  <c r="ED40" i="611" s="1"/>
  <c r="EB40" i="611"/>
  <c r="DK65" i="571"/>
  <c r="DK129" i="571" s="1"/>
  <c r="DK134" i="571" s="1"/>
  <c r="EC75" i="611"/>
  <c r="DM48" i="571"/>
  <c r="DL69" i="617"/>
  <c r="DL50" i="571"/>
  <c r="DL36" i="571"/>
  <c r="DL49" i="571"/>
  <c r="DL43" i="571"/>
  <c r="DC215" i="571"/>
  <c r="CX215" i="571"/>
  <c r="AA57" i="559"/>
  <c r="AA109" i="559"/>
  <c r="AA37" i="559" s="1"/>
  <c r="DJ104" i="571"/>
  <c r="DJ105" i="571"/>
  <c r="DK128" i="571"/>
  <c r="DK133" i="571" s="1"/>
  <c r="CZ215" i="571"/>
  <c r="DB216" i="571"/>
  <c r="DE215" i="571"/>
  <c r="DI121" i="571"/>
  <c r="DI122" i="571"/>
  <c r="CX212" i="571"/>
  <c r="CX65" i="617"/>
  <c r="Y36" i="559"/>
  <c r="EB131" i="611"/>
  <c r="DY163" i="611"/>
  <c r="EA159" i="611"/>
  <c r="DJ89" i="571"/>
  <c r="DI134" i="571"/>
  <c r="DI138" i="571" s="1"/>
  <c r="DI143" i="571"/>
  <c r="DK82" i="571"/>
  <c r="DK97" i="571" s="1"/>
  <c r="DK104" i="571" s="1"/>
  <c r="DK111" i="571"/>
  <c r="DK118" i="571" s="1"/>
  <c r="DY52" i="613"/>
  <c r="DY53" i="613" s="1"/>
  <c r="DY60" i="607"/>
  <c r="DY94" i="617"/>
  <c r="DY106" i="617" s="1"/>
  <c r="DZ26" i="607"/>
  <c r="DZ60" i="607" s="1"/>
  <c r="DQ8" i="571"/>
  <c r="AM11" i="559"/>
  <c r="EE176" i="571"/>
  <c r="EE174" i="571" s="1"/>
  <c r="EE52" i="617"/>
  <c r="EE73" i="617" s="1"/>
  <c r="EC128" i="617"/>
  <c r="EC114" i="617"/>
  <c r="EB127" i="617"/>
  <c r="EB122" i="617"/>
  <c r="ED116" i="617"/>
  <c r="ED36" i="613"/>
  <c r="EE25" i="613"/>
  <c r="DZ21" i="607"/>
  <c r="DZ90" i="617"/>
  <c r="DZ89" i="617" s="1"/>
  <c r="EB88" i="617"/>
  <c r="EB47" i="613"/>
  <c r="EB11" i="607"/>
  <c r="EB12" i="607"/>
  <c r="EB51" i="607"/>
  <c r="EB19" i="607"/>
  <c r="EB15" i="607"/>
  <c r="EB14" i="607" s="1"/>
  <c r="EA90" i="617"/>
  <c r="EA58" i="607"/>
  <c r="EA21" i="607"/>
  <c r="EA26" i="607" s="1"/>
  <c r="ED32" i="607"/>
  <c r="EE32" i="607" s="1"/>
  <c r="EC13" i="607"/>
  <c r="ED166" i="25"/>
  <c r="EE12" i="571"/>
  <c r="ED57" i="571"/>
  <c r="ED56" i="571" s="1"/>
  <c r="EE56" i="571" s="1"/>
  <c r="ED13" i="571"/>
  <c r="DZ257" i="25"/>
  <c r="EA342" i="25"/>
  <c r="EE342" i="25"/>
  <c r="EE257" i="25" s="1"/>
  <c r="EA55" i="25"/>
  <c r="DW100" i="617"/>
  <c r="W57" i="559"/>
  <c r="W109" i="559"/>
  <c r="W37" i="559" s="1"/>
  <c r="CU216" i="571"/>
  <c r="CT215" i="571"/>
  <c r="CT216" i="571"/>
  <c r="CY205" i="571"/>
  <c r="CY200" i="571"/>
  <c r="CT65" i="617"/>
  <c r="CT84" i="617" s="1"/>
  <c r="CT212" i="571"/>
  <c r="CV200" i="571"/>
  <c r="DD75" i="617"/>
  <c r="CY55" i="617"/>
  <c r="CY82" i="617"/>
  <c r="CY75" i="617"/>
  <c r="DW105" i="617"/>
  <c r="DX106" i="617"/>
  <c r="AU13" i="571"/>
  <c r="AU151" i="25"/>
  <c r="AU152" i="25" s="1"/>
  <c r="AT152" i="25"/>
  <c r="AT153" i="25" s="1"/>
  <c r="AW166" i="25"/>
  <c r="AV12" i="571"/>
  <c r="AW162" i="25"/>
  <c r="DQ100" i="611"/>
  <c r="DQ20" i="611" s="1"/>
  <c r="DQ26" i="611"/>
  <c r="DQ28" i="611" s="1"/>
  <c r="DV135" i="611"/>
  <c r="DT93" i="611"/>
  <c r="DV92" i="611"/>
  <c r="DW90" i="611" s="1"/>
  <c r="DT43" i="611"/>
  <c r="DV41" i="611" s="1"/>
  <c r="DT44" i="611"/>
  <c r="DV57" i="611"/>
  <c r="DW55" i="611" s="1"/>
  <c r="DY103" i="611"/>
  <c r="EA103" i="611" s="1"/>
  <c r="DW110" i="611"/>
  <c r="DV114" i="611"/>
  <c r="DY54" i="611"/>
  <c r="EA54" i="611" s="1"/>
  <c r="DV71" i="611"/>
  <c r="DW69" i="611" s="1"/>
  <c r="DY82" i="611"/>
  <c r="DX86" i="611"/>
  <c r="DU142" i="25"/>
  <c r="DT107" i="611"/>
  <c r="DV149" i="611"/>
  <c r="DW145" i="611"/>
  <c r="DW134" i="611"/>
  <c r="DX132" i="611" s="1"/>
  <c r="DS62" i="611"/>
  <c r="DR97" i="611"/>
  <c r="DX138" i="611"/>
  <c r="DW142" i="611"/>
  <c r="DW128" i="611"/>
  <c r="DX124" i="611"/>
  <c r="DV106" i="611"/>
  <c r="DW104" i="611" s="1"/>
  <c r="DT72" i="611"/>
  <c r="DP23" i="25"/>
  <c r="DO407" i="25"/>
  <c r="DM162" i="611"/>
  <c r="DV78" i="611"/>
  <c r="DX48" i="611"/>
  <c r="DX92" i="617"/>
  <c r="DZ301" i="25"/>
  <c r="DZ54" i="25"/>
  <c r="DZ50" i="25"/>
  <c r="U109" i="559"/>
  <c r="U37" i="559" s="1"/>
  <c r="U57" i="559"/>
  <c r="AE36" i="559"/>
  <c r="DG169" i="571"/>
  <c r="Z109" i="559"/>
  <c r="Z37" i="559" s="1"/>
  <c r="Z57" i="559"/>
  <c r="CW77" i="617"/>
  <c r="CW84" i="617"/>
  <c r="DB77" i="617"/>
  <c r="Y57" i="559"/>
  <c r="Y37" i="559"/>
  <c r="EC131" i="611" l="1"/>
  <c r="CX84" i="617"/>
  <c r="DC77" i="617"/>
  <c r="CX77" i="617"/>
  <c r="DL44" i="571"/>
  <c r="DL71" i="571"/>
  <c r="DJ121" i="571"/>
  <c r="DJ122" i="571"/>
  <c r="DZ54" i="607"/>
  <c r="DY86" i="611"/>
  <c r="EA82" i="611"/>
  <c r="EA163" i="611"/>
  <c r="EB159" i="611"/>
  <c r="DK66" i="571"/>
  <c r="DM50" i="571"/>
  <c r="DN48" i="571"/>
  <c r="DM49" i="571"/>
  <c r="DM43" i="571"/>
  <c r="DM36" i="571"/>
  <c r="DM69" i="617"/>
  <c r="EB103" i="611"/>
  <c r="DL64" i="571"/>
  <c r="DL87" i="571"/>
  <c r="DL37" i="571"/>
  <c r="DL88" i="571" s="1"/>
  <c r="EB54" i="611"/>
  <c r="DJ149" i="571"/>
  <c r="DJ113" i="571"/>
  <c r="DK89" i="571"/>
  <c r="ED75" i="611"/>
  <c r="DK112" i="571"/>
  <c r="DK121" i="571" s="1"/>
  <c r="DK148" i="571"/>
  <c r="CZ84" i="617"/>
  <c r="DE77" i="617"/>
  <c r="CZ77" i="617"/>
  <c r="DK139" i="571"/>
  <c r="DK74" i="571"/>
  <c r="DK219" i="571" s="1"/>
  <c r="DZ94" i="617"/>
  <c r="DZ106" i="617" s="1"/>
  <c r="DZ52" i="613"/>
  <c r="DZ53" i="613" s="1"/>
  <c r="DY92" i="617"/>
  <c r="DY100" i="617" s="1"/>
  <c r="AO11" i="559"/>
  <c r="DR8" i="571"/>
  <c r="EA50" i="25"/>
  <c r="EA52" i="25" s="1"/>
  <c r="AO13" i="559"/>
  <c r="EE116" i="617"/>
  <c r="EE42" i="613"/>
  <c r="EE36" i="613"/>
  <c r="EC127" i="617"/>
  <c r="EC122" i="617"/>
  <c r="ED128" i="617"/>
  <c r="ED114" i="617"/>
  <c r="DZ99" i="617"/>
  <c r="DZ104" i="617"/>
  <c r="EB98" i="617"/>
  <c r="EA94" i="617"/>
  <c r="EA106" i="617" s="1"/>
  <c r="EA60" i="607"/>
  <c r="EA54" i="607"/>
  <c r="EA52" i="613"/>
  <c r="EA53" i="613" s="1"/>
  <c r="EC88" i="617"/>
  <c r="EC47" i="613"/>
  <c r="EC51" i="607"/>
  <c r="EC15" i="607"/>
  <c r="EC14" i="607" s="1"/>
  <c r="EC12" i="607"/>
  <c r="EC11" i="607"/>
  <c r="EC19" i="607"/>
  <c r="EB52" i="607"/>
  <c r="EB48" i="613"/>
  <c r="EB49" i="613" s="1"/>
  <c r="EB17" i="607"/>
  <c r="ED13" i="607"/>
  <c r="EA104" i="617"/>
  <c r="EA99" i="617"/>
  <c r="EA89" i="617"/>
  <c r="EB50" i="613"/>
  <c r="EB51" i="613" s="1"/>
  <c r="EB53" i="607"/>
  <c r="EB27" i="607"/>
  <c r="EB66" i="25" s="1"/>
  <c r="EE166" i="25"/>
  <c r="EE151" i="25"/>
  <c r="EE152" i="25" s="1"/>
  <c r="EE153" i="25" s="1"/>
  <c r="EE13" i="571"/>
  <c r="EE57" i="571"/>
  <c r="EE17" i="571"/>
  <c r="EB342" i="25"/>
  <c r="EA301" i="25"/>
  <c r="EA302" i="25" s="1"/>
  <c r="EB55" i="25"/>
  <c r="CY212" i="571"/>
  <c r="CY65" i="617"/>
  <c r="DA200" i="571"/>
  <c r="CV65" i="617"/>
  <c r="CV84" i="617" s="1"/>
  <c r="CV212" i="571"/>
  <c r="CZ216" i="571"/>
  <c r="CY215" i="571"/>
  <c r="DD215" i="571"/>
  <c r="CY216" i="571"/>
  <c r="AU153" i="25"/>
  <c r="AV151" i="25"/>
  <c r="AV13" i="571"/>
  <c r="AW12" i="571"/>
  <c r="AY162" i="25"/>
  <c r="AY166" i="25"/>
  <c r="DW57" i="611"/>
  <c r="DX55" i="611" s="1"/>
  <c r="DW58" i="611"/>
  <c r="DV58" i="611"/>
  <c r="DV93" i="611"/>
  <c r="DV72" i="611"/>
  <c r="DW92" i="611"/>
  <c r="DX90" i="611" s="1"/>
  <c r="DV107" i="611"/>
  <c r="DV43" i="611"/>
  <c r="DW41" i="611" s="1"/>
  <c r="DN160" i="611"/>
  <c r="DN163" i="611" s="1"/>
  <c r="DN20" i="611" s="1"/>
  <c r="DM26" i="611"/>
  <c r="DM28" i="611" s="1"/>
  <c r="DR142" i="25"/>
  <c r="DW135" i="611"/>
  <c r="DW71" i="611"/>
  <c r="DX69" i="611" s="1"/>
  <c r="DX134" i="611"/>
  <c r="DY132" i="611" s="1"/>
  <c r="DP407" i="25"/>
  <c r="DP141" i="25"/>
  <c r="DW106" i="611"/>
  <c r="DX104" i="611" s="1"/>
  <c r="DY138" i="611"/>
  <c r="DX142" i="611"/>
  <c r="DX145" i="611"/>
  <c r="DW149" i="611"/>
  <c r="DR99" i="611"/>
  <c r="DX110" i="611"/>
  <c r="DW114" i="611"/>
  <c r="DM163" i="611"/>
  <c r="DM20" i="611" s="1"/>
  <c r="DY124" i="611"/>
  <c r="DX128" i="611"/>
  <c r="DS64" i="611"/>
  <c r="DW76" i="611"/>
  <c r="DV79" i="611"/>
  <c r="DX50" i="611"/>
  <c r="DX51" i="611" s="1"/>
  <c r="DX105" i="617"/>
  <c r="DX100" i="617"/>
  <c r="AE57" i="559"/>
  <c r="AE109" i="559"/>
  <c r="AE37" i="559" s="1"/>
  <c r="EB50" i="25" l="1"/>
  <c r="EB52" i="25" s="1"/>
  <c r="EC54" i="611"/>
  <c r="DL82" i="571"/>
  <c r="DL97" i="571" s="1"/>
  <c r="DL111" i="571"/>
  <c r="DL89" i="571"/>
  <c r="DL72" i="571"/>
  <c r="DK143" i="571"/>
  <c r="DK153" i="571"/>
  <c r="DL65" i="571"/>
  <c r="DL129" i="571" s="1"/>
  <c r="DM64" i="571"/>
  <c r="DM87" i="571"/>
  <c r="DM37" i="571"/>
  <c r="DM88" i="571" s="1"/>
  <c r="DJ154" i="571"/>
  <c r="AH32" i="559" s="1"/>
  <c r="DJ144" i="571"/>
  <c r="DJ150" i="571"/>
  <c r="DO48" i="571"/>
  <c r="DN69" i="617"/>
  <c r="DN43" i="571"/>
  <c r="DN50" i="571"/>
  <c r="DN36" i="571"/>
  <c r="DN49" i="571"/>
  <c r="DV44" i="611"/>
  <c r="AI13" i="559"/>
  <c r="DK47" i="617"/>
  <c r="DK149" i="571"/>
  <c r="DK113" i="571"/>
  <c r="DK115" i="571" s="1"/>
  <c r="DM44" i="571"/>
  <c r="DM71" i="571"/>
  <c r="DM72" i="571" s="1"/>
  <c r="EC159" i="611"/>
  <c r="EB163" i="611"/>
  <c r="EB82" i="611"/>
  <c r="EA86" i="611"/>
  <c r="EC103" i="611"/>
  <c r="DY128" i="611"/>
  <c r="EA124" i="611"/>
  <c r="DY142" i="611"/>
  <c r="EA138" i="611"/>
  <c r="DK144" i="571"/>
  <c r="DJ115" i="571"/>
  <c r="DJ116" i="571"/>
  <c r="DL112" i="571"/>
  <c r="DK188" i="571"/>
  <c r="DK222" i="571" s="1"/>
  <c r="DK223" i="571" s="1"/>
  <c r="DK130" i="571"/>
  <c r="DK68" i="571"/>
  <c r="ED131" i="611"/>
  <c r="DZ92" i="617"/>
  <c r="DZ100" i="617" s="1"/>
  <c r="DY105" i="617"/>
  <c r="DS8" i="571"/>
  <c r="AP11" i="559"/>
  <c r="EA24" i="617"/>
  <c r="DQ47" i="617"/>
  <c r="ED127" i="617"/>
  <c r="ED122" i="617"/>
  <c r="EE128" i="617"/>
  <c r="EE114" i="617"/>
  <c r="EA92" i="617"/>
  <c r="EA105" i="617" s="1"/>
  <c r="EB13" i="617"/>
  <c r="EB30" i="617" s="1"/>
  <c r="EB86" i="25"/>
  <c r="EB62" i="25"/>
  <c r="EB18" i="25" s="1"/>
  <c r="EC50" i="613"/>
  <c r="EC51" i="613" s="1"/>
  <c r="EC27" i="607"/>
  <c r="EC53" i="607"/>
  <c r="EC48" i="613"/>
  <c r="EC49" i="613" s="1"/>
  <c r="EC52" i="607"/>
  <c r="EC17" i="607"/>
  <c r="EB90" i="617"/>
  <c r="EB58" i="607"/>
  <c r="EB21" i="607"/>
  <c r="EB26" i="607" s="1"/>
  <c r="EC98" i="617"/>
  <c r="ED88" i="617"/>
  <c r="ED15" i="607"/>
  <c r="EE15" i="607" s="1"/>
  <c r="ED11" i="607"/>
  <c r="EE11" i="607" s="1"/>
  <c r="ED19" i="607"/>
  <c r="ED51" i="607"/>
  <c r="ED12" i="607"/>
  <c r="EE12" i="607" s="1"/>
  <c r="ED47" i="613"/>
  <c r="EE13" i="607"/>
  <c r="EE167" i="25"/>
  <c r="EE163" i="25"/>
  <c r="EE178" i="25" s="1"/>
  <c r="EE181" i="25" s="1"/>
  <c r="EC342" i="25"/>
  <c r="EB301" i="25"/>
  <c r="EB302" i="25" s="1"/>
  <c r="EC55" i="25"/>
  <c r="EA380" i="25"/>
  <c r="EA286" i="25"/>
  <c r="DA65" i="617"/>
  <c r="DA212" i="571"/>
  <c r="CY77" i="617"/>
  <c r="CY84" i="617"/>
  <c r="DD77" i="617"/>
  <c r="DP20" i="611"/>
  <c r="AY12" i="571"/>
  <c r="AZ166" i="25"/>
  <c r="AZ162" i="25"/>
  <c r="AV152" i="25"/>
  <c r="AV153" i="25" s="1"/>
  <c r="AX12" i="571"/>
  <c r="AW151" i="25"/>
  <c r="AW152" i="25" s="1"/>
  <c r="AW13" i="571"/>
  <c r="DR100" i="611"/>
  <c r="DR20" i="611" s="1"/>
  <c r="DR141" i="25" s="1"/>
  <c r="DR26" i="611"/>
  <c r="DR28" i="611" s="1"/>
  <c r="DR227" i="25" s="1"/>
  <c r="DW107" i="611"/>
  <c r="DX135" i="611"/>
  <c r="DW93" i="611"/>
  <c r="DX92" i="611"/>
  <c r="DY90" i="611" s="1"/>
  <c r="DY92" i="611" s="1"/>
  <c r="DW43" i="611"/>
  <c r="DX41" i="611" s="1"/>
  <c r="DX57" i="611"/>
  <c r="DY55" i="611" s="1"/>
  <c r="DT62" i="611"/>
  <c r="DX71" i="611"/>
  <c r="DY69" i="611" s="1"/>
  <c r="DY71" i="611" s="1"/>
  <c r="DS65" i="611"/>
  <c r="DS97" i="611"/>
  <c r="DW72" i="611"/>
  <c r="DY110" i="611"/>
  <c r="DX114" i="611"/>
  <c r="DY145" i="611"/>
  <c r="DX149" i="611"/>
  <c r="DX106" i="611"/>
  <c r="DY104" i="611" s="1"/>
  <c r="DY134" i="611"/>
  <c r="EA132" i="611" s="1"/>
  <c r="DY135" i="611"/>
  <c r="DW78" i="611"/>
  <c r="DY48" i="611"/>
  <c r="EB24" i="617" l="1"/>
  <c r="EC50" i="25"/>
  <c r="EC52" i="25" s="1"/>
  <c r="DY72" i="611"/>
  <c r="EA69" i="611"/>
  <c r="DL143" i="571"/>
  <c r="DL134" i="571"/>
  <c r="DL138" i="571" s="1"/>
  <c r="EC82" i="611"/>
  <c r="EB86" i="611"/>
  <c r="DN44" i="571"/>
  <c r="DN71" i="571"/>
  <c r="DN72" i="571" s="1"/>
  <c r="DM89" i="571"/>
  <c r="DM111" i="571"/>
  <c r="DM82" i="571"/>
  <c r="DM97" i="571" s="1"/>
  <c r="DL121" i="571"/>
  <c r="DL122" i="571"/>
  <c r="ED103" i="611"/>
  <c r="DL105" i="571"/>
  <c r="DL104" i="571"/>
  <c r="DY149" i="611"/>
  <c r="EA145" i="611"/>
  <c r="EA134" i="611"/>
  <c r="EB132" i="611" s="1"/>
  <c r="EB124" i="611"/>
  <c r="EA128" i="611"/>
  <c r="DM65" i="571"/>
  <c r="DM129" i="571" s="1"/>
  <c r="DM77" i="571"/>
  <c r="DL149" i="571"/>
  <c r="DL113" i="571"/>
  <c r="ED54" i="611"/>
  <c r="EB138" i="611"/>
  <c r="EA142" i="611"/>
  <c r="DK218" i="571"/>
  <c r="DK46" i="617" s="1"/>
  <c r="DM112" i="571"/>
  <c r="DY93" i="611"/>
  <c r="EA90" i="611"/>
  <c r="DZ105" i="617"/>
  <c r="DY114" i="611"/>
  <c r="EA110" i="611"/>
  <c r="DW44" i="611"/>
  <c r="DK212" i="571"/>
  <c r="DK209" i="571"/>
  <c r="DK211" i="571" s="1"/>
  <c r="DK199" i="571"/>
  <c r="ED159" i="611"/>
  <c r="ED163" i="611" s="1"/>
  <c r="EC163" i="611"/>
  <c r="DK154" i="571"/>
  <c r="AI32" i="559" s="1"/>
  <c r="DK150" i="571"/>
  <c r="DN64" i="571"/>
  <c r="DN87" i="571"/>
  <c r="DN37" i="571"/>
  <c r="DN88" i="571" s="1"/>
  <c r="DO69" i="617"/>
  <c r="DO50" i="571"/>
  <c r="DO36" i="571"/>
  <c r="DO49" i="571"/>
  <c r="DO43" i="571"/>
  <c r="DL77" i="571"/>
  <c r="DL119" i="571"/>
  <c r="DL118" i="571"/>
  <c r="DT8" i="571"/>
  <c r="AQ11" i="559"/>
  <c r="EE127" i="617"/>
  <c r="EE122" i="617"/>
  <c r="EA100" i="617"/>
  <c r="EE57" i="607"/>
  <c r="EE17" i="607"/>
  <c r="EE52" i="607"/>
  <c r="EE48" i="613"/>
  <c r="EE88" i="617"/>
  <c r="EE51" i="607"/>
  <c r="EE14" i="607"/>
  <c r="EE47" i="613"/>
  <c r="ED98" i="617"/>
  <c r="EB94" i="617"/>
  <c r="EB106" i="617" s="1"/>
  <c r="EB52" i="613"/>
  <c r="EB53" i="613" s="1"/>
  <c r="EB60" i="607"/>
  <c r="EB54" i="607"/>
  <c r="EB85" i="25"/>
  <c r="AZ18" i="559"/>
  <c r="AZ65" i="559" s="1"/>
  <c r="EB404" i="25"/>
  <c r="EB221" i="25" s="1"/>
  <c r="ED53" i="607"/>
  <c r="ED27" i="607"/>
  <c r="ED50" i="613"/>
  <c r="ED51" i="613" s="1"/>
  <c r="EE19" i="607"/>
  <c r="EC90" i="617"/>
  <c r="EC21" i="607"/>
  <c r="EC26" i="607" s="1"/>
  <c r="EC58" i="607"/>
  <c r="ED17" i="607"/>
  <c r="ED52" i="607"/>
  <c r="ED48" i="613"/>
  <c r="ED49" i="613" s="1"/>
  <c r="ED14" i="607"/>
  <c r="EB104" i="617"/>
  <c r="EB99" i="617"/>
  <c r="EB89" i="617"/>
  <c r="ED342" i="25"/>
  <c r="ED55" i="25"/>
  <c r="EC301" i="25"/>
  <c r="EB286" i="25"/>
  <c r="EB380" i="25"/>
  <c r="DA84" i="617"/>
  <c r="DA77" i="617"/>
  <c r="DF77" i="617"/>
  <c r="AW153" i="25"/>
  <c r="BB151" i="25"/>
  <c r="AY13" i="571"/>
  <c r="AY151" i="25"/>
  <c r="AY152" i="25" s="1"/>
  <c r="AY153" i="25" s="1"/>
  <c r="AX13" i="571"/>
  <c r="AX17" i="571"/>
  <c r="AX166" i="25"/>
  <c r="AX151" i="25"/>
  <c r="AX152" i="25" s="1"/>
  <c r="AX153" i="25" s="1"/>
  <c r="AZ12" i="571"/>
  <c r="BA166" i="25"/>
  <c r="BA162" i="25"/>
  <c r="DY57" i="611"/>
  <c r="EA55" i="611" s="1"/>
  <c r="DY58" i="611"/>
  <c r="DX43" i="611"/>
  <c r="DY41" i="611" s="1"/>
  <c r="DX58" i="611"/>
  <c r="DX93" i="611"/>
  <c r="DY106" i="611"/>
  <c r="DR23" i="25"/>
  <c r="DR143" i="25"/>
  <c r="DR379" i="25"/>
  <c r="DR387" i="25" s="1"/>
  <c r="DS142" i="25"/>
  <c r="DS99" i="611"/>
  <c r="DS26" i="611" s="1"/>
  <c r="DT64" i="611"/>
  <c r="DT65" i="611" s="1"/>
  <c r="DX107" i="611"/>
  <c r="DX72" i="611"/>
  <c r="DX76" i="611"/>
  <c r="DW79" i="611"/>
  <c r="DY50" i="611"/>
  <c r="EA48" i="611" s="1"/>
  <c r="ED50" i="25" l="1"/>
  <c r="ED52" i="25" s="1"/>
  <c r="EC24" i="617"/>
  <c r="DL115" i="571"/>
  <c r="DL116" i="571"/>
  <c r="DM149" i="571"/>
  <c r="DM113" i="571"/>
  <c r="DP71" i="571"/>
  <c r="DO44" i="571"/>
  <c r="DP44" i="571" s="1"/>
  <c r="DO71" i="571"/>
  <c r="DO72" i="571" s="1"/>
  <c r="DP72" i="571" s="1"/>
  <c r="DP138" i="571" s="1"/>
  <c r="DP43" i="571"/>
  <c r="EA92" i="611"/>
  <c r="EB90" i="611" s="1"/>
  <c r="EA93" i="611"/>
  <c r="DM121" i="571"/>
  <c r="DM122" i="571"/>
  <c r="EC138" i="611"/>
  <c r="EB142" i="611"/>
  <c r="DL150" i="571"/>
  <c r="DL154" i="571"/>
  <c r="AJ32" i="559" s="1"/>
  <c r="DL144" i="571"/>
  <c r="DM143" i="571"/>
  <c r="DM134" i="571"/>
  <c r="DM138" i="571" s="1"/>
  <c r="DR138" i="571" s="1"/>
  <c r="DW138" i="571" s="1"/>
  <c r="EB138" i="571" s="1"/>
  <c r="DR129" i="571"/>
  <c r="EB145" i="611"/>
  <c r="EA149" i="611"/>
  <c r="ED82" i="611"/>
  <c r="ED86" i="611" s="1"/>
  <c r="EC86" i="611"/>
  <c r="EA71" i="611"/>
  <c r="EB69" i="611" s="1"/>
  <c r="EC124" i="611"/>
  <c r="EB128" i="611"/>
  <c r="DY107" i="611"/>
  <c r="EA104" i="611"/>
  <c r="EB110" i="611"/>
  <c r="EA114" i="611"/>
  <c r="DM105" i="571"/>
  <c r="DM104" i="571"/>
  <c r="DN65" i="571"/>
  <c r="DN129" i="571" s="1"/>
  <c r="EB134" i="611"/>
  <c r="EC132" i="611" s="1"/>
  <c r="EB135" i="611"/>
  <c r="EA50" i="611"/>
  <c r="EB48" i="611" s="1"/>
  <c r="EA51" i="611"/>
  <c r="DY51" i="611"/>
  <c r="EA57" i="611"/>
  <c r="EB55" i="611" s="1"/>
  <c r="DO87" i="571"/>
  <c r="DO37" i="571"/>
  <c r="DO88" i="571" s="1"/>
  <c r="DO64" i="571"/>
  <c r="DN82" i="571"/>
  <c r="DN97" i="571" s="1"/>
  <c r="DN111" i="571"/>
  <c r="DN89" i="571"/>
  <c r="EA135" i="611"/>
  <c r="DM118" i="571"/>
  <c r="DM119" i="571"/>
  <c r="DV8" i="571"/>
  <c r="AR11" i="559"/>
  <c r="EB92" i="617"/>
  <c r="EB105" i="617" s="1"/>
  <c r="EC94" i="617"/>
  <c r="EC106" i="617" s="1"/>
  <c r="EC52" i="613"/>
  <c r="EC53" i="613" s="1"/>
  <c r="EC60" i="607"/>
  <c r="EC54" i="607"/>
  <c r="EE49" i="613"/>
  <c r="EE98" i="617"/>
  <c r="EC104" i="617"/>
  <c r="EC99" i="617"/>
  <c r="EC89" i="617"/>
  <c r="ED90" i="617"/>
  <c r="ED21" i="607"/>
  <c r="ED26" i="607" s="1"/>
  <c r="ED58" i="607"/>
  <c r="EE59" i="607"/>
  <c r="EE53" i="607"/>
  <c r="EE27" i="607"/>
  <c r="EE50" i="613"/>
  <c r="EE51" i="613" s="1"/>
  <c r="EE90" i="617"/>
  <c r="EE21" i="607"/>
  <c r="EE58" i="607"/>
  <c r="ED301" i="25"/>
  <c r="EE55" i="25"/>
  <c r="BC169" i="25"/>
  <c r="AX167" i="25"/>
  <c r="AX180" i="25"/>
  <c r="AX181" i="25" s="1"/>
  <c r="BA12" i="571"/>
  <c r="BB166" i="25"/>
  <c r="BB162" i="25"/>
  <c r="AZ151" i="25"/>
  <c r="AZ13" i="571"/>
  <c r="DX44" i="611"/>
  <c r="DY43" i="611"/>
  <c r="EA41" i="611" s="1"/>
  <c r="DT97" i="611"/>
  <c r="DS28" i="611"/>
  <c r="DS227" i="25" s="1"/>
  <c r="DS100" i="611"/>
  <c r="DS20" i="611" s="1"/>
  <c r="DR407" i="25"/>
  <c r="DV62" i="611"/>
  <c r="DX78" i="611"/>
  <c r="ED24" i="617" l="1"/>
  <c r="EA43" i="611"/>
  <c r="EA44" i="611" s="1"/>
  <c r="DN118" i="571"/>
  <c r="DN119" i="571"/>
  <c r="EB71" i="611"/>
  <c r="EC69" i="611" s="1"/>
  <c r="EB72" i="611"/>
  <c r="DW129" i="571"/>
  <c r="DR143" i="571"/>
  <c r="DP137" i="571"/>
  <c r="DP73" i="571"/>
  <c r="DN104" i="571"/>
  <c r="DN105" i="571"/>
  <c r="EC110" i="611"/>
  <c r="EB114" i="611"/>
  <c r="DM115" i="571"/>
  <c r="DM116" i="571"/>
  <c r="DO82" i="571"/>
  <c r="DO89" i="571"/>
  <c r="DO111" i="571"/>
  <c r="EB57" i="611"/>
  <c r="EC55" i="611" s="1"/>
  <c r="DO65" i="571"/>
  <c r="DO112" i="571" s="1"/>
  <c r="DO77" i="571"/>
  <c r="DN77" i="571"/>
  <c r="DN112" i="571"/>
  <c r="DM144" i="571"/>
  <c r="DM154" i="571"/>
  <c r="AK32" i="559" s="1"/>
  <c r="DM150" i="571"/>
  <c r="EC128" i="611"/>
  <c r="ED124" i="611"/>
  <c r="ED128" i="611" s="1"/>
  <c r="DY44" i="611"/>
  <c r="DN149" i="571"/>
  <c r="DN113" i="571"/>
  <c r="DO83" i="571"/>
  <c r="EA58" i="611"/>
  <c r="EB50" i="611"/>
  <c r="EC48" i="611" s="1"/>
  <c r="EB51" i="611"/>
  <c r="EC134" i="611"/>
  <c r="ED132" i="611" s="1"/>
  <c r="EC135" i="611"/>
  <c r="DN143" i="571"/>
  <c r="DN134" i="571"/>
  <c r="DN138" i="571" s="1"/>
  <c r="DS138" i="571" s="1"/>
  <c r="DX138" i="571" s="1"/>
  <c r="EC138" i="571" s="1"/>
  <c r="DS129" i="571"/>
  <c r="EA106" i="611"/>
  <c r="EB104" i="611" s="1"/>
  <c r="EA72" i="611"/>
  <c r="EC145" i="611"/>
  <c r="EB149" i="611"/>
  <c r="ED138" i="611"/>
  <c r="ED142" i="611" s="1"/>
  <c r="EC142" i="611"/>
  <c r="EB92" i="611"/>
  <c r="EC90" i="611" s="1"/>
  <c r="EB93" i="611"/>
  <c r="DW8" i="571"/>
  <c r="AT11" i="559"/>
  <c r="EB100" i="617"/>
  <c r="EC92" i="617"/>
  <c r="EC105" i="617" s="1"/>
  <c r="ED94" i="617"/>
  <c r="ED106" i="617" s="1"/>
  <c r="ED60" i="607"/>
  <c r="ED54" i="607"/>
  <c r="ED52" i="613"/>
  <c r="ED53" i="613" s="1"/>
  <c r="ED104" i="617"/>
  <c r="ED99" i="617"/>
  <c r="ED89" i="617"/>
  <c r="EE104" i="617"/>
  <c r="EE99" i="617"/>
  <c r="EE26" i="607"/>
  <c r="EE89" i="617"/>
  <c r="EE301" i="25"/>
  <c r="EE54" i="25"/>
  <c r="EE50" i="25"/>
  <c r="AZ152" i="25"/>
  <c r="AZ153" i="25" s="1"/>
  <c r="BA13" i="571"/>
  <c r="BA151" i="25"/>
  <c r="BB152" i="25" s="1"/>
  <c r="BD166" i="25"/>
  <c r="BB12" i="571"/>
  <c r="BD162" i="25"/>
  <c r="DV64" i="611"/>
  <c r="DV65" i="611" s="1"/>
  <c r="DS379" i="25"/>
  <c r="DT142" i="25"/>
  <c r="DT99" i="611"/>
  <c r="DT26" i="611" s="1"/>
  <c r="DS141" i="25"/>
  <c r="DY76" i="611"/>
  <c r="DX79" i="611"/>
  <c r="DO121" i="571" l="1"/>
  <c r="DO122" i="571"/>
  <c r="EB106" i="611"/>
  <c r="EC104" i="611" s="1"/>
  <c r="EC50" i="611"/>
  <c r="ED48" i="611" s="1"/>
  <c r="EC51" i="611"/>
  <c r="DO119" i="571"/>
  <c r="DO118" i="571"/>
  <c r="EC71" i="611"/>
  <c r="ED69" i="611" s="1"/>
  <c r="DN150" i="571"/>
  <c r="DN144" i="571"/>
  <c r="DN154" i="571"/>
  <c r="DN122" i="571"/>
  <c r="DN121" i="571"/>
  <c r="DO98" i="571"/>
  <c r="DO149" i="571"/>
  <c r="DO113" i="571"/>
  <c r="EC114" i="611"/>
  <c r="ED110" i="611"/>
  <c r="ED114" i="611" s="1"/>
  <c r="DP139" i="571"/>
  <c r="DP74" i="571"/>
  <c r="DP219" i="571" s="1"/>
  <c r="DO129" i="571"/>
  <c r="DO78" i="571"/>
  <c r="EC57" i="611"/>
  <c r="ED55" i="611" s="1"/>
  <c r="EC58" i="611"/>
  <c r="EC92" i="611"/>
  <c r="ED90" i="611" s="1"/>
  <c r="EC93" i="611"/>
  <c r="ED145" i="611"/>
  <c r="ED149" i="611" s="1"/>
  <c r="EC149" i="611"/>
  <c r="EA107" i="611"/>
  <c r="DX129" i="571"/>
  <c r="DS143" i="571"/>
  <c r="ED134" i="611"/>
  <c r="ED135" i="611" s="1"/>
  <c r="DN115" i="571"/>
  <c r="DN116" i="571"/>
  <c r="DO79" i="571"/>
  <c r="EB58" i="611"/>
  <c r="DO84" i="571"/>
  <c r="DO97" i="571"/>
  <c r="EB129" i="571"/>
  <c r="EB143" i="571" s="1"/>
  <c r="DW143" i="571"/>
  <c r="EB41" i="611"/>
  <c r="EC100" i="617"/>
  <c r="AU11" i="559"/>
  <c r="DX8" i="571"/>
  <c r="ED92" i="617"/>
  <c r="ED105" i="617" s="1"/>
  <c r="EE94" i="617"/>
  <c r="EE60" i="607"/>
  <c r="EE54" i="607"/>
  <c r="EE52" i="613"/>
  <c r="EE53" i="613" s="1"/>
  <c r="BB13" i="571"/>
  <c r="BC12" i="571"/>
  <c r="BA152" i="25"/>
  <c r="BA153" i="25" s="1"/>
  <c r="BE166" i="25"/>
  <c r="BD12" i="571"/>
  <c r="BE162" i="25"/>
  <c r="DT100" i="611"/>
  <c r="DT20" i="611" s="1"/>
  <c r="DT141" i="25" s="1"/>
  <c r="DT143" i="25" s="1"/>
  <c r="DS23" i="25"/>
  <c r="DS143" i="25"/>
  <c r="DV97" i="611"/>
  <c r="DT28" i="611"/>
  <c r="DT227" i="25" s="1"/>
  <c r="DW62" i="611"/>
  <c r="DY78" i="611"/>
  <c r="EA76" i="611" s="1"/>
  <c r="DO150" i="571" l="1"/>
  <c r="DO144" i="571"/>
  <c r="DO154" i="571"/>
  <c r="DO161" i="571"/>
  <c r="DO99" i="571"/>
  <c r="ED92" i="611"/>
  <c r="ED93" i="611" s="1"/>
  <c r="ED57" i="611"/>
  <c r="ED58" i="611" s="1"/>
  <c r="DP47" i="617"/>
  <c r="AN13" i="559"/>
  <c r="EA77" i="611"/>
  <c r="EA78" i="611" s="1"/>
  <c r="EC106" i="611"/>
  <c r="ED104" i="611" s="1"/>
  <c r="DX143" i="571"/>
  <c r="EC129" i="571"/>
  <c r="EC143" i="571" s="1"/>
  <c r="EC72" i="611"/>
  <c r="ED50" i="611"/>
  <c r="ED51" i="611" s="1"/>
  <c r="DO104" i="571"/>
  <c r="DO105" i="571"/>
  <c r="EB43" i="611"/>
  <c r="DT129" i="571"/>
  <c r="DO134" i="571"/>
  <c r="DO138" i="571" s="1"/>
  <c r="DT138" i="571" s="1"/>
  <c r="DY138" i="571" s="1"/>
  <c r="ED138" i="571" s="1"/>
  <c r="DO143" i="571"/>
  <c r="DO116" i="571"/>
  <c r="DO115" i="571"/>
  <c r="ED71" i="611"/>
  <c r="ED72" i="611"/>
  <c r="EB107" i="611"/>
  <c r="DY8" i="571"/>
  <c r="AV11" i="559"/>
  <c r="ED100" i="617"/>
  <c r="EE106" i="617"/>
  <c r="EE92" i="617"/>
  <c r="BC151" i="25"/>
  <c r="BC13" i="571"/>
  <c r="BC17" i="571"/>
  <c r="BC166" i="25"/>
  <c r="BD13" i="571"/>
  <c r="BD151" i="25"/>
  <c r="BE12" i="571"/>
  <c r="BF162" i="25"/>
  <c r="BF166" i="25"/>
  <c r="BB153" i="25"/>
  <c r="DT23" i="25"/>
  <c r="DU20" i="611"/>
  <c r="DU143" i="25"/>
  <c r="DV99" i="611"/>
  <c r="DV26" i="611" s="1"/>
  <c r="DV100" i="611"/>
  <c r="DV20" i="611" s="1"/>
  <c r="DV141" i="25" s="1"/>
  <c r="DW64" i="611"/>
  <c r="DT379" i="25"/>
  <c r="DU379" i="25" s="1"/>
  <c r="DU227" i="25"/>
  <c r="DS407" i="25"/>
  <c r="DY79" i="611"/>
  <c r="DT407" i="25" l="1"/>
  <c r="EA79" i="611"/>
  <c r="EB76" i="611"/>
  <c r="ED106" i="611"/>
  <c r="ED107" i="611" s="1"/>
  <c r="DY129" i="571"/>
  <c r="DT143" i="571"/>
  <c r="DO165" i="571"/>
  <c r="DO162" i="571"/>
  <c r="DO168" i="571" s="1"/>
  <c r="EC41" i="611"/>
  <c r="EB44" i="611"/>
  <c r="EC107" i="611"/>
  <c r="EA8" i="571"/>
  <c r="AW11" i="559"/>
  <c r="EE105" i="617"/>
  <c r="EE100" i="617"/>
  <c r="BJ13" i="571"/>
  <c r="BE13" i="571"/>
  <c r="BE151" i="25"/>
  <c r="BE152" i="25" s="1"/>
  <c r="BD152" i="25"/>
  <c r="BD153" i="25" s="1"/>
  <c r="BG166" i="25"/>
  <c r="BG162" i="25"/>
  <c r="BF12" i="571"/>
  <c r="BC180" i="25"/>
  <c r="BC181" i="25" s="1"/>
  <c r="BC167" i="25"/>
  <c r="BH169" i="25"/>
  <c r="BH165" i="25"/>
  <c r="BC152" i="25"/>
  <c r="DU23" i="25"/>
  <c r="DU407" i="25" s="1"/>
  <c r="DX62" i="611"/>
  <c r="DV23" i="25"/>
  <c r="DV142" i="25"/>
  <c r="DV143" i="25" s="1"/>
  <c r="DZ142" i="25"/>
  <c r="DW65" i="611"/>
  <c r="DW97" i="611"/>
  <c r="DV28" i="611"/>
  <c r="DV227" i="25" s="1"/>
  <c r="ED129" i="571" l="1"/>
  <c r="ED143" i="571" s="1"/>
  <c r="DY143" i="571"/>
  <c r="EC43" i="611"/>
  <c r="EC44" i="611"/>
  <c r="T249" i="25"/>
  <c r="EB78" i="611"/>
  <c r="EC76" i="611" s="1"/>
  <c r="EB79" i="611"/>
  <c r="EB8" i="571"/>
  <c r="AY11" i="559"/>
  <c r="BE153" i="25"/>
  <c r="BF151" i="25"/>
  <c r="BF13" i="571"/>
  <c r="BK13" i="571"/>
  <c r="BC158" i="25"/>
  <c r="BC159" i="25"/>
  <c r="BC160" i="25" s="1"/>
  <c r="BC153" i="25"/>
  <c r="BF152" i="25"/>
  <c r="BF153" i="25" s="1"/>
  <c r="BI162" i="25"/>
  <c r="BG12" i="571"/>
  <c r="BI166" i="25"/>
  <c r="DU141" i="25"/>
  <c r="DW142" i="25"/>
  <c r="DV379" i="25"/>
  <c r="DW99" i="611"/>
  <c r="DW26" i="611" s="1"/>
  <c r="DV407" i="25"/>
  <c r="DX64" i="611"/>
  <c r="DX65" i="611"/>
  <c r="T266" i="25" l="1"/>
  <c r="ED41" i="611"/>
  <c r="T259" i="25"/>
  <c r="T265" i="25" s="1"/>
  <c r="EC78" i="611"/>
  <c r="ED76" i="611" s="1"/>
  <c r="EC79" i="611"/>
  <c r="EC8" i="571"/>
  <c r="AZ11" i="559"/>
  <c r="BI12" i="571"/>
  <c r="BI167" i="25"/>
  <c r="BJ167" i="25"/>
  <c r="BL13" i="571"/>
  <c r="BG13" i="571"/>
  <c r="BH12" i="571"/>
  <c r="BG151" i="25"/>
  <c r="BG152" i="25" s="1"/>
  <c r="BG153" i="25" s="1"/>
  <c r="DX97" i="611"/>
  <c r="DW28" i="611"/>
  <c r="DW227" i="25" s="1"/>
  <c r="DV387" i="25"/>
  <c r="DY62" i="611"/>
  <c r="DY64" i="611" s="1"/>
  <c r="EA62" i="611" s="1"/>
  <c r="DW100" i="611"/>
  <c r="DW20" i="611" s="1"/>
  <c r="DW141" i="25" s="1"/>
  <c r="ED43" i="611" l="1"/>
  <c r="ED44" i="611"/>
  <c r="ED78" i="611"/>
  <c r="ED79" i="611" s="1"/>
  <c r="EA64" i="611"/>
  <c r="EA65" i="611" s="1"/>
  <c r="ED8" i="571"/>
  <c r="BB11" i="559" s="1"/>
  <c r="BA11" i="559"/>
  <c r="BH13" i="571"/>
  <c r="BH151" i="25"/>
  <c r="BH166" i="25"/>
  <c r="BM13" i="571"/>
  <c r="BH17" i="571"/>
  <c r="BI13" i="571"/>
  <c r="BI151" i="25"/>
  <c r="BJ152" i="25" s="1"/>
  <c r="BN13" i="571"/>
  <c r="DW143" i="25"/>
  <c r="DW23" i="25"/>
  <c r="DY65" i="611"/>
  <c r="DW379" i="25"/>
  <c r="DX142" i="25"/>
  <c r="DX99" i="611"/>
  <c r="DX26" i="611" s="1"/>
  <c r="EB62" i="611" l="1"/>
  <c r="Y249" i="25"/>
  <c r="BI152" i="25"/>
  <c r="BI153" i="25" s="1"/>
  <c r="BM165" i="25"/>
  <c r="BM163" i="25" s="1"/>
  <c r="BM178" i="25" s="1"/>
  <c r="BM181" i="25" s="1"/>
  <c r="BM169" i="25"/>
  <c r="BM167" i="25"/>
  <c r="BH167" i="25"/>
  <c r="BH163" i="25"/>
  <c r="BH178" i="25" s="1"/>
  <c r="BH181" i="25" s="1"/>
  <c r="BM152" i="25"/>
  <c r="BH152" i="25"/>
  <c r="BK153" i="25"/>
  <c r="DY97" i="611"/>
  <c r="DX28" i="611"/>
  <c r="DX227" i="25" s="1"/>
  <c r="DX100" i="611"/>
  <c r="DX20" i="611" s="1"/>
  <c r="DX141" i="25" s="1"/>
  <c r="DW407" i="25"/>
  <c r="DW387" i="25"/>
  <c r="Y266" i="25" l="1"/>
  <c r="EB64" i="611"/>
  <c r="EB65" i="611"/>
  <c r="Y259" i="25"/>
  <c r="Y265" i="25" s="1"/>
  <c r="BJ153" i="25"/>
  <c r="BH158" i="25"/>
  <c r="BH159" i="25"/>
  <c r="BH160" i="25" s="1"/>
  <c r="BH153" i="25"/>
  <c r="BM153" i="25"/>
  <c r="BM159" i="25"/>
  <c r="BM160" i="25" s="1"/>
  <c r="BM158" i="25"/>
  <c r="BR153" i="25"/>
  <c r="BH372" i="25"/>
  <c r="DY142" i="25"/>
  <c r="DX379" i="25"/>
  <c r="DX23" i="25"/>
  <c r="DX143" i="25"/>
  <c r="DY99" i="611"/>
  <c r="EA97" i="611" s="1"/>
  <c r="DY100" i="611"/>
  <c r="DY20" i="611" s="1"/>
  <c r="DZ20" i="611" l="1"/>
  <c r="DY141" i="25"/>
  <c r="DY23" i="25" s="1"/>
  <c r="AD249" i="25"/>
  <c r="AD266" i="25" s="1"/>
  <c r="EC62" i="611"/>
  <c r="EA99" i="611"/>
  <c r="EA100" i="611"/>
  <c r="EA20" i="611" s="1"/>
  <c r="EA141" i="25" s="1"/>
  <c r="EA23" i="25" s="1"/>
  <c r="BH283" i="25"/>
  <c r="BH285" i="25" s="1"/>
  <c r="BH287" i="25" s="1"/>
  <c r="BH377" i="25"/>
  <c r="BH391" i="25" s="1"/>
  <c r="BH393" i="25" s="1"/>
  <c r="BH395" i="25"/>
  <c r="BH271" i="25"/>
  <c r="DY26" i="611"/>
  <c r="DY28" i="611" s="1"/>
  <c r="DY227" i="25" s="1"/>
  <c r="DX407" i="25"/>
  <c r="DZ23" i="25"/>
  <c r="DY143" i="25"/>
  <c r="DZ143" i="25" s="1"/>
  <c r="EA407" i="25" l="1"/>
  <c r="DY407" i="25"/>
  <c r="AD259" i="25"/>
  <c r="AD265" i="25" s="1"/>
  <c r="EC64" i="611"/>
  <c r="EC65" i="611" s="1"/>
  <c r="EB97" i="611"/>
  <c r="EA26" i="611"/>
  <c r="EA28" i="611" s="1"/>
  <c r="EA227" i="25" s="1"/>
  <c r="BH277" i="25"/>
  <c r="BH276" i="25"/>
  <c r="BM392" i="25"/>
  <c r="BM393" i="25" s="1"/>
  <c r="BH201" i="25"/>
  <c r="DZ227" i="25"/>
  <c r="DY379" i="25"/>
  <c r="DZ379" i="25" s="1"/>
  <c r="DZ141" i="25"/>
  <c r="DZ407" i="25"/>
  <c r="EB142" i="25" l="1"/>
  <c r="ED62" i="611"/>
  <c r="AI249" i="25"/>
  <c r="EB99" i="611"/>
  <c r="EB100" i="611"/>
  <c r="EB20" i="611" s="1"/>
  <c r="EB141" i="25" s="1"/>
  <c r="EB23" i="25" s="1"/>
  <c r="EB407" i="25" s="1"/>
  <c r="EA142" i="25"/>
  <c r="EE142" i="25"/>
  <c r="EA379" i="25"/>
  <c r="BH206" i="25"/>
  <c r="BM146" i="25"/>
  <c r="BM147" i="25" s="1"/>
  <c r="BH247" i="25"/>
  <c r="BM201" i="25"/>
  <c r="BR392" i="25"/>
  <c r="BR393" i="25" s="1"/>
  <c r="EC97" i="611" l="1"/>
  <c r="EB26" i="611"/>
  <c r="EB28" i="611" s="1"/>
  <c r="EB227" i="25" s="1"/>
  <c r="AI266" i="25"/>
  <c r="ED64" i="611"/>
  <c r="ED65" i="611"/>
  <c r="AI259" i="25"/>
  <c r="AI265" i="25" s="1"/>
  <c r="EB143" i="25"/>
  <c r="EA387" i="25"/>
  <c r="EA143" i="25"/>
  <c r="BW392" i="25"/>
  <c r="BR201" i="25"/>
  <c r="BR146" i="25"/>
  <c r="BR147" i="25" s="1"/>
  <c r="BM206" i="25"/>
  <c r="BM247" i="25"/>
  <c r="BH309" i="25"/>
  <c r="BH310" i="25" s="1"/>
  <c r="BH216" i="25"/>
  <c r="BH312" i="25"/>
  <c r="BH311" i="25"/>
  <c r="EC99" i="611" l="1"/>
  <c r="EC100" i="611"/>
  <c r="EC20" i="611" s="1"/>
  <c r="EC141" i="25" s="1"/>
  <c r="EC23" i="25" s="1"/>
  <c r="EC407" i="25" s="1"/>
  <c r="AN258" i="25"/>
  <c r="AN253" i="25" s="1"/>
  <c r="AN252" i="25" s="1"/>
  <c r="AN259" i="25" s="1"/>
  <c r="EB379" i="25"/>
  <c r="EC142" i="25"/>
  <c r="BS392" i="25"/>
  <c r="BS393" i="25" s="1"/>
  <c r="BT392" i="25" s="1"/>
  <c r="BT393" i="25" s="1"/>
  <c r="BU392" i="25" s="1"/>
  <c r="BU393" i="25" s="1"/>
  <c r="BV392" i="25" s="1"/>
  <c r="BV393" i="25" s="1"/>
  <c r="BW393" i="25"/>
  <c r="BH241" i="25"/>
  <c r="BH314" i="25"/>
  <c r="BH316" i="25"/>
  <c r="BM311" i="25"/>
  <c r="BM216" i="25"/>
  <c r="BM309" i="25"/>
  <c r="BM310" i="25" s="1"/>
  <c r="BM312" i="25"/>
  <c r="BW146" i="25"/>
  <c r="BW147" i="25" s="1"/>
  <c r="BR206" i="25"/>
  <c r="BR247" i="25"/>
  <c r="EB387" i="25" l="1"/>
  <c r="AN249" i="25"/>
  <c r="AN266" i="25" s="1"/>
  <c r="ED97" i="611"/>
  <c r="EC26" i="611"/>
  <c r="EC28" i="611" s="1"/>
  <c r="EC227" i="25" s="1"/>
  <c r="EC143" i="25"/>
  <c r="BR216" i="25"/>
  <c r="BR309" i="25"/>
  <c r="BR310" i="25" s="1"/>
  <c r="BR312" i="25"/>
  <c r="BR311" i="25"/>
  <c r="BW201" i="25"/>
  <c r="CB392" i="25"/>
  <c r="CB393" i="25" s="1"/>
  <c r="BX392" i="25"/>
  <c r="BX393" i="25" s="1"/>
  <c r="BR267" i="25"/>
  <c r="BM314" i="25"/>
  <c r="BM241" i="25"/>
  <c r="BM316" i="25"/>
  <c r="AN265" i="25" l="1"/>
  <c r="EC379" i="25"/>
  <c r="ED142" i="25"/>
  <c r="ED99" i="611"/>
  <c r="ED26" i="611" s="1"/>
  <c r="ED28" i="611" s="1"/>
  <c r="ED227" i="25" s="1"/>
  <c r="BW206" i="25"/>
  <c r="CB146" i="25"/>
  <c r="CB147" i="25" s="1"/>
  <c r="BV201" i="25"/>
  <c r="BW247" i="25"/>
  <c r="BR316" i="25"/>
  <c r="BS314" i="25"/>
  <c r="BR314" i="25"/>
  <c r="BS316" i="25"/>
  <c r="BR241" i="25"/>
  <c r="CB201" i="25"/>
  <c r="CG392" i="25"/>
  <c r="CG393" i="25" s="1"/>
  <c r="CL392" i="25" s="1"/>
  <c r="CL393" i="25" s="1"/>
  <c r="CQ392" i="25" s="1"/>
  <c r="CQ393" i="25" s="1"/>
  <c r="BY392" i="25"/>
  <c r="BY393" i="25" s="1"/>
  <c r="BX201" i="25"/>
  <c r="AS258" i="25" l="1"/>
  <c r="AS253" i="25" s="1"/>
  <c r="AS252" i="25" s="1"/>
  <c r="AS259" i="25" s="1"/>
  <c r="EE227" i="25"/>
  <c r="ED379" i="25"/>
  <c r="EE379" i="25" s="1"/>
  <c r="ED100" i="611"/>
  <c r="ED20" i="611" s="1"/>
  <c r="BZ392" i="25"/>
  <c r="BZ393" i="25" s="1"/>
  <c r="BY201" i="25"/>
  <c r="CV392" i="25"/>
  <c r="CV393" i="25" s="1"/>
  <c r="DA392" i="25" s="1"/>
  <c r="DA393" i="25" s="1"/>
  <c r="DF392" i="25" s="1"/>
  <c r="DF393" i="25" s="1"/>
  <c r="DK392" i="25" s="1"/>
  <c r="DK393" i="25" s="1"/>
  <c r="CQ201" i="25"/>
  <c r="CG146" i="25"/>
  <c r="CG147" i="25" s="1"/>
  <c r="CB206" i="25"/>
  <c r="CB247" i="25"/>
  <c r="CA201" i="25"/>
  <c r="BW312" i="25"/>
  <c r="BW309" i="25"/>
  <c r="BW310" i="25" s="1"/>
  <c r="BW216" i="25"/>
  <c r="BW311" i="25"/>
  <c r="BX146" i="25"/>
  <c r="BX147" i="25" s="1"/>
  <c r="BV206" i="25"/>
  <c r="BV247" i="25"/>
  <c r="BW267" i="25"/>
  <c r="BX247" i="25"/>
  <c r="BY146" i="25"/>
  <c r="BY147" i="25" s="1"/>
  <c r="BX206" i="25"/>
  <c r="EE20" i="611" l="1"/>
  <c r="ED141" i="25"/>
  <c r="AS249" i="25"/>
  <c r="BV309" i="25"/>
  <c r="BV310" i="25" s="1"/>
  <c r="BV311" i="25"/>
  <c r="BV312" i="25"/>
  <c r="BV216" i="25"/>
  <c r="CB216" i="25"/>
  <c r="CB309" i="25"/>
  <c r="CB310" i="25" s="1"/>
  <c r="CB312" i="25"/>
  <c r="CB311" i="25"/>
  <c r="CQ206" i="25"/>
  <c r="CV146" i="25"/>
  <c r="CQ247" i="25"/>
  <c r="BW314" i="25"/>
  <c r="BW316" i="25"/>
  <c r="BW241" i="25"/>
  <c r="CC146" i="25"/>
  <c r="CC147" i="25" s="1"/>
  <c r="CA206" i="25"/>
  <c r="CA247" i="25"/>
  <c r="BZ146" i="25"/>
  <c r="BZ147" i="25" s="1"/>
  <c r="BY206" i="25"/>
  <c r="BY247" i="25"/>
  <c r="DP392" i="25"/>
  <c r="DL392" i="25"/>
  <c r="DL393" i="25" s="1"/>
  <c r="DM392" i="25" s="1"/>
  <c r="DM393" i="25" s="1"/>
  <c r="DN392" i="25" s="1"/>
  <c r="DN393" i="25" s="1"/>
  <c r="DO392" i="25" s="1"/>
  <c r="DO393" i="25" s="1"/>
  <c r="BX312" i="25"/>
  <c r="BX216" i="25"/>
  <c r="BX309" i="25"/>
  <c r="BX310" i="25" s="1"/>
  <c r="BX311" i="25"/>
  <c r="CB267" i="25"/>
  <c r="BZ201" i="25"/>
  <c r="CA392" i="25"/>
  <c r="CA393" i="25" s="1"/>
  <c r="CC392" i="25" s="1"/>
  <c r="CC393" i="25" s="1"/>
  <c r="AS266" i="25" l="1"/>
  <c r="AS265" i="25"/>
  <c r="ED23" i="25"/>
  <c r="ED143" i="25"/>
  <c r="EE143" i="25" s="1"/>
  <c r="CQ312" i="25"/>
  <c r="CQ311" i="25"/>
  <c r="CQ309" i="25"/>
  <c r="CQ310" i="25" s="1"/>
  <c r="CQ216" i="25"/>
  <c r="BY216" i="25"/>
  <c r="BY309" i="25"/>
  <c r="BY310" i="25" s="1"/>
  <c r="BY311" i="25"/>
  <c r="BY312" i="25"/>
  <c r="BZ247" i="25"/>
  <c r="CA146" i="25"/>
  <c r="CA147" i="25" s="1"/>
  <c r="BZ206" i="25"/>
  <c r="CQ267" i="25"/>
  <c r="BV314" i="25"/>
  <c r="BV316" i="25"/>
  <c r="BV241" i="25"/>
  <c r="CC201" i="25"/>
  <c r="CD392" i="25"/>
  <c r="CD393" i="25" s="1"/>
  <c r="CA311" i="25"/>
  <c r="CA309" i="25"/>
  <c r="CA310" i="25" s="1"/>
  <c r="CA312" i="25"/>
  <c r="CA216" i="25"/>
  <c r="BX314" i="25"/>
  <c r="BX241" i="25"/>
  <c r="BX316" i="25"/>
  <c r="CB316" i="25"/>
  <c r="CB241" i="25"/>
  <c r="CB314" i="25"/>
  <c r="CG314" i="25"/>
  <c r="CG316" i="25"/>
  <c r="AX258" i="25" l="1"/>
  <c r="AX253" i="25" s="1"/>
  <c r="AX252" i="25" s="1"/>
  <c r="AX259" i="25" s="1"/>
  <c r="EE23" i="25"/>
  <c r="ED407" i="25"/>
  <c r="CE392" i="25"/>
  <c r="CE393" i="25" s="1"/>
  <c r="CD201" i="25"/>
  <c r="BZ216" i="25"/>
  <c r="CA314" i="25" s="1"/>
  <c r="BZ311" i="25"/>
  <c r="BZ312" i="25"/>
  <c r="BZ309" i="25"/>
  <c r="BZ310" i="25" s="1"/>
  <c r="BY316" i="25"/>
  <c r="BY314" i="25"/>
  <c r="BY241" i="25"/>
  <c r="CQ314" i="25"/>
  <c r="CV316" i="25"/>
  <c r="CQ316" i="25"/>
  <c r="CQ241" i="25"/>
  <c r="CV314" i="25"/>
  <c r="CA241" i="25"/>
  <c r="CA316" i="25"/>
  <c r="CC247" i="25"/>
  <c r="CC206" i="25"/>
  <c r="CD146" i="25"/>
  <c r="CD147" i="25" s="1"/>
  <c r="EE407" i="25" l="1"/>
  <c r="EE141" i="25"/>
  <c r="AX249" i="25"/>
  <c r="CE201" i="25"/>
  <c r="CF392" i="25"/>
  <c r="CF393" i="25" s="1"/>
  <c r="CC311" i="25"/>
  <c r="CC312" i="25"/>
  <c r="CC216" i="25"/>
  <c r="CC309" i="25"/>
  <c r="CC310" i="25" s="1"/>
  <c r="CE146" i="25"/>
  <c r="CE147" i="25" s="1"/>
  <c r="CD247" i="25"/>
  <c r="CD206" i="25"/>
  <c r="BZ316" i="25"/>
  <c r="BZ314" i="25"/>
  <c r="BZ241" i="25"/>
  <c r="AX266" i="25" l="1"/>
  <c r="AX265" i="25"/>
  <c r="CC241" i="25"/>
  <c r="CC314" i="25"/>
  <c r="CC316" i="25"/>
  <c r="CD216" i="25"/>
  <c r="CD309" i="25"/>
  <c r="CD310" i="25" s="1"/>
  <c r="CD312" i="25"/>
  <c r="CD311" i="25"/>
  <c r="CF146" i="25"/>
  <c r="CF147" i="25" s="1"/>
  <c r="CE206" i="25"/>
  <c r="CE247" i="25"/>
  <c r="CF201" i="25"/>
  <c r="CH392" i="25"/>
  <c r="CH393" i="25" s="1"/>
  <c r="BC258" i="25" l="1"/>
  <c r="BC253" i="25" s="1"/>
  <c r="BC252" i="25" s="1"/>
  <c r="BC259" i="25" s="1"/>
  <c r="CD316" i="25"/>
  <c r="CD241" i="25"/>
  <c r="CD314" i="25"/>
  <c r="CI392" i="25"/>
  <c r="CI393" i="25" s="1"/>
  <c r="CH201" i="25"/>
  <c r="CF247" i="25"/>
  <c r="CF206" i="25"/>
  <c r="CH146" i="25"/>
  <c r="CH147" i="25" s="1"/>
  <c r="CE216" i="25"/>
  <c r="CE309" i="25"/>
  <c r="CE310" i="25" s="1"/>
  <c r="CE312" i="25"/>
  <c r="CE311" i="25"/>
  <c r="BC249" i="25" l="1"/>
  <c r="CI146" i="25"/>
  <c r="CI147" i="25" s="1"/>
  <c r="CH206" i="25"/>
  <c r="CH247" i="25"/>
  <c r="CJ392" i="25"/>
  <c r="CJ393" i="25" s="1"/>
  <c r="CI201" i="25"/>
  <c r="CE316" i="25"/>
  <c r="CE241" i="25"/>
  <c r="CE314" i="25"/>
  <c r="CF311" i="25"/>
  <c r="CF309" i="25"/>
  <c r="CF310" i="25" s="1"/>
  <c r="CF216" i="25"/>
  <c r="CF312" i="25"/>
  <c r="BC265" i="25" l="1"/>
  <c r="BC266" i="25"/>
  <c r="CI206" i="25"/>
  <c r="CI247" i="25"/>
  <c r="CJ146" i="25"/>
  <c r="CJ147" i="25" s="1"/>
  <c r="CJ201" i="25"/>
  <c r="CK392" i="25"/>
  <c r="CK393" i="25" s="1"/>
  <c r="CF314" i="25"/>
  <c r="CF316" i="25"/>
  <c r="CF241" i="25"/>
  <c r="CH312" i="25"/>
  <c r="CH309" i="25"/>
  <c r="CH310" i="25" s="1"/>
  <c r="CH216" i="25"/>
  <c r="CH311" i="25"/>
  <c r="BH258" i="25" l="1"/>
  <c r="BH253" i="25" s="1"/>
  <c r="BH252" i="25" s="1"/>
  <c r="BH259" i="25" s="1"/>
  <c r="CH314" i="25"/>
  <c r="CH241" i="25"/>
  <c r="CH316" i="25"/>
  <c r="CI312" i="25"/>
  <c r="CI311" i="25"/>
  <c r="CI309" i="25"/>
  <c r="CI310" i="25" s="1"/>
  <c r="CI216" i="25"/>
  <c r="CJ247" i="25"/>
  <c r="CJ206" i="25"/>
  <c r="CK146" i="25"/>
  <c r="CK147" i="25" s="1"/>
  <c r="CK201" i="25"/>
  <c r="CM392" i="25"/>
  <c r="CM393" i="25" s="1"/>
  <c r="BH249" i="25" l="1"/>
  <c r="CM201" i="25"/>
  <c r="CN392" i="25"/>
  <c r="CN393" i="25" s="1"/>
  <c r="CK247" i="25"/>
  <c r="CK206" i="25"/>
  <c r="CM146" i="25"/>
  <c r="CM147" i="25" s="1"/>
  <c r="CI241" i="25"/>
  <c r="CI316" i="25"/>
  <c r="CI314" i="25"/>
  <c r="CJ309" i="25"/>
  <c r="CJ310" i="25" s="1"/>
  <c r="CJ312" i="25"/>
  <c r="CJ311" i="25"/>
  <c r="CJ216" i="25"/>
  <c r="BM258" i="25" l="1"/>
  <c r="BM253" i="25" s="1"/>
  <c r="BM252" i="25" s="1"/>
  <c r="BM259" i="25" s="1"/>
  <c r="BH266" i="25"/>
  <c r="BH265" i="25"/>
  <c r="CM206" i="25"/>
  <c r="CN146" i="25"/>
  <c r="CN147" i="25" s="1"/>
  <c r="CM247" i="25"/>
  <c r="CJ314" i="25"/>
  <c r="CJ316" i="25"/>
  <c r="CJ241" i="25"/>
  <c r="CK309" i="25"/>
  <c r="CK310" i="25" s="1"/>
  <c r="CK312" i="25"/>
  <c r="CK216" i="25"/>
  <c r="CK311" i="25"/>
  <c r="CN201" i="25"/>
  <c r="CO392" i="25"/>
  <c r="CO393" i="25" s="1"/>
  <c r="BM249" i="25" l="1"/>
  <c r="CN206" i="25"/>
  <c r="CO146" i="25"/>
  <c r="CO147" i="25" s="1"/>
  <c r="CN247" i="25"/>
  <c r="CM309" i="25"/>
  <c r="CM310" i="25" s="1"/>
  <c r="CM312" i="25"/>
  <c r="CM311" i="25"/>
  <c r="CM216" i="25"/>
  <c r="CK314" i="25"/>
  <c r="CK316" i="25"/>
  <c r="CK241" i="25"/>
  <c r="CO201" i="25"/>
  <c r="CP392" i="25"/>
  <c r="CP393" i="25" s="1"/>
  <c r="BR258" i="25" l="1"/>
  <c r="BR253" i="25" s="1"/>
  <c r="BR252" i="25" s="1"/>
  <c r="BR259" i="25" s="1"/>
  <c r="BM265" i="25"/>
  <c r="BM266" i="25"/>
  <c r="CO247" i="25"/>
  <c r="CP146" i="25"/>
  <c r="CP147" i="25" s="1"/>
  <c r="CO206" i="25"/>
  <c r="CN311" i="25"/>
  <c r="CN216" i="25"/>
  <c r="CN309" i="25"/>
  <c r="CN310" i="25" s="1"/>
  <c r="CN312" i="25"/>
  <c r="CM316" i="25"/>
  <c r="CM241" i="25"/>
  <c r="CM314" i="25"/>
  <c r="CP201" i="25"/>
  <c r="CR392" i="25"/>
  <c r="CR393" i="25" s="1"/>
  <c r="BR249" i="25" l="1"/>
  <c r="CP247" i="25"/>
  <c r="CP206" i="25"/>
  <c r="CR146" i="25"/>
  <c r="CR147" i="25" s="1"/>
  <c r="CN314" i="25"/>
  <c r="CN316" i="25"/>
  <c r="CN241" i="25"/>
  <c r="CO309" i="25"/>
  <c r="CO310" i="25" s="1"/>
  <c r="CO216" i="25"/>
  <c r="CO311" i="25"/>
  <c r="CO312" i="25"/>
  <c r="CR201" i="25"/>
  <c r="CS392" i="25"/>
  <c r="CS393" i="25" s="1"/>
  <c r="BW258" i="25" l="1"/>
  <c r="BW253" i="25" s="1"/>
  <c r="BW252" i="25" s="1"/>
  <c r="BW259" i="25" s="1"/>
  <c r="BR265" i="25"/>
  <c r="BR266" i="25"/>
  <c r="CR247" i="25"/>
  <c r="CS146" i="25"/>
  <c r="CS147" i="25" s="1"/>
  <c r="CR206" i="25"/>
  <c r="CS201" i="25"/>
  <c r="CT392" i="25"/>
  <c r="CT393" i="25" s="1"/>
  <c r="CO314" i="25"/>
  <c r="CO316" i="25"/>
  <c r="CO241" i="25"/>
  <c r="CP309" i="25"/>
  <c r="CP310" i="25" s="1"/>
  <c r="CP216" i="25"/>
  <c r="CP312" i="25"/>
  <c r="CP311" i="25"/>
  <c r="BS248" i="25" l="1"/>
  <c r="BW249" i="25"/>
  <c r="CP241" i="25"/>
  <c r="CP314" i="25"/>
  <c r="CP316" i="25"/>
  <c r="CT201" i="25"/>
  <c r="CU392" i="25"/>
  <c r="CU393" i="25" s="1"/>
  <c r="CW392" i="25" s="1"/>
  <c r="CW393" i="25" s="1"/>
  <c r="CX392" i="25" s="1"/>
  <c r="CX393" i="25" s="1"/>
  <c r="CY392" i="25" s="1"/>
  <c r="CY393" i="25" s="1"/>
  <c r="CZ392" i="25" s="1"/>
  <c r="CZ393" i="25" s="1"/>
  <c r="CR312" i="25"/>
  <c r="CR216" i="25"/>
  <c r="CR309" i="25"/>
  <c r="CR310" i="25" s="1"/>
  <c r="CR311" i="25"/>
  <c r="CS247" i="25"/>
  <c r="CS206" i="25"/>
  <c r="CT146" i="25"/>
  <c r="CT147" i="25" s="1"/>
  <c r="BW265" i="25" l="1"/>
  <c r="BW266" i="25"/>
  <c r="BS249" i="25"/>
  <c r="BT248" i="25"/>
  <c r="CS216" i="25"/>
  <c r="CS312" i="25"/>
  <c r="CS309" i="25"/>
  <c r="CS310" i="25" s="1"/>
  <c r="CS311" i="25"/>
  <c r="CR316" i="25"/>
  <c r="CR241" i="25"/>
  <c r="CR314" i="25"/>
  <c r="CT247" i="25"/>
  <c r="CU146" i="25"/>
  <c r="CU145" i="25" s="1"/>
  <c r="CU24" i="25" s="1"/>
  <c r="CT206" i="25"/>
  <c r="CB258" i="25" l="1"/>
  <c r="CB253" i="25" s="1"/>
  <c r="CB252" i="25" s="1"/>
  <c r="CB259" i="25" s="1"/>
  <c r="BS266" i="25"/>
  <c r="BS265" i="25"/>
  <c r="BU248" i="25"/>
  <c r="BT249" i="25"/>
  <c r="CT312" i="25"/>
  <c r="CT311" i="25"/>
  <c r="CT309" i="25"/>
  <c r="CT310" i="25" s="1"/>
  <c r="CT216" i="25"/>
  <c r="CV24" i="25"/>
  <c r="CV145" i="25" s="1"/>
  <c r="CV147" i="25" s="1"/>
  <c r="CU23" i="25"/>
  <c r="CS241" i="25"/>
  <c r="CS316" i="25"/>
  <c r="CS314" i="25"/>
  <c r="BT265" i="25" l="1"/>
  <c r="BT266" i="25"/>
  <c r="BX248" i="25"/>
  <c r="CB249" i="25"/>
  <c r="BV248" i="25"/>
  <c r="BV249" i="25" s="1"/>
  <c r="BU249" i="25"/>
  <c r="CT241" i="25"/>
  <c r="CU316" i="25"/>
  <c r="CU314" i="25"/>
  <c r="CT316" i="25"/>
  <c r="CT314" i="25"/>
  <c r="CU407" i="25"/>
  <c r="CV23" i="25"/>
  <c r="BU266" i="25" l="1"/>
  <c r="BU265" i="25"/>
  <c r="CB266" i="25"/>
  <c r="CB265" i="25"/>
  <c r="BV266" i="25"/>
  <c r="BV265" i="25"/>
  <c r="BY248" i="25"/>
  <c r="BX249" i="25"/>
  <c r="CV407" i="25"/>
  <c r="CV141" i="25"/>
  <c r="CV143" i="25" s="1"/>
  <c r="CG258" i="25" l="1"/>
  <c r="CG253" i="25" s="1"/>
  <c r="CG252" i="25" s="1"/>
  <c r="CG259" i="25" s="1"/>
  <c r="BZ248" i="25"/>
  <c r="BY249" i="25"/>
  <c r="BX266" i="25"/>
  <c r="BX265" i="25"/>
  <c r="DN15" i="611"/>
  <c r="DN2" i="607"/>
  <c r="DN2" i="613"/>
  <c r="CA248" i="25" l="1"/>
  <c r="CA249" i="25" s="1"/>
  <c r="BZ249" i="25"/>
  <c r="BY265" i="25"/>
  <c r="BY266" i="25"/>
  <c r="CG249" i="25"/>
  <c r="CG266" i="25" s="1"/>
  <c r="CC248" i="25"/>
  <c r="DN187" i="25"/>
  <c r="DN188" i="25"/>
  <c r="DN190" i="25"/>
  <c r="DN290" i="25"/>
  <c r="DN402" i="25"/>
  <c r="DN403" i="25"/>
  <c r="DN405" i="25"/>
  <c r="DN406" i="25"/>
  <c r="AL16" i="559"/>
  <c r="AL63" i="559" s="1"/>
  <c r="AL17" i="559"/>
  <c r="AL64" i="559" s="1"/>
  <c r="AL19" i="559"/>
  <c r="AL66" i="559" s="1"/>
  <c r="AL20" i="559"/>
  <c r="AL21" i="559"/>
  <c r="AL67" i="559" s="1"/>
  <c r="DN9" i="617"/>
  <c r="DN28" i="617" s="1"/>
  <c r="DN11" i="617"/>
  <c r="DN15" i="617" s="1"/>
  <c r="DN17" i="617"/>
  <c r="DN22" i="617"/>
  <c r="DN25" i="617" s="1"/>
  <c r="DN33" i="617" s="1"/>
  <c r="CD248" i="25" l="1"/>
  <c r="CC249" i="25"/>
  <c r="CA265" i="25"/>
  <c r="CA266" i="25"/>
  <c r="CG265" i="25"/>
  <c r="BZ265" i="25"/>
  <c r="BZ266" i="25"/>
  <c r="AL52" i="559"/>
  <c r="AL59" i="559" s="1"/>
  <c r="AL51" i="559"/>
  <c r="AL58" i="559" s="1"/>
  <c r="DN316" i="25"/>
  <c r="DN334" i="25"/>
  <c r="DN318" i="25"/>
  <c r="DN323" i="25"/>
  <c r="DN322" i="25" s="1"/>
  <c r="DN329" i="25" s="1"/>
  <c r="DN345" i="25"/>
  <c r="DN308" i="25"/>
  <c r="DN346" i="25"/>
  <c r="DN310" i="25"/>
  <c r="DN327" i="25"/>
  <c r="DN336" i="25"/>
  <c r="DN347" i="25"/>
  <c r="DN338" i="25"/>
  <c r="DN319" i="25"/>
  <c r="DN320" i="25"/>
  <c r="DN314" i="25"/>
  <c r="DN313" i="25"/>
  <c r="DN189" i="25"/>
  <c r="DN37" i="617"/>
  <c r="AL53" i="559"/>
  <c r="AL60" i="559" s="1"/>
  <c r="DN191" i="25"/>
  <c r="DN39" i="617"/>
  <c r="DN32" i="617"/>
  <c r="DN18" i="617"/>
  <c r="DN20" i="617" s="1"/>
  <c r="DN42" i="617" s="1"/>
  <c r="DN31" i="617"/>
  <c r="DN38" i="617"/>
  <c r="DN29" i="617"/>
  <c r="DN36" i="617"/>
  <c r="DN10" i="617"/>
  <c r="CL258" i="25" l="1"/>
  <c r="CL253" i="25" s="1"/>
  <c r="CL252" i="25" s="1"/>
  <c r="CL259" i="25" s="1"/>
  <c r="CC265" i="25"/>
  <c r="CC266" i="25"/>
  <c r="CE248" i="25"/>
  <c r="CD249" i="25"/>
  <c r="DN325" i="25"/>
  <c r="DN326" i="25"/>
  <c r="DN12" i="611"/>
  <c r="DO11" i="611" s="1"/>
  <c r="CF248" i="25" l="1"/>
  <c r="CF249" i="25" s="1"/>
  <c r="CE249" i="25"/>
  <c r="CD266" i="25"/>
  <c r="CD265" i="25"/>
  <c r="CH248" i="25"/>
  <c r="CL249" i="25"/>
  <c r="CL266" i="25" s="1"/>
  <c r="DN331" i="25"/>
  <c r="DS326" i="25"/>
  <c r="DN330" i="25"/>
  <c r="DS325" i="25"/>
  <c r="DN14" i="611"/>
  <c r="DN241" i="25"/>
  <c r="DN247" i="25"/>
  <c r="DN251" i="25"/>
  <c r="DN254" i="25"/>
  <c r="DN253" i="25" s="1"/>
  <c r="CE265" i="25" l="1"/>
  <c r="CE266" i="25"/>
  <c r="CI248" i="25"/>
  <c r="CH249" i="25"/>
  <c r="CF266" i="25"/>
  <c r="CF265" i="25"/>
  <c r="CL265" i="25"/>
  <c r="DN252" i="25"/>
  <c r="DN259" i="25" s="1"/>
  <c r="DX325" i="25"/>
  <c r="DS330" i="25"/>
  <c r="DN332" i="25"/>
  <c r="DX326" i="25"/>
  <c r="DS331" i="25"/>
  <c r="DN78" i="25"/>
  <c r="DN79" i="25" s="1"/>
  <c r="DO120" i="25" s="1"/>
  <c r="DN271" i="25"/>
  <c r="DN277" i="25" s="1"/>
  <c r="DN272" i="25"/>
  <c r="DN275" i="25" s="1"/>
  <c r="DS275" i="25" s="1"/>
  <c r="DX275" i="25" s="1"/>
  <c r="EC275" i="25" s="1"/>
  <c r="DN281" i="25"/>
  <c r="DN283" i="25"/>
  <c r="DN289" i="25"/>
  <c r="DN291" i="25" s="1"/>
  <c r="DP372" i="25"/>
  <c r="DP377" i="25" s="1"/>
  <c r="CM248" i="25" l="1"/>
  <c r="CQ249" i="25"/>
  <c r="CH265" i="25"/>
  <c r="CH266" i="25"/>
  <c r="CJ248" i="25"/>
  <c r="CI249" i="25"/>
  <c r="CQ258" i="25"/>
  <c r="CQ253" i="25" s="1"/>
  <c r="CQ252" i="25" s="1"/>
  <c r="CQ259" i="25" s="1"/>
  <c r="DN285" i="25"/>
  <c r="DS271" i="25"/>
  <c r="DX271" i="25" s="1"/>
  <c r="EC271" i="25" s="1"/>
  <c r="EC325" i="25"/>
  <c r="EC330" i="25" s="1"/>
  <c r="DX330" i="25"/>
  <c r="EC326" i="25"/>
  <c r="EC331" i="25" s="1"/>
  <c r="DX331" i="25"/>
  <c r="DN276" i="25"/>
  <c r="DN274" i="25"/>
  <c r="DN87" i="25"/>
  <c r="DN120" i="25"/>
  <c r="AL22" i="559"/>
  <c r="DN261" i="25"/>
  <c r="DN263" i="25" s="1"/>
  <c r="DN100" i="25"/>
  <c r="DO130" i="25" s="1"/>
  <c r="DP271" i="25"/>
  <c r="DP283" i="25"/>
  <c r="CI265" i="25" l="1"/>
  <c r="CI266" i="25"/>
  <c r="CK248" i="25"/>
  <c r="CK249" i="25" s="1"/>
  <c r="CJ249" i="25"/>
  <c r="CQ266" i="25"/>
  <c r="CQ265" i="25"/>
  <c r="CN248" i="25"/>
  <c r="CM249" i="25"/>
  <c r="DS372" i="25"/>
  <c r="EC372" i="25"/>
  <c r="DN111" i="25"/>
  <c r="DN130" i="25"/>
  <c r="DX372" i="25"/>
  <c r="CO248" i="25" l="1"/>
  <c r="CN249" i="25"/>
  <c r="CJ265" i="25"/>
  <c r="CJ266" i="25"/>
  <c r="CM265" i="25"/>
  <c r="CM266" i="25"/>
  <c r="CK266" i="25"/>
  <c r="CK265" i="25"/>
  <c r="CV258" i="25"/>
  <c r="CV253" i="25" s="1"/>
  <c r="CV252" i="25" s="1"/>
  <c r="CV259" i="25" s="1"/>
  <c r="DS377" i="25"/>
  <c r="DS283" i="25"/>
  <c r="DU372" i="25"/>
  <c r="EC283" i="25"/>
  <c r="EC377" i="25"/>
  <c r="EE372" i="25"/>
  <c r="DX283" i="25"/>
  <c r="DZ372" i="25"/>
  <c r="DX377" i="25"/>
  <c r="CN266" i="25" l="1"/>
  <c r="CN265" i="25"/>
  <c r="CP248" i="25"/>
  <c r="CP249" i="25" s="1"/>
  <c r="CO249" i="25"/>
  <c r="CR248" i="25"/>
  <c r="CV249" i="25"/>
  <c r="CV266" i="25" s="1"/>
  <c r="DU283" i="25"/>
  <c r="DU271" i="25"/>
  <c r="DU377" i="25"/>
  <c r="EE377" i="25"/>
  <c r="EE271" i="25"/>
  <c r="EE283" i="25"/>
  <c r="DZ271" i="25"/>
  <c r="DZ283" i="25"/>
  <c r="DZ377" i="25"/>
  <c r="CP265" i="25" l="1"/>
  <c r="CP266" i="25"/>
  <c r="CO266" i="25"/>
  <c r="CO265" i="25"/>
  <c r="CS248" i="25"/>
  <c r="CR249" i="25"/>
  <c r="DA258" i="25"/>
  <c r="DA253" i="25" s="1"/>
  <c r="DA252" i="25" s="1"/>
  <c r="DA259" i="25" s="1"/>
  <c r="CV265" i="25"/>
  <c r="DN67" i="25"/>
  <c r="DN158" i="25"/>
  <c r="DN159" i="25" s="1"/>
  <c r="DN160" i="25" s="1"/>
  <c r="AL32" i="559"/>
  <c r="DN46" i="617"/>
  <c r="DN51" i="617"/>
  <c r="DN53" i="617" s="1"/>
  <c r="DN59" i="617"/>
  <c r="DN61" i="617" s="1"/>
  <c r="DN75" i="617" s="1"/>
  <c r="DN63" i="617"/>
  <c r="DN76" i="617" s="1"/>
  <c r="DN65" i="617"/>
  <c r="DN77" i="617" s="1"/>
  <c r="DN68" i="617"/>
  <c r="DS42" i="571"/>
  <c r="CW248" i="25" l="1"/>
  <c r="DA249" i="25"/>
  <c r="DA266" i="25" s="1"/>
  <c r="CR265" i="25"/>
  <c r="CR266" i="25"/>
  <c r="CT248" i="25"/>
  <c r="CS249" i="25"/>
  <c r="DN68" i="25"/>
  <c r="AL118" i="559" s="1"/>
  <c r="AL39" i="559" s="1"/>
  <c r="DS67" i="25"/>
  <c r="DS66" i="25" s="1"/>
  <c r="DN74" i="617"/>
  <c r="DN55" i="617"/>
  <c r="DN83" i="617"/>
  <c r="DN82" i="617"/>
  <c r="DN85" i="617" s="1"/>
  <c r="DN72" i="617"/>
  <c r="DN84" i="617"/>
  <c r="DA265" i="25" l="1"/>
  <c r="CW249" i="25"/>
  <c r="CX248" i="25"/>
  <c r="CS265" i="25"/>
  <c r="CS266" i="25"/>
  <c r="DF258" i="25"/>
  <c r="DF253" i="25" s="1"/>
  <c r="DF252" i="25" s="1"/>
  <c r="DF259" i="25" s="1"/>
  <c r="CU248" i="25"/>
  <c r="CU249" i="25" s="1"/>
  <c r="CT249" i="25"/>
  <c r="DS198" i="571"/>
  <c r="DS63" i="617" s="1"/>
  <c r="DX67" i="25"/>
  <c r="EC67" i="25" s="1"/>
  <c r="EC66" i="25" s="1"/>
  <c r="DS119" i="25"/>
  <c r="CU265" i="25" l="1"/>
  <c r="CU266" i="25"/>
  <c r="CX249" i="25"/>
  <c r="CY248" i="25"/>
  <c r="CT266" i="25"/>
  <c r="CT265" i="25"/>
  <c r="DB248" i="25"/>
  <c r="DF249" i="25"/>
  <c r="DF266" i="25" s="1"/>
  <c r="DG248" i="25"/>
  <c r="CW265" i="25"/>
  <c r="CW266" i="25"/>
  <c r="EC13" i="617"/>
  <c r="EC119" i="25"/>
  <c r="EC62" i="25"/>
  <c r="EC18" i="25" s="1"/>
  <c r="DX66" i="25"/>
  <c r="DX86" i="25" s="1"/>
  <c r="EC198" i="571"/>
  <c r="DS210" i="571"/>
  <c r="DX198" i="571"/>
  <c r="DS86" i="25"/>
  <c r="DS13" i="617"/>
  <c r="DS30" i="617" s="1"/>
  <c r="DS62" i="25"/>
  <c r="DS18" i="25" s="1"/>
  <c r="DS76" i="617"/>
  <c r="DF265" i="25" l="1"/>
  <c r="DG249" i="25"/>
  <c r="DH248" i="25"/>
  <c r="DB249" i="25"/>
  <c r="DC248" i="25"/>
  <c r="CX266" i="25"/>
  <c r="CX265" i="25"/>
  <c r="CZ248" i="25"/>
  <c r="CZ249" i="25" s="1"/>
  <c r="CY249" i="25"/>
  <c r="DX63" i="617"/>
  <c r="DX76" i="617" s="1"/>
  <c r="EC63" i="617"/>
  <c r="DX119" i="25"/>
  <c r="EC404" i="25"/>
  <c r="EC221" i="25" s="1"/>
  <c r="EC365" i="25" s="1"/>
  <c r="EC86" i="25"/>
  <c r="EC210" i="571"/>
  <c r="DX62" i="25"/>
  <c r="DX13" i="617"/>
  <c r="EC30" i="617" s="1"/>
  <c r="DX210" i="571"/>
  <c r="DS85" i="25"/>
  <c r="AQ18" i="559"/>
  <c r="DS404" i="25"/>
  <c r="DS221" i="25" s="1"/>
  <c r="CZ266" i="25" l="1"/>
  <c r="CZ265" i="25"/>
  <c r="DC249" i="25"/>
  <c r="DD248" i="25"/>
  <c r="CY265" i="25"/>
  <c r="CY266" i="25"/>
  <c r="DG265" i="25"/>
  <c r="DG266" i="25"/>
  <c r="DB266" i="25"/>
  <c r="DB265" i="25"/>
  <c r="DH249" i="25"/>
  <c r="DI248" i="25"/>
  <c r="EC76" i="617"/>
  <c r="DX30" i="617"/>
  <c r="DX18" i="25"/>
  <c r="DS365" i="25"/>
  <c r="AQ65" i="559"/>
  <c r="DH265" i="25" l="1"/>
  <c r="DH266" i="25"/>
  <c r="DC265" i="25"/>
  <c r="DC266" i="25"/>
  <c r="DE248" i="25"/>
  <c r="DD249" i="25"/>
  <c r="DJ248" i="25"/>
  <c r="DI249" i="25"/>
  <c r="AV18" i="559"/>
  <c r="AV65" i="559" s="1"/>
  <c r="EC85" i="25"/>
  <c r="DX404" i="25"/>
  <c r="DX221" i="25" s="1"/>
  <c r="DX365" i="25" s="1"/>
  <c r="DX85" i="25"/>
  <c r="BA18" i="559"/>
  <c r="DI265" i="25" l="1"/>
  <c r="DI266" i="25"/>
  <c r="DE249" i="25"/>
  <c r="DJ249" i="25"/>
  <c r="DD265" i="25"/>
  <c r="DD266" i="25"/>
  <c r="BA65" i="559"/>
  <c r="DJ265" i="25" l="1"/>
  <c r="DJ266" i="25"/>
  <c r="DE266" i="25"/>
  <c r="DE265" i="25"/>
  <c r="DV42" i="571" l="1"/>
  <c r="DQ68" i="617"/>
  <c r="DK258" i="25" l="1"/>
  <c r="DK253" i="25" s="1"/>
  <c r="DK252" i="25" s="1"/>
  <c r="DK259" i="25" s="1"/>
  <c r="DT56" i="571"/>
  <c r="DK249" i="25" l="1"/>
  <c r="DK266" i="25" s="1"/>
  <c r="DL248" i="25"/>
  <c r="DV56" i="571"/>
  <c r="DM248" i="25" l="1"/>
  <c r="DL249" i="25"/>
  <c r="DK265" i="25"/>
  <c r="DV34" i="571"/>
  <c r="EA42" i="571" s="1"/>
  <c r="DQ46" i="617"/>
  <c r="H17" i="614"/>
  <c r="DW56" i="571"/>
  <c r="DL265" i="25" l="1"/>
  <c r="DL266" i="25"/>
  <c r="DN248" i="25"/>
  <c r="DM249" i="25"/>
  <c r="EA34" i="571"/>
  <c r="DV35" i="571"/>
  <c r="DV60" i="571"/>
  <c r="DV68" i="617"/>
  <c r="DQ51" i="617"/>
  <c r="DX56" i="571"/>
  <c r="DY56" i="571"/>
  <c r="DQ9" i="617"/>
  <c r="AO16" i="559"/>
  <c r="DM265" i="25" l="1"/>
  <c r="DM266" i="25"/>
  <c r="DO248" i="25"/>
  <c r="DN249" i="25"/>
  <c r="EA68" i="617"/>
  <c r="EA60" i="571"/>
  <c r="EA35" i="571"/>
  <c r="DQ53" i="617"/>
  <c r="DQ72" i="617"/>
  <c r="DQ78" i="25"/>
  <c r="DQ79" i="25" s="1"/>
  <c r="DQ261" i="25" s="1"/>
  <c r="DQ263" i="25" s="1"/>
  <c r="AO63" i="559"/>
  <c r="AO52" i="559"/>
  <c r="AO59" i="559" s="1"/>
  <c r="DQ37" i="617"/>
  <c r="DQ28" i="617"/>
  <c r="DZ56" i="571"/>
  <c r="DN265" i="25" l="1"/>
  <c r="DN266" i="25"/>
  <c r="DO249" i="25"/>
  <c r="DQ87" i="25"/>
  <c r="DQ100" i="25"/>
  <c r="DQ74" i="617"/>
  <c r="DO265" i="25" l="1"/>
  <c r="DO266" i="25"/>
  <c r="DQ111" i="25"/>
  <c r="DQ248" i="25" l="1"/>
  <c r="AL156" i="559"/>
  <c r="AL44" i="559" s="1"/>
  <c r="AL46" i="559" s="1"/>
  <c r="DN83" i="571"/>
  <c r="DN78" i="571" s="1"/>
  <c r="DN79" i="571" s="1"/>
  <c r="DN94" i="571"/>
  <c r="DQ249" i="25" l="1"/>
  <c r="DR248" i="25"/>
  <c r="DN98" i="571"/>
  <c r="DN84" i="571"/>
  <c r="DN57" i="617" s="1"/>
  <c r="DN80" i="617" s="1"/>
  <c r="DQ265" i="25" l="1"/>
  <c r="DQ266" i="25"/>
  <c r="DS248" i="25"/>
  <c r="DO108" i="571"/>
  <c r="DN99" i="571"/>
  <c r="DO102" i="571" s="1"/>
  <c r="DN161" i="571"/>
  <c r="DN58" i="617" s="1"/>
  <c r="DN81" i="617" s="1"/>
  <c r="DT248" i="25" l="1"/>
  <c r="DN165" i="571"/>
  <c r="DN162" i="571"/>
  <c r="DN168" i="571" s="1"/>
  <c r="DS168" i="571" s="1"/>
  <c r="DX168" i="571" s="1"/>
  <c r="EC168" i="571" s="1"/>
  <c r="BA36" i="559" l="1"/>
  <c r="EC162" i="571"/>
  <c r="EC161" i="571" s="1"/>
  <c r="AQ36" i="559"/>
  <c r="AL36" i="559"/>
  <c r="DS162" i="571"/>
  <c r="DS161" i="571" s="1"/>
  <c r="DS165" i="571" s="1"/>
  <c r="DS166" i="571" s="1"/>
  <c r="AV36" i="559"/>
  <c r="DX162" i="571"/>
  <c r="DX161" i="571" s="1"/>
  <c r="EC165" i="571" l="1"/>
  <c r="EC58" i="617"/>
  <c r="EC81" i="617" s="1"/>
  <c r="DS58" i="617"/>
  <c r="DS81" i="617" s="1"/>
  <c r="DX165" i="571"/>
  <c r="DX166" i="571" s="1"/>
  <c r="DX58" i="617"/>
  <c r="DX81" i="617" s="1"/>
  <c r="EC166" i="571" l="1"/>
  <c r="AK156" i="559"/>
  <c r="AK44" i="559" s="1"/>
  <c r="AK46" i="559" s="1"/>
  <c r="DM83" i="571"/>
  <c r="DM78" i="571" s="1"/>
  <c r="DM79" i="571" s="1"/>
  <c r="DM94" i="571"/>
  <c r="DM98" i="571" l="1"/>
  <c r="DN108" i="571" s="1"/>
  <c r="DM84" i="571"/>
  <c r="DM57" i="617" l="1"/>
  <c r="DM80" i="617" s="1"/>
  <c r="DM99" i="571"/>
  <c r="DM161" i="571"/>
  <c r="DM58" i="617" l="1"/>
  <c r="DM81" i="617" s="1"/>
  <c r="DM162" i="571"/>
  <c r="DM168" i="571" s="1"/>
  <c r="DM165" i="571"/>
  <c r="DN102" i="571"/>
  <c r="AK36" i="559" l="1"/>
  <c r="DR168" i="571"/>
  <c r="AP36" i="559" l="1"/>
  <c r="DW168" i="571"/>
  <c r="EB168" i="571" s="1"/>
  <c r="DR162" i="571"/>
  <c r="DR161" i="571" s="1"/>
  <c r="AZ36" i="559" l="1"/>
  <c r="EB162" i="571"/>
  <c r="EB161" i="571" s="1"/>
  <c r="DR165" i="571"/>
  <c r="DR166" i="571" s="1"/>
  <c r="DR58" i="617"/>
  <c r="DR81" i="617" s="1"/>
  <c r="AU36" i="559"/>
  <c r="DW162" i="571"/>
  <c r="DW161" i="571" s="1"/>
  <c r="EB165" i="571" l="1"/>
  <c r="EB58" i="617"/>
  <c r="EB81" i="617" s="1"/>
  <c r="DW165" i="571"/>
  <c r="DW166" i="571" s="1"/>
  <c r="DW58" i="617"/>
  <c r="DW81" i="617" s="1"/>
  <c r="EB166" i="571" l="1"/>
  <c r="AJ156" i="559"/>
  <c r="AJ44" i="559" s="1"/>
  <c r="AJ46" i="559" s="1"/>
  <c r="DL83" i="571"/>
  <c r="DL78" i="571" s="1"/>
  <c r="DP93" i="571"/>
  <c r="AN156" i="559" s="1"/>
  <c r="AN44" i="559" s="1"/>
  <c r="AN46" i="559" s="1"/>
  <c r="DL94" i="571"/>
  <c r="DP94" i="571" s="1"/>
  <c r="DL84" i="571" l="1"/>
  <c r="DL57" i="617" s="1"/>
  <c r="DL80" i="617" s="1"/>
  <c r="DL98" i="571"/>
  <c r="DL79" i="571"/>
  <c r="DL107" i="571" l="1"/>
  <c r="DL99" i="571"/>
  <c r="DL101" i="571" s="1"/>
  <c r="AJ56" i="559" s="1"/>
  <c r="DL161" i="571"/>
  <c r="DL162" i="571" s="1"/>
  <c r="DL168" i="571" s="1"/>
  <c r="DL169" i="571" s="1"/>
  <c r="DM108" i="571"/>
  <c r="DM102" i="571" l="1"/>
  <c r="DL165" i="571"/>
  <c r="DL166" i="571" s="1"/>
  <c r="AJ36" i="559"/>
  <c r="DL58" i="617"/>
  <c r="DL81" i="617" s="1"/>
  <c r="AJ57" i="559"/>
  <c r="AJ109" i="559"/>
  <c r="AJ37" i="559" s="1"/>
  <c r="AS27" i="559" l="1"/>
  <c r="AX27" i="559"/>
  <c r="DR147" i="571"/>
  <c r="DS147" i="571"/>
  <c r="DS142" i="571" s="1"/>
  <c r="DT147" i="571"/>
  <c r="DY147" i="571" s="1"/>
  <c r="ED147" i="571" s="1"/>
  <c r="ED142" i="571" s="1"/>
  <c r="DV147" i="571" l="1"/>
  <c r="DX147" i="571"/>
  <c r="DR142" i="571"/>
  <c r="DW147" i="571"/>
  <c r="EB147" i="571" s="1"/>
  <c r="DT142" i="571"/>
  <c r="DY142" i="571"/>
  <c r="EB142" i="571" l="1"/>
  <c r="DX142" i="571"/>
  <c r="EC147" i="571"/>
  <c r="EA147" i="571"/>
  <c r="DV142" i="571"/>
  <c r="DW142" i="571"/>
  <c r="EC142" i="571" l="1"/>
  <c r="EA142" i="571"/>
  <c r="DQ59" i="617" l="1"/>
  <c r="DQ61" i="617" s="1"/>
  <c r="AO19" i="559" l="1"/>
  <c r="DQ75" i="617"/>
  <c r="DQ55" i="617"/>
  <c r="DQ82" i="617"/>
  <c r="AO53" i="559" l="1"/>
  <c r="AO60" i="559" s="1"/>
  <c r="AO66" i="559"/>
  <c r="H20" i="614"/>
  <c r="H18" i="614"/>
  <c r="J18" i="614" s="1"/>
  <c r="AO17" i="559"/>
  <c r="DQ11" i="617"/>
  <c r="DQ10" i="617" l="1"/>
  <c r="DQ15" i="617"/>
  <c r="DQ29" i="617"/>
  <c r="DQ36" i="617"/>
  <c r="AO51" i="559"/>
  <c r="AO58" i="559" s="1"/>
  <c r="AO64" i="559"/>
  <c r="H19" i="614"/>
  <c r="AO22" i="559" l="1"/>
  <c r="DQ31" i="617"/>
  <c r="DQ38" i="617"/>
  <c r="DO28" i="617" l="1"/>
  <c r="DO37" i="617"/>
  <c r="DO10" i="617"/>
  <c r="DO15" i="617"/>
  <c r="DO31" i="617" s="1"/>
  <c r="DO29" i="617"/>
  <c r="DO36" i="617"/>
  <c r="DO38" i="617" l="1"/>
  <c r="DO18" i="617"/>
  <c r="DO15" i="611" l="1"/>
  <c r="DP15" i="611" s="1"/>
  <c r="J17" i="614"/>
  <c r="J20" i="614"/>
  <c r="DO2" i="607"/>
  <c r="DO2" i="613"/>
  <c r="DP9" i="25" l="1"/>
  <c r="DP10" i="25"/>
  <c r="DP403" i="25" s="1"/>
  <c r="DP24" i="25"/>
  <c r="DP25" i="25"/>
  <c r="DP29" i="25"/>
  <c r="DP397" i="25" s="1"/>
  <c r="DP43" i="25"/>
  <c r="DP45" i="25"/>
  <c r="DP46" i="25"/>
  <c r="DP58" i="25"/>
  <c r="DP60" i="25"/>
  <c r="DP195" i="571" s="1"/>
  <c r="DP76" i="25"/>
  <c r="DQ121" i="25" s="1"/>
  <c r="DP272" i="25"/>
  <c r="DP356" i="25"/>
  <c r="DP358" i="25"/>
  <c r="DP281" i="25" s="1"/>
  <c r="DO402" i="25"/>
  <c r="DO403" i="25"/>
  <c r="DO405" i="25"/>
  <c r="DO406" i="25"/>
  <c r="AM16" i="559"/>
  <c r="AM52" i="559" s="1"/>
  <c r="AM59" i="559" s="1"/>
  <c r="AM17" i="559"/>
  <c r="AM19" i="559"/>
  <c r="AM66" i="559" s="1"/>
  <c r="AM20" i="559"/>
  <c r="AM21" i="559"/>
  <c r="AM67" i="559" s="1"/>
  <c r="DP17" i="617"/>
  <c r="DO22" i="617"/>
  <c r="DO20" i="617" s="1"/>
  <c r="DO42" i="617" s="1"/>
  <c r="AN7" i="559" l="1"/>
  <c r="AN17" i="559"/>
  <c r="AN64" i="559" s="1"/>
  <c r="AM53" i="559"/>
  <c r="AM60" i="559" s="1"/>
  <c r="AM63" i="559"/>
  <c r="DP84" i="25"/>
  <c r="DQ118" i="25"/>
  <c r="DP9" i="617"/>
  <c r="DP28" i="617" s="1"/>
  <c r="DQ117" i="25"/>
  <c r="DP92" i="25"/>
  <c r="DQ123" i="25"/>
  <c r="DP93" i="25"/>
  <c r="DQ124" i="25"/>
  <c r="DP11" i="617"/>
  <c r="DP29" i="617" s="1"/>
  <c r="AM51" i="559"/>
  <c r="AM58" i="559" s="1"/>
  <c r="DO320" i="25"/>
  <c r="DO338" i="25"/>
  <c r="DO319" i="25"/>
  <c r="DO327" i="25"/>
  <c r="DO336" i="25"/>
  <c r="DO347" i="25"/>
  <c r="DO318" i="25"/>
  <c r="DO346" i="25"/>
  <c r="DO316" i="25"/>
  <c r="DO323" i="25"/>
  <c r="DO322" i="25" s="1"/>
  <c r="DO334" i="25"/>
  <c r="DO345" i="25"/>
  <c r="DO308" i="25"/>
  <c r="DO310" i="25"/>
  <c r="DP190" i="571"/>
  <c r="DO313" i="25"/>
  <c r="DO314" i="25"/>
  <c r="AM64" i="559"/>
  <c r="AN21" i="559"/>
  <c r="AN67" i="559" s="1"/>
  <c r="DP2" i="571"/>
  <c r="DO39" i="617"/>
  <c r="DO32" i="617"/>
  <c r="DP402" i="25"/>
  <c r="DP277" i="25" s="1"/>
  <c r="AN16" i="559"/>
  <c r="DP82" i="25"/>
  <c r="DO25" i="617"/>
  <c r="DO33" i="617" s="1"/>
  <c r="DP97" i="25"/>
  <c r="DP99" i="25"/>
  <c r="DQ129" i="25" s="1"/>
  <c r="DP135" i="25"/>
  <c r="DP136" i="25" s="1"/>
  <c r="DP138" i="25" s="1"/>
  <c r="DP98" i="25"/>
  <c r="DP11" i="25"/>
  <c r="DP96" i="25" s="1"/>
  <c r="DQ127" i="25" s="1"/>
  <c r="DQ187" i="25"/>
  <c r="DP201" i="571"/>
  <c r="DP274" i="25"/>
  <c r="DP275" i="25"/>
  <c r="DP276" i="25"/>
  <c r="DP347" i="25"/>
  <c r="DP327" i="25"/>
  <c r="E20" i="614"/>
  <c r="G20" i="614" s="1"/>
  <c r="DP102" i="25"/>
  <c r="DQ131" i="25" s="1"/>
  <c r="DP89" i="25"/>
  <c r="DP22" i="25"/>
  <c r="DP2" i="607"/>
  <c r="E22" i="614"/>
  <c r="G22" i="614" s="1"/>
  <c r="DP2" i="613"/>
  <c r="E17" i="614"/>
  <c r="G17" i="614" s="1"/>
  <c r="DP37" i="617" l="1"/>
  <c r="DP15" i="617"/>
  <c r="DP38" i="617" s="1"/>
  <c r="DP10" i="617"/>
  <c r="DP36" i="617"/>
  <c r="E18" i="614"/>
  <c r="G18" i="614" s="1"/>
  <c r="DQ128" i="25"/>
  <c r="DP323" i="25"/>
  <c r="DP213" i="571"/>
  <c r="DO325" i="25"/>
  <c r="DO326" i="25"/>
  <c r="DO329" i="25"/>
  <c r="DP322" i="25"/>
  <c r="DP346" i="25"/>
  <c r="DP345" i="25"/>
  <c r="AN63" i="559"/>
  <c r="AN52" i="559"/>
  <c r="AN59" i="559" s="1"/>
  <c r="DP206" i="571"/>
  <c r="DP109" i="25"/>
  <c r="AN51" i="559"/>
  <c r="AN58" i="559" s="1"/>
  <c r="DP110" i="25"/>
  <c r="DP83" i="25"/>
  <c r="DQ188" i="25"/>
  <c r="DQ189" i="25" s="1"/>
  <c r="DP191" i="571"/>
  <c r="DP88" i="25"/>
  <c r="DP28" i="25"/>
  <c r="DP101" i="25"/>
  <c r="DQ190" i="25"/>
  <c r="DQ191" i="25" s="1"/>
  <c r="AN19" i="559"/>
  <c r="DP208" i="25"/>
  <c r="DQ273" i="25" s="1"/>
  <c r="DQ274" i="25" s="1"/>
  <c r="DP137" i="25"/>
  <c r="DP108" i="25"/>
  <c r="DP203" i="25"/>
  <c r="DQ318" i="25" s="1"/>
  <c r="DP78" i="25"/>
  <c r="DP112" i="25"/>
  <c r="DP31" i="617" l="1"/>
  <c r="DP18" i="617"/>
  <c r="DP329" i="25"/>
  <c r="DO330" i="25"/>
  <c r="DP325" i="25"/>
  <c r="DP330" i="25" s="1"/>
  <c r="DT325" i="25"/>
  <c r="DO331" i="25"/>
  <c r="DT326" i="25"/>
  <c r="DP326" i="25"/>
  <c r="DP331" i="25" s="1"/>
  <c r="DP220" i="25"/>
  <c r="DP366" i="25"/>
  <c r="DU273" i="25"/>
  <c r="AN66" i="559"/>
  <c r="AN53" i="559"/>
  <c r="AN60" i="559" s="1"/>
  <c r="J19" i="614"/>
  <c r="DP79" i="25"/>
  <c r="DQ120" i="25" s="1"/>
  <c r="AM22" i="559"/>
  <c r="DP363" i="25"/>
  <c r="DP30" i="25"/>
  <c r="DP258" i="25" s="1"/>
  <c r="DP31" i="25"/>
  <c r="DP103" i="25"/>
  <c r="DP405" i="25" s="1"/>
  <c r="DP204" i="25"/>
  <c r="DP364" i="25"/>
  <c r="DP318" i="25"/>
  <c r="DP307" i="25" l="1"/>
  <c r="DP308" i="25" s="1"/>
  <c r="DQ319" i="25"/>
  <c r="DQ338" i="25"/>
  <c r="DQ335" i="25"/>
  <c r="DQ334" i="25"/>
  <c r="DQ320" i="25"/>
  <c r="DQ336" i="25"/>
  <c r="DO332" i="25"/>
  <c r="DP332" i="25"/>
  <c r="DT331" i="25"/>
  <c r="DU326" i="25"/>
  <c r="DU331" i="25" s="1"/>
  <c r="DY326" i="25"/>
  <c r="DY325" i="25"/>
  <c r="DT330" i="25"/>
  <c r="DU325" i="25"/>
  <c r="DU330" i="25" s="1"/>
  <c r="DR322" i="25"/>
  <c r="DP225" i="25"/>
  <c r="DP230" i="25" s="1"/>
  <c r="DP336" i="25"/>
  <c r="DP335" i="25"/>
  <c r="DP334" i="25"/>
  <c r="DP320" i="25"/>
  <c r="DP33" i="25"/>
  <c r="DP90" i="25"/>
  <c r="DP104" i="25"/>
  <c r="DP369" i="25"/>
  <c r="DP339" i="25"/>
  <c r="DP343" i="25"/>
  <c r="DP338" i="25"/>
  <c r="DP319" i="25"/>
  <c r="E19" i="614"/>
  <c r="G19" i="614" s="1"/>
  <c r="DP87" i="25"/>
  <c r="DP100" i="25"/>
  <c r="DQ130" i="25" s="1"/>
  <c r="DP261" i="25"/>
  <c r="DP263" i="25" s="1"/>
  <c r="AN22" i="559"/>
  <c r="DR273" i="25"/>
  <c r="ED325" i="25" l="1"/>
  <c r="DY330" i="25"/>
  <c r="DZ325" i="25"/>
  <c r="DZ330" i="25" s="1"/>
  <c r="DS322" i="25"/>
  <c r="DR329" i="25"/>
  <c r="DR332" i="25" s="1"/>
  <c r="DZ326" i="25"/>
  <c r="DZ331" i="25" s="1"/>
  <c r="DY331" i="25"/>
  <c r="DP41" i="25"/>
  <c r="DP280" i="25"/>
  <c r="DP290" i="25"/>
  <c r="DP406" i="25"/>
  <c r="DP282" i="25"/>
  <c r="DP370" i="25"/>
  <c r="DP111" i="25"/>
  <c r="DP398" i="25" l="1"/>
  <c r="DQ122" i="25"/>
  <c r="DT322" i="25"/>
  <c r="DS329" i="25"/>
  <c r="DS332" i="25" s="1"/>
  <c r="EE325" i="25"/>
  <c r="EE330" i="25" s="1"/>
  <c r="ED330" i="25"/>
  <c r="ED331" i="25"/>
  <c r="EE326" i="25"/>
  <c r="EE331" i="25" s="1"/>
  <c r="DP289" i="25"/>
  <c r="DP291" i="25" s="1"/>
  <c r="DP395" i="25"/>
  <c r="DP285" i="25"/>
  <c r="E21" i="614"/>
  <c r="G21" i="614" s="1"/>
  <c r="DP52" i="25"/>
  <c r="DP91" i="25"/>
  <c r="DP105" i="25"/>
  <c r="AN20" i="559"/>
  <c r="DP22" i="617"/>
  <c r="DP113" i="25" l="1"/>
  <c r="DQ132" i="25"/>
  <c r="DT329" i="25"/>
  <c r="DT332" i="25" s="1"/>
  <c r="DU322" i="25"/>
  <c r="DP39" i="617"/>
  <c r="DP32" i="617"/>
  <c r="DP20" i="617"/>
  <c r="DP42" i="617" s="1"/>
  <c r="DP24" i="617"/>
  <c r="DP25" i="617" s="1"/>
  <c r="DP33" i="617" s="1"/>
  <c r="DU329" i="25" l="1"/>
  <c r="DU332" i="25" s="1"/>
  <c r="DV322" i="25"/>
  <c r="DQ11" i="611"/>
  <c r="DO12" i="611"/>
  <c r="DO14" i="611" s="1"/>
  <c r="DP14" i="611" s="1"/>
  <c r="DP201" i="25"/>
  <c r="DP235" i="25"/>
  <c r="DP238" i="25" s="1"/>
  <c r="DQ313" i="25" s="1"/>
  <c r="DP380" i="25"/>
  <c r="DP286" i="25" s="1"/>
  <c r="DP287" i="25" s="1"/>
  <c r="DP206" i="25" l="1"/>
  <c r="DQ146" i="25"/>
  <c r="DP247" i="25"/>
  <c r="DP249" i="25" s="1"/>
  <c r="DP266" i="25" s="1"/>
  <c r="DV329" i="25"/>
  <c r="DV332" i="25" s="1"/>
  <c r="DW322" i="25"/>
  <c r="DP216" i="25"/>
  <c r="DP309" i="25"/>
  <c r="DP310" i="25" s="1"/>
  <c r="DP312" i="25"/>
  <c r="DP311" i="25"/>
  <c r="DP387" i="25"/>
  <c r="DP391" i="25" s="1"/>
  <c r="DP393" i="25" s="1"/>
  <c r="DQ392" i="25" s="1"/>
  <c r="DQ393" i="25" s="1"/>
  <c r="DP254" i="25"/>
  <c r="DP253" i="25" s="1"/>
  <c r="DP239" i="25"/>
  <c r="DP251" i="25"/>
  <c r="DP313" i="25"/>
  <c r="DP315" i="25"/>
  <c r="DU146" i="25"/>
  <c r="DQ316" i="25" l="1"/>
  <c r="DQ314" i="25"/>
  <c r="DP267" i="25"/>
  <c r="DW329" i="25"/>
  <c r="DW332" i="25" s="1"/>
  <c r="DX322" i="25"/>
  <c r="DP241" i="25"/>
  <c r="DP316" i="25"/>
  <c r="DP314" i="25"/>
  <c r="DU392" i="25"/>
  <c r="DP252" i="25"/>
  <c r="DP259" i="25" s="1"/>
  <c r="DP265" i="25" s="1"/>
  <c r="DY322" i="25" l="1"/>
  <c r="DX329" i="25"/>
  <c r="DX332" i="25" s="1"/>
  <c r="DY329" i="25" l="1"/>
  <c r="DY332" i="25" s="1"/>
  <c r="DZ322" i="25"/>
  <c r="DZ329" i="25" l="1"/>
  <c r="DZ332" i="25" s="1"/>
  <c r="EA322" i="25"/>
  <c r="EA329" i="25" l="1"/>
  <c r="EA332" i="25" s="1"/>
  <c r="EB322" i="25"/>
  <c r="EC322" i="25" l="1"/>
  <c r="EB329" i="25"/>
  <c r="EB332" i="25" s="1"/>
  <c r="EC329" i="25" l="1"/>
  <c r="EC332" i="25" s="1"/>
  <c r="ED322" i="25"/>
  <c r="ED329" i="25" l="1"/>
  <c r="ED332" i="25" s="1"/>
  <c r="EE322" i="25"/>
  <c r="EE329" i="25" s="1"/>
  <c r="EE332" i="25" s="1"/>
  <c r="DO67" i="25" l="1"/>
  <c r="DT67" i="25" s="1"/>
  <c r="DO158" i="25"/>
  <c r="DO159" i="25" s="1"/>
  <c r="DO160" i="25" s="1"/>
  <c r="AM32" i="559"/>
  <c r="AM36" i="559"/>
  <c r="DO46" i="617"/>
  <c r="DO51" i="617"/>
  <c r="DO53" i="617" s="1"/>
  <c r="DO57" i="617"/>
  <c r="DO58" i="617"/>
  <c r="DO81" i="617" s="1"/>
  <c r="DO59" i="617"/>
  <c r="DO61" i="617" s="1"/>
  <c r="DO75" i="617" s="1"/>
  <c r="DO63" i="617"/>
  <c r="DO76" i="617" s="1"/>
  <c r="DO65" i="617"/>
  <c r="DO77" i="617" s="1"/>
  <c r="DO68" i="617"/>
  <c r="DP32" i="571"/>
  <c r="DP33" i="571" s="1"/>
  <c r="DP34" i="571"/>
  <c r="DP68" i="617" s="1"/>
  <c r="DP36" i="571"/>
  <c r="DP37" i="571"/>
  <c r="DP39" i="571"/>
  <c r="DP40" i="571" s="1"/>
  <c r="DQ40" i="571" s="1"/>
  <c r="DQ32" i="571" s="1"/>
  <c r="DT42" i="571"/>
  <c r="DT34" i="571" s="1"/>
  <c r="DP64" i="571"/>
  <c r="DP65" i="571"/>
  <c r="DP129" i="571" s="1"/>
  <c r="DP134" i="571" s="1"/>
  <c r="DP67" i="571"/>
  <c r="DP51" i="617" s="1"/>
  <c r="DP77" i="571"/>
  <c r="DP78" i="571"/>
  <c r="DP82" i="571"/>
  <c r="DP83" i="571"/>
  <c r="DP84" i="571"/>
  <c r="DP57" i="617" s="1"/>
  <c r="DP87" i="571"/>
  <c r="DP88" i="571"/>
  <c r="DP148" i="571" s="1"/>
  <c r="DP89" i="571"/>
  <c r="DP147" i="571"/>
  <c r="DP142" i="571" s="1"/>
  <c r="DP161" i="571"/>
  <c r="DP58" i="617" s="1"/>
  <c r="DP81" i="617" s="1"/>
  <c r="DP162" i="571"/>
  <c r="DP168" i="571" s="1"/>
  <c r="AN36" i="559" s="1"/>
  <c r="DT168" i="571"/>
  <c r="AR36" i="559" s="1"/>
  <c r="DP198" i="571"/>
  <c r="DP63" i="617" s="1"/>
  <c r="DP200" i="571"/>
  <c r="DQ59" i="571" l="1"/>
  <c r="DQ39" i="571"/>
  <c r="DQ33" i="571"/>
  <c r="DP97" i="571"/>
  <c r="DO72" i="617"/>
  <c r="DP143" i="571"/>
  <c r="DP153" i="571"/>
  <c r="AN92" i="559" s="1"/>
  <c r="AN31" i="559" s="1"/>
  <c r="DP65" i="617"/>
  <c r="DP77" i="617" s="1"/>
  <c r="DP112" i="571"/>
  <c r="DP121" i="571" s="1"/>
  <c r="DP35" i="571"/>
  <c r="DP152" i="571"/>
  <c r="AN87" i="559" s="1"/>
  <c r="AN30" i="559" s="1"/>
  <c r="DP60" i="571"/>
  <c r="DP149" i="571"/>
  <c r="DP144" i="571" s="1"/>
  <c r="DP98" i="571"/>
  <c r="DP59" i="571"/>
  <c r="DP48" i="571"/>
  <c r="DO80" i="617"/>
  <c r="DO68" i="25"/>
  <c r="AM118" i="559" s="1"/>
  <c r="AM39" i="559" s="1"/>
  <c r="DP67" i="25"/>
  <c r="DT66" i="25"/>
  <c r="DT119" i="25" s="1"/>
  <c r="DT198" i="571"/>
  <c r="DP210" i="571"/>
  <c r="DO55" i="617"/>
  <c r="DO82" i="617"/>
  <c r="DO74" i="617"/>
  <c r="DO84" i="617"/>
  <c r="DO83" i="617"/>
  <c r="DP79" i="571"/>
  <c r="DP104" i="571"/>
  <c r="DP189" i="571"/>
  <c r="DP165" i="571"/>
  <c r="DP111" i="571"/>
  <c r="DP128" i="571"/>
  <c r="DP133" i="571" s="1"/>
  <c r="DP66" i="571"/>
  <c r="DP68" i="571" s="1"/>
  <c r="DT162" i="571"/>
  <c r="DP53" i="617"/>
  <c r="DP72" i="617"/>
  <c r="DP76" i="617"/>
  <c r="DP80" i="617"/>
  <c r="DT68" i="617"/>
  <c r="DT35" i="571"/>
  <c r="DT60" i="571"/>
  <c r="DY42" i="571"/>
  <c r="DY168" i="571"/>
  <c r="DQ158" i="25"/>
  <c r="DQ159" i="25" s="1"/>
  <c r="DQ160" i="25" s="1"/>
  <c r="DR40" i="571"/>
  <c r="DU42" i="571"/>
  <c r="DU45" i="571" s="1"/>
  <c r="DU48" i="617" s="1"/>
  <c r="DP158" i="25"/>
  <c r="DP159" i="25"/>
  <c r="DP160" i="25" s="1"/>
  <c r="DY67" i="25"/>
  <c r="DP84" i="617" l="1"/>
  <c r="DP69" i="617"/>
  <c r="DQ48" i="571"/>
  <c r="DP83" i="617"/>
  <c r="DP99" i="571"/>
  <c r="DP150" i="571"/>
  <c r="DP154" i="571"/>
  <c r="AN32" i="559" s="1"/>
  <c r="DP49" i="571"/>
  <c r="DP68" i="25"/>
  <c r="AN118" i="559" s="1"/>
  <c r="AN39" i="559" s="1"/>
  <c r="DT62" i="25"/>
  <c r="DU62" i="25" s="1"/>
  <c r="DT13" i="617"/>
  <c r="DT30" i="617" s="1"/>
  <c r="DU66" i="25"/>
  <c r="DU13" i="617" s="1"/>
  <c r="DT63" i="617"/>
  <c r="DT76" i="617" s="1"/>
  <c r="DT210" i="571"/>
  <c r="DT86" i="25"/>
  <c r="DP188" i="571"/>
  <c r="DP222" i="571" s="1"/>
  <c r="DP113" i="571"/>
  <c r="DP130" i="571"/>
  <c r="DP59" i="617"/>
  <c r="DP61" i="617" s="1"/>
  <c r="DP82" i="617" s="1"/>
  <c r="DP194" i="571"/>
  <c r="EF84" i="571" s="1"/>
  <c r="DP118" i="571"/>
  <c r="DY34" i="571"/>
  <c r="AW36" i="559"/>
  <c r="DY162" i="571"/>
  <c r="ED168" i="571"/>
  <c r="DT161" i="571"/>
  <c r="ED67" i="25"/>
  <c r="DY66" i="25"/>
  <c r="DY198" i="571"/>
  <c r="DP74" i="617"/>
  <c r="DS40" i="571"/>
  <c r="DQ50" i="571" l="1"/>
  <c r="DQ49" i="571"/>
  <c r="DQ36" i="571"/>
  <c r="DQ43" i="571"/>
  <c r="DQ69" i="617"/>
  <c r="DR48" i="571"/>
  <c r="DP55" i="617"/>
  <c r="DU86" i="25"/>
  <c r="DT18" i="25"/>
  <c r="DU18" i="25" s="1"/>
  <c r="DP204" i="571"/>
  <c r="DP205" i="571"/>
  <c r="DQ216" i="571" s="1"/>
  <c r="DP115" i="571"/>
  <c r="DP223" i="571"/>
  <c r="DP218" i="571" s="1"/>
  <c r="DP46" i="617" s="1"/>
  <c r="DP209" i="571"/>
  <c r="DP212" i="571"/>
  <c r="DP199" i="571"/>
  <c r="DY63" i="617"/>
  <c r="DY210" i="571"/>
  <c r="BB36" i="559"/>
  <c r="ED162" i="571"/>
  <c r="DU30" i="617"/>
  <c r="DY161" i="571"/>
  <c r="DT40" i="571"/>
  <c r="DT32" i="571" s="1"/>
  <c r="ED66" i="25"/>
  <c r="ED198" i="571"/>
  <c r="DY62" i="25"/>
  <c r="DY86" i="25"/>
  <c r="DY119" i="25"/>
  <c r="DY13" i="617"/>
  <c r="DT58" i="617"/>
  <c r="DT81" i="617" s="1"/>
  <c r="DT165" i="571"/>
  <c r="DT166" i="571" s="1"/>
  <c r="ED42" i="571"/>
  <c r="DY68" i="617"/>
  <c r="DY35" i="571"/>
  <c r="DY60" i="571"/>
  <c r="DQ44" i="571" l="1"/>
  <c r="DQ71" i="571"/>
  <c r="DQ72" i="571" s="1"/>
  <c r="DQ37" i="571"/>
  <c r="DQ88" i="571" s="1"/>
  <c r="DQ64" i="571"/>
  <c r="DQ87" i="571"/>
  <c r="DS48" i="571"/>
  <c r="DR43" i="571"/>
  <c r="DR50" i="571"/>
  <c r="DR49" i="571"/>
  <c r="DR69" i="617"/>
  <c r="DT404" i="25"/>
  <c r="DT221" i="25" s="1"/>
  <c r="DU221" i="25" s="1"/>
  <c r="AR18" i="559"/>
  <c r="AR65" i="559" s="1"/>
  <c r="DT85" i="25"/>
  <c r="DY30" i="617"/>
  <c r="ED34" i="571"/>
  <c r="DY18" i="25"/>
  <c r="ED63" i="617"/>
  <c r="ED210" i="571"/>
  <c r="DT33" i="571"/>
  <c r="DT59" i="571"/>
  <c r="DT39" i="571"/>
  <c r="ED161" i="571"/>
  <c r="DY58" i="617"/>
  <c r="DY81" i="617" s="1"/>
  <c r="DY165" i="571"/>
  <c r="DY166" i="571" s="1"/>
  <c r="ED86" i="25"/>
  <c r="ED62" i="25"/>
  <c r="ED119" i="25"/>
  <c r="ED13" i="617"/>
  <c r="DU85" i="25"/>
  <c r="AS18" i="559"/>
  <c r="DU404" i="25"/>
  <c r="DY76" i="617"/>
  <c r="DQ65" i="571" l="1"/>
  <c r="DQ112" i="571" s="1"/>
  <c r="DQ89" i="571"/>
  <c r="DQ111" i="571"/>
  <c r="DQ82" i="571"/>
  <c r="DR44" i="571"/>
  <c r="DR72" i="571" s="1"/>
  <c r="DR71" i="571"/>
  <c r="DQ83" i="571"/>
  <c r="DS50" i="571"/>
  <c r="DS69" i="617"/>
  <c r="DT48" i="571"/>
  <c r="DS49" i="571"/>
  <c r="DS43" i="571"/>
  <c r="DT365" i="25"/>
  <c r="DU365" i="25" s="1"/>
  <c r="ED30" i="617"/>
  <c r="ED76" i="617"/>
  <c r="DY85" i="25"/>
  <c r="AW18" i="559"/>
  <c r="DY404" i="25"/>
  <c r="DY221" i="25" s="1"/>
  <c r="ED58" i="617"/>
  <c r="ED81" i="617" s="1"/>
  <c r="ED165" i="571"/>
  <c r="ED166" i="571" s="1"/>
  <c r="AS65" i="559"/>
  <c r="ED18" i="25"/>
  <c r="ED68" i="617"/>
  <c r="ED35" i="571"/>
  <c r="ED60" i="571"/>
  <c r="DR73" i="571" l="1"/>
  <c r="DR74" i="571" s="1"/>
  <c r="DR219" i="571" s="1"/>
  <c r="DT69" i="617"/>
  <c r="DV48" i="571"/>
  <c r="DT49" i="571"/>
  <c r="DT50" i="571"/>
  <c r="DT43" i="571"/>
  <c r="DT36" i="571"/>
  <c r="DQ98" i="571"/>
  <c r="DQ118" i="571"/>
  <c r="DQ119" i="571"/>
  <c r="DQ122" i="571"/>
  <c r="DQ121" i="571"/>
  <c r="DQ149" i="571"/>
  <c r="DQ113" i="571"/>
  <c r="DQ97" i="571"/>
  <c r="DQ84" i="571"/>
  <c r="DS71" i="571"/>
  <c r="DS44" i="571"/>
  <c r="DQ77" i="571"/>
  <c r="DQ129" i="571"/>
  <c r="DQ78" i="571"/>
  <c r="DZ221" i="25"/>
  <c r="DY365" i="25"/>
  <c r="ED85" i="25"/>
  <c r="BB18" i="559"/>
  <c r="ED404" i="25"/>
  <c r="ED221" i="25" s="1"/>
  <c r="AW65" i="559"/>
  <c r="DR139" i="571" l="1"/>
  <c r="DQ79" i="571"/>
  <c r="DQ161" i="571"/>
  <c r="DQ99" i="571"/>
  <c r="DQ57" i="617"/>
  <c r="DQ80" i="617" s="1"/>
  <c r="DQ104" i="571"/>
  <c r="DQ105" i="571"/>
  <c r="DR47" i="617"/>
  <c r="AP13" i="559"/>
  <c r="DS72" i="571"/>
  <c r="DQ115" i="571"/>
  <c r="DQ116" i="571"/>
  <c r="DQ108" i="571"/>
  <c r="DQ107" i="571"/>
  <c r="DU43" i="571"/>
  <c r="DT44" i="571"/>
  <c r="DT72" i="571" s="1"/>
  <c r="DT71" i="571"/>
  <c r="DQ143" i="571"/>
  <c r="DQ134" i="571"/>
  <c r="DQ138" i="571" s="1"/>
  <c r="DV138" i="571" s="1"/>
  <c r="EA138" i="571" s="1"/>
  <c r="DV129" i="571"/>
  <c r="DQ150" i="571"/>
  <c r="DQ144" i="571"/>
  <c r="DQ154" i="571"/>
  <c r="AO32" i="559" s="1"/>
  <c r="DT37" i="571"/>
  <c r="DT64" i="571"/>
  <c r="DT87" i="571"/>
  <c r="DV49" i="571"/>
  <c r="DV69" i="617"/>
  <c r="DW48" i="571"/>
  <c r="DV43" i="571"/>
  <c r="DV36" i="571"/>
  <c r="BB65" i="559"/>
  <c r="EE221" i="25"/>
  <c r="ED365" i="25"/>
  <c r="DX48" i="571" l="1"/>
  <c r="DW50" i="571"/>
  <c r="DW49" i="571"/>
  <c r="DW69" i="617"/>
  <c r="DU71" i="571"/>
  <c r="DT73" i="571"/>
  <c r="DS73" i="571"/>
  <c r="DU72" i="571"/>
  <c r="DT65" i="571"/>
  <c r="DT66" i="571" s="1"/>
  <c r="DT88" i="571"/>
  <c r="EA129" i="571"/>
  <c r="EA143" i="571" s="1"/>
  <c r="DV143" i="571"/>
  <c r="DV37" i="571"/>
  <c r="DV64" i="571"/>
  <c r="DV87" i="571"/>
  <c r="DQ102" i="571"/>
  <c r="DQ101" i="571"/>
  <c r="AO56" i="559" s="1"/>
  <c r="DV44" i="571"/>
  <c r="DV72" i="571" s="1"/>
  <c r="DV71" i="571"/>
  <c r="DT89" i="571"/>
  <c r="DT82" i="571"/>
  <c r="DT111" i="571"/>
  <c r="DT118" i="571" s="1"/>
  <c r="DU44" i="571"/>
  <c r="DQ162" i="571"/>
  <c r="DQ165" i="571"/>
  <c r="DQ166" i="571" s="1"/>
  <c r="DQ58" i="617"/>
  <c r="DQ81" i="617" s="1"/>
  <c r="DU161" i="571"/>
  <c r="DV73" i="571" l="1"/>
  <c r="DU138" i="571"/>
  <c r="DU165" i="571"/>
  <c r="DU166" i="571" s="1"/>
  <c r="DU58" i="617"/>
  <c r="DU81" i="617" s="1"/>
  <c r="DV139" i="571"/>
  <c r="DV74" i="571"/>
  <c r="DV219" i="571" s="1"/>
  <c r="DV82" i="571"/>
  <c r="DV77" i="571" s="1"/>
  <c r="DV111" i="571"/>
  <c r="DV118" i="571" s="1"/>
  <c r="DS74" i="571"/>
  <c r="DS219" i="571" s="1"/>
  <c r="DS139" i="571"/>
  <c r="DT83" i="571"/>
  <c r="DT84" i="571" s="1"/>
  <c r="DT112" i="571"/>
  <c r="DT121" i="571" s="1"/>
  <c r="DT74" i="571"/>
  <c r="DT219" i="571" s="1"/>
  <c r="DT139" i="571"/>
  <c r="DQ168" i="571"/>
  <c r="DU162" i="571"/>
  <c r="DU168" i="571" s="1"/>
  <c r="DT188" i="571"/>
  <c r="DT68" i="571"/>
  <c r="DT77" i="571"/>
  <c r="DT97" i="571"/>
  <c r="DT104" i="571" s="1"/>
  <c r="DV65" i="571"/>
  <c r="DV88" i="571"/>
  <c r="DU137" i="571"/>
  <c r="DU73" i="571"/>
  <c r="DT113" i="571"/>
  <c r="DT115" i="571" s="1"/>
  <c r="DT149" i="571"/>
  <c r="DT154" i="571" s="1"/>
  <c r="AR32" i="559" s="1"/>
  <c r="DX50" i="571"/>
  <c r="DY48" i="571"/>
  <c r="DX49" i="571"/>
  <c r="DX69" i="617"/>
  <c r="DT11" i="25" l="1"/>
  <c r="DT57" i="617"/>
  <c r="DT189" i="571"/>
  <c r="DT99" i="571"/>
  <c r="DT101" i="571" s="1"/>
  <c r="AR56" i="559" s="1"/>
  <c r="DV83" i="571"/>
  <c r="DV98" i="571" s="1"/>
  <c r="DV107" i="571" s="1"/>
  <c r="DV112" i="571"/>
  <c r="DV121" i="571" s="1"/>
  <c r="DQ169" i="571"/>
  <c r="AO36" i="559"/>
  <c r="DV168" i="571"/>
  <c r="DT78" i="571"/>
  <c r="DT79" i="571" s="1"/>
  <c r="DT98" i="571"/>
  <c r="DT107" i="571" s="1"/>
  <c r="DS47" i="617"/>
  <c r="AQ13" i="559"/>
  <c r="AT13" i="559"/>
  <c r="DV47" i="617"/>
  <c r="DT150" i="571"/>
  <c r="DV89" i="571"/>
  <c r="DU169" i="571"/>
  <c r="AS57" i="559" s="1"/>
  <c r="AS36" i="559"/>
  <c r="DV97" i="571"/>
  <c r="DV104" i="571" s="1"/>
  <c r="EA48" i="571"/>
  <c r="DY50" i="571"/>
  <c r="DY69" i="617"/>
  <c r="DY49" i="571"/>
  <c r="DY43" i="571"/>
  <c r="DY36" i="571"/>
  <c r="DU139" i="571"/>
  <c r="DU74" i="571"/>
  <c r="DU219" i="571" s="1"/>
  <c r="DT222" i="571"/>
  <c r="DT9" i="25"/>
  <c r="DT209" i="571"/>
  <c r="AR13" i="559"/>
  <c r="DT47" i="617"/>
  <c r="DV66" i="571"/>
  <c r="AO57" i="559" l="1"/>
  <c r="AO109" i="559"/>
  <c r="AO37" i="559" s="1"/>
  <c r="DV84" i="571"/>
  <c r="DV57" i="617" s="1"/>
  <c r="DV78" i="571"/>
  <c r="DV79" i="571" s="1"/>
  <c r="DV68" i="571"/>
  <c r="DV188" i="571"/>
  <c r="AS13" i="559"/>
  <c r="DU47" i="617"/>
  <c r="DV113" i="571"/>
  <c r="DV115" i="571" s="1"/>
  <c r="DV149" i="571"/>
  <c r="DT59" i="617"/>
  <c r="DT61" i="617" s="1"/>
  <c r="DT194" i="571"/>
  <c r="DT204" i="571"/>
  <c r="EA168" i="571"/>
  <c r="AT36" i="559"/>
  <c r="DV162" i="571"/>
  <c r="DT82" i="25"/>
  <c r="DT272" i="25"/>
  <c r="DT402" i="25"/>
  <c r="DT10" i="25"/>
  <c r="DT277" i="25"/>
  <c r="DT190" i="571"/>
  <c r="DT99" i="25"/>
  <c r="DT110" i="25" s="1"/>
  <c r="AR16" i="559"/>
  <c r="DT98" i="25"/>
  <c r="DT9" i="617"/>
  <c r="DY37" i="571"/>
  <c r="DY87" i="571"/>
  <c r="DY64" i="571"/>
  <c r="DT96" i="25"/>
  <c r="DT108" i="25" s="1"/>
  <c r="DT22" i="25"/>
  <c r="DT191" i="571"/>
  <c r="DT58" i="25"/>
  <c r="DT60" i="25" s="1"/>
  <c r="DT83" i="25"/>
  <c r="DT223" i="571"/>
  <c r="DT218" i="571" s="1"/>
  <c r="DT46" i="617" s="1"/>
  <c r="DT67" i="571"/>
  <c r="DY44" i="571"/>
  <c r="DY72" i="571" s="1"/>
  <c r="DY71" i="571"/>
  <c r="EB48" i="571"/>
  <c r="EA69" i="617"/>
  <c r="EA49" i="571"/>
  <c r="EA43" i="571"/>
  <c r="EA36" i="571"/>
  <c r="DV99" i="571" l="1"/>
  <c r="DV101" i="571" s="1"/>
  <c r="AT56" i="559" s="1"/>
  <c r="DY73" i="571"/>
  <c r="DY139" i="571" s="1"/>
  <c r="DT51" i="617"/>
  <c r="DT130" i="571"/>
  <c r="DT144" i="571" s="1"/>
  <c r="DY111" i="571"/>
  <c r="DY118" i="571" s="1"/>
  <c r="DY82" i="571"/>
  <c r="AR63" i="559"/>
  <c r="AR52" i="559"/>
  <c r="AR59" i="559" s="1"/>
  <c r="DT135" i="25"/>
  <c r="DT136" i="25" s="1"/>
  <c r="DT403" i="25"/>
  <c r="DT200" i="571"/>
  <c r="DT205" i="571"/>
  <c r="DT215" i="571" s="1"/>
  <c r="DT196" i="571"/>
  <c r="EA37" i="571"/>
  <c r="EA64" i="571"/>
  <c r="EA87" i="571"/>
  <c r="EC48" i="571"/>
  <c r="EB49" i="571"/>
  <c r="EB50" i="571"/>
  <c r="EB69" i="617"/>
  <c r="DT88" i="25"/>
  <c r="DT101" i="25"/>
  <c r="AR19" i="559"/>
  <c r="DY88" i="571"/>
  <c r="DY65" i="571"/>
  <c r="DY66" i="571" s="1"/>
  <c r="DT323" i="25"/>
  <c r="DT203" i="25" s="1"/>
  <c r="DT345" i="25"/>
  <c r="DT346" i="25"/>
  <c r="DV161" i="571"/>
  <c r="DZ162" i="571"/>
  <c r="DZ168" i="571" s="1"/>
  <c r="DT75" i="617"/>
  <c r="EA71" i="571"/>
  <c r="EA44" i="571"/>
  <c r="EA72" i="571" s="1"/>
  <c r="DT28" i="617"/>
  <c r="DT37" i="617"/>
  <c r="DV154" i="571"/>
  <c r="AT32" i="559" s="1"/>
  <c r="DV150" i="571"/>
  <c r="DV222" i="571"/>
  <c r="DV9" i="25"/>
  <c r="DT76" i="25"/>
  <c r="DT97" i="25"/>
  <c r="DT195" i="571"/>
  <c r="DT84" i="25"/>
  <c r="AR17" i="559"/>
  <c r="DT11" i="617"/>
  <c r="DT358" i="25"/>
  <c r="DT276" i="25"/>
  <c r="AY36" i="559"/>
  <c r="EA162" i="571"/>
  <c r="DY74" i="571" l="1"/>
  <c r="DY219" i="571" s="1"/>
  <c r="AW13" i="559" s="1"/>
  <c r="DY188" i="571"/>
  <c r="DY68" i="571"/>
  <c r="DT15" i="617"/>
  <c r="DT29" i="617"/>
  <c r="DT36" i="617"/>
  <c r="DT109" i="25"/>
  <c r="DT206" i="571"/>
  <c r="DV165" i="571"/>
  <c r="DV166" i="571" s="1"/>
  <c r="DV58" i="617"/>
  <c r="DV81" i="617" s="1"/>
  <c r="DV11" i="25"/>
  <c r="DV10" i="25" s="1"/>
  <c r="DV403" i="25" s="1"/>
  <c r="DZ161" i="571"/>
  <c r="DV189" i="571"/>
  <c r="EC69" i="617"/>
  <c r="EC50" i="571"/>
  <c r="EC49" i="571"/>
  <c r="ED48" i="571"/>
  <c r="DT138" i="25"/>
  <c r="DT137" i="25"/>
  <c r="DY77" i="571"/>
  <c r="DY97" i="571"/>
  <c r="DY104" i="571" s="1"/>
  <c r="AR51" i="559"/>
  <c r="AR58" i="559" s="1"/>
  <c r="AR64" i="559"/>
  <c r="DV223" i="571"/>
  <c r="DV218" i="571" s="1"/>
  <c r="DV46" i="617" s="1"/>
  <c r="DV67" i="571"/>
  <c r="DY83" i="571"/>
  <c r="DY84" i="571" s="1"/>
  <c r="DY112" i="571"/>
  <c r="DY121" i="571" s="1"/>
  <c r="EA111" i="571"/>
  <c r="EA118" i="571" s="1"/>
  <c r="EA82" i="571"/>
  <c r="DT78" i="25"/>
  <c r="DT79" i="25" s="1"/>
  <c r="DT281" i="25"/>
  <c r="DT89" i="25"/>
  <c r="DT102" i="25"/>
  <c r="DT112" i="25" s="1"/>
  <c r="DT201" i="571"/>
  <c r="DT213" i="571" s="1"/>
  <c r="DT10" i="617"/>
  <c r="DY47" i="617"/>
  <c r="AR66" i="559"/>
  <c r="AR53" i="559"/>
  <c r="AR60" i="559" s="1"/>
  <c r="EA77" i="571"/>
  <c r="DT65" i="617"/>
  <c r="DT212" i="571"/>
  <c r="EA161" i="571"/>
  <c r="EE162" i="571"/>
  <c r="EE168" i="571" s="1"/>
  <c r="DV82" i="25"/>
  <c r="AT16" i="559"/>
  <c r="AT63" i="559" s="1"/>
  <c r="DV277" i="25"/>
  <c r="DV9" i="617"/>
  <c r="DV402" i="25"/>
  <c r="DV190" i="571"/>
  <c r="DV272" i="25"/>
  <c r="EA73" i="571"/>
  <c r="AX36" i="559"/>
  <c r="DZ169" i="571"/>
  <c r="AX57" i="559" s="1"/>
  <c r="DU203" i="25"/>
  <c r="EA65" i="571"/>
  <c r="EA66" i="571" s="1"/>
  <c r="EA88" i="571"/>
  <c r="DT347" i="25"/>
  <c r="DT327" i="25"/>
  <c r="DY89" i="571"/>
  <c r="DT80" i="617"/>
  <c r="DT72" i="617"/>
  <c r="DT53" i="617"/>
  <c r="DV135" i="25" l="1"/>
  <c r="DV136" i="25" s="1"/>
  <c r="DV138" i="25" s="1"/>
  <c r="EA68" i="571"/>
  <c r="EA188" i="571"/>
  <c r="DT87" i="25"/>
  <c r="DT100" i="25"/>
  <c r="DT111" i="25" s="1"/>
  <c r="DT261" i="25"/>
  <c r="DT263" i="25" s="1"/>
  <c r="AR22" i="559"/>
  <c r="DY189" i="571"/>
  <c r="DY11" i="25"/>
  <c r="DY57" i="617"/>
  <c r="DY99" i="571"/>
  <c r="DY101" i="571" s="1"/>
  <c r="AW56" i="559" s="1"/>
  <c r="DT55" i="617"/>
  <c r="DT83" i="617"/>
  <c r="DT74" i="617"/>
  <c r="DT82" i="617"/>
  <c r="DT204" i="25"/>
  <c r="DT220" i="25"/>
  <c r="EA139" i="571"/>
  <c r="EA74" i="571"/>
  <c r="EA219" i="571" s="1"/>
  <c r="EA58" i="617"/>
  <c r="EA81" i="617" s="1"/>
  <c r="EA165" i="571"/>
  <c r="EA166" i="571" s="1"/>
  <c r="EE161" i="571"/>
  <c r="ED50" i="571"/>
  <c r="ED49" i="571"/>
  <c r="ED69" i="617"/>
  <c r="ED43" i="571"/>
  <c r="ED36" i="571"/>
  <c r="DV204" i="571"/>
  <c r="DV59" i="617"/>
  <c r="DV61" i="617" s="1"/>
  <c r="DV194" i="571"/>
  <c r="DV205" i="571" s="1"/>
  <c r="DV215" i="571" s="1"/>
  <c r="DV323" i="25"/>
  <c r="DV203" i="25" s="1"/>
  <c r="DV363" i="25" s="1"/>
  <c r="DV345" i="25"/>
  <c r="DV346" i="25"/>
  <c r="DZ58" i="617"/>
  <c r="DZ81" i="617" s="1"/>
  <c r="DZ165" i="571"/>
  <c r="DZ166" i="571" s="1"/>
  <c r="DT31" i="617"/>
  <c r="DT38" i="617"/>
  <c r="EA112" i="571"/>
  <c r="EA121" i="571" s="1"/>
  <c r="EA83" i="571"/>
  <c r="EA98" i="571" s="1"/>
  <c r="EA107" i="571" s="1"/>
  <c r="DV347" i="25"/>
  <c r="DV327" i="25"/>
  <c r="DV28" i="617"/>
  <c r="EA89" i="571"/>
  <c r="DY78" i="571"/>
  <c r="DY79" i="571" s="1"/>
  <c r="DY98" i="571"/>
  <c r="DY107" i="571" s="1"/>
  <c r="DV58" i="25"/>
  <c r="DV60" i="25" s="1"/>
  <c r="DV191" i="571"/>
  <c r="DV96" i="25"/>
  <c r="DV108" i="25" s="1"/>
  <c r="DV83" i="25"/>
  <c r="DY149" i="571"/>
  <c r="DY113" i="571"/>
  <c r="DY115" i="571" s="1"/>
  <c r="DV276" i="25"/>
  <c r="DV358" i="25"/>
  <c r="BC36" i="559"/>
  <c r="EE169" i="571"/>
  <c r="BC57" i="559" s="1"/>
  <c r="DT84" i="617"/>
  <c r="DT77" i="617"/>
  <c r="EA97" i="571"/>
  <c r="EA104" i="571" s="1"/>
  <c r="DV51" i="617"/>
  <c r="DV130" i="571"/>
  <c r="DV144" i="571" s="1"/>
  <c r="DY222" i="571"/>
  <c r="DY9" i="25"/>
  <c r="DY209" i="571"/>
  <c r="EA84" i="571" l="1"/>
  <c r="EA57" i="617" s="1"/>
  <c r="EA78" i="571"/>
  <c r="EA79" i="571" s="1"/>
  <c r="DV53" i="617"/>
  <c r="DV82" i="617" s="1"/>
  <c r="DV72" i="617"/>
  <c r="DV80" i="617"/>
  <c r="DV318" i="25"/>
  <c r="DV137" i="25"/>
  <c r="ED44" i="571"/>
  <c r="ED72" i="571" s="1"/>
  <c r="ED71" i="571"/>
  <c r="DU204" i="25"/>
  <c r="DT339" i="25"/>
  <c r="DT343" i="25"/>
  <c r="DT307" i="25"/>
  <c r="DT308" i="25" s="1"/>
  <c r="DY59" i="617"/>
  <c r="DY61" i="617" s="1"/>
  <c r="DY75" i="617" s="1"/>
  <c r="DY204" i="571"/>
  <c r="DY194" i="571"/>
  <c r="DY10" i="25"/>
  <c r="DY403" i="25" s="1"/>
  <c r="DY402" i="25"/>
  <c r="DY190" i="571"/>
  <c r="DY9" i="617"/>
  <c r="DY82" i="25"/>
  <c r="DY99" i="25"/>
  <c r="DY110" i="25" s="1"/>
  <c r="DY277" i="25"/>
  <c r="DY272" i="25"/>
  <c r="AW16" i="559"/>
  <c r="DY98" i="25"/>
  <c r="EA99" i="571"/>
  <c r="EA101" i="571" s="1"/>
  <c r="AY56" i="559" s="1"/>
  <c r="DV75" i="617"/>
  <c r="EE165" i="571"/>
  <c r="EE166" i="571" s="1"/>
  <c r="EE58" i="617"/>
  <c r="EE81" i="617" s="1"/>
  <c r="EA47" i="617"/>
  <c r="AY13" i="559"/>
  <c r="DY67" i="571"/>
  <c r="DY223" i="571"/>
  <c r="DY218" i="571" s="1"/>
  <c r="DY46" i="617" s="1"/>
  <c r="EA149" i="571"/>
  <c r="EA113" i="571"/>
  <c r="EA115" i="571" s="1"/>
  <c r="EA222" i="571"/>
  <c r="EA9" i="25"/>
  <c r="DV281" i="25"/>
  <c r="DV78" i="25"/>
  <c r="DY150" i="571"/>
  <c r="DY154" i="571"/>
  <c r="AW32" i="559" s="1"/>
  <c r="DV84" i="25"/>
  <c r="AT17" i="559"/>
  <c r="DV97" i="25"/>
  <c r="DV195" i="571"/>
  <c r="DV11" i="617"/>
  <c r="DV220" i="25"/>
  <c r="DV204" i="25"/>
  <c r="ED87" i="571"/>
  <c r="ED37" i="571"/>
  <c r="ED64" i="571"/>
  <c r="DU220" i="25"/>
  <c r="DT225" i="25"/>
  <c r="DY83" i="25"/>
  <c r="DY191" i="571"/>
  <c r="DY58" i="25"/>
  <c r="DY60" i="25" s="1"/>
  <c r="DY96" i="25"/>
  <c r="DY108" i="25" s="1"/>
  <c r="DY22" i="25"/>
  <c r="EA11" i="25" l="1"/>
  <c r="EA96" i="25" s="1"/>
  <c r="EA108" i="25" s="1"/>
  <c r="EA189" i="571"/>
  <c r="ED73" i="571"/>
  <c r="ED139" i="571" s="1"/>
  <c r="DY88" i="25"/>
  <c r="DY101" i="25"/>
  <c r="AW19" i="559"/>
  <c r="ED88" i="571"/>
  <c r="ED65" i="571"/>
  <c r="DV29" i="617"/>
  <c r="DV36" i="617"/>
  <c r="DV10" i="617"/>
  <c r="AT51" i="559"/>
  <c r="AT58" i="559" s="1"/>
  <c r="AT64" i="559"/>
  <c r="DY130" i="571"/>
  <c r="DY144" i="571" s="1"/>
  <c r="DY51" i="617"/>
  <c r="AW63" i="559"/>
  <c r="AW52" i="559"/>
  <c r="AW59" i="559" s="1"/>
  <c r="DY345" i="25"/>
  <c r="DY323" i="25"/>
  <c r="DY203" i="25" s="1"/>
  <c r="DY346" i="25"/>
  <c r="DV364" i="25"/>
  <c r="DU343" i="25"/>
  <c r="DU339" i="25"/>
  <c r="DU307" i="25"/>
  <c r="DT230" i="25"/>
  <c r="ED82" i="571"/>
  <c r="ED111" i="571"/>
  <c r="ED118" i="571" s="1"/>
  <c r="EA204" i="571"/>
  <c r="EA194" i="571"/>
  <c r="EA205" i="571" s="1"/>
  <c r="EA215" i="571" s="1"/>
  <c r="EA59" i="617"/>
  <c r="EA61" i="617" s="1"/>
  <c r="DY276" i="25"/>
  <c r="DY358" i="25"/>
  <c r="DY327" i="25"/>
  <c r="DY347" i="25"/>
  <c r="ED74" i="571"/>
  <c r="ED219" i="571" s="1"/>
  <c r="DY97" i="25"/>
  <c r="DY195" i="571"/>
  <c r="AW17" i="559"/>
  <c r="DY76" i="25"/>
  <c r="DY84" i="25"/>
  <c r="DY11" i="617"/>
  <c r="DY10" i="617" s="1"/>
  <c r="DU335" i="25"/>
  <c r="DU225" i="25"/>
  <c r="DU230" i="25" s="1"/>
  <c r="DV343" i="25"/>
  <c r="DV339" i="25"/>
  <c r="DV338" i="25"/>
  <c r="DV319" i="25"/>
  <c r="EA402" i="25"/>
  <c r="EA82" i="25"/>
  <c r="EA9" i="617"/>
  <c r="EA272" i="25"/>
  <c r="AY16" i="559"/>
  <c r="AY63" i="559" s="1"/>
  <c r="EA277" i="25"/>
  <c r="EA190" i="571"/>
  <c r="EA154" i="571"/>
  <c r="AY32" i="559" s="1"/>
  <c r="EA150" i="571"/>
  <c r="DY135" i="25"/>
  <c r="DY136" i="25" s="1"/>
  <c r="DY37" i="617"/>
  <c r="DY28" i="617"/>
  <c r="DY205" i="571"/>
  <c r="DY215" i="571" s="1"/>
  <c r="DY200" i="571"/>
  <c r="ED77" i="571"/>
  <c r="DV336" i="25"/>
  <c r="DV334" i="25"/>
  <c r="DV366" i="25"/>
  <c r="DV335" i="25"/>
  <c r="DV320" i="25"/>
  <c r="DV109" i="25"/>
  <c r="DV206" i="571"/>
  <c r="EA67" i="571"/>
  <c r="EA223" i="571"/>
  <c r="EA218" i="571" s="1"/>
  <c r="EA46" i="617" s="1"/>
  <c r="DV74" i="617"/>
  <c r="DV55" i="617"/>
  <c r="EA83" i="25" l="1"/>
  <c r="EA10" i="25"/>
  <c r="EA403" i="25" s="1"/>
  <c r="EA327" i="25" s="1"/>
  <c r="EA58" i="25"/>
  <c r="EA60" i="25" s="1"/>
  <c r="EA11" i="617" s="1"/>
  <c r="EA10" i="617" s="1"/>
  <c r="EA191" i="571"/>
  <c r="EA130" i="571"/>
  <c r="EA144" i="571" s="1"/>
  <c r="EA51" i="617"/>
  <c r="DY15" i="617"/>
  <c r="DY36" i="617"/>
  <c r="DY29" i="617"/>
  <c r="AW51" i="559"/>
  <c r="AW58" i="559" s="1"/>
  <c r="AW64" i="559"/>
  <c r="BB13" i="559"/>
  <c r="ED47" i="617"/>
  <c r="DZ203" i="25"/>
  <c r="DY80" i="617"/>
  <c r="DY53" i="617"/>
  <c r="DY72" i="617"/>
  <c r="ED89" i="571"/>
  <c r="ED83" i="571"/>
  <c r="ED98" i="571" s="1"/>
  <c r="ED107" i="571" s="1"/>
  <c r="ED112" i="571"/>
  <c r="ED121" i="571" s="1"/>
  <c r="DY65" i="617"/>
  <c r="DY212" i="571"/>
  <c r="EA346" i="25"/>
  <c r="EA345" i="25"/>
  <c r="EA323" i="25"/>
  <c r="EA203" i="25" s="1"/>
  <c r="EA75" i="617"/>
  <c r="ED97" i="571"/>
  <c r="ED104" i="571" s="1"/>
  <c r="AW53" i="559"/>
  <c r="AW60" i="559" s="1"/>
  <c r="AW66" i="559"/>
  <c r="DY137" i="25"/>
  <c r="DY138" i="25"/>
  <c r="EA347" i="25"/>
  <c r="EA276" i="25"/>
  <c r="EA358" i="25"/>
  <c r="DY206" i="571"/>
  <c r="DY109" i="25"/>
  <c r="DY220" i="25"/>
  <c r="DY204" i="25"/>
  <c r="EA28" i="617"/>
  <c r="DY89" i="25"/>
  <c r="DY102" i="25"/>
  <c r="DY112" i="25" s="1"/>
  <c r="DY201" i="571"/>
  <c r="DY213" i="571" s="1"/>
  <c r="DY78" i="25"/>
  <c r="DY79" i="25" s="1"/>
  <c r="DY281" i="25"/>
  <c r="EA195" i="571"/>
  <c r="EA97" i="25"/>
  <c r="EA84" i="25"/>
  <c r="AY17" i="559"/>
  <c r="ED66" i="571"/>
  <c r="ED78" i="571"/>
  <c r="ED79" i="571" s="1"/>
  <c r="EA135" i="25" l="1"/>
  <c r="EA136" i="25" s="1"/>
  <c r="EA137" i="25" s="1"/>
  <c r="EA318" i="25"/>
  <c r="ED84" i="571"/>
  <c r="DY100" i="25"/>
  <c r="DY111" i="25" s="1"/>
  <c r="DY261" i="25"/>
  <c r="DY263" i="25" s="1"/>
  <c r="AW22" i="559"/>
  <c r="DY87" i="25"/>
  <c r="DY339" i="25"/>
  <c r="DZ204" i="25"/>
  <c r="DY343" i="25"/>
  <c r="EA78" i="25"/>
  <c r="EA281" i="25"/>
  <c r="EA204" i="25"/>
  <c r="EA220" i="25"/>
  <c r="DY84" i="617"/>
  <c r="DY77" i="617"/>
  <c r="ED113" i="571"/>
  <c r="ED115" i="571" s="1"/>
  <c r="ED149" i="571"/>
  <c r="DY307" i="25"/>
  <c r="DY308" i="25" s="1"/>
  <c r="DY31" i="617"/>
  <c r="DY38" i="617"/>
  <c r="ED68" i="571"/>
  <c r="ED188" i="571"/>
  <c r="EA206" i="571"/>
  <c r="EA109" i="25"/>
  <c r="DY225" i="25"/>
  <c r="DZ220" i="25"/>
  <c r="EA363" i="25"/>
  <c r="AY51" i="559"/>
  <c r="AY58" i="559" s="1"/>
  <c r="AY64" i="559"/>
  <c r="ED11" i="25"/>
  <c r="ED57" i="617"/>
  <c r="ED99" i="571"/>
  <c r="ED101" i="571" s="1"/>
  <c r="BB56" i="559" s="1"/>
  <c r="ED189" i="571"/>
  <c r="EA138" i="25"/>
  <c r="DY82" i="617"/>
  <c r="DY55" i="617"/>
  <c r="DY74" i="617"/>
  <c r="DY83" i="617"/>
  <c r="EA72" i="617"/>
  <c r="EA53" i="617"/>
  <c r="EA80" i="617"/>
  <c r="EA29" i="617"/>
  <c r="EA36" i="617"/>
  <c r="DZ307" i="25" l="1"/>
  <c r="DY230" i="25"/>
  <c r="ED150" i="571"/>
  <c r="ED154" i="571"/>
  <c r="BB32" i="559" s="1"/>
  <c r="EA334" i="25"/>
  <c r="EA335" i="25"/>
  <c r="EA336" i="25"/>
  <c r="EA366" i="25"/>
  <c r="EA320" i="25"/>
  <c r="EA343" i="25"/>
  <c r="EA339" i="25"/>
  <c r="EA338" i="25"/>
  <c r="EA319" i="25"/>
  <c r="DZ339" i="25"/>
  <c r="EA364" i="25"/>
  <c r="DZ343" i="25"/>
  <c r="ED83" i="25"/>
  <c r="ED58" i="25"/>
  <c r="ED60" i="25" s="1"/>
  <c r="ED191" i="571"/>
  <c r="ED22" i="25"/>
  <c r="EA74" i="617"/>
  <c r="EA55" i="617"/>
  <c r="EA82" i="617"/>
  <c r="ED194" i="571"/>
  <c r="ED204" i="571"/>
  <c r="ED59" i="617"/>
  <c r="ED61" i="617" s="1"/>
  <c r="DZ225" i="25"/>
  <c r="DZ230" i="25" s="1"/>
  <c r="DZ335" i="25"/>
  <c r="ED222" i="571"/>
  <c r="ED9" i="25"/>
  <c r="ED209" i="571"/>
  <c r="ED96" i="25" l="1"/>
  <c r="ED108" i="25" s="1"/>
  <c r="ED75" i="617"/>
  <c r="ED67" i="571"/>
  <c r="ED223" i="571"/>
  <c r="ED218" i="571" s="1"/>
  <c r="ED46" i="617" s="1"/>
  <c r="ED76" i="25"/>
  <c r="ED195" i="571"/>
  <c r="ED97" i="25"/>
  <c r="ED11" i="617"/>
  <c r="ED84" i="25"/>
  <c r="BB17" i="559"/>
  <c r="ED272" i="25"/>
  <c r="ED190" i="571"/>
  <c r="ED277" i="25"/>
  <c r="ED99" i="25"/>
  <c r="ED110" i="25" s="1"/>
  <c r="ED82" i="25"/>
  <c r="BB16" i="559"/>
  <c r="ED98" i="25"/>
  <c r="ED402" i="25"/>
  <c r="ED9" i="617"/>
  <c r="ED200" i="571"/>
  <c r="ED205" i="571"/>
  <c r="ED215" i="571" s="1"/>
  <c r="ED101" i="25"/>
  <c r="BB19" i="559"/>
  <c r="ED88" i="25"/>
  <c r="ED10" i="25"/>
  <c r="ED403" i="25" s="1"/>
  <c r="ED135" i="25" l="1"/>
  <c r="ED136" i="25" s="1"/>
  <c r="ED138" i="25" s="1"/>
  <c r="BB63" i="559"/>
  <c r="BB52" i="559"/>
  <c r="BB59" i="559" s="1"/>
  <c r="ED36" i="617"/>
  <c r="ED15" i="617"/>
  <c r="ED29" i="617"/>
  <c r="ED276" i="25"/>
  <c r="ED358" i="25"/>
  <c r="ED109" i="25"/>
  <c r="ED206" i="571"/>
  <c r="ED51" i="617"/>
  <c r="ED130" i="571"/>
  <c r="ED144" i="571" s="1"/>
  <c r="BB53" i="559"/>
  <c r="BB60" i="559" s="1"/>
  <c r="BB66" i="559"/>
  <c r="ED347" i="25"/>
  <c r="ED327" i="25"/>
  <c r="BB64" i="559"/>
  <c r="BB51" i="559"/>
  <c r="BB58" i="559" s="1"/>
  <c r="ED37" i="617"/>
  <c r="ED28" i="617"/>
  <c r="ED10" i="617"/>
  <c r="ED323" i="25"/>
  <c r="ED203" i="25" s="1"/>
  <c r="ED345" i="25"/>
  <c r="ED346" i="25"/>
  <c r="ED65" i="617"/>
  <c r="ED212" i="571"/>
  <c r="ED201" i="571"/>
  <c r="ED213" i="571" s="1"/>
  <c r="ED89" i="25"/>
  <c r="ED102" i="25"/>
  <c r="ED112" i="25" s="1"/>
  <c r="ED137" i="25" l="1"/>
  <c r="ED53" i="617"/>
  <c r="ED72" i="617"/>
  <c r="ED80" i="617"/>
  <c r="EE203" i="25"/>
  <c r="ED84" i="617"/>
  <c r="ED77" i="617"/>
  <c r="ED31" i="617"/>
  <c r="ED38" i="617"/>
  <c r="ED220" i="25"/>
  <c r="ED204" i="25"/>
  <c r="ED78" i="25"/>
  <c r="ED79" i="25" s="1"/>
  <c r="ED281" i="25"/>
  <c r="BB22" i="559" l="1"/>
  <c r="ED87" i="25"/>
  <c r="ED100" i="25"/>
  <c r="ED111" i="25" s="1"/>
  <c r="ED261" i="25"/>
  <c r="ED263" i="25" s="1"/>
  <c r="ED339" i="25"/>
  <c r="ED343" i="25"/>
  <c r="EE204" i="25"/>
  <c r="ED225" i="25"/>
  <c r="EE220" i="25"/>
  <c r="ED307" i="25"/>
  <c r="ED308" i="25" s="1"/>
  <c r="ED74" i="617"/>
  <c r="ED83" i="617"/>
  <c r="ED55" i="617"/>
  <c r="ED82" i="617"/>
  <c r="ED230" i="25" l="1"/>
  <c r="EE339" i="25"/>
  <c r="EE343" i="25"/>
  <c r="EE225" i="25"/>
  <c r="EE230" i="25" s="1"/>
  <c r="EE335" i="25"/>
  <c r="EE307" i="25"/>
  <c r="DQ15" i="611" l="1"/>
  <c r="H21" i="614"/>
  <c r="J21" i="614" s="1"/>
  <c r="H22" i="614"/>
  <c r="J22" i="614" s="1"/>
  <c r="DQ2" i="607"/>
  <c r="DQ2" i="613"/>
  <c r="AO20" i="559" l="1"/>
  <c r="AO21" i="559"/>
  <c r="AO67" i="559" s="1"/>
  <c r="DQ17" i="617"/>
  <c r="DQ18" i="617" s="1"/>
  <c r="DQ22" i="617"/>
  <c r="DQ25" i="617" s="1"/>
  <c r="DQ33" i="617" s="1"/>
  <c r="DQ39" i="617" l="1"/>
  <c r="DQ32" i="617"/>
  <c r="DQ20" i="617"/>
  <c r="DQ42" i="617" s="1"/>
  <c r="DR392" i="25" l="1"/>
  <c r="DQ12" i="611" l="1"/>
  <c r="DR146" i="25"/>
  <c r="DQ14" i="611" l="1"/>
  <c r="DR11" i="611"/>
  <c r="DQ67" i="25" l="1"/>
  <c r="DU67" i="25" s="1"/>
  <c r="DU68" i="25" s="1"/>
  <c r="DQ63" i="617"/>
  <c r="DQ76" i="617" s="1"/>
  <c r="DQ65" i="617"/>
  <c r="DQ77" i="617" s="1"/>
  <c r="DU198" i="571"/>
  <c r="DU63" i="617" s="1"/>
  <c r="DQ84" i="617" l="1"/>
  <c r="DQ83" i="617"/>
  <c r="EO68" i="25"/>
  <c r="EO69" i="25" s="1"/>
  <c r="DU210" i="571"/>
  <c r="DU76" i="617"/>
  <c r="DQ68" i="25"/>
  <c r="AO118" i="559" s="1"/>
  <c r="AO39" i="559" s="1"/>
  <c r="DV67" i="25"/>
  <c r="DV66" i="25" l="1"/>
  <c r="EA67" i="25"/>
  <c r="DZ67" i="25"/>
  <c r="DZ68" i="25" s="1"/>
  <c r="DV198" i="571"/>
  <c r="EE67" i="25" l="1"/>
  <c r="EE68" i="25" s="1"/>
  <c r="EA66" i="25"/>
  <c r="EA198" i="571"/>
  <c r="DV63" i="617"/>
  <c r="DZ198" i="571"/>
  <c r="DV200" i="571"/>
  <c r="DV209" i="571"/>
  <c r="DV210" i="571"/>
  <c r="DV62" i="25"/>
  <c r="DV76" i="25"/>
  <c r="DV86" i="25"/>
  <c r="DV99" i="25"/>
  <c r="DZ66" i="25"/>
  <c r="DV119" i="25"/>
  <c r="DW119" i="25"/>
  <c r="DV13" i="617"/>
  <c r="DV110" i="25" l="1"/>
  <c r="DV76" i="617"/>
  <c r="DV83" i="617"/>
  <c r="EA63" i="617"/>
  <c r="EE198" i="571"/>
  <c r="EA200" i="571"/>
  <c r="EA209" i="571"/>
  <c r="EA210" i="571"/>
  <c r="DV79" i="25"/>
  <c r="DV89" i="25"/>
  <c r="DV102" i="25"/>
  <c r="DV201" i="571"/>
  <c r="DV65" i="617"/>
  <c r="DV212" i="571"/>
  <c r="EA62" i="25"/>
  <c r="EA76" i="25"/>
  <c r="EA86" i="25"/>
  <c r="EA99" i="25"/>
  <c r="EE66" i="25"/>
  <c r="EA119" i="25"/>
  <c r="EB119" i="25"/>
  <c r="EA13" i="617"/>
  <c r="DV15" i="617"/>
  <c r="DV30" i="617"/>
  <c r="DV37" i="617"/>
  <c r="DZ86" i="25"/>
  <c r="DZ13" i="617"/>
  <c r="DV18" i="25"/>
  <c r="DZ62" i="25"/>
  <c r="DZ63" i="617"/>
  <c r="DZ210" i="571"/>
  <c r="EA30" i="617" l="1"/>
  <c r="EA37" i="617"/>
  <c r="EA15" i="617"/>
  <c r="EA110" i="25"/>
  <c r="DV213" i="571"/>
  <c r="DV112" i="25"/>
  <c r="DZ30" i="617"/>
  <c r="DZ76" i="617"/>
  <c r="DV31" i="617"/>
  <c r="DV38" i="617"/>
  <c r="EA65" i="617"/>
  <c r="EA212" i="571"/>
  <c r="DV85" i="25"/>
  <c r="DV98" i="25"/>
  <c r="DV22" i="25"/>
  <c r="DZ18" i="25"/>
  <c r="AT18" i="559"/>
  <c r="DV404" i="25"/>
  <c r="DV221" i="25" s="1"/>
  <c r="EA79" i="25"/>
  <c r="EA89" i="25"/>
  <c r="EA102" i="25"/>
  <c r="EA201" i="571"/>
  <c r="DV77" i="617"/>
  <c r="DV84" i="617"/>
  <c r="DV87" i="25"/>
  <c r="DV100" i="25"/>
  <c r="DV261" i="25"/>
  <c r="DV263" i="25" s="1"/>
  <c r="AT22" i="559"/>
  <c r="EE63" i="617"/>
  <c r="EE210" i="571"/>
  <c r="EE86" i="25"/>
  <c r="EE13" i="617"/>
  <c r="EA18" i="25"/>
  <c r="EE62" i="25"/>
  <c r="EA76" i="617"/>
  <c r="EA83" i="617"/>
  <c r="DV225" i="25" l="1"/>
  <c r="DV307" i="25"/>
  <c r="DV308" i="25" s="1"/>
  <c r="DV365" i="25"/>
  <c r="DW365" i="25"/>
  <c r="EA77" i="617"/>
  <c r="EA84" i="617"/>
  <c r="EE76" i="617"/>
  <c r="EA112" i="25"/>
  <c r="AT52" i="559"/>
  <c r="AT59" i="559" s="1"/>
  <c r="AT65" i="559"/>
  <c r="EA31" i="617"/>
  <c r="EA38" i="617"/>
  <c r="EE18" i="25"/>
  <c r="EA85" i="25"/>
  <c r="EA98" i="25"/>
  <c r="EA22" i="25"/>
  <c r="EA404" i="25"/>
  <c r="EA221" i="25" s="1"/>
  <c r="AY18" i="559"/>
  <c r="DV111" i="25"/>
  <c r="EA213" i="571"/>
  <c r="DZ85" i="25"/>
  <c r="AX18" i="559"/>
  <c r="DZ404" i="25"/>
  <c r="EE30" i="617"/>
  <c r="EA87" i="25"/>
  <c r="EA100" i="25"/>
  <c r="EA261" i="25"/>
  <c r="EA263" i="25" s="1"/>
  <c r="AY22" i="559"/>
  <c r="DV88" i="25"/>
  <c r="DV101" i="25"/>
  <c r="AT19" i="559"/>
  <c r="AX65" i="559" l="1"/>
  <c r="EA225" i="25"/>
  <c r="EA307" i="25"/>
  <c r="EA308" i="25" s="1"/>
  <c r="EB365" i="25"/>
  <c r="EA365" i="25"/>
  <c r="EE85" i="25"/>
  <c r="BC18" i="559"/>
  <c r="EE404" i="25"/>
  <c r="EA88" i="25"/>
  <c r="EA101" i="25"/>
  <c r="AY19" i="559"/>
  <c r="DZ365" i="25"/>
  <c r="DV369" i="25"/>
  <c r="AT53" i="559"/>
  <c r="AT60" i="559" s="1"/>
  <c r="AT66" i="559"/>
  <c r="EA111" i="25"/>
  <c r="AY65" i="559"/>
  <c r="AY52" i="559"/>
  <c r="AY59" i="559" s="1"/>
  <c r="DV230" i="25"/>
  <c r="AY66" i="559" l="1"/>
  <c r="AY53" i="559"/>
  <c r="AY60" i="559" s="1"/>
  <c r="EA230" i="25"/>
  <c r="EE365" i="25"/>
  <c r="EA369" i="25"/>
  <c r="DV282" i="25"/>
  <c r="BC65" i="559"/>
  <c r="EA282" i="25" l="1"/>
  <c r="DR40" i="25" l="1"/>
  <c r="DU40" i="25" s="1"/>
  <c r="DR258" i="25"/>
  <c r="DC15" i="611" l="1"/>
  <c r="DF15" i="611" s="1"/>
  <c r="DC24" i="25"/>
  <c r="DC23" i="25" s="1"/>
  <c r="DF23" i="25" s="1"/>
  <c r="DF24" i="25"/>
  <c r="DC141" i="25"/>
  <c r="DF141" i="25"/>
  <c r="DC143" i="25"/>
  <c r="DF143" i="25"/>
  <c r="DF145" i="25"/>
  <c r="DK145" i="25"/>
  <c r="DP145" i="25"/>
  <c r="DU145" i="25"/>
  <c r="DU147" i="25" s="1"/>
  <c r="DZ145" i="25"/>
  <c r="EE145" i="25"/>
  <c r="DC147" i="25"/>
  <c r="DD147" i="25"/>
  <c r="DE147" i="25"/>
  <c r="DF147" i="25"/>
  <c r="DG147" i="25"/>
  <c r="DH147" i="25"/>
  <c r="DI147" i="25"/>
  <c r="DJ147" i="25"/>
  <c r="DK147" i="25"/>
  <c r="DL147" i="25"/>
  <c r="DM147" i="25"/>
  <c r="DN147" i="25"/>
  <c r="DO147" i="25"/>
  <c r="DP147" i="25"/>
  <c r="DQ147" i="25"/>
  <c r="DR147" i="25"/>
  <c r="DC407" i="25"/>
  <c r="DF407" i="25"/>
  <c r="DS11" i="611" l="1"/>
  <c r="DT11" i="611"/>
  <c r="DV11" i="611"/>
  <c r="DW11" i="611"/>
  <c r="DX11" i="611"/>
  <c r="DY11" i="611"/>
  <c r="EA11" i="611"/>
  <c r="EB11" i="611"/>
  <c r="EC11" i="611"/>
  <c r="ED11" i="611"/>
  <c r="DR12" i="611"/>
  <c r="DS12" i="611"/>
  <c r="DT12" i="611"/>
  <c r="DV12" i="611"/>
  <c r="DW12" i="611"/>
  <c r="DX12" i="611"/>
  <c r="DY12" i="611"/>
  <c r="EA12" i="611"/>
  <c r="EB12" i="611"/>
  <c r="EC12" i="611"/>
  <c r="ED12" i="611"/>
  <c r="DR14" i="611"/>
  <c r="DS14" i="611"/>
  <c r="DT14" i="611"/>
  <c r="DU14" i="611"/>
  <c r="DV14" i="611"/>
  <c r="DW14" i="611"/>
  <c r="DX14" i="611"/>
  <c r="DY14" i="611"/>
  <c r="DZ14" i="611"/>
  <c r="EA14" i="611"/>
  <c r="EB14" i="611"/>
  <c r="EC14" i="611"/>
  <c r="ED14" i="611"/>
  <c r="EE14" i="611"/>
  <c r="DR15" i="611"/>
  <c r="DS15" i="611"/>
  <c r="DT15" i="611"/>
  <c r="DU15" i="611"/>
  <c r="DV15" i="611"/>
  <c r="DW15" i="611"/>
  <c r="DX15" i="611"/>
  <c r="DY15" i="611"/>
  <c r="DZ15" i="611"/>
  <c r="EA15" i="611"/>
  <c r="EB15" i="611"/>
  <c r="EC15" i="611"/>
  <c r="ED15" i="611"/>
  <c r="EE15" i="611"/>
  <c r="K17" i="614"/>
  <c r="M17" i="614"/>
  <c r="N17" i="614"/>
  <c r="P17" i="614"/>
  <c r="Q17" i="614"/>
  <c r="S17" i="614"/>
  <c r="T17" i="614"/>
  <c r="V17" i="614"/>
  <c r="K18" i="614"/>
  <c r="M18" i="614"/>
  <c r="N18" i="614"/>
  <c r="P18" i="614"/>
  <c r="Q18" i="614"/>
  <c r="S18" i="614"/>
  <c r="T18" i="614"/>
  <c r="V18" i="614"/>
  <c r="K19" i="614"/>
  <c r="M19" i="614"/>
  <c r="N19" i="614"/>
  <c r="P19" i="614"/>
  <c r="Q19" i="614"/>
  <c r="S19" i="614"/>
  <c r="T19" i="614"/>
  <c r="V19" i="614"/>
  <c r="K20" i="614"/>
  <c r="M20" i="614"/>
  <c r="N20" i="614"/>
  <c r="P20" i="614"/>
  <c r="Q20" i="614"/>
  <c r="S20" i="614"/>
  <c r="T20" i="614"/>
  <c r="V20" i="614"/>
  <c r="K21" i="614"/>
  <c r="M21" i="614"/>
  <c r="N21" i="614"/>
  <c r="P21" i="614"/>
  <c r="Q21" i="614"/>
  <c r="S21" i="614"/>
  <c r="T21" i="614"/>
  <c r="V21" i="614"/>
  <c r="K22" i="614"/>
  <c r="M22" i="614"/>
  <c r="N22" i="614"/>
  <c r="P22" i="614"/>
  <c r="Q22" i="614"/>
  <c r="S22" i="614"/>
  <c r="T22" i="614"/>
  <c r="V22" i="614"/>
  <c r="N32" i="614"/>
  <c r="Q32" i="614"/>
  <c r="T32" i="614"/>
  <c r="N33" i="614"/>
  <c r="Q33" i="614"/>
  <c r="T33" i="614"/>
  <c r="N34" i="614"/>
  <c r="Q34" i="614"/>
  <c r="T34" i="614"/>
  <c r="N35" i="614"/>
  <c r="Q35" i="614"/>
  <c r="T35" i="614"/>
  <c r="N36" i="614"/>
  <c r="Q36" i="614"/>
  <c r="T36" i="614"/>
  <c r="N45" i="614"/>
  <c r="O45" i="614"/>
  <c r="P45" i="614"/>
  <c r="N46" i="614"/>
  <c r="O46" i="614"/>
  <c r="P46" i="614"/>
  <c r="N48" i="614"/>
  <c r="O48" i="614"/>
  <c r="P48" i="614"/>
  <c r="DR2" i="607"/>
  <c r="DS2" i="607"/>
  <c r="DT2" i="607"/>
  <c r="DU2" i="607"/>
  <c r="DV2" i="607"/>
  <c r="DW2" i="607"/>
  <c r="DX2" i="607"/>
  <c r="DY2" i="607"/>
  <c r="DZ2" i="607"/>
  <c r="EA2" i="607"/>
  <c r="EB2" i="607"/>
  <c r="EC2" i="607"/>
  <c r="ED2" i="607"/>
  <c r="EE2" i="607"/>
  <c r="DR2" i="613"/>
  <c r="DS2" i="613"/>
  <c r="DT2" i="613"/>
  <c r="DU2" i="613"/>
  <c r="DV2" i="613"/>
  <c r="DW2" i="613"/>
  <c r="DX2" i="613"/>
  <c r="DY2" i="613"/>
  <c r="DZ2" i="613"/>
  <c r="EA2" i="613"/>
  <c r="EB2" i="613"/>
  <c r="EC2" i="613"/>
  <c r="ED2" i="613"/>
  <c r="EE2" i="613"/>
  <c r="DR9" i="25"/>
  <c r="DS9" i="25"/>
  <c r="DU9" i="25"/>
  <c r="DW9" i="25"/>
  <c r="DX9" i="25"/>
  <c r="DZ9" i="25"/>
  <c r="EB9" i="25"/>
  <c r="EC9" i="25"/>
  <c r="EE9" i="25"/>
  <c r="DR10" i="25"/>
  <c r="DS10" i="25"/>
  <c r="DU10" i="25"/>
  <c r="DW10" i="25"/>
  <c r="DX10" i="25"/>
  <c r="DZ10" i="25"/>
  <c r="EB10" i="25"/>
  <c r="EC10" i="25"/>
  <c r="EE10" i="25"/>
  <c r="DR11" i="25"/>
  <c r="DS11" i="25"/>
  <c r="DU11" i="25"/>
  <c r="DW11" i="25"/>
  <c r="DX11" i="25"/>
  <c r="DZ11" i="25"/>
  <c r="EB11" i="25"/>
  <c r="EC11" i="25"/>
  <c r="EE11" i="25"/>
  <c r="DR12" i="25"/>
  <c r="DR22" i="25"/>
  <c r="DS22" i="25"/>
  <c r="DU22" i="25"/>
  <c r="DW22" i="25"/>
  <c r="DX22" i="25"/>
  <c r="DZ22" i="25"/>
  <c r="EB22" i="25"/>
  <c r="EC22" i="25"/>
  <c r="EE22" i="25"/>
  <c r="DR24" i="25"/>
  <c r="DS24" i="25"/>
  <c r="DT24" i="25"/>
  <c r="DU24" i="25"/>
  <c r="DV24" i="25"/>
  <c r="DW24" i="25"/>
  <c r="DX24" i="25"/>
  <c r="DY24" i="25"/>
  <c r="DZ24" i="25"/>
  <c r="EA24" i="25"/>
  <c r="EB24" i="25"/>
  <c r="EC24" i="25"/>
  <c r="ED24" i="25"/>
  <c r="EE24" i="25"/>
  <c r="DR25" i="25"/>
  <c r="DS25" i="25"/>
  <c r="DT25" i="25"/>
  <c r="DU25" i="25"/>
  <c r="DV25" i="25"/>
  <c r="DW25" i="25"/>
  <c r="DX25" i="25"/>
  <c r="DY25" i="25"/>
  <c r="DZ25" i="25"/>
  <c r="EA25" i="25"/>
  <c r="EB25" i="25"/>
  <c r="EC25" i="25"/>
  <c r="ED25" i="25"/>
  <c r="EE25" i="25"/>
  <c r="DR28" i="25"/>
  <c r="DS28" i="25"/>
  <c r="DT28" i="25"/>
  <c r="DU28" i="25"/>
  <c r="DV28" i="25"/>
  <c r="DW28" i="25"/>
  <c r="DX28" i="25"/>
  <c r="DY28" i="25"/>
  <c r="DZ28" i="25"/>
  <c r="EA28" i="25"/>
  <c r="EB28" i="25"/>
  <c r="EC28" i="25"/>
  <c r="ED28" i="25"/>
  <c r="EE28" i="25"/>
  <c r="DR29" i="25"/>
  <c r="DS29" i="25"/>
  <c r="DT29" i="25"/>
  <c r="DU29" i="25"/>
  <c r="DV29" i="25"/>
  <c r="DW29" i="25"/>
  <c r="DX29" i="25"/>
  <c r="DY29" i="25"/>
  <c r="DZ29" i="25"/>
  <c r="EA29" i="25"/>
  <c r="EB29" i="25"/>
  <c r="EC29" i="25"/>
  <c r="ED29" i="25"/>
  <c r="EE29" i="25"/>
  <c r="DU30" i="25"/>
  <c r="DZ30" i="25"/>
  <c r="EA30" i="25"/>
  <c r="EB30" i="25"/>
  <c r="EC30" i="25"/>
  <c r="ED30" i="25"/>
  <c r="EE30" i="25"/>
  <c r="DR31" i="25"/>
  <c r="DS31" i="25"/>
  <c r="DT31" i="25"/>
  <c r="DU31" i="25"/>
  <c r="DV31" i="25"/>
  <c r="DW31" i="25"/>
  <c r="DX31" i="25"/>
  <c r="DY31" i="25"/>
  <c r="DZ31" i="25"/>
  <c r="EA31" i="25"/>
  <c r="EB31" i="25"/>
  <c r="EC31" i="25"/>
  <c r="ED31" i="25"/>
  <c r="EE31" i="25"/>
  <c r="DR33" i="25"/>
  <c r="DS33" i="25"/>
  <c r="DT33" i="25"/>
  <c r="DU33" i="25"/>
  <c r="DV33" i="25"/>
  <c r="DW33" i="25"/>
  <c r="DX33" i="25"/>
  <c r="DY33" i="25"/>
  <c r="DZ33" i="25"/>
  <c r="EA33" i="25"/>
  <c r="EB33" i="25"/>
  <c r="EC33" i="25"/>
  <c r="ED33" i="25"/>
  <c r="EE33" i="25"/>
  <c r="EA40" i="25"/>
  <c r="EB40" i="25"/>
  <c r="EC40" i="25"/>
  <c r="ED40" i="25"/>
  <c r="EE40" i="25"/>
  <c r="DR41" i="25"/>
  <c r="DS41" i="25"/>
  <c r="DT41" i="25"/>
  <c r="DU41" i="25"/>
  <c r="DV41" i="25"/>
  <c r="DW41" i="25"/>
  <c r="DX41" i="25"/>
  <c r="DY41" i="25"/>
  <c r="DZ41" i="25"/>
  <c r="EA41" i="25"/>
  <c r="EB41" i="25"/>
  <c r="EC41" i="25"/>
  <c r="ED41" i="25"/>
  <c r="EE41" i="25"/>
  <c r="DR43" i="25"/>
  <c r="DS43" i="25"/>
  <c r="DT43" i="25"/>
  <c r="DU43" i="25"/>
  <c r="DV43" i="25"/>
  <c r="DW43" i="25"/>
  <c r="DX43" i="25"/>
  <c r="DY43" i="25"/>
  <c r="DZ43" i="25"/>
  <c r="EA43" i="25"/>
  <c r="EB43" i="25"/>
  <c r="EC43" i="25"/>
  <c r="ED43" i="25"/>
  <c r="EE43" i="25"/>
  <c r="DR45" i="25"/>
  <c r="DS45" i="25"/>
  <c r="DT45" i="25"/>
  <c r="DU45" i="25"/>
  <c r="DV45" i="25"/>
  <c r="DW45" i="25"/>
  <c r="DX45" i="25"/>
  <c r="DY45" i="25"/>
  <c r="DZ45" i="25"/>
  <c r="EA45" i="25"/>
  <c r="EB45" i="25"/>
  <c r="EC45" i="25"/>
  <c r="ED45" i="25"/>
  <c r="EE45" i="25"/>
  <c r="DR46" i="25"/>
  <c r="DS46" i="25"/>
  <c r="DT46" i="25"/>
  <c r="DU46" i="25"/>
  <c r="DV46" i="25"/>
  <c r="DW46" i="25"/>
  <c r="DX46" i="25"/>
  <c r="DY46" i="25"/>
  <c r="DZ46" i="25"/>
  <c r="EA46" i="25"/>
  <c r="EB46" i="25"/>
  <c r="EC46" i="25"/>
  <c r="ED46" i="25"/>
  <c r="EE46" i="25"/>
  <c r="DU52" i="25"/>
  <c r="DZ52" i="25"/>
  <c r="EE52" i="25"/>
  <c r="DR58" i="25"/>
  <c r="DS58" i="25"/>
  <c r="DU58" i="25"/>
  <c r="DW58" i="25"/>
  <c r="DX58" i="25"/>
  <c r="DZ58" i="25"/>
  <c r="EB58" i="25"/>
  <c r="EC58" i="25"/>
  <c r="EE58" i="25"/>
  <c r="DR60" i="25"/>
  <c r="DS60" i="25"/>
  <c r="DU60" i="25"/>
  <c r="DW60" i="25"/>
  <c r="DX60" i="25"/>
  <c r="DZ60" i="25"/>
  <c r="EB60" i="25"/>
  <c r="EC60" i="25"/>
  <c r="EE60" i="25"/>
  <c r="DR76" i="25"/>
  <c r="DS76" i="25"/>
  <c r="DU76" i="25"/>
  <c r="DW76" i="25"/>
  <c r="DX76" i="25"/>
  <c r="DZ76" i="25"/>
  <c r="EB76" i="25"/>
  <c r="EC76" i="25"/>
  <c r="EE76" i="25"/>
  <c r="DR78" i="25"/>
  <c r="DS78" i="25"/>
  <c r="DU78" i="25"/>
  <c r="DW78" i="25"/>
  <c r="DX78" i="25"/>
  <c r="DZ78" i="25"/>
  <c r="EB78" i="25"/>
  <c r="EC78" i="25"/>
  <c r="EE78" i="25"/>
  <c r="DR79" i="25"/>
  <c r="DS79" i="25"/>
  <c r="DU79" i="25"/>
  <c r="DW79" i="25"/>
  <c r="DX79" i="25"/>
  <c r="DZ79" i="25"/>
  <c r="EB79" i="25"/>
  <c r="EC79" i="25"/>
  <c r="EE79" i="25"/>
  <c r="DR82" i="25"/>
  <c r="DS82" i="25"/>
  <c r="DU82" i="25"/>
  <c r="DW82" i="25"/>
  <c r="DX82" i="25"/>
  <c r="DZ82" i="25"/>
  <c r="EB82" i="25"/>
  <c r="EC82" i="25"/>
  <c r="EE82" i="25"/>
  <c r="DR83" i="25"/>
  <c r="DS83" i="25"/>
  <c r="DU83" i="25"/>
  <c r="DW83" i="25"/>
  <c r="DX83" i="25"/>
  <c r="DZ83" i="25"/>
  <c r="EB83" i="25"/>
  <c r="EC83" i="25"/>
  <c r="EE83" i="25"/>
  <c r="DR84" i="25"/>
  <c r="DS84" i="25"/>
  <c r="DU84" i="25"/>
  <c r="DW84" i="25"/>
  <c r="DX84" i="25"/>
  <c r="DZ84" i="25"/>
  <c r="EB84" i="25"/>
  <c r="EC84" i="25"/>
  <c r="EE84" i="25"/>
  <c r="DR87" i="25"/>
  <c r="DS87" i="25"/>
  <c r="DU87" i="25"/>
  <c r="DW87" i="25"/>
  <c r="DX87" i="25"/>
  <c r="DZ87" i="25"/>
  <c r="EB87" i="25"/>
  <c r="EC87" i="25"/>
  <c r="EE87" i="25"/>
  <c r="DR88" i="25"/>
  <c r="DS88" i="25"/>
  <c r="DU88" i="25"/>
  <c r="DW88" i="25"/>
  <c r="DX88" i="25"/>
  <c r="DZ88" i="25"/>
  <c r="EB88" i="25"/>
  <c r="EC88" i="25"/>
  <c r="EE88" i="25"/>
  <c r="DR89" i="25"/>
  <c r="DS89" i="25"/>
  <c r="DU89" i="25"/>
  <c r="DW89" i="25"/>
  <c r="DX89" i="25"/>
  <c r="DZ89" i="25"/>
  <c r="EB89" i="25"/>
  <c r="EC89" i="25"/>
  <c r="EE89" i="25"/>
  <c r="DR90" i="25"/>
  <c r="DS90" i="25"/>
  <c r="DT90" i="25"/>
  <c r="DU90" i="25"/>
  <c r="DV90" i="25"/>
  <c r="DW90" i="25"/>
  <c r="DX90" i="25"/>
  <c r="DY90" i="25"/>
  <c r="DZ90" i="25"/>
  <c r="EA90" i="25"/>
  <c r="EB90" i="25"/>
  <c r="EC90" i="25"/>
  <c r="ED90" i="25"/>
  <c r="EE90" i="25"/>
  <c r="DR91" i="25"/>
  <c r="DS91" i="25"/>
  <c r="DT91" i="25"/>
  <c r="DU91" i="25"/>
  <c r="DV91" i="25"/>
  <c r="DW91" i="25"/>
  <c r="DX91" i="25"/>
  <c r="DY91" i="25"/>
  <c r="DZ91" i="25"/>
  <c r="EA91" i="25"/>
  <c r="EB91" i="25"/>
  <c r="EC91" i="25"/>
  <c r="ED91" i="25"/>
  <c r="EE91" i="25"/>
  <c r="DR92" i="25"/>
  <c r="DS92" i="25"/>
  <c r="DT92" i="25"/>
  <c r="DU92" i="25"/>
  <c r="DV92" i="25"/>
  <c r="DW92" i="25"/>
  <c r="DX92" i="25"/>
  <c r="DY92" i="25"/>
  <c r="DZ92" i="25"/>
  <c r="EA92" i="25"/>
  <c r="EB92" i="25"/>
  <c r="EC92" i="25"/>
  <c r="ED92" i="25"/>
  <c r="EE92" i="25"/>
  <c r="DR93" i="25"/>
  <c r="DS93" i="25"/>
  <c r="DT93" i="25"/>
  <c r="DU93" i="25"/>
  <c r="DV93" i="25"/>
  <c r="DW93" i="25"/>
  <c r="DX93" i="25"/>
  <c r="DY93" i="25"/>
  <c r="DZ93" i="25"/>
  <c r="EA93" i="25"/>
  <c r="EB93" i="25"/>
  <c r="EC93" i="25"/>
  <c r="ED93" i="25"/>
  <c r="EE93" i="25"/>
  <c r="DR96" i="25"/>
  <c r="DS96" i="25"/>
  <c r="DU96" i="25"/>
  <c r="DW96" i="25"/>
  <c r="DX96" i="25"/>
  <c r="DZ96" i="25"/>
  <c r="EB96" i="25"/>
  <c r="EC96" i="25"/>
  <c r="EE96" i="25"/>
  <c r="DR97" i="25"/>
  <c r="DS97" i="25"/>
  <c r="DU97" i="25"/>
  <c r="DW97" i="25"/>
  <c r="DX97" i="25"/>
  <c r="DZ97" i="25"/>
  <c r="EB97" i="25"/>
  <c r="EC97" i="25"/>
  <c r="EE97" i="25"/>
  <c r="DR98" i="25"/>
  <c r="DS98" i="25"/>
  <c r="DU98" i="25"/>
  <c r="DW98" i="25"/>
  <c r="DX98" i="25"/>
  <c r="DZ98" i="25"/>
  <c r="EB98" i="25"/>
  <c r="EC98" i="25"/>
  <c r="EE98" i="25"/>
  <c r="DR99" i="25"/>
  <c r="DS99" i="25"/>
  <c r="DU99" i="25"/>
  <c r="DW99" i="25"/>
  <c r="DX99" i="25"/>
  <c r="DZ99" i="25"/>
  <c r="EB99" i="25"/>
  <c r="EC99" i="25"/>
  <c r="EE99" i="25"/>
  <c r="DR100" i="25"/>
  <c r="DS100" i="25"/>
  <c r="DU100" i="25"/>
  <c r="DW100" i="25"/>
  <c r="DX100" i="25"/>
  <c r="DZ100" i="25"/>
  <c r="EB100" i="25"/>
  <c r="EC100" i="25"/>
  <c r="EE100" i="25"/>
  <c r="DR101" i="25"/>
  <c r="DS101" i="25"/>
  <c r="DU101" i="25"/>
  <c r="DW101" i="25"/>
  <c r="DX101" i="25"/>
  <c r="DZ101" i="25"/>
  <c r="EB101" i="25"/>
  <c r="EC101" i="25"/>
  <c r="EE101" i="25"/>
  <c r="DR102" i="25"/>
  <c r="DS102" i="25"/>
  <c r="DU102" i="25"/>
  <c r="DW102" i="25"/>
  <c r="DX102" i="25"/>
  <c r="DZ102" i="25"/>
  <c r="EB102" i="25"/>
  <c r="EC102" i="25"/>
  <c r="EE102" i="25"/>
  <c r="DR103" i="25"/>
  <c r="DS103" i="25"/>
  <c r="DT103" i="25"/>
  <c r="DU103" i="25"/>
  <c r="DV103" i="25"/>
  <c r="DW103" i="25"/>
  <c r="DX103" i="25"/>
  <c r="DY103" i="25"/>
  <c r="DZ103" i="25"/>
  <c r="EA103" i="25"/>
  <c r="EB103" i="25"/>
  <c r="EC103" i="25"/>
  <c r="ED103" i="25"/>
  <c r="EE103" i="25"/>
  <c r="DR104" i="25"/>
  <c r="DS104" i="25"/>
  <c r="DT104" i="25"/>
  <c r="DU104" i="25"/>
  <c r="DV104" i="25"/>
  <c r="DW104" i="25"/>
  <c r="DX104" i="25"/>
  <c r="DY104" i="25"/>
  <c r="DZ104" i="25"/>
  <c r="EA104" i="25"/>
  <c r="EB104" i="25"/>
  <c r="EC104" i="25"/>
  <c r="ED104" i="25"/>
  <c r="EE104" i="25"/>
  <c r="DR105" i="25"/>
  <c r="DS105" i="25"/>
  <c r="DT105" i="25"/>
  <c r="DU105" i="25"/>
  <c r="DV105" i="25"/>
  <c r="DW105" i="25"/>
  <c r="DX105" i="25"/>
  <c r="DY105" i="25"/>
  <c r="DZ105" i="25"/>
  <c r="EA105" i="25"/>
  <c r="EB105" i="25"/>
  <c r="EC105" i="25"/>
  <c r="ED105" i="25"/>
  <c r="EE105" i="25"/>
  <c r="DR106" i="25"/>
  <c r="DR108" i="25"/>
  <c r="DS108" i="25"/>
  <c r="DU108" i="25"/>
  <c r="DW108" i="25"/>
  <c r="DX108" i="25"/>
  <c r="DZ108" i="25"/>
  <c r="EB108" i="25"/>
  <c r="EC108" i="25"/>
  <c r="EE108" i="25"/>
  <c r="DR109" i="25"/>
  <c r="DS109" i="25"/>
  <c r="DU109" i="25"/>
  <c r="DW109" i="25"/>
  <c r="DX109" i="25"/>
  <c r="DZ109" i="25"/>
  <c r="EB109" i="25"/>
  <c r="EC109" i="25"/>
  <c r="EE109" i="25"/>
  <c r="DR110" i="25"/>
  <c r="DS110" i="25"/>
  <c r="DU110" i="25"/>
  <c r="DW110" i="25"/>
  <c r="DX110" i="25"/>
  <c r="DZ110" i="25"/>
  <c r="EB110" i="25"/>
  <c r="EC110" i="25"/>
  <c r="EE110" i="25"/>
  <c r="DR111" i="25"/>
  <c r="DS111" i="25"/>
  <c r="DU111" i="25"/>
  <c r="DW111" i="25"/>
  <c r="DX111" i="25"/>
  <c r="DZ111" i="25"/>
  <c r="EB111" i="25"/>
  <c r="EC111" i="25"/>
  <c r="EE111" i="25"/>
  <c r="DR112" i="25"/>
  <c r="DS112" i="25"/>
  <c r="DU112" i="25"/>
  <c r="DW112" i="25"/>
  <c r="DX112" i="25"/>
  <c r="DZ112" i="25"/>
  <c r="EB112" i="25"/>
  <c r="EC112" i="25"/>
  <c r="EE112" i="25"/>
  <c r="DR113" i="25"/>
  <c r="DS113" i="25"/>
  <c r="DT113" i="25"/>
  <c r="DU113" i="25"/>
  <c r="DV113" i="25"/>
  <c r="DW113" i="25"/>
  <c r="DX113" i="25"/>
  <c r="DY113" i="25"/>
  <c r="DZ113" i="25"/>
  <c r="EA113" i="25"/>
  <c r="EB113" i="25"/>
  <c r="EC113" i="25"/>
  <c r="ED113" i="25"/>
  <c r="EE113" i="25"/>
  <c r="DR117" i="25"/>
  <c r="DS117" i="25"/>
  <c r="DT117" i="25"/>
  <c r="DV117" i="25"/>
  <c r="DW117" i="25"/>
  <c r="DX117" i="25"/>
  <c r="DY117" i="25"/>
  <c r="EA117" i="25"/>
  <c r="EB117" i="25"/>
  <c r="EC117" i="25"/>
  <c r="ED117" i="25"/>
  <c r="DR118" i="25"/>
  <c r="DS118" i="25"/>
  <c r="DT118" i="25"/>
  <c r="DV118" i="25"/>
  <c r="DW118" i="25"/>
  <c r="DX118" i="25"/>
  <c r="DY118" i="25"/>
  <c r="EA118" i="25"/>
  <c r="EB118" i="25"/>
  <c r="EC118" i="25"/>
  <c r="ED118" i="25"/>
  <c r="DR120" i="25"/>
  <c r="DS120" i="25"/>
  <c r="DT120" i="25"/>
  <c r="DV120" i="25"/>
  <c r="DW120" i="25"/>
  <c r="DX120" i="25"/>
  <c r="DY120" i="25"/>
  <c r="EA120" i="25"/>
  <c r="EB120" i="25"/>
  <c r="EC120" i="25"/>
  <c r="ED120" i="25"/>
  <c r="DR121" i="25"/>
  <c r="DS121" i="25"/>
  <c r="DT121" i="25"/>
  <c r="DV121" i="25"/>
  <c r="DW121" i="25"/>
  <c r="DX121" i="25"/>
  <c r="DY121" i="25"/>
  <c r="EA121" i="25"/>
  <c r="EB121" i="25"/>
  <c r="EC121" i="25"/>
  <c r="ED121" i="25"/>
  <c r="DR122" i="25"/>
  <c r="DS122" i="25"/>
  <c r="DT122" i="25"/>
  <c r="DV122" i="25"/>
  <c r="DW122" i="25"/>
  <c r="DX122" i="25"/>
  <c r="DY122" i="25"/>
  <c r="EA122" i="25"/>
  <c r="EB122" i="25"/>
  <c r="EC122" i="25"/>
  <c r="ED122" i="25"/>
  <c r="DR123" i="25"/>
  <c r="DS123" i="25"/>
  <c r="DT123" i="25"/>
  <c r="DV123" i="25"/>
  <c r="DW123" i="25"/>
  <c r="DX123" i="25"/>
  <c r="DY123" i="25"/>
  <c r="EA123" i="25"/>
  <c r="EB123" i="25"/>
  <c r="EC123" i="25"/>
  <c r="ED123" i="25"/>
  <c r="DR124" i="25"/>
  <c r="DS124" i="25"/>
  <c r="DT124" i="25"/>
  <c r="DV124" i="25"/>
  <c r="DW124" i="25"/>
  <c r="DX124" i="25"/>
  <c r="DY124" i="25"/>
  <c r="EA124" i="25"/>
  <c r="EB124" i="25"/>
  <c r="EC124" i="25"/>
  <c r="ED124" i="25"/>
  <c r="DR127" i="25"/>
  <c r="DS127" i="25"/>
  <c r="DT127" i="25"/>
  <c r="DV127" i="25"/>
  <c r="DW127" i="25"/>
  <c r="DX127" i="25"/>
  <c r="DY127" i="25"/>
  <c r="EA127" i="25"/>
  <c r="EB127" i="25"/>
  <c r="EC127" i="25"/>
  <c r="ED127" i="25"/>
  <c r="DR128" i="25"/>
  <c r="DS128" i="25"/>
  <c r="DT128" i="25"/>
  <c r="DV128" i="25"/>
  <c r="DW128" i="25"/>
  <c r="DX128" i="25"/>
  <c r="DY128" i="25"/>
  <c r="EA128" i="25"/>
  <c r="EB128" i="25"/>
  <c r="EC128" i="25"/>
  <c r="ED128" i="25"/>
  <c r="DR129" i="25"/>
  <c r="DS129" i="25"/>
  <c r="DT129" i="25"/>
  <c r="DV129" i="25"/>
  <c r="DW129" i="25"/>
  <c r="DX129" i="25"/>
  <c r="DY129" i="25"/>
  <c r="EA129" i="25"/>
  <c r="EB129" i="25"/>
  <c r="EC129" i="25"/>
  <c r="ED129" i="25"/>
  <c r="DR130" i="25"/>
  <c r="DS130" i="25"/>
  <c r="DT130" i="25"/>
  <c r="DV130" i="25"/>
  <c r="DW130" i="25"/>
  <c r="DX130" i="25"/>
  <c r="DY130" i="25"/>
  <c r="EA130" i="25"/>
  <c r="EB130" i="25"/>
  <c r="EC130" i="25"/>
  <c r="ED130" i="25"/>
  <c r="DR131" i="25"/>
  <c r="DS131" i="25"/>
  <c r="DT131" i="25"/>
  <c r="DV131" i="25"/>
  <c r="DW131" i="25"/>
  <c r="DX131" i="25"/>
  <c r="DY131" i="25"/>
  <c r="EA131" i="25"/>
  <c r="EB131" i="25"/>
  <c r="EC131" i="25"/>
  <c r="ED131" i="25"/>
  <c r="DR132" i="25"/>
  <c r="DS132" i="25"/>
  <c r="DT132" i="25"/>
  <c r="DV132" i="25"/>
  <c r="DW132" i="25"/>
  <c r="DX132" i="25"/>
  <c r="DY132" i="25"/>
  <c r="EA132" i="25"/>
  <c r="EB132" i="25"/>
  <c r="EC132" i="25"/>
  <c r="ED132" i="25"/>
  <c r="DR135" i="25"/>
  <c r="DS135" i="25"/>
  <c r="DU135" i="25"/>
  <c r="DW135" i="25"/>
  <c r="DX135" i="25"/>
  <c r="DZ135" i="25"/>
  <c r="EB135" i="25"/>
  <c r="EC135" i="25"/>
  <c r="EE135" i="25"/>
  <c r="DR136" i="25"/>
  <c r="DS136" i="25"/>
  <c r="DU136" i="25"/>
  <c r="DW136" i="25"/>
  <c r="DX136" i="25"/>
  <c r="DZ136" i="25"/>
  <c r="EB136" i="25"/>
  <c r="EC136" i="25"/>
  <c r="EE136" i="25"/>
  <c r="DR137" i="25"/>
  <c r="DS137" i="25"/>
  <c r="DU137" i="25"/>
  <c r="DW137" i="25"/>
  <c r="DX137" i="25"/>
  <c r="DZ137" i="25"/>
  <c r="EB137" i="25"/>
  <c r="EC137" i="25"/>
  <c r="EE137" i="25"/>
  <c r="DR138" i="25"/>
  <c r="DS138" i="25"/>
  <c r="DU138" i="25"/>
  <c r="DW138" i="25"/>
  <c r="DX138" i="25"/>
  <c r="DZ138" i="25"/>
  <c r="EB138" i="25"/>
  <c r="EC138" i="25"/>
  <c r="EE138" i="25"/>
  <c r="DS146" i="25"/>
  <c r="DT146" i="25"/>
  <c r="DV146" i="25"/>
  <c r="DW146" i="25"/>
  <c r="DX146" i="25"/>
  <c r="DY146" i="25"/>
  <c r="DZ146" i="25"/>
  <c r="EA146" i="25"/>
  <c r="EB146" i="25"/>
  <c r="EC146" i="25"/>
  <c r="ED146" i="25"/>
  <c r="EE146" i="25"/>
  <c r="DS147" i="25"/>
  <c r="DT147" i="25"/>
  <c r="DV147" i="25"/>
  <c r="DW147" i="25"/>
  <c r="DX147" i="25"/>
  <c r="DY147" i="25"/>
  <c r="DZ147" i="25"/>
  <c r="EA147" i="25"/>
  <c r="EB147" i="25"/>
  <c r="EC147" i="25"/>
  <c r="ED147" i="25"/>
  <c r="EE147" i="25"/>
  <c r="DR158" i="25"/>
  <c r="DS158" i="25"/>
  <c r="DT158" i="25"/>
  <c r="DU158" i="25"/>
  <c r="DV158" i="25"/>
  <c r="DW158" i="25"/>
  <c r="DX158" i="25"/>
  <c r="DY158" i="25"/>
  <c r="DZ158" i="25"/>
  <c r="EA158" i="25"/>
  <c r="EB158" i="25"/>
  <c r="EC158" i="25"/>
  <c r="ED158" i="25"/>
  <c r="EE158" i="25"/>
  <c r="DR159" i="25"/>
  <c r="DS159" i="25"/>
  <c r="DT159" i="25"/>
  <c r="DU159" i="25"/>
  <c r="DV159" i="25"/>
  <c r="DW159" i="25"/>
  <c r="DX159" i="25"/>
  <c r="DY159" i="25"/>
  <c r="DZ159" i="25"/>
  <c r="EA159" i="25"/>
  <c r="EB159" i="25"/>
  <c r="EC159" i="25"/>
  <c r="ED159" i="25"/>
  <c r="EE159" i="25"/>
  <c r="DR160" i="25"/>
  <c r="DS160" i="25"/>
  <c r="DT160" i="25"/>
  <c r="DU160" i="25"/>
  <c r="DV160" i="25"/>
  <c r="DW160" i="25"/>
  <c r="DX160" i="25"/>
  <c r="DY160" i="25"/>
  <c r="DZ160" i="25"/>
  <c r="EA160" i="25"/>
  <c r="EB160" i="25"/>
  <c r="EC160" i="25"/>
  <c r="ED160" i="25"/>
  <c r="EE160" i="25"/>
  <c r="DR187" i="25"/>
  <c r="DS187" i="25"/>
  <c r="DT187" i="25"/>
  <c r="DV187" i="25"/>
  <c r="DW187" i="25"/>
  <c r="DX187" i="25"/>
  <c r="DY187" i="25"/>
  <c r="EA187" i="25"/>
  <c r="EB187" i="25"/>
  <c r="EC187" i="25"/>
  <c r="ED187" i="25"/>
  <c r="DR188" i="25"/>
  <c r="DS188" i="25"/>
  <c r="DT188" i="25"/>
  <c r="DV188" i="25"/>
  <c r="DW188" i="25"/>
  <c r="DX188" i="25"/>
  <c r="DY188" i="25"/>
  <c r="EA188" i="25"/>
  <c r="EB188" i="25"/>
  <c r="EC188" i="25"/>
  <c r="ED188" i="25"/>
  <c r="DR189" i="25"/>
  <c r="DS189" i="25"/>
  <c r="DT189" i="25"/>
  <c r="DV189" i="25"/>
  <c r="DW189" i="25"/>
  <c r="DX189" i="25"/>
  <c r="DY189" i="25"/>
  <c r="EA189" i="25"/>
  <c r="EB189" i="25"/>
  <c r="EC189" i="25"/>
  <c r="ED189" i="25"/>
  <c r="DR190" i="25"/>
  <c r="DS190" i="25"/>
  <c r="DT190" i="25"/>
  <c r="DV190" i="25"/>
  <c r="DW190" i="25"/>
  <c r="DX190" i="25"/>
  <c r="DY190" i="25"/>
  <c r="EA190" i="25"/>
  <c r="EB190" i="25"/>
  <c r="EC190" i="25"/>
  <c r="ED190" i="25"/>
  <c r="DR191" i="25"/>
  <c r="DS191" i="25"/>
  <c r="DT191" i="25"/>
  <c r="DV191" i="25"/>
  <c r="DW191" i="25"/>
  <c r="DX191" i="25"/>
  <c r="DY191" i="25"/>
  <c r="EA191" i="25"/>
  <c r="EB191" i="25"/>
  <c r="EC191" i="25"/>
  <c r="ED191" i="25"/>
  <c r="DR201" i="25"/>
  <c r="DS201" i="25"/>
  <c r="DT201" i="25"/>
  <c r="DU201" i="25"/>
  <c r="DV201" i="25"/>
  <c r="DW201" i="25"/>
  <c r="DX201" i="25"/>
  <c r="DY201" i="25"/>
  <c r="DZ201" i="25"/>
  <c r="EA201" i="25"/>
  <c r="EB201" i="25"/>
  <c r="EC201" i="25"/>
  <c r="ED201" i="25"/>
  <c r="EE201" i="25"/>
  <c r="DR203" i="25"/>
  <c r="DS203" i="25"/>
  <c r="DW203" i="25"/>
  <c r="DX203" i="25"/>
  <c r="EB203" i="25"/>
  <c r="EC203" i="25"/>
  <c r="DR204" i="25"/>
  <c r="DS204" i="25"/>
  <c r="DW204" i="25"/>
  <c r="DX204" i="25"/>
  <c r="EB204" i="25"/>
  <c r="EC204" i="25"/>
  <c r="DR206" i="25"/>
  <c r="DS206" i="25"/>
  <c r="DT206" i="25"/>
  <c r="DU206" i="25"/>
  <c r="DV206" i="25"/>
  <c r="DW206" i="25"/>
  <c r="DX206" i="25"/>
  <c r="DY206" i="25"/>
  <c r="DZ206" i="25"/>
  <c r="EA206" i="25"/>
  <c r="EB206" i="25"/>
  <c r="EC206" i="25"/>
  <c r="ED206" i="25"/>
  <c r="EE206" i="25"/>
  <c r="DR208" i="25"/>
  <c r="DS208" i="25"/>
  <c r="DT208" i="25"/>
  <c r="DU208" i="25"/>
  <c r="DV208" i="25"/>
  <c r="DW208" i="25"/>
  <c r="DX208" i="25"/>
  <c r="DY208" i="25"/>
  <c r="DZ208" i="25"/>
  <c r="EA208" i="25"/>
  <c r="EB208" i="25"/>
  <c r="EC208" i="25"/>
  <c r="ED208" i="25"/>
  <c r="EE208" i="25"/>
  <c r="DR216" i="25"/>
  <c r="DS216" i="25"/>
  <c r="DT216" i="25"/>
  <c r="DU216" i="25"/>
  <c r="DV216" i="25"/>
  <c r="DW216" i="25"/>
  <c r="DX216" i="25"/>
  <c r="DY216" i="25"/>
  <c r="DZ216" i="25"/>
  <c r="EA216" i="25"/>
  <c r="EB216" i="25"/>
  <c r="EC216" i="25"/>
  <c r="ED216" i="25"/>
  <c r="EE216" i="25"/>
  <c r="DR220" i="25"/>
  <c r="DS220" i="25"/>
  <c r="DW220" i="25"/>
  <c r="DX220" i="25"/>
  <c r="EB220" i="25"/>
  <c r="EC220" i="25"/>
  <c r="DR225" i="25"/>
  <c r="DS225" i="25"/>
  <c r="DW225" i="25"/>
  <c r="DX225" i="25"/>
  <c r="EB225" i="25"/>
  <c r="EC225" i="25"/>
  <c r="DR230" i="25"/>
  <c r="DS230" i="25"/>
  <c r="DW230" i="25"/>
  <c r="DX230" i="25"/>
  <c r="EB230" i="25"/>
  <c r="EC230" i="25"/>
  <c r="DR235" i="25"/>
  <c r="DS235" i="25"/>
  <c r="DT235" i="25"/>
  <c r="DU235" i="25"/>
  <c r="DV235" i="25"/>
  <c r="DW235" i="25"/>
  <c r="DX235" i="25"/>
  <c r="DY235" i="25"/>
  <c r="DZ235" i="25"/>
  <c r="EA235" i="25"/>
  <c r="EB235" i="25"/>
  <c r="EC235" i="25"/>
  <c r="ED235" i="25"/>
  <c r="EE235" i="25"/>
  <c r="DR238" i="25"/>
  <c r="DS238" i="25"/>
  <c r="DT238" i="25"/>
  <c r="DU238" i="25"/>
  <c r="DV238" i="25"/>
  <c r="DW238" i="25"/>
  <c r="DX238" i="25"/>
  <c r="DY238" i="25"/>
  <c r="DZ238" i="25"/>
  <c r="EA238" i="25"/>
  <c r="EB238" i="25"/>
  <c r="EC238" i="25"/>
  <c r="ED238" i="25"/>
  <c r="EE238" i="25"/>
  <c r="DR239" i="25"/>
  <c r="DS239" i="25"/>
  <c r="DT239" i="25"/>
  <c r="DU239" i="25"/>
  <c r="DV239" i="25"/>
  <c r="DW239" i="25"/>
  <c r="DX239" i="25"/>
  <c r="DY239" i="25"/>
  <c r="DZ239" i="25"/>
  <c r="EA239" i="25"/>
  <c r="EB239" i="25"/>
  <c r="EC239" i="25"/>
  <c r="ED239" i="25"/>
  <c r="EE239" i="25"/>
  <c r="DR241" i="25"/>
  <c r="DS241" i="25"/>
  <c r="DT241" i="25"/>
  <c r="DU241" i="25"/>
  <c r="DV241" i="25"/>
  <c r="DW241" i="25"/>
  <c r="DX241" i="25"/>
  <c r="DY241" i="25"/>
  <c r="DZ241" i="25"/>
  <c r="EA241" i="25"/>
  <c r="EB241" i="25"/>
  <c r="EC241" i="25"/>
  <c r="ED241" i="25"/>
  <c r="EE241" i="25"/>
  <c r="DR247" i="25"/>
  <c r="DS247" i="25"/>
  <c r="DT247" i="25"/>
  <c r="DU247" i="25"/>
  <c r="DV247" i="25"/>
  <c r="DW247" i="25"/>
  <c r="DX247" i="25"/>
  <c r="DY247" i="25"/>
  <c r="DZ247" i="25"/>
  <c r="EA247" i="25"/>
  <c r="EB247" i="25"/>
  <c r="EC247" i="25"/>
  <c r="ED247" i="25"/>
  <c r="EE247" i="25"/>
  <c r="DR249" i="25"/>
  <c r="DS249" i="25"/>
  <c r="DT249" i="25"/>
  <c r="DU249" i="25"/>
  <c r="DV249" i="25"/>
  <c r="DW249" i="25"/>
  <c r="DX249" i="25"/>
  <c r="DY249" i="25"/>
  <c r="DZ249" i="25"/>
  <c r="EA249" i="25"/>
  <c r="EB249" i="25"/>
  <c r="EC249" i="25"/>
  <c r="ED249" i="25"/>
  <c r="EE249" i="25"/>
  <c r="DR251" i="25"/>
  <c r="DS251" i="25"/>
  <c r="DT251" i="25"/>
  <c r="DU251" i="25"/>
  <c r="DV251" i="25"/>
  <c r="DW251" i="25"/>
  <c r="DX251" i="25"/>
  <c r="DY251" i="25"/>
  <c r="DZ251" i="25"/>
  <c r="EA251" i="25"/>
  <c r="EB251" i="25"/>
  <c r="EC251" i="25"/>
  <c r="ED251" i="25"/>
  <c r="EE251" i="25"/>
  <c r="DR252" i="25"/>
  <c r="DS252" i="25"/>
  <c r="DT252" i="25"/>
  <c r="DU252" i="25"/>
  <c r="DV252" i="25"/>
  <c r="DW252" i="25"/>
  <c r="DX252" i="25"/>
  <c r="DY252" i="25"/>
  <c r="DZ252" i="25"/>
  <c r="EA252" i="25"/>
  <c r="EB252" i="25"/>
  <c r="EC252" i="25"/>
  <c r="ED252" i="25"/>
  <c r="EE252" i="25"/>
  <c r="DR253" i="25"/>
  <c r="DS253" i="25"/>
  <c r="DT253" i="25"/>
  <c r="DU253" i="25"/>
  <c r="DV253" i="25"/>
  <c r="DW253" i="25"/>
  <c r="DX253" i="25"/>
  <c r="DY253" i="25"/>
  <c r="DZ253" i="25"/>
  <c r="EA253" i="25"/>
  <c r="EB253" i="25"/>
  <c r="EC253" i="25"/>
  <c r="ED253" i="25"/>
  <c r="EE253" i="25"/>
  <c r="DR254" i="25"/>
  <c r="DS254" i="25"/>
  <c r="DT254" i="25"/>
  <c r="DU254" i="25"/>
  <c r="DV254" i="25"/>
  <c r="DW254" i="25"/>
  <c r="DX254" i="25"/>
  <c r="DY254" i="25"/>
  <c r="DZ254" i="25"/>
  <c r="EA254" i="25"/>
  <c r="EB254" i="25"/>
  <c r="EC254" i="25"/>
  <c r="ED254" i="25"/>
  <c r="EE254" i="25"/>
  <c r="DU258" i="25"/>
  <c r="DZ258" i="25"/>
  <c r="EA258" i="25"/>
  <c r="EB258" i="25"/>
  <c r="EC258" i="25"/>
  <c r="ED258" i="25"/>
  <c r="EE258" i="25"/>
  <c r="DR259" i="25"/>
  <c r="DS259" i="25"/>
  <c r="DT259" i="25"/>
  <c r="DU259" i="25"/>
  <c r="DV259" i="25"/>
  <c r="DW259" i="25"/>
  <c r="DX259" i="25"/>
  <c r="DY259" i="25"/>
  <c r="DZ259" i="25"/>
  <c r="EA259" i="25"/>
  <c r="EB259" i="25"/>
  <c r="EC259" i="25"/>
  <c r="ED259" i="25"/>
  <c r="EE259" i="25"/>
  <c r="DR261" i="25"/>
  <c r="DS261" i="25"/>
  <c r="DU261" i="25"/>
  <c r="DW261" i="25"/>
  <c r="DX261" i="25"/>
  <c r="DZ261" i="25"/>
  <c r="EB261" i="25"/>
  <c r="EC261" i="25"/>
  <c r="EE261" i="25"/>
  <c r="DR263" i="25"/>
  <c r="DS263" i="25"/>
  <c r="DU263" i="25"/>
  <c r="DW263" i="25"/>
  <c r="DX263" i="25"/>
  <c r="DZ263" i="25"/>
  <c r="EB263" i="25"/>
  <c r="EC263" i="25"/>
  <c r="EE263" i="25"/>
  <c r="DR265" i="25"/>
  <c r="DS265" i="25"/>
  <c r="DT265" i="25"/>
  <c r="DU265" i="25"/>
  <c r="DV265" i="25"/>
  <c r="DW265" i="25"/>
  <c r="DX265" i="25"/>
  <c r="DY265" i="25"/>
  <c r="DZ265" i="25"/>
  <c r="EA265" i="25"/>
  <c r="EB265" i="25"/>
  <c r="EC265" i="25"/>
  <c r="ED265" i="25"/>
  <c r="EE265" i="25"/>
  <c r="DR266" i="25"/>
  <c r="DS266" i="25"/>
  <c r="DT266" i="25"/>
  <c r="DU266" i="25"/>
  <c r="DV266" i="25"/>
  <c r="DW266" i="25"/>
  <c r="DX266" i="25"/>
  <c r="DY266" i="25"/>
  <c r="DZ266" i="25"/>
  <c r="EA266" i="25"/>
  <c r="EB266" i="25"/>
  <c r="EC266" i="25"/>
  <c r="ED266" i="25"/>
  <c r="EE266" i="25"/>
  <c r="DU267" i="25"/>
  <c r="DZ267" i="25"/>
  <c r="EE267" i="25"/>
  <c r="DR272" i="25"/>
  <c r="DS272" i="25"/>
  <c r="DU272" i="25"/>
  <c r="DW272" i="25"/>
  <c r="DX272" i="25"/>
  <c r="DZ272" i="25"/>
  <c r="EB272" i="25"/>
  <c r="EC272" i="25"/>
  <c r="EE272" i="25"/>
  <c r="DS273" i="25"/>
  <c r="DT273" i="25"/>
  <c r="DV273" i="25"/>
  <c r="DW273" i="25"/>
  <c r="DX273" i="25"/>
  <c r="DY273" i="25"/>
  <c r="DZ273" i="25"/>
  <c r="EA273" i="25"/>
  <c r="EB273" i="25"/>
  <c r="EC273" i="25"/>
  <c r="ED273" i="25"/>
  <c r="EE273" i="25"/>
  <c r="DR274" i="25"/>
  <c r="DS274" i="25"/>
  <c r="DT274" i="25"/>
  <c r="DU274" i="25"/>
  <c r="DV274" i="25"/>
  <c r="DW274" i="25"/>
  <c r="DX274" i="25"/>
  <c r="DY274" i="25"/>
  <c r="DZ274" i="25"/>
  <c r="EA274" i="25"/>
  <c r="EB274" i="25"/>
  <c r="EC274" i="25"/>
  <c r="ED274" i="25"/>
  <c r="EE274" i="25"/>
  <c r="DU275" i="25"/>
  <c r="DZ275" i="25"/>
  <c r="EE275" i="25"/>
  <c r="DR276" i="25"/>
  <c r="DS276" i="25"/>
  <c r="DU276" i="25"/>
  <c r="DW276" i="25"/>
  <c r="DX276" i="25"/>
  <c r="DZ276" i="25"/>
  <c r="EB276" i="25"/>
  <c r="EC276" i="25"/>
  <c r="EE276" i="25"/>
  <c r="DR277" i="25"/>
  <c r="DS277" i="25"/>
  <c r="DU277" i="25"/>
  <c r="DW277" i="25"/>
  <c r="DX277" i="25"/>
  <c r="DZ277" i="25"/>
  <c r="EB277" i="25"/>
  <c r="EC277" i="25"/>
  <c r="EE277" i="25"/>
  <c r="DR280" i="25"/>
  <c r="DS280" i="25"/>
  <c r="DT280" i="25"/>
  <c r="DU280" i="25"/>
  <c r="DV280" i="25"/>
  <c r="DW280" i="25"/>
  <c r="DX280" i="25"/>
  <c r="DY280" i="25"/>
  <c r="DZ280" i="25"/>
  <c r="EA280" i="25"/>
  <c r="EB280" i="25"/>
  <c r="EC280" i="25"/>
  <c r="ED280" i="25"/>
  <c r="EE280" i="25"/>
  <c r="DR281" i="25"/>
  <c r="DS281" i="25"/>
  <c r="DU281" i="25"/>
  <c r="DW281" i="25"/>
  <c r="DX281" i="25"/>
  <c r="DZ281" i="25"/>
  <c r="EB281" i="25"/>
  <c r="EC281" i="25"/>
  <c r="EE281" i="25"/>
  <c r="DR282" i="25"/>
  <c r="DS282" i="25"/>
  <c r="DT282" i="25"/>
  <c r="DU282" i="25"/>
  <c r="DW282" i="25"/>
  <c r="DX282" i="25"/>
  <c r="DY282" i="25"/>
  <c r="DZ282" i="25"/>
  <c r="EB282" i="25"/>
  <c r="EC282" i="25"/>
  <c r="ED282" i="25"/>
  <c r="EE282" i="25"/>
  <c r="DR285" i="25"/>
  <c r="DS285" i="25"/>
  <c r="DT285" i="25"/>
  <c r="DU285" i="25"/>
  <c r="DV285" i="25"/>
  <c r="DW285" i="25"/>
  <c r="DX285" i="25"/>
  <c r="DY285" i="25"/>
  <c r="DZ285" i="25"/>
  <c r="EA285" i="25"/>
  <c r="EB285" i="25"/>
  <c r="EC285" i="25"/>
  <c r="ED285" i="25"/>
  <c r="EE285" i="25"/>
  <c r="DI286" i="25"/>
  <c r="DJ286" i="25"/>
  <c r="DN286" i="25"/>
  <c r="DO286" i="25"/>
  <c r="DS286" i="25"/>
  <c r="DT286" i="25"/>
  <c r="DU286" i="25"/>
  <c r="DX286" i="25"/>
  <c r="DY286" i="25"/>
  <c r="DZ286" i="25"/>
  <c r="EC286" i="25"/>
  <c r="ED286" i="25"/>
  <c r="EE286" i="25"/>
  <c r="DI287" i="25"/>
  <c r="DJ287" i="25"/>
  <c r="DN287" i="25"/>
  <c r="DO287" i="25"/>
  <c r="DR287" i="25"/>
  <c r="DS287" i="25"/>
  <c r="DT287" i="25"/>
  <c r="DU287" i="25"/>
  <c r="DV287" i="25"/>
  <c r="DW287" i="25"/>
  <c r="DX287" i="25"/>
  <c r="DY287" i="25"/>
  <c r="DZ287" i="25"/>
  <c r="EA287" i="25"/>
  <c r="EB287" i="25"/>
  <c r="EC287" i="25"/>
  <c r="ED287" i="25"/>
  <c r="EE287" i="25"/>
  <c r="DR289" i="25"/>
  <c r="DS289" i="25"/>
  <c r="DT289" i="25"/>
  <c r="DU289" i="25"/>
  <c r="DV289" i="25"/>
  <c r="DW289" i="25"/>
  <c r="DX289" i="25"/>
  <c r="DY289" i="25"/>
  <c r="DZ289" i="25"/>
  <c r="EA289" i="25"/>
  <c r="EB289" i="25"/>
  <c r="EC289" i="25"/>
  <c r="ED289" i="25"/>
  <c r="EE289" i="25"/>
  <c r="DR290" i="25"/>
  <c r="DS290" i="25"/>
  <c r="DT290" i="25"/>
  <c r="DU290" i="25"/>
  <c r="DV290" i="25"/>
  <c r="DW290" i="25"/>
  <c r="DX290" i="25"/>
  <c r="DY290" i="25"/>
  <c r="DZ290" i="25"/>
  <c r="EA290" i="25"/>
  <c r="EB290" i="25"/>
  <c r="EC290" i="25"/>
  <c r="ED290" i="25"/>
  <c r="EE290" i="25"/>
  <c r="DR291" i="25"/>
  <c r="DS291" i="25"/>
  <c r="DT291" i="25"/>
  <c r="DU291" i="25"/>
  <c r="DV291" i="25"/>
  <c r="DW291" i="25"/>
  <c r="DX291" i="25"/>
  <c r="DY291" i="25"/>
  <c r="DZ291" i="25"/>
  <c r="EA291" i="25"/>
  <c r="EB291" i="25"/>
  <c r="EC291" i="25"/>
  <c r="ED291" i="25"/>
  <c r="EE291" i="25"/>
  <c r="DI300" i="25"/>
  <c r="DJ300" i="25"/>
  <c r="DK300" i="25"/>
  <c r="DN300" i="25"/>
  <c r="DO300" i="25"/>
  <c r="DP300" i="25"/>
  <c r="DS300" i="25"/>
  <c r="DT300" i="25"/>
  <c r="DU300" i="25"/>
  <c r="DX300" i="25"/>
  <c r="DY300" i="25"/>
  <c r="DZ300" i="25"/>
  <c r="EC300" i="25"/>
  <c r="ED300" i="25"/>
  <c r="EE300" i="25"/>
  <c r="DI302" i="25"/>
  <c r="DJ302" i="25"/>
  <c r="DK302" i="25"/>
  <c r="DN302" i="25"/>
  <c r="DO302" i="25"/>
  <c r="DP302" i="25"/>
  <c r="DS302" i="25"/>
  <c r="DT302" i="25"/>
  <c r="DU302" i="25"/>
  <c r="DX302" i="25"/>
  <c r="DY302" i="25"/>
  <c r="DZ302" i="25"/>
  <c r="EC302" i="25"/>
  <c r="ED302" i="25"/>
  <c r="EE302" i="25"/>
  <c r="DI303" i="25"/>
  <c r="DJ303" i="25"/>
  <c r="DK303" i="25"/>
  <c r="DP303" i="25"/>
  <c r="DU303" i="25"/>
  <c r="DZ303" i="25"/>
  <c r="EE303" i="25"/>
  <c r="DI304" i="25"/>
  <c r="DJ304" i="25"/>
  <c r="DK304" i="25"/>
  <c r="DN304" i="25"/>
  <c r="DO304" i="25"/>
  <c r="DP304" i="25"/>
  <c r="DR304" i="25"/>
  <c r="DS304" i="25"/>
  <c r="DT304" i="25"/>
  <c r="DU304" i="25"/>
  <c r="DV304" i="25"/>
  <c r="DW304" i="25"/>
  <c r="DX304" i="25"/>
  <c r="DY304" i="25"/>
  <c r="DZ304" i="25"/>
  <c r="EA304" i="25"/>
  <c r="EB304" i="25"/>
  <c r="EC304" i="25"/>
  <c r="ED304" i="25"/>
  <c r="EE304" i="25"/>
  <c r="DR307" i="25"/>
  <c r="DS307" i="25"/>
  <c r="DW307" i="25"/>
  <c r="DX307" i="25"/>
  <c r="EB307" i="25"/>
  <c r="EC307" i="25"/>
  <c r="DR308" i="25"/>
  <c r="DS308" i="25"/>
  <c r="DU308" i="25"/>
  <c r="DW308" i="25"/>
  <c r="DX308" i="25"/>
  <c r="DZ308" i="25"/>
  <c r="EB308" i="25"/>
  <c r="EC308" i="25"/>
  <c r="EE308" i="25"/>
  <c r="DR309" i="25"/>
  <c r="DS309" i="25"/>
  <c r="DT309" i="25"/>
  <c r="DU309" i="25"/>
  <c r="DV309" i="25"/>
  <c r="DW309" i="25"/>
  <c r="DX309" i="25"/>
  <c r="DY309" i="25"/>
  <c r="DZ309" i="25"/>
  <c r="EA309" i="25"/>
  <c r="EB309" i="25"/>
  <c r="EC309" i="25"/>
  <c r="ED309" i="25"/>
  <c r="EE309" i="25"/>
  <c r="DR310" i="25"/>
  <c r="DS310" i="25"/>
  <c r="DT310" i="25"/>
  <c r="DU310" i="25"/>
  <c r="DV310" i="25"/>
  <c r="DW310" i="25"/>
  <c r="DX310" i="25"/>
  <c r="DY310" i="25"/>
  <c r="DZ310" i="25"/>
  <c r="EA310" i="25"/>
  <c r="EB310" i="25"/>
  <c r="EC310" i="25"/>
  <c r="ED310" i="25"/>
  <c r="EE310" i="25"/>
  <c r="DR311" i="25"/>
  <c r="DS311" i="25"/>
  <c r="DT311" i="25"/>
  <c r="DU311" i="25"/>
  <c r="DV311" i="25"/>
  <c r="DW311" i="25"/>
  <c r="DX311" i="25"/>
  <c r="DY311" i="25"/>
  <c r="DZ311" i="25"/>
  <c r="EA311" i="25"/>
  <c r="EB311" i="25"/>
  <c r="EC311" i="25"/>
  <c r="ED311" i="25"/>
  <c r="EE311" i="25"/>
  <c r="DR312" i="25"/>
  <c r="DS312" i="25"/>
  <c r="DT312" i="25"/>
  <c r="DU312" i="25"/>
  <c r="DV312" i="25"/>
  <c r="DW312" i="25"/>
  <c r="DX312" i="25"/>
  <c r="DY312" i="25"/>
  <c r="DZ312" i="25"/>
  <c r="EA312" i="25"/>
  <c r="EB312" i="25"/>
  <c r="EC312" i="25"/>
  <c r="ED312" i="25"/>
  <c r="EE312" i="25"/>
  <c r="DR313" i="25"/>
  <c r="DS313" i="25"/>
  <c r="DT313" i="25"/>
  <c r="DU313" i="25"/>
  <c r="DV313" i="25"/>
  <c r="DW313" i="25"/>
  <c r="DX313" i="25"/>
  <c r="DY313" i="25"/>
  <c r="DZ313" i="25"/>
  <c r="EA313" i="25"/>
  <c r="EB313" i="25"/>
  <c r="EC313" i="25"/>
  <c r="ED313" i="25"/>
  <c r="EE313" i="25"/>
  <c r="DR314" i="25"/>
  <c r="DS314" i="25"/>
  <c r="DT314" i="25"/>
  <c r="DU314" i="25"/>
  <c r="DV314" i="25"/>
  <c r="DW314" i="25"/>
  <c r="DX314" i="25"/>
  <c r="DY314" i="25"/>
  <c r="DZ314" i="25"/>
  <c r="EA314" i="25"/>
  <c r="EB314" i="25"/>
  <c r="EC314" i="25"/>
  <c r="ED314" i="25"/>
  <c r="EE314" i="25"/>
  <c r="DR315" i="25"/>
  <c r="DS315" i="25"/>
  <c r="DT315" i="25"/>
  <c r="DU315" i="25"/>
  <c r="DV315" i="25"/>
  <c r="DW315" i="25"/>
  <c r="DX315" i="25"/>
  <c r="DY315" i="25"/>
  <c r="DZ315" i="25"/>
  <c r="EA315" i="25"/>
  <c r="EB315" i="25"/>
  <c r="EC315" i="25"/>
  <c r="ED315" i="25"/>
  <c r="EE315" i="25"/>
  <c r="DR316" i="25"/>
  <c r="DS316" i="25"/>
  <c r="DT316" i="25"/>
  <c r="DU316" i="25"/>
  <c r="DV316" i="25"/>
  <c r="DW316" i="25"/>
  <c r="DX316" i="25"/>
  <c r="DY316" i="25"/>
  <c r="DZ316" i="25"/>
  <c r="EA316" i="25"/>
  <c r="EB316" i="25"/>
  <c r="EC316" i="25"/>
  <c r="ED316" i="25"/>
  <c r="EE316" i="25"/>
  <c r="DR318" i="25"/>
  <c r="DS318" i="25"/>
  <c r="DT318" i="25"/>
  <c r="DU318" i="25"/>
  <c r="DW318" i="25"/>
  <c r="DX318" i="25"/>
  <c r="DY318" i="25"/>
  <c r="DZ318" i="25"/>
  <c r="EB318" i="25"/>
  <c r="EC318" i="25"/>
  <c r="ED318" i="25"/>
  <c r="EE318" i="25"/>
  <c r="DR319" i="25"/>
  <c r="DS319" i="25"/>
  <c r="DT319" i="25"/>
  <c r="DU319" i="25"/>
  <c r="DW319" i="25"/>
  <c r="DX319" i="25"/>
  <c r="DY319" i="25"/>
  <c r="DZ319" i="25"/>
  <c r="EB319" i="25"/>
  <c r="EC319" i="25"/>
  <c r="ED319" i="25"/>
  <c r="EE319" i="25"/>
  <c r="DR320" i="25"/>
  <c r="DS320" i="25"/>
  <c r="DT320" i="25"/>
  <c r="DU320" i="25"/>
  <c r="DW320" i="25"/>
  <c r="DX320" i="25"/>
  <c r="DY320" i="25"/>
  <c r="DZ320" i="25"/>
  <c r="EB320" i="25"/>
  <c r="EC320" i="25"/>
  <c r="ED320" i="25"/>
  <c r="EE320" i="25"/>
  <c r="DR323" i="25"/>
  <c r="DS323" i="25"/>
  <c r="DU323" i="25"/>
  <c r="DW323" i="25"/>
  <c r="DX323" i="25"/>
  <c r="DZ323" i="25"/>
  <c r="EB323" i="25"/>
  <c r="EC323" i="25"/>
  <c r="EE323" i="25"/>
  <c r="DR327" i="25"/>
  <c r="DS327" i="25"/>
  <c r="DU327" i="25"/>
  <c r="DW327" i="25"/>
  <c r="DX327" i="25"/>
  <c r="DZ327" i="25"/>
  <c r="EB327" i="25"/>
  <c r="EC327" i="25"/>
  <c r="EE327" i="25"/>
  <c r="DR334" i="25"/>
  <c r="DS334" i="25"/>
  <c r="DT334" i="25"/>
  <c r="DU334" i="25"/>
  <c r="DW334" i="25"/>
  <c r="DX334" i="25"/>
  <c r="DY334" i="25"/>
  <c r="DZ334" i="25"/>
  <c r="EB334" i="25"/>
  <c r="EC334" i="25"/>
  <c r="ED334" i="25"/>
  <c r="EE334" i="25"/>
  <c r="DR335" i="25"/>
  <c r="DS335" i="25"/>
  <c r="DT335" i="25"/>
  <c r="DW335" i="25"/>
  <c r="DX335" i="25"/>
  <c r="DY335" i="25"/>
  <c r="EB335" i="25"/>
  <c r="EC335" i="25"/>
  <c r="ED335" i="25"/>
  <c r="DR336" i="25"/>
  <c r="DS336" i="25"/>
  <c r="DT336" i="25"/>
  <c r="DU336" i="25"/>
  <c r="DW336" i="25"/>
  <c r="DX336" i="25"/>
  <c r="DY336" i="25"/>
  <c r="DZ336" i="25"/>
  <c r="EB336" i="25"/>
  <c r="EC336" i="25"/>
  <c r="ED336" i="25"/>
  <c r="EE336" i="25"/>
  <c r="DR338" i="25"/>
  <c r="DS338" i="25"/>
  <c r="DT338" i="25"/>
  <c r="DU338" i="25"/>
  <c r="DW338" i="25"/>
  <c r="DX338" i="25"/>
  <c r="DY338" i="25"/>
  <c r="DZ338" i="25"/>
  <c r="EB338" i="25"/>
  <c r="EC338" i="25"/>
  <c r="ED338" i="25"/>
  <c r="EE338" i="25"/>
  <c r="DR339" i="25"/>
  <c r="DS339" i="25"/>
  <c r="DW339" i="25"/>
  <c r="DX339" i="25"/>
  <c r="EB339" i="25"/>
  <c r="EC339" i="25"/>
  <c r="DR343" i="25"/>
  <c r="DS343" i="25"/>
  <c r="DW343" i="25"/>
  <c r="DX343" i="25"/>
  <c r="EB343" i="25"/>
  <c r="EC343" i="25"/>
  <c r="DR345" i="25"/>
  <c r="DS345" i="25"/>
  <c r="DU345" i="25"/>
  <c r="DW345" i="25"/>
  <c r="DX345" i="25"/>
  <c r="DZ345" i="25"/>
  <c r="EB345" i="25"/>
  <c r="EC345" i="25"/>
  <c r="EE345" i="25"/>
  <c r="DR346" i="25"/>
  <c r="DS346" i="25"/>
  <c r="DU346" i="25"/>
  <c r="DW346" i="25"/>
  <c r="DX346" i="25"/>
  <c r="DZ346" i="25"/>
  <c r="EB346" i="25"/>
  <c r="EC346" i="25"/>
  <c r="EE346" i="25"/>
  <c r="DR347" i="25"/>
  <c r="DS347" i="25"/>
  <c r="DU347" i="25"/>
  <c r="DW347" i="25"/>
  <c r="DX347" i="25"/>
  <c r="DZ347" i="25"/>
  <c r="EB347" i="25"/>
  <c r="EC347" i="25"/>
  <c r="EE347" i="25"/>
  <c r="DR356" i="25"/>
  <c r="DS356" i="25"/>
  <c r="DT356" i="25"/>
  <c r="DU356" i="25"/>
  <c r="DV356" i="25"/>
  <c r="DW356" i="25"/>
  <c r="DX356" i="25"/>
  <c r="DY356" i="25"/>
  <c r="DZ356" i="25"/>
  <c r="EA356" i="25"/>
  <c r="EB356" i="25"/>
  <c r="EC356" i="25"/>
  <c r="ED356" i="25"/>
  <c r="EE356" i="25"/>
  <c r="DR358" i="25"/>
  <c r="DS358" i="25"/>
  <c r="DU358" i="25"/>
  <c r="DW358" i="25"/>
  <c r="DX358" i="25"/>
  <c r="DZ358" i="25"/>
  <c r="EB358" i="25"/>
  <c r="EC358" i="25"/>
  <c r="EE358" i="25"/>
  <c r="DR363" i="25"/>
  <c r="DS363" i="25"/>
  <c r="DT363" i="25"/>
  <c r="DU363" i="25"/>
  <c r="DW363" i="25"/>
  <c r="DX363" i="25"/>
  <c r="DY363" i="25"/>
  <c r="DZ363" i="25"/>
  <c r="EB363" i="25"/>
  <c r="EC363" i="25"/>
  <c r="ED363" i="25"/>
  <c r="EE363" i="25"/>
  <c r="DR364" i="25"/>
  <c r="DS364" i="25"/>
  <c r="DT364" i="25"/>
  <c r="DU364" i="25"/>
  <c r="DW364" i="25"/>
  <c r="DX364" i="25"/>
  <c r="DY364" i="25"/>
  <c r="DZ364" i="25"/>
  <c r="EB364" i="25"/>
  <c r="EC364" i="25"/>
  <c r="ED364" i="25"/>
  <c r="EE364" i="25"/>
  <c r="DR366" i="25"/>
  <c r="DS366" i="25"/>
  <c r="DT366" i="25"/>
  <c r="DU366" i="25"/>
  <c r="DW366" i="25"/>
  <c r="DX366" i="25"/>
  <c r="DY366" i="25"/>
  <c r="DZ366" i="25"/>
  <c r="EB366" i="25"/>
  <c r="EC366" i="25"/>
  <c r="ED366" i="25"/>
  <c r="EE366" i="25"/>
  <c r="DR369" i="25"/>
  <c r="DS369" i="25"/>
  <c r="DT369" i="25"/>
  <c r="DU369" i="25"/>
  <c r="DW369" i="25"/>
  <c r="DX369" i="25"/>
  <c r="DY369" i="25"/>
  <c r="DZ369" i="25"/>
  <c r="EB369" i="25"/>
  <c r="EC369" i="25"/>
  <c r="ED369" i="25"/>
  <c r="EE369" i="25"/>
  <c r="DR370" i="25"/>
  <c r="DS370" i="25"/>
  <c r="DT370" i="25"/>
  <c r="DU370" i="25"/>
  <c r="DV370" i="25"/>
  <c r="DW370" i="25"/>
  <c r="DX370" i="25"/>
  <c r="DY370" i="25"/>
  <c r="DZ370" i="25"/>
  <c r="EA370" i="25"/>
  <c r="EB370" i="25"/>
  <c r="EC370" i="25"/>
  <c r="ED370" i="25"/>
  <c r="EE370" i="25"/>
  <c r="DS380" i="25"/>
  <c r="DT380" i="25"/>
  <c r="DU380" i="25"/>
  <c r="DX380" i="25"/>
  <c r="DY380" i="25"/>
  <c r="DZ380" i="25"/>
  <c r="EC380" i="25"/>
  <c r="ED380" i="25"/>
  <c r="EE380" i="25"/>
  <c r="DS387" i="25"/>
  <c r="DT387" i="25"/>
  <c r="DU387" i="25"/>
  <c r="DX387" i="25"/>
  <c r="DY387" i="25"/>
  <c r="DZ387" i="25"/>
  <c r="EC387" i="25"/>
  <c r="ED387" i="25"/>
  <c r="EE387" i="25"/>
  <c r="DR391" i="25"/>
  <c r="DS391" i="25"/>
  <c r="DT391" i="25"/>
  <c r="DU391" i="25"/>
  <c r="DV391" i="25"/>
  <c r="DW391" i="25"/>
  <c r="DX391" i="25"/>
  <c r="DY391" i="25"/>
  <c r="DZ391" i="25"/>
  <c r="EA391" i="25"/>
  <c r="EB391" i="25"/>
  <c r="EC391" i="25"/>
  <c r="ED391" i="25"/>
  <c r="EE391" i="25"/>
  <c r="DS392" i="25"/>
  <c r="DT392" i="25"/>
  <c r="DV392" i="25"/>
  <c r="DW392" i="25"/>
  <c r="DX392" i="25"/>
  <c r="DY392" i="25"/>
  <c r="DZ392" i="25"/>
  <c r="EA392" i="25"/>
  <c r="EB392" i="25"/>
  <c r="EC392" i="25"/>
  <c r="ED392" i="25"/>
  <c r="EE392" i="25"/>
  <c r="DR393" i="25"/>
  <c r="DS393" i="25"/>
  <c r="DT393" i="25"/>
  <c r="DU393" i="25"/>
  <c r="DV393" i="25"/>
  <c r="DW393" i="25"/>
  <c r="DX393" i="25"/>
  <c r="DY393" i="25"/>
  <c r="DZ393" i="25"/>
  <c r="EA393" i="25"/>
  <c r="EB393" i="25"/>
  <c r="EC393" i="25"/>
  <c r="ED393" i="25"/>
  <c r="EE393" i="25"/>
  <c r="DR395" i="25"/>
  <c r="DS395" i="25"/>
  <c r="DT395" i="25"/>
  <c r="DU395" i="25"/>
  <c r="DV395" i="25"/>
  <c r="DW395" i="25"/>
  <c r="DX395" i="25"/>
  <c r="DY395" i="25"/>
  <c r="DZ395" i="25"/>
  <c r="EA395" i="25"/>
  <c r="EB395" i="25"/>
  <c r="EC395" i="25"/>
  <c r="ED395" i="25"/>
  <c r="EE395" i="25"/>
  <c r="DR397" i="25"/>
  <c r="DS397" i="25"/>
  <c r="DT397" i="25"/>
  <c r="DU397" i="25"/>
  <c r="DV397" i="25"/>
  <c r="DW397" i="25"/>
  <c r="DX397" i="25"/>
  <c r="DY397" i="25"/>
  <c r="DZ397" i="25"/>
  <c r="EA397" i="25"/>
  <c r="EB397" i="25"/>
  <c r="EC397" i="25"/>
  <c r="ED397" i="25"/>
  <c r="EE397" i="25"/>
  <c r="DR398" i="25"/>
  <c r="DS398" i="25"/>
  <c r="DT398" i="25"/>
  <c r="DU398" i="25"/>
  <c r="DV398" i="25"/>
  <c r="DW398" i="25"/>
  <c r="DX398" i="25"/>
  <c r="DY398" i="25"/>
  <c r="DZ398" i="25"/>
  <c r="EA398" i="25"/>
  <c r="EB398" i="25"/>
  <c r="EC398" i="25"/>
  <c r="ED398" i="25"/>
  <c r="EE398" i="25"/>
  <c r="DR402" i="25"/>
  <c r="DS402" i="25"/>
  <c r="DU402" i="25"/>
  <c r="DW402" i="25"/>
  <c r="DX402" i="25"/>
  <c r="DZ402" i="25"/>
  <c r="EB402" i="25"/>
  <c r="EC402" i="25"/>
  <c r="EE402" i="25"/>
  <c r="DR403" i="25"/>
  <c r="DS403" i="25"/>
  <c r="DU403" i="25"/>
  <c r="DW403" i="25"/>
  <c r="DX403" i="25"/>
  <c r="DZ403" i="25"/>
  <c r="EB403" i="25"/>
  <c r="EC403" i="25"/>
  <c r="EE403" i="25"/>
  <c r="DR405" i="25"/>
  <c r="DS405" i="25"/>
  <c r="DT405" i="25"/>
  <c r="DU405" i="25"/>
  <c r="DV405" i="25"/>
  <c r="DW405" i="25"/>
  <c r="DX405" i="25"/>
  <c r="DY405" i="25"/>
  <c r="DZ405" i="25"/>
  <c r="EA405" i="25"/>
  <c r="EB405" i="25"/>
  <c r="EC405" i="25"/>
  <c r="ED405" i="25"/>
  <c r="EE405" i="25"/>
  <c r="DR406" i="25"/>
  <c r="DS406" i="25"/>
  <c r="DT406" i="25"/>
  <c r="DU406" i="25"/>
  <c r="DV406" i="25"/>
  <c r="DW406" i="25"/>
  <c r="DX406" i="25"/>
  <c r="DY406" i="25"/>
  <c r="DZ406" i="25"/>
  <c r="EA406" i="25"/>
  <c r="EB406" i="25"/>
  <c r="EC406" i="25"/>
  <c r="ED406" i="25"/>
  <c r="EE406" i="25"/>
  <c r="AS7" i="559"/>
  <c r="AX7" i="559"/>
  <c r="BC7" i="559"/>
  <c r="AU13" i="559"/>
  <c r="AV13" i="559"/>
  <c r="AX13" i="559"/>
  <c r="AZ13" i="559"/>
  <c r="BA13" i="559"/>
  <c r="BC13" i="559"/>
  <c r="AP16" i="559"/>
  <c r="AQ16" i="559"/>
  <c r="AS16" i="559"/>
  <c r="AU16" i="559"/>
  <c r="AV16" i="559"/>
  <c r="AX16" i="559"/>
  <c r="AZ16" i="559"/>
  <c r="BA16" i="559"/>
  <c r="BC16" i="559"/>
  <c r="AP17" i="559"/>
  <c r="AQ17" i="559"/>
  <c r="AS17" i="559"/>
  <c r="AU17" i="559"/>
  <c r="AV17" i="559"/>
  <c r="AX17" i="559"/>
  <c r="AZ17" i="559"/>
  <c r="BA17" i="559"/>
  <c r="BC17" i="559"/>
  <c r="AP19" i="559"/>
  <c r="AQ19" i="559"/>
  <c r="AS19" i="559"/>
  <c r="AU19" i="559"/>
  <c r="AV19" i="559"/>
  <c r="AX19" i="559"/>
  <c r="AZ19" i="559"/>
  <c r="BA19" i="559"/>
  <c r="BC19" i="559"/>
  <c r="AP20" i="559"/>
  <c r="AQ20" i="559"/>
  <c r="AR20" i="559"/>
  <c r="AS20" i="559"/>
  <c r="AT20" i="559"/>
  <c r="AU20" i="559"/>
  <c r="AV20" i="559"/>
  <c r="AW20" i="559"/>
  <c r="AX20" i="559"/>
  <c r="AY20" i="559"/>
  <c r="AZ20" i="559"/>
  <c r="BA20" i="559"/>
  <c r="BB20" i="559"/>
  <c r="BC20" i="559"/>
  <c r="AP21" i="559"/>
  <c r="AQ21" i="559"/>
  <c r="AR21" i="559"/>
  <c r="AS21" i="559"/>
  <c r="AT21" i="559"/>
  <c r="AU21" i="559"/>
  <c r="AV21" i="559"/>
  <c r="AW21" i="559"/>
  <c r="AX21" i="559"/>
  <c r="AY21" i="559"/>
  <c r="AZ21" i="559"/>
  <c r="BA21" i="559"/>
  <c r="BB21" i="559"/>
  <c r="BC21" i="559"/>
  <c r="AP22" i="559"/>
  <c r="AQ22" i="559"/>
  <c r="AS22" i="559"/>
  <c r="AU22" i="559"/>
  <c r="AV22" i="559"/>
  <c r="AX22" i="559"/>
  <c r="AZ22" i="559"/>
  <c r="BA22" i="559"/>
  <c r="BC22" i="559"/>
  <c r="AP32" i="559"/>
  <c r="AQ32" i="559"/>
  <c r="AS32" i="559"/>
  <c r="AU32" i="559"/>
  <c r="AV32" i="559"/>
  <c r="AX32" i="559"/>
  <c r="AZ32" i="559"/>
  <c r="BA32" i="559"/>
  <c r="BC32" i="559"/>
  <c r="AB36" i="559"/>
  <c r="AC36" i="559"/>
  <c r="AD36" i="559"/>
  <c r="AF36" i="559"/>
  <c r="AG36" i="559"/>
  <c r="AH36" i="559"/>
  <c r="AI36" i="559"/>
  <c r="AB37" i="559"/>
  <c r="AC37" i="559"/>
  <c r="AD37" i="559"/>
  <c r="AF37" i="559"/>
  <c r="AG37" i="559"/>
  <c r="AH37" i="559"/>
  <c r="AK37" i="559"/>
  <c r="AL37" i="559"/>
  <c r="AM37" i="559"/>
  <c r="AN37" i="559"/>
  <c r="AB44" i="559"/>
  <c r="AC44" i="559"/>
  <c r="AD44" i="559"/>
  <c r="AF44" i="559"/>
  <c r="AG44" i="559"/>
  <c r="AH44" i="559"/>
  <c r="AI44" i="559"/>
  <c r="D46" i="559"/>
  <c r="AB46" i="559"/>
  <c r="AC46" i="559"/>
  <c r="AD46" i="559"/>
  <c r="AF46" i="559"/>
  <c r="AG46" i="559"/>
  <c r="AH46" i="559"/>
  <c r="AI46" i="559"/>
  <c r="D47" i="559"/>
  <c r="D48" i="559"/>
  <c r="AP51" i="559"/>
  <c r="AQ51" i="559"/>
  <c r="AS51" i="559"/>
  <c r="AU51" i="559"/>
  <c r="AV51" i="559"/>
  <c r="AX51" i="559"/>
  <c r="AZ51" i="559"/>
  <c r="BA51" i="559"/>
  <c r="BC51" i="559"/>
  <c r="AP52" i="559"/>
  <c r="AQ52" i="559"/>
  <c r="AS52" i="559"/>
  <c r="AU52" i="559"/>
  <c r="AV52" i="559"/>
  <c r="AX52" i="559"/>
  <c r="AZ52" i="559"/>
  <c r="BA52" i="559"/>
  <c r="BC52" i="559"/>
  <c r="AP53" i="559"/>
  <c r="AQ53" i="559"/>
  <c r="AS53" i="559"/>
  <c r="AU53" i="559"/>
  <c r="AV53" i="559"/>
  <c r="AX53" i="559"/>
  <c r="AZ53" i="559"/>
  <c r="BA53" i="559"/>
  <c r="BC53" i="559"/>
  <c r="AB56" i="559"/>
  <c r="AC56" i="559"/>
  <c r="AD56" i="559"/>
  <c r="AF56" i="559"/>
  <c r="AG56" i="559"/>
  <c r="AH56" i="559"/>
  <c r="AI56" i="559"/>
  <c r="AK56" i="559"/>
  <c r="AL56" i="559"/>
  <c r="AM56" i="559"/>
  <c r="AN56" i="559"/>
  <c r="AP56" i="559"/>
  <c r="AQ56" i="559"/>
  <c r="AS56" i="559"/>
  <c r="AU56" i="559"/>
  <c r="AV56" i="559"/>
  <c r="AX56" i="559"/>
  <c r="AZ56" i="559"/>
  <c r="BA56" i="559"/>
  <c r="BC56" i="559"/>
  <c r="AB57" i="559"/>
  <c r="AC57" i="559"/>
  <c r="AD57" i="559"/>
  <c r="AF57" i="559"/>
  <c r="AG57" i="559"/>
  <c r="AH57" i="559"/>
  <c r="AI57" i="559"/>
  <c r="AK57" i="559"/>
  <c r="AL57" i="559"/>
  <c r="AM57" i="559"/>
  <c r="AN57" i="559"/>
  <c r="AP58" i="559"/>
  <c r="AQ58" i="559"/>
  <c r="AS58" i="559"/>
  <c r="AU58" i="559"/>
  <c r="AV58" i="559"/>
  <c r="AX58" i="559"/>
  <c r="AZ58" i="559"/>
  <c r="BA58" i="559"/>
  <c r="BC58" i="559"/>
  <c r="AP59" i="559"/>
  <c r="AQ59" i="559"/>
  <c r="AS59" i="559"/>
  <c r="AU59" i="559"/>
  <c r="AV59" i="559"/>
  <c r="AX59" i="559"/>
  <c r="AZ59" i="559"/>
  <c r="BA59" i="559"/>
  <c r="BC59" i="559"/>
  <c r="AP60" i="559"/>
  <c r="AQ60" i="559"/>
  <c r="AS60" i="559"/>
  <c r="AU60" i="559"/>
  <c r="AV60" i="559"/>
  <c r="AX60" i="559"/>
  <c r="AZ60" i="559"/>
  <c r="BA60" i="559"/>
  <c r="BC60" i="559"/>
  <c r="AP63" i="559"/>
  <c r="AQ63" i="559"/>
  <c r="AS63" i="559"/>
  <c r="AU63" i="559"/>
  <c r="AV63" i="559"/>
  <c r="AX63" i="559"/>
  <c r="AZ63" i="559"/>
  <c r="BA63" i="559"/>
  <c r="BC63" i="559"/>
  <c r="AP64" i="559"/>
  <c r="AQ64" i="559"/>
  <c r="AS64" i="559"/>
  <c r="AU64" i="559"/>
  <c r="AV64" i="559"/>
  <c r="AX64" i="559"/>
  <c r="AZ64" i="559"/>
  <c r="BA64" i="559"/>
  <c r="BC64" i="559"/>
  <c r="AP66" i="559"/>
  <c r="AQ66" i="559"/>
  <c r="AS66" i="559"/>
  <c r="AU66" i="559"/>
  <c r="AV66" i="559"/>
  <c r="AX66" i="559"/>
  <c r="AZ66" i="559"/>
  <c r="BA66" i="559"/>
  <c r="BC66" i="559"/>
  <c r="AP67" i="559"/>
  <c r="AQ67" i="559"/>
  <c r="AR67" i="559"/>
  <c r="AS67" i="559"/>
  <c r="AT67" i="559"/>
  <c r="AU67" i="559"/>
  <c r="AV67" i="559"/>
  <c r="AW67" i="559"/>
  <c r="AX67" i="559"/>
  <c r="AY67" i="559"/>
  <c r="AZ67" i="559"/>
  <c r="BA67" i="559"/>
  <c r="BB67" i="559"/>
  <c r="BC67" i="559"/>
  <c r="AB109" i="559"/>
  <c r="AC109" i="559"/>
  <c r="AF109" i="559"/>
  <c r="AG109" i="559"/>
  <c r="AH109" i="559"/>
  <c r="AK109" i="559"/>
  <c r="AL109" i="559"/>
  <c r="AM109" i="559"/>
  <c r="AN109" i="559"/>
  <c r="AB156" i="559"/>
  <c r="AC156" i="559"/>
  <c r="AD156" i="559"/>
  <c r="AF156" i="559"/>
  <c r="AG156" i="559"/>
  <c r="AH156" i="559"/>
  <c r="DR9" i="617"/>
  <c r="DS9" i="617"/>
  <c r="DU9" i="617"/>
  <c r="DW9" i="617"/>
  <c r="DX9" i="617"/>
  <c r="DZ9" i="617"/>
  <c r="EB9" i="617"/>
  <c r="EC9" i="617"/>
  <c r="EE9" i="617"/>
  <c r="DR10" i="617"/>
  <c r="DS10" i="617"/>
  <c r="DU10" i="617"/>
  <c r="DW10" i="617"/>
  <c r="DX10" i="617"/>
  <c r="DZ10" i="617"/>
  <c r="EB10" i="617"/>
  <c r="EC10" i="617"/>
  <c r="EE10" i="617"/>
  <c r="DR11" i="617"/>
  <c r="DS11" i="617"/>
  <c r="DU11" i="617"/>
  <c r="DW11" i="617"/>
  <c r="DX11" i="617"/>
  <c r="DZ11" i="617"/>
  <c r="EB11" i="617"/>
  <c r="EC11" i="617"/>
  <c r="EE11" i="617"/>
  <c r="DR15" i="617"/>
  <c r="DS15" i="617"/>
  <c r="DU15" i="617"/>
  <c r="DW15" i="617"/>
  <c r="DX15" i="617"/>
  <c r="DZ15" i="617"/>
  <c r="EB15" i="617"/>
  <c r="EC15" i="617"/>
  <c r="EE15" i="617"/>
  <c r="DR17" i="617"/>
  <c r="DS17" i="617"/>
  <c r="DT17" i="617"/>
  <c r="DU17" i="617"/>
  <c r="DV17" i="617"/>
  <c r="DW17" i="617"/>
  <c r="DX17" i="617"/>
  <c r="DY17" i="617"/>
  <c r="DZ17" i="617"/>
  <c r="EA17" i="617"/>
  <c r="EB17" i="617"/>
  <c r="EC17" i="617"/>
  <c r="ED17" i="617"/>
  <c r="EE17" i="617"/>
  <c r="DR18" i="617"/>
  <c r="DS18" i="617"/>
  <c r="DT18" i="617"/>
  <c r="DU18" i="617"/>
  <c r="DV18" i="617"/>
  <c r="DW18" i="617"/>
  <c r="DX18" i="617"/>
  <c r="DY18" i="617"/>
  <c r="DZ18" i="617"/>
  <c r="EA18" i="617"/>
  <c r="EB18" i="617"/>
  <c r="EC18" i="617"/>
  <c r="ED18" i="617"/>
  <c r="EE18" i="617"/>
  <c r="DR20" i="617"/>
  <c r="DS20" i="617"/>
  <c r="DT20" i="617"/>
  <c r="DU20" i="617"/>
  <c r="DV20" i="617"/>
  <c r="DW20" i="617"/>
  <c r="DX20" i="617"/>
  <c r="DY20" i="617"/>
  <c r="DZ20" i="617"/>
  <c r="EA20" i="617"/>
  <c r="EB20" i="617"/>
  <c r="EC20" i="617"/>
  <c r="ED20" i="617"/>
  <c r="EE20" i="617"/>
  <c r="DR22" i="617"/>
  <c r="DS22" i="617"/>
  <c r="DT22" i="617"/>
  <c r="DU22" i="617"/>
  <c r="DV22" i="617"/>
  <c r="DW22" i="617"/>
  <c r="DX22" i="617"/>
  <c r="DY22" i="617"/>
  <c r="DZ22" i="617"/>
  <c r="EA22" i="617"/>
  <c r="EB22" i="617"/>
  <c r="EC22" i="617"/>
  <c r="ED22" i="617"/>
  <c r="EE22" i="617"/>
  <c r="DU24" i="617"/>
  <c r="DZ24" i="617"/>
  <c r="EE24" i="617"/>
  <c r="DR25" i="617"/>
  <c r="DS25" i="617"/>
  <c r="DT25" i="617"/>
  <c r="DU25" i="617"/>
  <c r="DV25" i="617"/>
  <c r="DW25" i="617"/>
  <c r="DX25" i="617"/>
  <c r="DY25" i="617"/>
  <c r="DZ25" i="617"/>
  <c r="EA25" i="617"/>
  <c r="EB25" i="617"/>
  <c r="EC25" i="617"/>
  <c r="ED25" i="617"/>
  <c r="EE25" i="617"/>
  <c r="DR28" i="617"/>
  <c r="DS28" i="617"/>
  <c r="DU28" i="617"/>
  <c r="DW28" i="617"/>
  <c r="DX28" i="617"/>
  <c r="DZ28" i="617"/>
  <c r="EB28" i="617"/>
  <c r="EC28" i="617"/>
  <c r="EE28" i="617"/>
  <c r="DR29" i="617"/>
  <c r="DS29" i="617"/>
  <c r="DU29" i="617"/>
  <c r="DW29" i="617"/>
  <c r="DX29" i="617"/>
  <c r="DZ29" i="617"/>
  <c r="EB29" i="617"/>
  <c r="EC29" i="617"/>
  <c r="EE29" i="617"/>
  <c r="DR31" i="617"/>
  <c r="DS31" i="617"/>
  <c r="DU31" i="617"/>
  <c r="DW31" i="617"/>
  <c r="DX31" i="617"/>
  <c r="DZ31" i="617"/>
  <c r="EB31" i="617"/>
  <c r="EC31" i="617"/>
  <c r="EE31" i="617"/>
  <c r="DR32" i="617"/>
  <c r="DS32" i="617"/>
  <c r="DT32" i="617"/>
  <c r="DU32" i="617"/>
  <c r="DV32" i="617"/>
  <c r="DW32" i="617"/>
  <c r="DX32" i="617"/>
  <c r="DY32" i="617"/>
  <c r="DZ32" i="617"/>
  <c r="EA32" i="617"/>
  <c r="EB32" i="617"/>
  <c r="EC32" i="617"/>
  <c r="ED32" i="617"/>
  <c r="EE32" i="617"/>
  <c r="DR33" i="617"/>
  <c r="DS33" i="617"/>
  <c r="DT33" i="617"/>
  <c r="DU33" i="617"/>
  <c r="DV33" i="617"/>
  <c r="DW33" i="617"/>
  <c r="DX33" i="617"/>
  <c r="DY33" i="617"/>
  <c r="DZ33" i="617"/>
  <c r="EA33" i="617"/>
  <c r="EB33" i="617"/>
  <c r="EC33" i="617"/>
  <c r="ED33" i="617"/>
  <c r="EE33" i="617"/>
  <c r="DR36" i="617"/>
  <c r="DS36" i="617"/>
  <c r="DU36" i="617"/>
  <c r="DW36" i="617"/>
  <c r="DX36" i="617"/>
  <c r="DZ36" i="617"/>
  <c r="EB36" i="617"/>
  <c r="EC36" i="617"/>
  <c r="EE36" i="617"/>
  <c r="DR37" i="617"/>
  <c r="DS37" i="617"/>
  <c r="DU37" i="617"/>
  <c r="DW37" i="617"/>
  <c r="DX37" i="617"/>
  <c r="DZ37" i="617"/>
  <c r="EB37" i="617"/>
  <c r="EC37" i="617"/>
  <c r="EE37" i="617"/>
  <c r="DR38" i="617"/>
  <c r="DS38" i="617"/>
  <c r="DU38" i="617"/>
  <c r="DW38" i="617"/>
  <c r="DX38" i="617"/>
  <c r="DZ38" i="617"/>
  <c r="EB38" i="617"/>
  <c r="EC38" i="617"/>
  <c r="EE38" i="617"/>
  <c r="DR39" i="617"/>
  <c r="DS39" i="617"/>
  <c r="DT39" i="617"/>
  <c r="DU39" i="617"/>
  <c r="DV39" i="617"/>
  <c r="DW39" i="617"/>
  <c r="DX39" i="617"/>
  <c r="DY39" i="617"/>
  <c r="DZ39" i="617"/>
  <c r="EA39" i="617"/>
  <c r="EB39" i="617"/>
  <c r="EC39" i="617"/>
  <c r="ED39" i="617"/>
  <c r="EE39" i="617"/>
  <c r="DR42" i="617"/>
  <c r="DS42" i="617"/>
  <c r="DT42" i="617"/>
  <c r="DU42" i="617"/>
  <c r="DV42" i="617"/>
  <c r="DW42" i="617"/>
  <c r="DX42" i="617"/>
  <c r="DY42" i="617"/>
  <c r="DZ42" i="617"/>
  <c r="EA42" i="617"/>
  <c r="EB42" i="617"/>
  <c r="EC42" i="617"/>
  <c r="ED42" i="617"/>
  <c r="EE42" i="617"/>
  <c r="DR46" i="617"/>
  <c r="DS46" i="617"/>
  <c r="DU46" i="617"/>
  <c r="DW46" i="617"/>
  <c r="DX46" i="617"/>
  <c r="DZ46" i="617"/>
  <c r="EB46" i="617"/>
  <c r="EC46" i="617"/>
  <c r="EE46" i="617"/>
  <c r="DW47" i="617"/>
  <c r="DX47" i="617"/>
  <c r="DZ47" i="617"/>
  <c r="EB47" i="617"/>
  <c r="EC47" i="617"/>
  <c r="EE47" i="617"/>
  <c r="DZ48" i="617"/>
  <c r="EE48" i="617"/>
  <c r="DR51" i="617"/>
  <c r="DS51" i="617"/>
  <c r="DU51" i="617"/>
  <c r="DW51" i="617"/>
  <c r="DX51" i="617"/>
  <c r="DZ51" i="617"/>
  <c r="EB51" i="617"/>
  <c r="EC51" i="617"/>
  <c r="EE51" i="617"/>
  <c r="DR53" i="617"/>
  <c r="DS53" i="617"/>
  <c r="DU53" i="617"/>
  <c r="DW53" i="617"/>
  <c r="DX53" i="617"/>
  <c r="DZ53" i="617"/>
  <c r="EB53" i="617"/>
  <c r="EC53" i="617"/>
  <c r="EE53" i="617"/>
  <c r="DF55" i="617"/>
  <c r="DK55" i="617"/>
  <c r="DR55" i="617"/>
  <c r="DS55" i="617"/>
  <c r="DU55" i="617"/>
  <c r="DW55" i="617"/>
  <c r="DX55" i="617"/>
  <c r="DZ55" i="617"/>
  <c r="EB55" i="617"/>
  <c r="EC55" i="617"/>
  <c r="EE55" i="617"/>
  <c r="DD57" i="617"/>
  <c r="DE57" i="617"/>
  <c r="DF57" i="617"/>
  <c r="DH57" i="617"/>
  <c r="DI57" i="617"/>
  <c r="DJ57" i="617"/>
  <c r="DK57" i="617"/>
  <c r="DR57" i="617"/>
  <c r="DS57" i="617"/>
  <c r="DU57" i="617"/>
  <c r="DW57" i="617"/>
  <c r="DX57" i="617"/>
  <c r="DZ57" i="617"/>
  <c r="EB57" i="617"/>
  <c r="EC57" i="617"/>
  <c r="EE57" i="617"/>
  <c r="DD58" i="617"/>
  <c r="DE58" i="617"/>
  <c r="DF58" i="617"/>
  <c r="DH58" i="617"/>
  <c r="DI58" i="617"/>
  <c r="DJ58" i="617"/>
  <c r="DK58" i="617"/>
  <c r="DF59" i="617"/>
  <c r="DK59" i="617"/>
  <c r="DR59" i="617"/>
  <c r="DS59" i="617"/>
  <c r="DU59" i="617"/>
  <c r="DW59" i="617"/>
  <c r="DX59" i="617"/>
  <c r="DZ59" i="617"/>
  <c r="EB59" i="617"/>
  <c r="EC59" i="617"/>
  <c r="EE59" i="617"/>
  <c r="DF61" i="617"/>
  <c r="DK61" i="617"/>
  <c r="DR61" i="617"/>
  <c r="DS61" i="617"/>
  <c r="DU61" i="617"/>
  <c r="DW61" i="617"/>
  <c r="DX61" i="617"/>
  <c r="DZ61" i="617"/>
  <c r="EB61" i="617"/>
  <c r="EC61" i="617"/>
  <c r="EE61" i="617"/>
  <c r="DR65" i="617"/>
  <c r="DS65" i="617"/>
  <c r="DU65" i="617"/>
  <c r="DW65" i="617"/>
  <c r="DX65" i="617"/>
  <c r="DZ65" i="617"/>
  <c r="EB65" i="617"/>
  <c r="EC65" i="617"/>
  <c r="EE65" i="617"/>
  <c r="DR68" i="617"/>
  <c r="DS68" i="617"/>
  <c r="DU68" i="617"/>
  <c r="DW68" i="617"/>
  <c r="DX68" i="617"/>
  <c r="DZ68" i="617"/>
  <c r="EB68" i="617"/>
  <c r="EC68" i="617"/>
  <c r="EE68" i="617"/>
  <c r="DU69" i="617"/>
  <c r="DZ69" i="617"/>
  <c r="EE69" i="617"/>
  <c r="DR72" i="617"/>
  <c r="DS72" i="617"/>
  <c r="DU72" i="617"/>
  <c r="DW72" i="617"/>
  <c r="DX72" i="617"/>
  <c r="DZ72" i="617"/>
  <c r="EB72" i="617"/>
  <c r="EC72" i="617"/>
  <c r="EE72" i="617"/>
  <c r="DR74" i="617"/>
  <c r="DS74" i="617"/>
  <c r="DU74" i="617"/>
  <c r="DW74" i="617"/>
  <c r="DX74" i="617"/>
  <c r="DZ74" i="617"/>
  <c r="EB74" i="617"/>
  <c r="EC74" i="617"/>
  <c r="EE74" i="617"/>
  <c r="DF75" i="617"/>
  <c r="DK75" i="617"/>
  <c r="DP75" i="617"/>
  <c r="DR75" i="617"/>
  <c r="DS75" i="617"/>
  <c r="DU75" i="617"/>
  <c r="DW75" i="617"/>
  <c r="DX75" i="617"/>
  <c r="DZ75" i="617"/>
  <c r="EB75" i="617"/>
  <c r="EC75" i="617"/>
  <c r="EE75" i="617"/>
  <c r="DR77" i="617"/>
  <c r="DS77" i="617"/>
  <c r="DU77" i="617"/>
  <c r="DW77" i="617"/>
  <c r="DX77" i="617"/>
  <c r="DZ77" i="617"/>
  <c r="EB77" i="617"/>
  <c r="EC77" i="617"/>
  <c r="EE77" i="617"/>
  <c r="DD80" i="617"/>
  <c r="DE80" i="617"/>
  <c r="DF80" i="617"/>
  <c r="DH80" i="617"/>
  <c r="DI80" i="617"/>
  <c r="DJ80" i="617"/>
  <c r="DK80" i="617"/>
  <c r="DR80" i="617"/>
  <c r="DS80" i="617"/>
  <c r="DU80" i="617"/>
  <c r="DW80" i="617"/>
  <c r="DX80" i="617"/>
  <c r="DZ80" i="617"/>
  <c r="EB80" i="617"/>
  <c r="EC80" i="617"/>
  <c r="EE80" i="617"/>
  <c r="DD81" i="617"/>
  <c r="DE81" i="617"/>
  <c r="DF81" i="617"/>
  <c r="DH81" i="617"/>
  <c r="DI81" i="617"/>
  <c r="DJ81" i="617"/>
  <c r="DK81" i="617"/>
  <c r="DF82" i="617"/>
  <c r="DK82" i="617"/>
  <c r="DR82" i="617"/>
  <c r="DS82" i="617"/>
  <c r="DU82" i="617"/>
  <c r="DW82" i="617"/>
  <c r="DX82" i="617"/>
  <c r="DZ82" i="617"/>
  <c r="EB82" i="617"/>
  <c r="EC82" i="617"/>
  <c r="EE82" i="617"/>
  <c r="DR83" i="617"/>
  <c r="DS83" i="617"/>
  <c r="DU83" i="617"/>
  <c r="DW83" i="617"/>
  <c r="DX83" i="617"/>
  <c r="DZ83" i="617"/>
  <c r="EB83" i="617"/>
  <c r="EC83" i="617"/>
  <c r="EE83" i="617"/>
  <c r="DR84" i="617"/>
  <c r="DS84" i="617"/>
  <c r="DU84" i="617"/>
  <c r="DW84" i="617"/>
  <c r="DX84" i="617"/>
  <c r="DZ84" i="617"/>
  <c r="EB84" i="617"/>
  <c r="EC84" i="617"/>
  <c r="EE84" i="617"/>
  <c r="DP85" i="617"/>
  <c r="DU2" i="571"/>
  <c r="DZ2" i="571"/>
  <c r="EE2" i="571"/>
  <c r="DR32" i="571"/>
  <c r="DS32" i="571"/>
  <c r="DU32" i="571"/>
  <c r="DV32" i="571"/>
  <c r="DW32" i="571"/>
  <c r="DX32" i="571"/>
  <c r="DY32" i="571"/>
  <c r="DZ32" i="571"/>
  <c r="EA32" i="571"/>
  <c r="EB32" i="571"/>
  <c r="EC32" i="571"/>
  <c r="ED32" i="571"/>
  <c r="EE32" i="571"/>
  <c r="DR33" i="571"/>
  <c r="DS33" i="571"/>
  <c r="DU33" i="571"/>
  <c r="DV33" i="571"/>
  <c r="DW33" i="571"/>
  <c r="DX33" i="571"/>
  <c r="DY33" i="571"/>
  <c r="DZ33" i="571"/>
  <c r="EA33" i="571"/>
  <c r="EB33" i="571"/>
  <c r="EC33" i="571"/>
  <c r="ED33" i="571"/>
  <c r="EE33" i="571"/>
  <c r="DR34" i="571"/>
  <c r="DS34" i="571"/>
  <c r="DU34" i="571"/>
  <c r="DW34" i="571"/>
  <c r="DX34" i="571"/>
  <c r="DZ34" i="571"/>
  <c r="EB34" i="571"/>
  <c r="EC34" i="571"/>
  <c r="EE34" i="571"/>
  <c r="DR35" i="571"/>
  <c r="DS35" i="571"/>
  <c r="DU35" i="571"/>
  <c r="DW35" i="571"/>
  <c r="DX35" i="571"/>
  <c r="DZ35" i="571"/>
  <c r="EB35" i="571"/>
  <c r="EC35" i="571"/>
  <c r="EE35" i="571"/>
  <c r="DR36" i="571"/>
  <c r="DS36" i="571"/>
  <c r="DU36" i="571"/>
  <c r="DW36" i="571"/>
  <c r="DX36" i="571"/>
  <c r="DZ36" i="571"/>
  <c r="EB36" i="571"/>
  <c r="EC36" i="571"/>
  <c r="EE36" i="571"/>
  <c r="DR37" i="571"/>
  <c r="DS37" i="571"/>
  <c r="DU37" i="571"/>
  <c r="DW37" i="571"/>
  <c r="DX37" i="571"/>
  <c r="DZ37" i="571"/>
  <c r="EB37" i="571"/>
  <c r="EC37" i="571"/>
  <c r="EE37" i="571"/>
  <c r="DR39" i="571"/>
  <c r="DS39" i="571"/>
  <c r="DU39" i="571"/>
  <c r="DV39" i="571"/>
  <c r="DW39" i="571"/>
  <c r="DX39" i="571"/>
  <c r="DY39" i="571"/>
  <c r="DZ39" i="571"/>
  <c r="EA39" i="571"/>
  <c r="EB39" i="571"/>
  <c r="EC39" i="571"/>
  <c r="ED39" i="571"/>
  <c r="EE39" i="571"/>
  <c r="DU40" i="571"/>
  <c r="DV40" i="571"/>
  <c r="DW40" i="571"/>
  <c r="DX40" i="571"/>
  <c r="DY40" i="571"/>
  <c r="DZ40" i="571"/>
  <c r="EA40" i="571"/>
  <c r="EB40" i="571"/>
  <c r="EC40" i="571"/>
  <c r="ED40" i="571"/>
  <c r="EE40" i="571"/>
  <c r="DW42" i="571"/>
  <c r="DX42" i="571"/>
  <c r="DZ42" i="571"/>
  <c r="EB42" i="571"/>
  <c r="EC42" i="571"/>
  <c r="EE42" i="571"/>
  <c r="DW43" i="571"/>
  <c r="DX43" i="571"/>
  <c r="DZ43" i="571"/>
  <c r="EB43" i="571"/>
  <c r="EC43" i="571"/>
  <c r="EE43" i="571"/>
  <c r="DW44" i="571"/>
  <c r="DX44" i="571"/>
  <c r="DZ44" i="571"/>
  <c r="EB44" i="571"/>
  <c r="EC44" i="571"/>
  <c r="EE44" i="571"/>
  <c r="DZ45" i="571"/>
  <c r="EE45" i="571"/>
  <c r="DU48" i="571"/>
  <c r="DZ48" i="571"/>
  <c r="EE48" i="571"/>
  <c r="DU49" i="571"/>
  <c r="DZ49" i="571"/>
  <c r="EE49" i="571"/>
  <c r="DV50" i="571"/>
  <c r="EA50" i="571"/>
  <c r="CU56" i="571"/>
  <c r="CV56" i="571"/>
  <c r="DC56" i="571"/>
  <c r="DD56" i="571"/>
  <c r="DE56" i="571"/>
  <c r="DF56" i="571"/>
  <c r="DG56" i="571"/>
  <c r="DH56" i="571"/>
  <c r="DI56" i="571"/>
  <c r="DJ56" i="571"/>
  <c r="DK56" i="571"/>
  <c r="DL56" i="571"/>
  <c r="DM56" i="571"/>
  <c r="DN56" i="571"/>
  <c r="DO56" i="571"/>
  <c r="DP56" i="571"/>
  <c r="DQ56" i="571"/>
  <c r="DR56" i="571"/>
  <c r="DS56" i="571"/>
  <c r="DU56" i="571"/>
  <c r="DR59" i="571"/>
  <c r="DS59" i="571"/>
  <c r="DU59" i="571"/>
  <c r="DV59" i="571"/>
  <c r="DW59" i="571"/>
  <c r="DX59" i="571"/>
  <c r="DY59" i="571"/>
  <c r="DZ59" i="571"/>
  <c r="EA59" i="571"/>
  <c r="EB59" i="571"/>
  <c r="EC59" i="571"/>
  <c r="ED59" i="571"/>
  <c r="EE59" i="571"/>
  <c r="DR60" i="571"/>
  <c r="DS60" i="571"/>
  <c r="DU60" i="571"/>
  <c r="DW60" i="571"/>
  <c r="DX60" i="571"/>
  <c r="DZ60" i="571"/>
  <c r="EB60" i="571"/>
  <c r="EC60" i="571"/>
  <c r="EE60" i="571"/>
  <c r="CU61" i="571"/>
  <c r="CV61" i="571"/>
  <c r="DC61" i="571"/>
  <c r="DD61" i="571"/>
  <c r="DE61" i="571"/>
  <c r="DF61" i="571"/>
  <c r="DG61" i="571"/>
  <c r="DH61" i="571"/>
  <c r="DI61" i="571"/>
  <c r="DJ61" i="571"/>
  <c r="DK61" i="571"/>
  <c r="DL61" i="571"/>
  <c r="DM61" i="571"/>
  <c r="DN61" i="571"/>
  <c r="DO61" i="571"/>
  <c r="DQ61" i="571"/>
  <c r="DR61" i="571"/>
  <c r="DS61" i="571"/>
  <c r="DR64" i="571"/>
  <c r="DS64" i="571"/>
  <c r="DU64" i="571"/>
  <c r="DW64" i="571"/>
  <c r="DX64" i="571"/>
  <c r="DZ64" i="571"/>
  <c r="EB64" i="571"/>
  <c r="EC64" i="571"/>
  <c r="EE64" i="571"/>
  <c r="DR65" i="571"/>
  <c r="DS65" i="571"/>
  <c r="DU65" i="571"/>
  <c r="DW65" i="571"/>
  <c r="DX65" i="571"/>
  <c r="DZ65" i="571"/>
  <c r="EB65" i="571"/>
  <c r="EC65" i="571"/>
  <c r="EE65" i="571"/>
  <c r="DR66" i="571"/>
  <c r="DS66" i="571"/>
  <c r="DU66" i="571"/>
  <c r="DW66" i="571"/>
  <c r="DX66" i="571"/>
  <c r="DZ66" i="571"/>
  <c r="EB66" i="571"/>
  <c r="EC66" i="571"/>
  <c r="EE66" i="571"/>
  <c r="DR67" i="571"/>
  <c r="DS67" i="571"/>
  <c r="DU67" i="571"/>
  <c r="DW67" i="571"/>
  <c r="DX67" i="571"/>
  <c r="DZ67" i="571"/>
  <c r="EB67" i="571"/>
  <c r="EC67" i="571"/>
  <c r="EE67" i="571"/>
  <c r="DR68" i="571"/>
  <c r="DS68" i="571"/>
  <c r="DU68" i="571"/>
  <c r="DW68" i="571"/>
  <c r="DX68" i="571"/>
  <c r="DZ68" i="571"/>
  <c r="EB68" i="571"/>
  <c r="EC68" i="571"/>
  <c r="EE68" i="571"/>
  <c r="DW71" i="571"/>
  <c r="DX71" i="571"/>
  <c r="DZ71" i="571"/>
  <c r="EB71" i="571"/>
  <c r="EC71" i="571"/>
  <c r="EE71" i="571"/>
  <c r="DW72" i="571"/>
  <c r="DX72" i="571"/>
  <c r="DZ72" i="571"/>
  <c r="EB72" i="571"/>
  <c r="EC72" i="571"/>
  <c r="EE72" i="571"/>
  <c r="DW73" i="571"/>
  <c r="DX73" i="571"/>
  <c r="DZ73" i="571"/>
  <c r="EB73" i="571"/>
  <c r="EC73" i="571"/>
  <c r="EE73" i="571"/>
  <c r="DW74" i="571"/>
  <c r="DX74" i="571"/>
  <c r="DZ74" i="571"/>
  <c r="EB74" i="571"/>
  <c r="EC74" i="571"/>
  <c r="EE74" i="571"/>
  <c r="DR77" i="571"/>
  <c r="DS77" i="571"/>
  <c r="DU77" i="571"/>
  <c r="DW77" i="571"/>
  <c r="DX77" i="571"/>
  <c r="DZ77" i="571"/>
  <c r="EB77" i="571"/>
  <c r="EC77" i="571"/>
  <c r="EE77" i="571"/>
  <c r="DD78" i="571"/>
  <c r="DE78" i="571"/>
  <c r="DF78" i="571"/>
  <c r="DH78" i="571"/>
  <c r="DI78" i="571"/>
  <c r="DJ78" i="571"/>
  <c r="DK78" i="571"/>
  <c r="DR78" i="571"/>
  <c r="DS78" i="571"/>
  <c r="DU78" i="571"/>
  <c r="DW78" i="571"/>
  <c r="DX78" i="571"/>
  <c r="DZ78" i="571"/>
  <c r="EB78" i="571"/>
  <c r="EC78" i="571"/>
  <c r="EE78" i="571"/>
  <c r="DD79" i="571"/>
  <c r="DE79" i="571"/>
  <c r="DF79" i="571"/>
  <c r="DH79" i="571"/>
  <c r="DI79" i="571"/>
  <c r="DJ79" i="571"/>
  <c r="DK79" i="571"/>
  <c r="DR79" i="571"/>
  <c r="DS79" i="571"/>
  <c r="DU79" i="571"/>
  <c r="DW79" i="571"/>
  <c r="DX79" i="571"/>
  <c r="DZ79" i="571"/>
  <c r="EB79" i="571"/>
  <c r="EC79" i="571"/>
  <c r="EE79" i="571"/>
  <c r="DR82" i="571"/>
  <c r="DS82" i="571"/>
  <c r="DU82" i="571"/>
  <c r="DW82" i="571"/>
  <c r="DX82" i="571"/>
  <c r="DZ82" i="571"/>
  <c r="EB82" i="571"/>
  <c r="EC82" i="571"/>
  <c r="EE82" i="571"/>
  <c r="DD83" i="571"/>
  <c r="DE83" i="571"/>
  <c r="DF83" i="571"/>
  <c r="DH83" i="571"/>
  <c r="DI83" i="571"/>
  <c r="DJ83" i="571"/>
  <c r="DK83" i="571"/>
  <c r="DR83" i="571"/>
  <c r="DS83" i="571"/>
  <c r="DU83" i="571"/>
  <c r="DW83" i="571"/>
  <c r="DX83" i="571"/>
  <c r="DZ83" i="571"/>
  <c r="EB83" i="571"/>
  <c r="EC83" i="571"/>
  <c r="EE83" i="571"/>
  <c r="DD84" i="571"/>
  <c r="DE84" i="571"/>
  <c r="DF84" i="571"/>
  <c r="DH84" i="571"/>
  <c r="DI84" i="571"/>
  <c r="DJ84" i="571"/>
  <c r="DK84" i="571"/>
  <c r="DR84" i="571"/>
  <c r="DS84" i="571"/>
  <c r="DU84" i="571"/>
  <c r="DW84" i="571"/>
  <c r="DX84" i="571"/>
  <c r="DZ84" i="571"/>
  <c r="EB84" i="571"/>
  <c r="EC84" i="571"/>
  <c r="EE84" i="571"/>
  <c r="DR87" i="571"/>
  <c r="DS87" i="571"/>
  <c r="DU87" i="571"/>
  <c r="DW87" i="571"/>
  <c r="DX87" i="571"/>
  <c r="DZ87" i="571"/>
  <c r="EB87" i="571"/>
  <c r="EC87" i="571"/>
  <c r="EE87" i="571"/>
  <c r="DR88" i="571"/>
  <c r="DS88" i="571"/>
  <c r="DU88" i="571"/>
  <c r="DW88" i="571"/>
  <c r="DX88" i="571"/>
  <c r="DZ88" i="571"/>
  <c r="EB88" i="571"/>
  <c r="EC88" i="571"/>
  <c r="EE88" i="571"/>
  <c r="DR89" i="571"/>
  <c r="DS89" i="571"/>
  <c r="DU89" i="571"/>
  <c r="DW89" i="571"/>
  <c r="DX89" i="571"/>
  <c r="DZ89" i="571"/>
  <c r="EB89" i="571"/>
  <c r="EC89" i="571"/>
  <c r="EE89" i="571"/>
  <c r="DD93" i="571"/>
  <c r="DE93" i="571"/>
  <c r="DF93" i="571"/>
  <c r="DH93" i="571"/>
  <c r="DI93" i="571"/>
  <c r="DJ93" i="571"/>
  <c r="DK93" i="571"/>
  <c r="DD94" i="571"/>
  <c r="DE94" i="571"/>
  <c r="DF94" i="571"/>
  <c r="DH94" i="571"/>
  <c r="DI94" i="571"/>
  <c r="DJ94" i="571"/>
  <c r="DK94" i="571"/>
  <c r="DR97" i="571"/>
  <c r="DS97" i="571"/>
  <c r="DU97" i="571"/>
  <c r="DW97" i="571"/>
  <c r="DX97" i="571"/>
  <c r="DZ97" i="571"/>
  <c r="EB97" i="571"/>
  <c r="EC97" i="571"/>
  <c r="EE97" i="571"/>
  <c r="DD98" i="571"/>
  <c r="DE98" i="571"/>
  <c r="DF98" i="571"/>
  <c r="DH98" i="571"/>
  <c r="DI98" i="571"/>
  <c r="DJ98" i="571"/>
  <c r="DK98" i="571"/>
  <c r="DR98" i="571"/>
  <c r="DS98" i="571"/>
  <c r="DU98" i="571"/>
  <c r="DW98" i="571"/>
  <c r="DX98" i="571"/>
  <c r="DZ98" i="571"/>
  <c r="EB98" i="571"/>
  <c r="EC98" i="571"/>
  <c r="EE98" i="571"/>
  <c r="DD99" i="571"/>
  <c r="DE99" i="571"/>
  <c r="DF99" i="571"/>
  <c r="DH99" i="571"/>
  <c r="DI99" i="571"/>
  <c r="DJ99" i="571"/>
  <c r="DK99" i="571"/>
  <c r="DR99" i="571"/>
  <c r="DS99" i="571"/>
  <c r="DU99" i="571"/>
  <c r="DW99" i="571"/>
  <c r="DX99" i="571"/>
  <c r="DZ99" i="571"/>
  <c r="EB99" i="571"/>
  <c r="EC99" i="571"/>
  <c r="EE99" i="571"/>
  <c r="DZ100" i="571"/>
  <c r="EE100" i="571"/>
  <c r="DD101" i="571"/>
  <c r="DE101" i="571"/>
  <c r="DF101" i="571"/>
  <c r="DH101" i="571"/>
  <c r="DI101" i="571"/>
  <c r="DJ101" i="571"/>
  <c r="DK101" i="571"/>
  <c r="DM101" i="571"/>
  <c r="DN101" i="571"/>
  <c r="DO101" i="571"/>
  <c r="DP101" i="571"/>
  <c r="DR101" i="571"/>
  <c r="DS101" i="571"/>
  <c r="DU101" i="571"/>
  <c r="DW101" i="571"/>
  <c r="DX101" i="571"/>
  <c r="DZ101" i="571"/>
  <c r="EB101" i="571"/>
  <c r="EC101" i="571"/>
  <c r="EE101" i="571"/>
  <c r="DD102" i="571"/>
  <c r="DE102" i="571"/>
  <c r="DG102" i="571"/>
  <c r="DH102" i="571"/>
  <c r="DI102" i="571"/>
  <c r="DJ102" i="571"/>
  <c r="DL102" i="571"/>
  <c r="DR102" i="571"/>
  <c r="DS102" i="571"/>
  <c r="DT102" i="571"/>
  <c r="DV102" i="571"/>
  <c r="DW102" i="571"/>
  <c r="DX102" i="571"/>
  <c r="DY102" i="571"/>
  <c r="EA102" i="571"/>
  <c r="EB102" i="571"/>
  <c r="EC102" i="571"/>
  <c r="ED102" i="571"/>
  <c r="DR104" i="571"/>
  <c r="DS104" i="571"/>
  <c r="DU104" i="571"/>
  <c r="DW104" i="571"/>
  <c r="DX104" i="571"/>
  <c r="DZ104" i="571"/>
  <c r="EB104" i="571"/>
  <c r="EC104" i="571"/>
  <c r="EE104" i="571"/>
  <c r="DR105" i="571"/>
  <c r="DS105" i="571"/>
  <c r="DT105" i="571"/>
  <c r="DV105" i="571"/>
  <c r="DW105" i="571"/>
  <c r="DX105" i="571"/>
  <c r="DY105" i="571"/>
  <c r="EA105" i="571"/>
  <c r="EB105" i="571"/>
  <c r="EC105" i="571"/>
  <c r="ED105" i="571"/>
  <c r="DD107" i="571"/>
  <c r="DE107" i="571"/>
  <c r="DF107" i="571"/>
  <c r="DH107" i="571"/>
  <c r="DI107" i="571"/>
  <c r="DJ107" i="571"/>
  <c r="DK107" i="571"/>
  <c r="DM107" i="571"/>
  <c r="DN107" i="571"/>
  <c r="DO107" i="571"/>
  <c r="DP107" i="571"/>
  <c r="DR107" i="571"/>
  <c r="DS107" i="571"/>
  <c r="DU107" i="571"/>
  <c r="DW107" i="571"/>
  <c r="DX107" i="571"/>
  <c r="DZ107" i="571"/>
  <c r="EB107" i="571"/>
  <c r="EC107" i="571"/>
  <c r="EE107" i="571"/>
  <c r="DD108" i="571"/>
  <c r="DE108" i="571"/>
  <c r="DG108" i="571"/>
  <c r="DH108" i="571"/>
  <c r="DI108" i="571"/>
  <c r="DJ108" i="571"/>
  <c r="DL108" i="571"/>
  <c r="DR108" i="571"/>
  <c r="DS108" i="571"/>
  <c r="DT108" i="571"/>
  <c r="DV108" i="571"/>
  <c r="DW108" i="571"/>
  <c r="DX108" i="571"/>
  <c r="DY108" i="571"/>
  <c r="EA108" i="571"/>
  <c r="EB108" i="571"/>
  <c r="EC108" i="571"/>
  <c r="ED108" i="571"/>
  <c r="DR111" i="571"/>
  <c r="DS111" i="571"/>
  <c r="DU111" i="571"/>
  <c r="DW111" i="571"/>
  <c r="DX111" i="571"/>
  <c r="DZ111" i="571"/>
  <c r="EB111" i="571"/>
  <c r="EC111" i="571"/>
  <c r="EE111" i="571"/>
  <c r="DR112" i="571"/>
  <c r="DS112" i="571"/>
  <c r="DU112" i="571"/>
  <c r="DW112" i="571"/>
  <c r="DX112" i="571"/>
  <c r="DZ112" i="571"/>
  <c r="EB112" i="571"/>
  <c r="EC112" i="571"/>
  <c r="EE112" i="571"/>
  <c r="DR113" i="571"/>
  <c r="DS113" i="571"/>
  <c r="DU113" i="571"/>
  <c r="DW113" i="571"/>
  <c r="DX113" i="571"/>
  <c r="DZ113" i="571"/>
  <c r="EB113" i="571"/>
  <c r="EC113" i="571"/>
  <c r="EE113" i="571"/>
  <c r="DR115" i="571"/>
  <c r="DS115" i="571"/>
  <c r="DU115" i="571"/>
  <c r="DW115" i="571"/>
  <c r="DX115" i="571"/>
  <c r="DZ115" i="571"/>
  <c r="EB115" i="571"/>
  <c r="EC115" i="571"/>
  <c r="EE115" i="571"/>
  <c r="DR116" i="571"/>
  <c r="DS116" i="571"/>
  <c r="DT116" i="571"/>
  <c r="DV116" i="571"/>
  <c r="DW116" i="571"/>
  <c r="DX116" i="571"/>
  <c r="DY116" i="571"/>
  <c r="EA116" i="571"/>
  <c r="EB116" i="571"/>
  <c r="EC116" i="571"/>
  <c r="ED116" i="571"/>
  <c r="DR118" i="571"/>
  <c r="DS118" i="571"/>
  <c r="DU118" i="571"/>
  <c r="DW118" i="571"/>
  <c r="DX118" i="571"/>
  <c r="DZ118" i="571"/>
  <c r="EB118" i="571"/>
  <c r="EC118" i="571"/>
  <c r="EE118" i="571"/>
  <c r="DR119" i="571"/>
  <c r="DS119" i="571"/>
  <c r="DT119" i="571"/>
  <c r="DV119" i="571"/>
  <c r="DW119" i="571"/>
  <c r="DX119" i="571"/>
  <c r="DY119" i="571"/>
  <c r="EA119" i="571"/>
  <c r="EB119" i="571"/>
  <c r="EC119" i="571"/>
  <c r="ED119" i="571"/>
  <c r="DR121" i="571"/>
  <c r="DS121" i="571"/>
  <c r="DU121" i="571"/>
  <c r="DW121" i="571"/>
  <c r="DX121" i="571"/>
  <c r="DZ121" i="571"/>
  <c r="EB121" i="571"/>
  <c r="EC121" i="571"/>
  <c r="EE121" i="571"/>
  <c r="DR122" i="571"/>
  <c r="DS122" i="571"/>
  <c r="DT122" i="571"/>
  <c r="DV122" i="571"/>
  <c r="DW122" i="571"/>
  <c r="DX122" i="571"/>
  <c r="DY122" i="571"/>
  <c r="EA122" i="571"/>
  <c r="EB122" i="571"/>
  <c r="EC122" i="571"/>
  <c r="ED122" i="571"/>
  <c r="DU128" i="571"/>
  <c r="DZ128" i="571"/>
  <c r="EE128" i="571"/>
  <c r="DU129" i="571"/>
  <c r="DZ129" i="571"/>
  <c r="EE129" i="571"/>
  <c r="DR130" i="571"/>
  <c r="DS130" i="571"/>
  <c r="DU130" i="571"/>
  <c r="DW130" i="571"/>
  <c r="DX130" i="571"/>
  <c r="DZ130" i="571"/>
  <c r="EB130" i="571"/>
  <c r="EC130" i="571"/>
  <c r="EE130" i="571"/>
  <c r="DU133" i="571"/>
  <c r="DZ133" i="571"/>
  <c r="EE133" i="571"/>
  <c r="DU134" i="571"/>
  <c r="DZ134" i="571"/>
  <c r="EE134" i="571"/>
  <c r="DZ137" i="571"/>
  <c r="EE137" i="571"/>
  <c r="DZ138" i="571"/>
  <c r="EE138" i="571"/>
  <c r="DW139" i="571"/>
  <c r="DX139" i="571"/>
  <c r="DZ139" i="571"/>
  <c r="EB139" i="571"/>
  <c r="EC139" i="571"/>
  <c r="EE139" i="571"/>
  <c r="DU142" i="571"/>
  <c r="DZ142" i="571"/>
  <c r="EE142" i="571"/>
  <c r="DU143" i="571"/>
  <c r="DZ143" i="571"/>
  <c r="EE143" i="571"/>
  <c r="DR144" i="571"/>
  <c r="DS144" i="571"/>
  <c r="DU144" i="571"/>
  <c r="DW144" i="571"/>
  <c r="DX144" i="571"/>
  <c r="DZ144" i="571"/>
  <c r="EB144" i="571"/>
  <c r="EC144" i="571"/>
  <c r="EE144" i="571"/>
  <c r="DU147" i="571"/>
  <c r="DZ147" i="571"/>
  <c r="EE147" i="571"/>
  <c r="DU148" i="571"/>
  <c r="DZ148" i="571"/>
  <c r="EE148" i="571"/>
  <c r="DR149" i="571"/>
  <c r="DS149" i="571"/>
  <c r="DU149" i="571"/>
  <c r="DW149" i="571"/>
  <c r="DX149" i="571"/>
  <c r="DZ149" i="571"/>
  <c r="EB149" i="571"/>
  <c r="EC149" i="571"/>
  <c r="EE149" i="571"/>
  <c r="DR150" i="571"/>
  <c r="DS150" i="571"/>
  <c r="DU150" i="571"/>
  <c r="DW150" i="571"/>
  <c r="DX150" i="571"/>
  <c r="DZ150" i="571"/>
  <c r="EB150" i="571"/>
  <c r="EC150" i="571"/>
  <c r="EE150" i="571"/>
  <c r="DU152" i="571"/>
  <c r="DZ152" i="571"/>
  <c r="EE152" i="571"/>
  <c r="DU153" i="571"/>
  <c r="DZ153" i="571"/>
  <c r="EE153" i="571"/>
  <c r="DR154" i="571"/>
  <c r="DS154" i="571"/>
  <c r="DU154" i="571"/>
  <c r="DW154" i="571"/>
  <c r="DX154" i="571"/>
  <c r="DZ154" i="571"/>
  <c r="EB154" i="571"/>
  <c r="EC154" i="571"/>
  <c r="EE154" i="571"/>
  <c r="DD161" i="571"/>
  <c r="DE161" i="571"/>
  <c r="DF161" i="571"/>
  <c r="DH161" i="571"/>
  <c r="DI161" i="571"/>
  <c r="DJ161" i="571"/>
  <c r="DK161" i="571"/>
  <c r="DD162" i="571"/>
  <c r="DE162" i="571"/>
  <c r="DF162" i="571"/>
  <c r="DH162" i="571"/>
  <c r="DI162" i="571"/>
  <c r="DJ162" i="571"/>
  <c r="DK162" i="571"/>
  <c r="DD165" i="571"/>
  <c r="DE165" i="571"/>
  <c r="DF165" i="571"/>
  <c r="DH165" i="571"/>
  <c r="DI165" i="571"/>
  <c r="DJ165" i="571"/>
  <c r="DK165" i="571"/>
  <c r="DD166" i="571"/>
  <c r="DE166" i="571"/>
  <c r="DF166" i="571"/>
  <c r="DH166" i="571"/>
  <c r="DI166" i="571"/>
  <c r="DJ166" i="571"/>
  <c r="DK166" i="571"/>
  <c r="DM166" i="571"/>
  <c r="DN166" i="571"/>
  <c r="DO166" i="571"/>
  <c r="DP166" i="571"/>
  <c r="DD168" i="571"/>
  <c r="DE168" i="571"/>
  <c r="DF168" i="571"/>
  <c r="DH168" i="571"/>
  <c r="DI168" i="571"/>
  <c r="DJ168" i="571"/>
  <c r="DK168" i="571"/>
  <c r="DD169" i="571"/>
  <c r="DE169" i="571"/>
  <c r="DF169" i="571"/>
  <c r="DH169" i="571"/>
  <c r="DI169" i="571"/>
  <c r="DJ169" i="571"/>
  <c r="DK169" i="571"/>
  <c r="DM169" i="571"/>
  <c r="DN169" i="571"/>
  <c r="DO169" i="571"/>
  <c r="DP169" i="571"/>
  <c r="DR188" i="571"/>
  <c r="DS188" i="571"/>
  <c r="DU188" i="571"/>
  <c r="DW188" i="571"/>
  <c r="DX188" i="571"/>
  <c r="DZ188" i="571"/>
  <c r="EB188" i="571"/>
  <c r="EC188" i="571"/>
  <c r="EE188" i="571"/>
  <c r="DF189" i="571"/>
  <c r="DK189" i="571"/>
  <c r="DR189" i="571"/>
  <c r="DS189" i="571"/>
  <c r="DU189" i="571"/>
  <c r="DW189" i="571"/>
  <c r="DX189" i="571"/>
  <c r="DZ189" i="571"/>
  <c r="EB189" i="571"/>
  <c r="EC189" i="571"/>
  <c r="EE189" i="571"/>
  <c r="EG189" i="571"/>
  <c r="DR190" i="571"/>
  <c r="DS190" i="571"/>
  <c r="DU190" i="571"/>
  <c r="DW190" i="571"/>
  <c r="DX190" i="571"/>
  <c r="DZ190" i="571"/>
  <c r="EB190" i="571"/>
  <c r="EC190" i="571"/>
  <c r="EE190" i="571"/>
  <c r="DR191" i="571"/>
  <c r="DS191" i="571"/>
  <c r="DU191" i="571"/>
  <c r="DW191" i="571"/>
  <c r="DX191" i="571"/>
  <c r="DZ191" i="571"/>
  <c r="EB191" i="571"/>
  <c r="EC191" i="571"/>
  <c r="EE191" i="571"/>
  <c r="DF194" i="571"/>
  <c r="DK194" i="571"/>
  <c r="DR194" i="571"/>
  <c r="DS194" i="571"/>
  <c r="DU194" i="571"/>
  <c r="DW194" i="571"/>
  <c r="DX194" i="571"/>
  <c r="DZ194" i="571"/>
  <c r="EB194" i="571"/>
  <c r="EC194" i="571"/>
  <c r="EE194" i="571"/>
  <c r="DR195" i="571"/>
  <c r="DS195" i="571"/>
  <c r="DU195" i="571"/>
  <c r="DW195" i="571"/>
  <c r="DX195" i="571"/>
  <c r="DZ195" i="571"/>
  <c r="EB195" i="571"/>
  <c r="EC195" i="571"/>
  <c r="EE195" i="571"/>
  <c r="DR196" i="571"/>
  <c r="DS196" i="571"/>
  <c r="DR200" i="571"/>
  <c r="DS200" i="571"/>
  <c r="DU200" i="571"/>
  <c r="DW200" i="571"/>
  <c r="DX200" i="571"/>
  <c r="DZ200" i="571"/>
  <c r="EB200" i="571"/>
  <c r="EC200" i="571"/>
  <c r="EE200" i="571"/>
  <c r="DR201" i="571"/>
  <c r="DS201" i="571"/>
  <c r="DU201" i="571"/>
  <c r="DW201" i="571"/>
  <c r="DX201" i="571"/>
  <c r="DZ201" i="571"/>
  <c r="EB201" i="571"/>
  <c r="EC201" i="571"/>
  <c r="EE201" i="571"/>
  <c r="DR202" i="571"/>
  <c r="DU202" i="571"/>
  <c r="DZ202" i="571"/>
  <c r="EE202" i="571"/>
  <c r="DF204" i="571"/>
  <c r="DK204" i="571"/>
  <c r="DR204" i="571"/>
  <c r="DS204" i="571"/>
  <c r="DU204" i="571"/>
  <c r="DW204" i="571"/>
  <c r="DX204" i="571"/>
  <c r="DZ204" i="571"/>
  <c r="EB204" i="571"/>
  <c r="EC204" i="571"/>
  <c r="EE204" i="571"/>
  <c r="DF205" i="571"/>
  <c r="DK205" i="571"/>
  <c r="DR205" i="571"/>
  <c r="DS205" i="571"/>
  <c r="DU205" i="571"/>
  <c r="DW205" i="571"/>
  <c r="DX205" i="571"/>
  <c r="DZ205" i="571"/>
  <c r="EB205" i="571"/>
  <c r="EC205" i="571"/>
  <c r="EE205" i="571"/>
  <c r="DR206" i="571"/>
  <c r="DS206" i="571"/>
  <c r="DU206" i="571"/>
  <c r="DW206" i="571"/>
  <c r="DX206" i="571"/>
  <c r="DZ206" i="571"/>
  <c r="EB206" i="571"/>
  <c r="EC206" i="571"/>
  <c r="EE206" i="571"/>
  <c r="DR209" i="571"/>
  <c r="DS209" i="571"/>
  <c r="DU209" i="571"/>
  <c r="DW209" i="571"/>
  <c r="DX209" i="571"/>
  <c r="DZ209" i="571"/>
  <c r="EB209" i="571"/>
  <c r="EC209" i="571"/>
  <c r="EE209" i="571"/>
  <c r="DR212" i="571"/>
  <c r="DS212" i="571"/>
  <c r="DU212" i="571"/>
  <c r="DW212" i="571"/>
  <c r="DX212" i="571"/>
  <c r="DZ212" i="571"/>
  <c r="EB212" i="571"/>
  <c r="EC212" i="571"/>
  <c r="EE212" i="571"/>
  <c r="DR213" i="571"/>
  <c r="DS213" i="571"/>
  <c r="DU213" i="571"/>
  <c r="DW213" i="571"/>
  <c r="DX213" i="571"/>
  <c r="DZ213" i="571"/>
  <c r="EB213" i="571"/>
  <c r="EC213" i="571"/>
  <c r="EE213" i="571"/>
  <c r="DF215" i="571"/>
  <c r="DK215" i="571"/>
  <c r="DP215" i="571"/>
  <c r="DR215" i="571"/>
  <c r="DS215" i="571"/>
  <c r="DU215" i="571"/>
  <c r="DW215" i="571"/>
  <c r="DX215" i="571"/>
  <c r="DZ215" i="571"/>
  <c r="EB215" i="571"/>
  <c r="EC215" i="571"/>
  <c r="EE215" i="571"/>
  <c r="DG216" i="571"/>
  <c r="DL216" i="571"/>
  <c r="DR216" i="571"/>
  <c r="DS216" i="571"/>
  <c r="DT216" i="571"/>
  <c r="DV216" i="571"/>
  <c r="DW216" i="571"/>
  <c r="DX216" i="571"/>
  <c r="DY216" i="571"/>
  <c r="EA216" i="571"/>
  <c r="EB216" i="571"/>
  <c r="EC216" i="571"/>
  <c r="ED216" i="571"/>
  <c r="DR218" i="571"/>
  <c r="DS218" i="571"/>
  <c r="DU218" i="571"/>
  <c r="DW218" i="571"/>
  <c r="DX218" i="571"/>
  <c r="DZ218" i="571"/>
  <c r="EB218" i="571"/>
  <c r="EC218" i="571"/>
  <c r="EE218" i="571"/>
  <c r="DW219" i="571"/>
  <c r="DX219" i="571"/>
  <c r="DZ219" i="571"/>
  <c r="EB219" i="571"/>
  <c r="EC219" i="571"/>
  <c r="EE219" i="571"/>
  <c r="DR222" i="571"/>
  <c r="DS222" i="571"/>
  <c r="DU222" i="571"/>
  <c r="DW222" i="571"/>
  <c r="DX222" i="571"/>
  <c r="DZ222" i="571"/>
  <c r="EB222" i="571"/>
  <c r="EC222" i="571"/>
  <c r="EE222" i="571"/>
  <c r="DR223" i="571"/>
  <c r="DS223" i="571"/>
  <c r="DU223" i="571"/>
  <c r="DW223" i="571"/>
  <c r="DX223" i="571"/>
  <c r="DZ223" i="571"/>
  <c r="EB223" i="571"/>
  <c r="EC223" i="571"/>
  <c r="EE223" i="571"/>
</calcChain>
</file>

<file path=xl/comments1.xml><?xml version="1.0" encoding="utf-8"?>
<comments xmlns="http://schemas.openxmlformats.org/spreadsheetml/2006/main">
  <authors>
    <author>fariborz</author>
    <author>Roxana Fariborz</author>
    <author>saursing</author>
    <author>Singh, Saurabh (Research)</author>
    <author>Rosenblum, Mark (Research)</author>
    <author>jbirnbau</author>
    <author>Justin Van Vleck</author>
    <author>steshin</author>
    <author>Lauricella, Rose (Research)</author>
    <author>Mark Wiltamuth</author>
    <author>justinv</author>
    <author>Goldwasser, Ricky (Research)</author>
    <author>dlevin</author>
    <author>Mark  Wiltamuth</author>
    <author>Oliver Wintermantel</author>
  </authors>
  <commentList>
    <comment ref="AN9" authorId="0">
      <text>
        <r>
          <rPr>
            <b/>
            <sz val="8"/>
            <color indexed="81"/>
            <rFont val="Tahoma"/>
            <family val="2"/>
          </rPr>
          <t>fariborz:</t>
        </r>
        <r>
          <rPr>
            <sz val="8"/>
            <color indexed="81"/>
            <rFont val="Tahoma"/>
            <family val="2"/>
          </rPr>
          <t xml:space="preserve">
note that the 4 quarters did not add up to the year #</t>
        </r>
      </text>
    </comment>
    <comment ref="B10" authorId="1">
      <text>
        <r>
          <rPr>
            <b/>
            <sz val="8"/>
            <color indexed="81"/>
            <rFont val="Tahoma"/>
            <family val="2"/>
          </rPr>
          <t>Roxana Fariborz:</t>
        </r>
        <r>
          <rPr>
            <sz val="8"/>
            <color indexed="81"/>
            <rFont val="Tahoma"/>
            <family val="2"/>
          </rPr>
          <t xml:space="preserve">
dep &amp; amort in SG&amp;A line</t>
        </r>
      </text>
    </comment>
    <comment ref="CT11" authorId="2">
      <text>
        <r>
          <rPr>
            <b/>
            <sz val="8"/>
            <color indexed="81"/>
            <rFont val="Tahoma"/>
            <family val="2"/>
          </rPr>
          <t>saursing:</t>
        </r>
        <r>
          <rPr>
            <sz val="8"/>
            <color indexed="81"/>
            <rFont val="Tahoma"/>
            <family val="2"/>
          </rPr>
          <t xml:space="preserve">
FIFO gross margin was 29.2%, up 60 bps y/y
Deck notes both Front End and Pharmacy gross margins as up y/y, but transcript says "we achieved stable front-end margins in a challenging promotional environment"
Pharmacy margins increased as a result of the ongoing impact from generics, the increase was partially offset by market reimbursement pressure and the continued growth of our 90 day retail program. 
Our front-end was positively impacted by candy, non-prescription drugs and personal care categories, which was partially offset by costs associated with points earned from the Balance Rewards program.
Taking a look at our longer term FIFO gross margin trends, this quarter's 60 basis point improvement was up against a 30 basis point increase a year ago. The continuing generic wave, which temporarily peaked last quarter, was the primarily driver of margin lift in this quarter. Moving forward, we expect margins to be negatively impacted by a trough in the generic wave, expected to continue into the latter half of fiscal year 2014, when we expect to experience another peak in the wave; albeit, smaller than the fiscal year 2013 peak. Again, as I mentioned, the front-end was slightly positive for the quarter. Margins may also be impacted as we become more aggressive with our new promotion and pricing initiatives to drive traffic and front-end comps. As I will illustrate in a few minutes and as we've stated on many occasions, we are more focused on driving gross profit dollar growth than margin growth.</t>
        </r>
      </text>
    </comment>
    <comment ref="CS18" authorId="2">
      <text>
        <r>
          <rPr>
            <b/>
            <sz val="8"/>
            <color indexed="81"/>
            <rFont val="Tahoma"/>
            <family val="2"/>
          </rPr>
          <t>saursing:</t>
        </r>
        <r>
          <rPr>
            <sz val="8"/>
            <color indexed="81"/>
            <rFont val="Tahoma"/>
            <family val="2"/>
          </rPr>
          <t xml:space="preserve">
Acquisition related costs relating to purchase of USA drug, ompleted in September 2012 (1QFY13</t>
        </r>
      </text>
    </comment>
    <comment ref="CU21" authorId="3">
      <text>
        <r>
          <rPr>
            <b/>
            <sz val="9"/>
            <color indexed="81"/>
            <rFont val="Tahoma"/>
            <family val="2"/>
          </rPr>
          <t>Singh, Saurabh (Research):</t>
        </r>
        <r>
          <rPr>
            <sz val="9"/>
            <color indexed="81"/>
            <rFont val="Tahoma"/>
            <family val="2"/>
          </rPr>
          <t xml:space="preserve">
Includes ABC warrant FMV adjustment</t>
        </r>
      </text>
    </comment>
    <comment ref="CW21" authorId="3">
      <text>
        <r>
          <rPr>
            <b/>
            <sz val="9"/>
            <color indexed="81"/>
            <rFont val="Tahoma"/>
            <family val="2"/>
          </rPr>
          <t>Singh, Saurabh (Research):</t>
        </r>
        <r>
          <rPr>
            <sz val="9"/>
            <color indexed="81"/>
            <rFont val="Tahoma"/>
            <family val="2"/>
          </rPr>
          <t xml:space="preserve">
Includes 7c tax benefit or ~$67M, would have been ~$84M without it</t>
        </r>
      </text>
    </comment>
    <comment ref="CX21" authorId="4">
      <text>
        <r>
          <rPr>
            <b/>
            <sz val="9"/>
            <color indexed="81"/>
            <rFont val="Tahoma"/>
            <family val="2"/>
          </rPr>
          <t>Rosenblum, Mark (Research):</t>
        </r>
        <r>
          <rPr>
            <sz val="9"/>
            <color indexed="81"/>
            <rFont val="Tahoma"/>
            <family val="2"/>
          </rPr>
          <t xml:space="preserve">
removing 3 month AB reporting lag: $(136)</t>
        </r>
      </text>
    </comment>
    <comment ref="DB21" authorId="4">
      <text>
        <r>
          <rPr>
            <b/>
            <sz val="9"/>
            <color indexed="81"/>
            <rFont val="Tahoma"/>
            <family val="2"/>
          </rPr>
          <t>Rosenblum, Mark (Research):</t>
        </r>
        <r>
          <rPr>
            <sz val="9"/>
            <color indexed="81"/>
            <rFont val="Tahoma"/>
            <family val="2"/>
          </rPr>
          <t xml:space="preserve">
revised to $214 from $151 from removal of AB 3 month reporting lag</t>
        </r>
      </text>
    </comment>
    <comment ref="DJ21" authorId="4">
      <text>
        <r>
          <rPr>
            <b/>
            <sz val="9"/>
            <color indexed="81"/>
            <rFont val="Tahoma"/>
            <family val="2"/>
          </rPr>
          <t>Rosenblum, Mark (Research):</t>
        </r>
        <r>
          <rPr>
            <sz val="9"/>
            <color indexed="81"/>
            <rFont val="Tahoma"/>
            <family val="2"/>
          </rPr>
          <t xml:space="preserve">
Equals 15% of ABC NI   on a 2 month lag</t>
        </r>
      </text>
    </comment>
    <comment ref="DL21" authorId="4">
      <text>
        <r>
          <rPr>
            <b/>
            <sz val="9"/>
            <color indexed="81"/>
            <rFont val="Tahoma"/>
            <family val="2"/>
          </rPr>
          <t>Rosenblum, Mark (Research):</t>
        </r>
        <r>
          <rPr>
            <sz val="9"/>
            <color indexed="81"/>
            <rFont val="Tahoma"/>
            <family val="2"/>
          </rPr>
          <t xml:space="preserve">
5 week impact of 2nd tranche exercise, ~19% of ABC NI</t>
        </r>
      </text>
    </comment>
    <comment ref="DM21" authorId="4">
      <text>
        <r>
          <rPr>
            <b/>
            <sz val="9"/>
            <color indexed="81"/>
            <rFont val="Tahoma"/>
            <family val="2"/>
          </rPr>
          <t>Rosenblum, Mark (Research):</t>
        </r>
        <r>
          <rPr>
            <sz val="9"/>
            <color indexed="81"/>
            <rFont val="Tahoma"/>
            <family val="2"/>
          </rPr>
          <t xml:space="preserve">
Equals 26% of ABC NI   on a 2 month lag</t>
        </r>
      </text>
    </comment>
    <comment ref="DN21" authorId="4">
      <text>
        <r>
          <rPr>
            <b/>
            <sz val="9"/>
            <color indexed="81"/>
            <rFont val="Tahoma"/>
            <family val="2"/>
          </rPr>
          <t>Rosenblum, Mark (Research):</t>
        </r>
        <r>
          <rPr>
            <sz val="9"/>
            <color indexed="81"/>
            <rFont val="Tahoma"/>
            <family val="2"/>
          </rPr>
          <t xml:space="preserve">
Equals 26% of ABC NI   on a 2 month lag</t>
        </r>
      </text>
    </comment>
    <comment ref="DO21" authorId="4">
      <text>
        <r>
          <rPr>
            <b/>
            <sz val="9"/>
            <color indexed="81"/>
            <rFont val="Tahoma"/>
            <family val="2"/>
          </rPr>
          <t>Rosenblum, Mark (Research):</t>
        </r>
        <r>
          <rPr>
            <sz val="9"/>
            <color indexed="81"/>
            <rFont val="Tahoma"/>
            <family val="2"/>
          </rPr>
          <t xml:space="preserve">
Equals 26% of ABC NI   on a 2 month lag</t>
        </r>
      </text>
    </comment>
    <comment ref="DQ21" authorId="4">
      <text>
        <r>
          <rPr>
            <b/>
            <sz val="9"/>
            <color indexed="81"/>
            <rFont val="Tahoma"/>
            <family val="2"/>
          </rPr>
          <t>Rosenblum, Mark (Research):</t>
        </r>
        <r>
          <rPr>
            <sz val="9"/>
            <color indexed="81"/>
            <rFont val="Tahoma"/>
            <family val="2"/>
          </rPr>
          <t xml:space="preserve">
Equals 26% of ABC NI   on a 2 month lag</t>
        </r>
      </text>
    </comment>
    <comment ref="DR21" authorId="4">
      <text>
        <r>
          <rPr>
            <b/>
            <sz val="9"/>
            <color indexed="81"/>
            <rFont val="Tahoma"/>
            <family val="2"/>
          </rPr>
          <t>Rosenblum, Mark (Research):</t>
        </r>
        <r>
          <rPr>
            <sz val="9"/>
            <color indexed="81"/>
            <rFont val="Tahoma"/>
            <family val="2"/>
          </rPr>
          <t xml:space="preserve">
Equals 26% of ABC NI   on a 2 month lag</t>
        </r>
      </text>
    </comment>
    <comment ref="DS21" authorId="4">
      <text>
        <r>
          <rPr>
            <b/>
            <sz val="9"/>
            <color indexed="81"/>
            <rFont val="Tahoma"/>
            <family val="2"/>
          </rPr>
          <t>Rosenblum, Mark (Research):</t>
        </r>
        <r>
          <rPr>
            <sz val="9"/>
            <color indexed="81"/>
            <rFont val="Tahoma"/>
            <family val="2"/>
          </rPr>
          <t xml:space="preserve">
Equals 26% of ABC NI   on a 2 month lag</t>
        </r>
      </text>
    </comment>
    <comment ref="DT21" authorId="4">
      <text>
        <r>
          <rPr>
            <b/>
            <sz val="9"/>
            <color indexed="81"/>
            <rFont val="Tahoma"/>
            <family val="2"/>
          </rPr>
          <t>Rosenblum, Mark (Research):</t>
        </r>
        <r>
          <rPr>
            <sz val="9"/>
            <color indexed="81"/>
            <rFont val="Tahoma"/>
            <family val="2"/>
          </rPr>
          <t xml:space="preserve">
Equals 26% of ABC NI   on a 2 month lag</t>
        </r>
      </text>
    </comment>
    <comment ref="DV21" authorId="4">
      <text>
        <r>
          <rPr>
            <b/>
            <sz val="9"/>
            <color indexed="81"/>
            <rFont val="Tahoma"/>
            <family val="2"/>
          </rPr>
          <t>Rosenblum, Mark (Research):</t>
        </r>
        <r>
          <rPr>
            <sz val="9"/>
            <color indexed="81"/>
            <rFont val="Tahoma"/>
            <family val="2"/>
          </rPr>
          <t xml:space="preserve">
Equals 26% of ABC NI   on a 2 month lag</t>
        </r>
      </text>
    </comment>
    <comment ref="DW21" authorId="4">
      <text>
        <r>
          <rPr>
            <b/>
            <sz val="9"/>
            <color indexed="81"/>
            <rFont val="Tahoma"/>
            <family val="2"/>
          </rPr>
          <t>Rosenblum, Mark (Research):</t>
        </r>
        <r>
          <rPr>
            <sz val="9"/>
            <color indexed="81"/>
            <rFont val="Tahoma"/>
            <family val="2"/>
          </rPr>
          <t xml:space="preserve">
Equals 26% of ABC NI   on a 2 month lag</t>
        </r>
      </text>
    </comment>
    <comment ref="DX21" authorId="4">
      <text>
        <r>
          <rPr>
            <b/>
            <sz val="9"/>
            <color indexed="81"/>
            <rFont val="Tahoma"/>
            <family val="2"/>
          </rPr>
          <t>Rosenblum, Mark (Research):</t>
        </r>
        <r>
          <rPr>
            <sz val="9"/>
            <color indexed="81"/>
            <rFont val="Tahoma"/>
            <family val="2"/>
          </rPr>
          <t xml:space="preserve">
Equals 26% of ABC NI   on a 2 month lag</t>
        </r>
      </text>
    </comment>
    <comment ref="DY21" authorId="4">
      <text>
        <r>
          <rPr>
            <b/>
            <sz val="9"/>
            <color indexed="81"/>
            <rFont val="Tahoma"/>
            <family val="2"/>
          </rPr>
          <t>Rosenblum, Mark (Research):</t>
        </r>
        <r>
          <rPr>
            <sz val="9"/>
            <color indexed="81"/>
            <rFont val="Tahoma"/>
            <family val="2"/>
          </rPr>
          <t xml:space="preserve">
Equals 26% of ABC NI   on a 2 month lag</t>
        </r>
      </text>
    </comment>
    <comment ref="EA21" authorId="4">
      <text>
        <r>
          <rPr>
            <b/>
            <sz val="9"/>
            <color indexed="81"/>
            <rFont val="Tahoma"/>
            <family val="2"/>
          </rPr>
          <t>Rosenblum, Mark (Research):</t>
        </r>
        <r>
          <rPr>
            <sz val="9"/>
            <color indexed="81"/>
            <rFont val="Tahoma"/>
            <family val="2"/>
          </rPr>
          <t xml:space="preserve">
Equals 26% of ABC NI   on a 2 month lag</t>
        </r>
      </text>
    </comment>
    <comment ref="EB21" authorId="4">
      <text>
        <r>
          <rPr>
            <b/>
            <sz val="9"/>
            <color indexed="81"/>
            <rFont val="Tahoma"/>
            <family val="2"/>
          </rPr>
          <t>Rosenblum, Mark (Research):</t>
        </r>
        <r>
          <rPr>
            <sz val="9"/>
            <color indexed="81"/>
            <rFont val="Tahoma"/>
            <family val="2"/>
          </rPr>
          <t xml:space="preserve">
Equals 26% of ABC NI   on a 2 month lag</t>
        </r>
      </text>
    </comment>
    <comment ref="EC21" authorId="4">
      <text>
        <r>
          <rPr>
            <b/>
            <sz val="9"/>
            <color indexed="81"/>
            <rFont val="Tahoma"/>
            <family val="2"/>
          </rPr>
          <t>Rosenblum, Mark (Research):</t>
        </r>
        <r>
          <rPr>
            <sz val="9"/>
            <color indexed="81"/>
            <rFont val="Tahoma"/>
            <family val="2"/>
          </rPr>
          <t xml:space="preserve">
Equals 26% of ABC NI   on a 2 month lag</t>
        </r>
      </text>
    </comment>
    <comment ref="ED21" authorId="4">
      <text>
        <r>
          <rPr>
            <b/>
            <sz val="9"/>
            <color indexed="81"/>
            <rFont val="Tahoma"/>
            <family val="2"/>
          </rPr>
          <t>Rosenblum, Mark (Research):</t>
        </r>
        <r>
          <rPr>
            <sz val="9"/>
            <color indexed="81"/>
            <rFont val="Tahoma"/>
            <family val="2"/>
          </rPr>
          <t xml:space="preserve">
Equals 26% of ABC NI   on a 2 month lag</t>
        </r>
      </text>
    </comment>
    <comment ref="BL22" authorId="5">
      <text>
        <r>
          <rPr>
            <b/>
            <sz val="8"/>
            <color indexed="81"/>
            <rFont val="Tahoma"/>
            <family val="2"/>
          </rPr>
          <t>jbirnbau:</t>
        </r>
        <r>
          <rPr>
            <sz val="8"/>
            <color indexed="81"/>
            <rFont val="Tahoma"/>
            <family val="2"/>
          </rPr>
          <t xml:space="preserve">
includes $7.3 million in litigation gains</t>
        </r>
      </text>
    </comment>
    <comment ref="CX22" authorId="4">
      <text>
        <r>
          <rPr>
            <b/>
            <sz val="9"/>
            <color indexed="81"/>
            <rFont val="Tahoma"/>
            <family val="2"/>
          </rPr>
          <t>Rosenblum, Mark (Research):</t>
        </r>
        <r>
          <rPr>
            <sz val="9"/>
            <color indexed="81"/>
            <rFont val="Tahoma"/>
            <family val="2"/>
          </rPr>
          <t xml:space="preserve">
removing 3 month AB reporting lag: $1,217</t>
        </r>
      </text>
    </comment>
    <comment ref="AZ24" authorId="5">
      <text>
        <r>
          <rPr>
            <b/>
            <sz val="8"/>
            <color indexed="81"/>
            <rFont val="Tahoma"/>
            <family val="2"/>
          </rPr>
          <t>jbirnbau:</t>
        </r>
        <r>
          <rPr>
            <sz val="8"/>
            <color indexed="81"/>
            <rFont val="Tahoma"/>
            <family val="2"/>
          </rPr>
          <t xml:space="preserve">
Add back 16.3M litigation benefit</t>
        </r>
      </text>
    </comment>
    <comment ref="CP25" authorId="2">
      <text>
        <r>
          <rPr>
            <b/>
            <sz val="8"/>
            <color indexed="81"/>
            <rFont val="Tahoma"/>
            <family val="2"/>
          </rPr>
          <t>saursing:</t>
        </r>
        <r>
          <rPr>
            <sz val="8"/>
            <color indexed="81"/>
            <rFont val="Tahoma"/>
            <family val="2"/>
          </rPr>
          <t xml:space="preserve">
Interest expense on $3.0 bridge loan for AB transaction was $21M for qtr even though bridge loan was only outstanding for month of August - included one-time charges of $18M.
After the qtr on 9/13/12 WAG repaid $3.0B bridge loan using proceeds from $4.0 notes offering with interests rates ranging from L+50 bps ($550M), 1.0% ($750M 3-yr notes), 1.8% ($1.0B, 5-yr notes), 3.1% ($1.2B, 10-yr notes), 4.4% ($500M, 30-yr notes).</t>
        </r>
      </text>
    </comment>
    <comment ref="CU25" authorId="2">
      <text>
        <r>
          <rPr>
            <b/>
            <sz val="8"/>
            <color indexed="81"/>
            <rFont val="Tahoma"/>
            <family val="2"/>
          </rPr>
          <t>saursing:</t>
        </r>
        <r>
          <rPr>
            <sz val="8"/>
            <color indexed="81"/>
            <rFont val="Tahoma"/>
            <family val="2"/>
          </rPr>
          <t xml:space="preserve">
Guidance on 3QFY13 call of $57-$60M, includes negative impact from non-cash FMV adjustment to a swap of $16M
$1.3B debt repayment in August, but only 1 month benefit from lower debt</t>
        </r>
      </text>
    </comment>
    <comment ref="DC25" authorId="3">
      <text>
        <r>
          <rPr>
            <b/>
            <sz val="9"/>
            <color indexed="81"/>
            <rFont val="Tahoma"/>
            <family val="2"/>
          </rPr>
          <t>Singh, Saurabh (Research):</t>
        </r>
        <r>
          <rPr>
            <sz val="9"/>
            <color indexed="81"/>
            <rFont val="Tahoma"/>
            <family val="2"/>
          </rPr>
          <t xml:space="preserve">
$21M in after-tax pre-funded interest expenses</t>
        </r>
      </text>
    </comment>
    <comment ref="AH26" authorId="0">
      <text>
        <r>
          <rPr>
            <b/>
            <sz val="8"/>
            <color indexed="81"/>
            <rFont val="Tahoma"/>
            <family val="2"/>
          </rPr>
          <t>fariborz:</t>
        </r>
        <r>
          <rPr>
            <sz val="8"/>
            <color indexed="81"/>
            <rFont val="Tahoma"/>
            <family val="2"/>
          </rPr>
          <t xml:space="preserve">
Brand name prescription drug antitrust litigation settlement
</t>
        </r>
      </text>
    </comment>
    <comment ref="AK26" authorId="0">
      <text>
        <r>
          <rPr>
            <b/>
            <sz val="8"/>
            <color indexed="81"/>
            <rFont val="Tahoma"/>
            <family val="2"/>
          </rPr>
          <t>fariborz:</t>
        </r>
        <r>
          <rPr>
            <sz val="8"/>
            <color indexed="81"/>
            <rFont val="Tahoma"/>
            <family val="2"/>
          </rPr>
          <t xml:space="preserve">
Brand name prescription drug antitrust litigation settlement</t>
        </r>
      </text>
    </comment>
    <comment ref="AO26" authorId="0">
      <text>
        <r>
          <rPr>
            <b/>
            <sz val="8"/>
            <color indexed="81"/>
            <rFont val="Tahoma"/>
            <family val="2"/>
          </rPr>
          <t>fariborz:</t>
        </r>
        <r>
          <rPr>
            <sz val="8"/>
            <color indexed="81"/>
            <rFont val="Tahoma"/>
            <family val="2"/>
          </rPr>
          <t xml:space="preserve">
Brand name prescription drug antitrust litigation settlement</t>
        </r>
      </text>
    </comment>
    <comment ref="AT26" authorId="0">
      <text>
        <r>
          <rPr>
            <b/>
            <sz val="8"/>
            <color indexed="81"/>
            <rFont val="Tahoma"/>
            <family val="2"/>
          </rPr>
          <t>fariborz:</t>
        </r>
        <r>
          <rPr>
            <sz val="8"/>
            <color indexed="81"/>
            <rFont val="Tahoma"/>
            <family val="2"/>
          </rPr>
          <t xml:space="preserve">
Brand name prescription drug antitrust litigation settlement</t>
        </r>
      </text>
    </comment>
    <comment ref="AV26" authorId="0">
      <text>
        <r>
          <rPr>
            <b/>
            <sz val="8"/>
            <color indexed="81"/>
            <rFont val="Tahoma"/>
            <family val="2"/>
          </rPr>
          <t>fariborz:</t>
        </r>
        <r>
          <rPr>
            <sz val="8"/>
            <color indexed="81"/>
            <rFont val="Tahoma"/>
            <family val="2"/>
          </rPr>
          <t xml:space="preserve">
vitamin litigation settlement</t>
        </r>
      </text>
    </comment>
    <comment ref="CL26" authorId="6">
      <text>
        <r>
          <rPr>
            <b/>
            <sz val="8"/>
            <color indexed="81"/>
            <rFont val="Tahoma"/>
            <family val="2"/>
          </rPr>
          <t>Justin Van Vleck:</t>
        </r>
        <r>
          <rPr>
            <sz val="8"/>
            <color indexed="81"/>
            <rFont val="Tahoma"/>
            <family val="2"/>
          </rPr>
          <t xml:space="preserve">
Gain on sale of PBM</t>
        </r>
      </text>
    </comment>
    <comment ref="CW26" authorId="3">
      <text>
        <r>
          <rPr>
            <b/>
            <sz val="9"/>
            <color indexed="81"/>
            <rFont val="Tahoma"/>
            <family val="2"/>
          </rPr>
          <t>Singh, Saurabh (Research):</t>
        </r>
        <r>
          <rPr>
            <sz val="9"/>
            <color indexed="81"/>
            <rFont val="Tahoma"/>
            <family val="2"/>
          </rPr>
          <t xml:space="preserve">
ABC warrant FMV adjustment, excluded from adjusted EPS</t>
        </r>
      </text>
    </comment>
    <comment ref="CZ26" authorId="3">
      <text>
        <r>
          <rPr>
            <b/>
            <sz val="9"/>
            <color indexed="81"/>
            <rFont val="Tahoma"/>
            <family val="2"/>
          </rPr>
          <t>Singh, Saurabh (Research):</t>
        </r>
        <r>
          <rPr>
            <sz val="9"/>
            <color indexed="81"/>
            <rFont val="Tahoma"/>
            <family val="2"/>
          </rPr>
          <t xml:space="preserve">
$866M is from non-cash loss related to exercising AB step 2 call option and marking it to zero.</t>
        </r>
      </text>
    </comment>
    <comment ref="DQ26" authorId="4">
      <text>
        <r>
          <rPr>
            <b/>
            <sz val="9"/>
            <color indexed="81"/>
            <rFont val="Tahoma"/>
            <family val="2"/>
          </rPr>
          <t>Rosenblum, Mark (Research):</t>
        </r>
        <r>
          <rPr>
            <sz val="9"/>
            <color indexed="81"/>
            <rFont val="Tahoma"/>
            <family val="2"/>
          </rPr>
          <t xml:space="preserve">
RAD integration and restructuring costs</t>
        </r>
      </text>
    </comment>
    <comment ref="DR26" authorId="4">
      <text>
        <r>
          <rPr>
            <b/>
            <sz val="9"/>
            <color indexed="81"/>
            <rFont val="Tahoma"/>
            <family val="2"/>
          </rPr>
          <t>Rosenblum, Mark (Research):</t>
        </r>
        <r>
          <rPr>
            <sz val="9"/>
            <color indexed="81"/>
            <rFont val="Tahoma"/>
            <family val="2"/>
          </rPr>
          <t xml:space="preserve">
RAD integration and restructuring costs</t>
        </r>
      </text>
    </comment>
    <comment ref="DS26" authorId="4">
      <text>
        <r>
          <rPr>
            <b/>
            <sz val="9"/>
            <color indexed="81"/>
            <rFont val="Tahoma"/>
            <family val="2"/>
          </rPr>
          <t>Rosenblum, Mark (Research):</t>
        </r>
        <r>
          <rPr>
            <sz val="9"/>
            <color indexed="81"/>
            <rFont val="Tahoma"/>
            <family val="2"/>
          </rPr>
          <t xml:space="preserve">
RAD integration and restructuring costs</t>
        </r>
      </text>
    </comment>
    <comment ref="DT26" authorId="4">
      <text>
        <r>
          <rPr>
            <b/>
            <sz val="9"/>
            <color indexed="81"/>
            <rFont val="Tahoma"/>
            <family val="2"/>
          </rPr>
          <t>Rosenblum, Mark (Research):</t>
        </r>
        <r>
          <rPr>
            <sz val="9"/>
            <color indexed="81"/>
            <rFont val="Tahoma"/>
            <family val="2"/>
          </rPr>
          <t xml:space="preserve">
RAD integration and restructuring costs</t>
        </r>
      </text>
    </comment>
    <comment ref="DU26" authorId="4">
      <text>
        <r>
          <rPr>
            <b/>
            <sz val="9"/>
            <color indexed="81"/>
            <rFont val="Tahoma"/>
            <family val="2"/>
          </rPr>
          <t>Rosenblum, Mark (Research):</t>
        </r>
        <r>
          <rPr>
            <sz val="9"/>
            <color indexed="81"/>
            <rFont val="Tahoma"/>
            <family val="2"/>
          </rPr>
          <t xml:space="preserve">
RAD integration and restructuring costs</t>
        </r>
      </text>
    </comment>
    <comment ref="DV26" authorId="4">
      <text>
        <r>
          <rPr>
            <b/>
            <sz val="9"/>
            <color indexed="81"/>
            <rFont val="Tahoma"/>
            <family val="2"/>
          </rPr>
          <t>Rosenblum, Mark (Research):</t>
        </r>
        <r>
          <rPr>
            <sz val="9"/>
            <color indexed="81"/>
            <rFont val="Tahoma"/>
            <family val="2"/>
          </rPr>
          <t xml:space="preserve">
RAD integration and restructuring costs</t>
        </r>
      </text>
    </comment>
    <comment ref="DW26" authorId="4">
      <text>
        <r>
          <rPr>
            <b/>
            <sz val="9"/>
            <color indexed="81"/>
            <rFont val="Tahoma"/>
            <family val="2"/>
          </rPr>
          <t>Rosenblum, Mark (Research):</t>
        </r>
        <r>
          <rPr>
            <sz val="9"/>
            <color indexed="81"/>
            <rFont val="Tahoma"/>
            <family val="2"/>
          </rPr>
          <t xml:space="preserve">
RAD integration and restructuring costs</t>
        </r>
      </text>
    </comment>
    <comment ref="DX26" authorId="4">
      <text>
        <r>
          <rPr>
            <b/>
            <sz val="9"/>
            <color indexed="81"/>
            <rFont val="Tahoma"/>
            <family val="2"/>
          </rPr>
          <t>Rosenblum, Mark (Research):</t>
        </r>
        <r>
          <rPr>
            <sz val="9"/>
            <color indexed="81"/>
            <rFont val="Tahoma"/>
            <family val="2"/>
          </rPr>
          <t xml:space="preserve">
RAD integration and restructuring costs</t>
        </r>
      </text>
    </comment>
    <comment ref="DY26" authorId="4">
      <text>
        <r>
          <rPr>
            <b/>
            <sz val="9"/>
            <color indexed="81"/>
            <rFont val="Tahoma"/>
            <family val="2"/>
          </rPr>
          <t>Rosenblum, Mark (Research):</t>
        </r>
        <r>
          <rPr>
            <sz val="9"/>
            <color indexed="81"/>
            <rFont val="Tahoma"/>
            <family val="2"/>
          </rPr>
          <t xml:space="preserve">
RAD integration and restructuring costs</t>
        </r>
      </text>
    </comment>
    <comment ref="DZ26" authorId="4">
      <text>
        <r>
          <rPr>
            <b/>
            <sz val="9"/>
            <color indexed="81"/>
            <rFont val="Tahoma"/>
            <family val="2"/>
          </rPr>
          <t>Rosenblum, Mark (Research):</t>
        </r>
        <r>
          <rPr>
            <sz val="9"/>
            <color indexed="81"/>
            <rFont val="Tahoma"/>
            <family val="2"/>
          </rPr>
          <t xml:space="preserve">
RAD integration and restructuring costs</t>
        </r>
      </text>
    </comment>
    <comment ref="CX28" authorId="4">
      <text>
        <r>
          <rPr>
            <b/>
            <sz val="9"/>
            <color indexed="81"/>
            <rFont val="Tahoma"/>
            <family val="2"/>
          </rPr>
          <t>Rosenblum, Mark (Research):</t>
        </r>
        <r>
          <rPr>
            <sz val="9"/>
            <color indexed="81"/>
            <rFont val="Tahoma"/>
            <family val="2"/>
          </rPr>
          <t xml:space="preserve">
removing 3 month AB reporting lag: $1,121</t>
        </r>
      </text>
    </comment>
    <comment ref="AX29" authorId="5">
      <text>
        <r>
          <rPr>
            <b/>
            <sz val="8"/>
            <color indexed="81"/>
            <rFont val="Tahoma"/>
            <family val="2"/>
          </rPr>
          <t>jbirnbau:</t>
        </r>
        <r>
          <rPr>
            <sz val="8"/>
            <color indexed="81"/>
            <rFont val="Tahoma"/>
            <family val="2"/>
          </rPr>
          <t xml:space="preserve">
Taxes decreased by tax on the litigation benefit</t>
        </r>
      </text>
    </comment>
    <comment ref="AZ29" authorId="5">
      <text>
        <r>
          <rPr>
            <b/>
            <sz val="8"/>
            <color indexed="81"/>
            <rFont val="Tahoma"/>
            <family val="2"/>
          </rPr>
          <t>jbirnbau:</t>
        </r>
        <r>
          <rPr>
            <sz val="8"/>
            <color indexed="81"/>
            <rFont val="Tahoma"/>
            <family val="2"/>
          </rPr>
          <t xml:space="preserve">
Taxes decreased by tax on the litigation benefit</t>
        </r>
      </text>
    </comment>
    <comment ref="BK29" authorId="5">
      <text>
        <r>
          <rPr>
            <b/>
            <sz val="8"/>
            <color indexed="81"/>
            <rFont val="Tahoma"/>
            <family val="2"/>
          </rPr>
          <t>jbirnbau:</t>
        </r>
        <r>
          <rPr>
            <sz val="8"/>
            <color indexed="81"/>
            <rFont val="Tahoma"/>
            <family val="2"/>
          </rPr>
          <t xml:space="preserve">
includes $13.6 million credit from settlement of prior years' IRS matters</t>
        </r>
      </text>
    </comment>
    <comment ref="CK29" authorId="7">
      <text>
        <r>
          <rPr>
            <b/>
            <sz val="8"/>
            <color indexed="81"/>
            <rFont val="Tahoma"/>
            <family val="2"/>
          </rPr>
          <t>steshin:</t>
        </r>
        <r>
          <rPr>
            <sz val="8"/>
            <color indexed="81"/>
            <rFont val="Tahoma"/>
            <family val="2"/>
          </rPr>
          <t xml:space="preserve">
9/28/12:
161 adjusts for tax (434 before tax gain, 273 after tax) - see 4Q presentation</t>
        </r>
      </text>
    </comment>
    <comment ref="CX29" authorId="4">
      <text>
        <r>
          <rPr>
            <b/>
            <sz val="9"/>
            <color indexed="81"/>
            <rFont val="Tahoma"/>
            <family val="2"/>
          </rPr>
          <t>Rosenblum, Mark (Research):</t>
        </r>
        <r>
          <rPr>
            <sz val="9"/>
            <color indexed="81"/>
            <rFont val="Tahoma"/>
            <family val="2"/>
          </rPr>
          <t xml:space="preserve">
removing 3 month AB reporting lag: $391</t>
        </r>
      </text>
    </comment>
    <comment ref="DB29" authorId="4">
      <text>
        <r>
          <rPr>
            <b/>
            <sz val="9"/>
            <color indexed="81"/>
            <rFont val="Tahoma"/>
            <family val="2"/>
          </rPr>
          <t>Rosenblum, Mark (Research):</t>
        </r>
        <r>
          <rPr>
            <sz val="9"/>
            <color indexed="81"/>
            <rFont val="Tahoma"/>
            <family val="2"/>
          </rPr>
          <t xml:space="preserve">
revised to $321 from $299 from removal of AB 3 month reporting lag</t>
        </r>
      </text>
    </comment>
    <comment ref="DQ29" authorId="4">
      <text>
        <r>
          <rPr>
            <b/>
            <sz val="9"/>
            <color indexed="81"/>
            <rFont val="Tahoma"/>
            <family val="2"/>
          </rPr>
          <t>Rosenblum, Mark (Research):</t>
        </r>
        <r>
          <rPr>
            <sz val="9"/>
            <color indexed="81"/>
            <rFont val="Tahoma"/>
            <family val="2"/>
          </rPr>
          <t xml:space="preserve">
Excludes equity method income</t>
        </r>
      </text>
    </comment>
    <comment ref="DR29" authorId="4">
      <text>
        <r>
          <rPr>
            <b/>
            <sz val="9"/>
            <color indexed="81"/>
            <rFont val="Tahoma"/>
            <family val="2"/>
          </rPr>
          <t>Rosenblum, Mark (Research):</t>
        </r>
        <r>
          <rPr>
            <sz val="9"/>
            <color indexed="81"/>
            <rFont val="Tahoma"/>
            <family val="2"/>
          </rPr>
          <t xml:space="preserve">
Excludes equity method income</t>
        </r>
      </text>
    </comment>
    <comment ref="DS29" authorId="4">
      <text>
        <r>
          <rPr>
            <b/>
            <sz val="9"/>
            <color indexed="81"/>
            <rFont val="Tahoma"/>
            <family val="2"/>
          </rPr>
          <t>Rosenblum, Mark (Research):</t>
        </r>
        <r>
          <rPr>
            <sz val="9"/>
            <color indexed="81"/>
            <rFont val="Tahoma"/>
            <family val="2"/>
          </rPr>
          <t xml:space="preserve">
Excludes equity method income</t>
        </r>
      </text>
    </comment>
    <comment ref="DT29" authorId="4">
      <text>
        <r>
          <rPr>
            <b/>
            <sz val="9"/>
            <color indexed="81"/>
            <rFont val="Tahoma"/>
            <family val="2"/>
          </rPr>
          <t>Rosenblum, Mark (Research):</t>
        </r>
        <r>
          <rPr>
            <sz val="9"/>
            <color indexed="81"/>
            <rFont val="Tahoma"/>
            <family val="2"/>
          </rPr>
          <t xml:space="preserve">
Excludes equity method income</t>
        </r>
      </text>
    </comment>
    <comment ref="DV29" authorId="4">
      <text>
        <r>
          <rPr>
            <b/>
            <sz val="9"/>
            <color indexed="81"/>
            <rFont val="Tahoma"/>
            <family val="2"/>
          </rPr>
          <t>Rosenblum, Mark (Research):</t>
        </r>
        <r>
          <rPr>
            <sz val="9"/>
            <color indexed="81"/>
            <rFont val="Tahoma"/>
            <family val="2"/>
          </rPr>
          <t xml:space="preserve">
Excludes equity method income</t>
        </r>
      </text>
    </comment>
    <comment ref="DW29" authorId="4">
      <text>
        <r>
          <rPr>
            <b/>
            <sz val="9"/>
            <color indexed="81"/>
            <rFont val="Tahoma"/>
            <family val="2"/>
          </rPr>
          <t>Rosenblum, Mark (Research):</t>
        </r>
        <r>
          <rPr>
            <sz val="9"/>
            <color indexed="81"/>
            <rFont val="Tahoma"/>
            <family val="2"/>
          </rPr>
          <t xml:space="preserve">
Excludes equity method income</t>
        </r>
      </text>
    </comment>
    <comment ref="DX29" authorId="4">
      <text>
        <r>
          <rPr>
            <b/>
            <sz val="9"/>
            <color indexed="81"/>
            <rFont val="Tahoma"/>
            <family val="2"/>
          </rPr>
          <t>Rosenblum, Mark (Research):</t>
        </r>
        <r>
          <rPr>
            <sz val="9"/>
            <color indexed="81"/>
            <rFont val="Tahoma"/>
            <family val="2"/>
          </rPr>
          <t xml:space="preserve">
Excludes equity method income</t>
        </r>
      </text>
    </comment>
    <comment ref="DY29" authorId="4">
      <text>
        <r>
          <rPr>
            <b/>
            <sz val="9"/>
            <color indexed="81"/>
            <rFont val="Tahoma"/>
            <family val="2"/>
          </rPr>
          <t>Rosenblum, Mark (Research):</t>
        </r>
        <r>
          <rPr>
            <sz val="9"/>
            <color indexed="81"/>
            <rFont val="Tahoma"/>
            <family val="2"/>
          </rPr>
          <t xml:space="preserve">
Excludes equity method income</t>
        </r>
      </text>
    </comment>
    <comment ref="EA29" authorId="4">
      <text>
        <r>
          <rPr>
            <b/>
            <sz val="9"/>
            <color indexed="81"/>
            <rFont val="Tahoma"/>
            <family val="2"/>
          </rPr>
          <t>Rosenblum, Mark (Research):</t>
        </r>
        <r>
          <rPr>
            <sz val="9"/>
            <color indexed="81"/>
            <rFont val="Tahoma"/>
            <family val="2"/>
          </rPr>
          <t xml:space="preserve">
Excludes equity method income</t>
        </r>
      </text>
    </comment>
    <comment ref="EB29" authorId="4">
      <text>
        <r>
          <rPr>
            <b/>
            <sz val="9"/>
            <color indexed="81"/>
            <rFont val="Tahoma"/>
            <family val="2"/>
          </rPr>
          <t>Rosenblum, Mark (Research):</t>
        </r>
        <r>
          <rPr>
            <sz val="9"/>
            <color indexed="81"/>
            <rFont val="Tahoma"/>
            <family val="2"/>
          </rPr>
          <t xml:space="preserve">
Excludes equity method income</t>
        </r>
      </text>
    </comment>
    <comment ref="EC29" authorId="4">
      <text>
        <r>
          <rPr>
            <b/>
            <sz val="9"/>
            <color indexed="81"/>
            <rFont val="Tahoma"/>
            <family val="2"/>
          </rPr>
          <t>Rosenblum, Mark (Research):</t>
        </r>
        <r>
          <rPr>
            <sz val="9"/>
            <color indexed="81"/>
            <rFont val="Tahoma"/>
            <family val="2"/>
          </rPr>
          <t xml:space="preserve">
Excludes equity method income</t>
        </r>
      </text>
    </comment>
    <comment ref="ED29" authorId="4">
      <text>
        <r>
          <rPr>
            <b/>
            <sz val="9"/>
            <color indexed="81"/>
            <rFont val="Tahoma"/>
            <family val="2"/>
          </rPr>
          <t>Rosenblum, Mark (Research):</t>
        </r>
        <r>
          <rPr>
            <sz val="9"/>
            <color indexed="81"/>
            <rFont val="Tahoma"/>
            <family val="2"/>
          </rPr>
          <t xml:space="preserve">
Excludes equity method income</t>
        </r>
      </text>
    </comment>
    <comment ref="CU30" authorId="2">
      <text>
        <r>
          <rPr>
            <b/>
            <sz val="8"/>
            <color indexed="81"/>
            <rFont val="Tahoma"/>
            <family val="2"/>
          </rPr>
          <t>saursing:</t>
        </r>
        <r>
          <rPr>
            <sz val="8"/>
            <color indexed="81"/>
            <rFont val="Tahoma"/>
            <family val="2"/>
          </rPr>
          <t xml:space="preserve">
Guidance on 3QFY13 earnings call had been 38%</t>
        </r>
      </text>
    </comment>
    <comment ref="CZ30" authorId="3">
      <text>
        <r>
          <rPr>
            <b/>
            <sz val="9"/>
            <color indexed="81"/>
            <rFont val="Tahoma"/>
            <family val="2"/>
          </rPr>
          <t>Singh, Saurabh (Research):</t>
        </r>
        <r>
          <rPr>
            <sz val="9"/>
            <color indexed="81"/>
            <rFont val="Tahoma"/>
            <family val="2"/>
          </rPr>
          <t xml:space="preserve">
3FQ14 CC: We expect our GAAP tax rate to be approximately 36%
Actual non-GAAP tax rate was 31.9%</t>
        </r>
      </text>
    </comment>
    <comment ref="DF30" authorId="3">
      <text>
        <r>
          <rPr>
            <b/>
            <sz val="9"/>
            <color indexed="81"/>
            <rFont val="Tahoma"/>
            <family val="2"/>
          </rPr>
          <t>Singh, Saurabh (Research):</t>
        </r>
        <r>
          <rPr>
            <sz val="9"/>
            <color indexed="81"/>
            <rFont val="Tahoma"/>
            <family val="2"/>
          </rPr>
          <t xml:space="preserve">
For adjusted tax rate see row 102 </t>
        </r>
      </text>
    </comment>
    <comment ref="CX31" authorId="4">
      <text>
        <r>
          <rPr>
            <b/>
            <sz val="9"/>
            <color indexed="81"/>
            <rFont val="Tahoma"/>
            <family val="2"/>
          </rPr>
          <t>Rosenblum, Mark (Research):</t>
        </r>
        <r>
          <rPr>
            <sz val="9"/>
            <color indexed="81"/>
            <rFont val="Tahoma"/>
            <family val="2"/>
          </rPr>
          <t xml:space="preserve">
removing 3 month AB reporting lag: $730</t>
        </r>
      </text>
    </comment>
    <comment ref="AZ32" authorId="5">
      <text>
        <r>
          <rPr>
            <b/>
            <sz val="8"/>
            <color indexed="81"/>
            <rFont val="Tahoma"/>
            <family val="2"/>
          </rPr>
          <t>jbirnbau:</t>
        </r>
        <r>
          <rPr>
            <sz val="8"/>
            <color indexed="81"/>
            <rFont val="Tahoma"/>
            <family val="2"/>
          </rPr>
          <t xml:space="preserve">
after-tax gain for entire year's share in prescription drug antitrust litigation settlement</t>
        </r>
      </text>
    </comment>
    <comment ref="CK32" authorId="7">
      <text>
        <r>
          <rPr>
            <b/>
            <sz val="8"/>
            <color indexed="81"/>
            <rFont val="Tahoma"/>
            <family val="2"/>
          </rPr>
          <t>steshin:</t>
        </r>
        <r>
          <rPr>
            <sz val="8"/>
            <color indexed="81"/>
            <rFont val="Tahoma"/>
            <family val="2"/>
          </rPr>
          <t xml:space="preserve">
434M gain from sale of PBM business</t>
        </r>
      </text>
    </comment>
    <comment ref="DC32" authorId="3">
      <text>
        <r>
          <rPr>
            <b/>
            <sz val="9"/>
            <color indexed="81"/>
            <rFont val="Tahoma"/>
            <family val="2"/>
          </rPr>
          <t>Singh, Saurabh (Research):</t>
        </r>
        <r>
          <rPr>
            <sz val="9"/>
            <color indexed="81"/>
            <rFont val="Tahoma"/>
            <family val="2"/>
          </rPr>
          <t xml:space="preserve">
After-tax earnings from equity method investments</t>
        </r>
      </text>
    </comment>
    <comment ref="DD32" authorId="3">
      <text>
        <r>
          <rPr>
            <b/>
            <sz val="9"/>
            <color indexed="81"/>
            <rFont val="Tahoma"/>
            <family val="2"/>
          </rPr>
          <t>Singh, Saurabh (Research):</t>
        </r>
        <r>
          <rPr>
            <sz val="9"/>
            <color indexed="81"/>
            <rFont val="Tahoma"/>
            <family val="2"/>
          </rPr>
          <t xml:space="preserve">
Pos-tax earnings from AB equity method investments</t>
        </r>
      </text>
    </comment>
    <comment ref="DE32" authorId="3">
      <text>
        <r>
          <rPr>
            <b/>
            <sz val="9"/>
            <color indexed="81"/>
            <rFont val="Tahoma"/>
            <family val="2"/>
          </rPr>
          <t>Singh, Saurabh (Research):</t>
        </r>
        <r>
          <rPr>
            <sz val="9"/>
            <color indexed="81"/>
            <rFont val="Tahoma"/>
            <family val="2"/>
          </rPr>
          <t xml:space="preserve">
Pos-tax earnings from AB equity method investments</t>
        </r>
      </text>
    </comment>
    <comment ref="DH32" authorId="3">
      <text>
        <r>
          <rPr>
            <b/>
            <sz val="9"/>
            <color indexed="81"/>
            <rFont val="Tahoma"/>
            <family val="2"/>
          </rPr>
          <t>Singh, Saurabh (Research):</t>
        </r>
        <r>
          <rPr>
            <sz val="9"/>
            <color indexed="81"/>
            <rFont val="Tahoma"/>
            <family val="2"/>
          </rPr>
          <t xml:space="preserve">
Pos-tax earnings from AB equity method investments</t>
        </r>
      </text>
    </comment>
    <comment ref="DI32" authorId="3">
      <text>
        <r>
          <rPr>
            <b/>
            <sz val="9"/>
            <color indexed="81"/>
            <rFont val="Tahoma"/>
            <family val="2"/>
          </rPr>
          <t>Singh, Saurabh (Research):</t>
        </r>
        <r>
          <rPr>
            <sz val="9"/>
            <color indexed="81"/>
            <rFont val="Tahoma"/>
            <family val="2"/>
          </rPr>
          <t xml:space="preserve">
Pos-tax earnings from AB equity method investments</t>
        </r>
      </text>
    </comment>
    <comment ref="DJ32" authorId="3">
      <text>
        <r>
          <rPr>
            <b/>
            <sz val="9"/>
            <color indexed="81"/>
            <rFont val="Tahoma"/>
            <family val="2"/>
          </rPr>
          <t>Singh, Saurabh (Research):</t>
        </r>
        <r>
          <rPr>
            <sz val="9"/>
            <color indexed="81"/>
            <rFont val="Tahoma"/>
            <family val="2"/>
          </rPr>
          <t xml:space="preserve">
Pos-tax earnings from AB equity method investments</t>
        </r>
      </text>
    </comment>
    <comment ref="DK32" authorId="3">
      <text>
        <r>
          <rPr>
            <b/>
            <sz val="9"/>
            <color indexed="81"/>
            <rFont val="Tahoma"/>
            <family val="2"/>
          </rPr>
          <t>Singh, Saurabh (Research):</t>
        </r>
        <r>
          <rPr>
            <sz val="9"/>
            <color indexed="81"/>
            <rFont val="Tahoma"/>
            <family val="2"/>
          </rPr>
          <t xml:space="preserve">
Pos-tax earnings from AB equity method investments</t>
        </r>
      </text>
    </comment>
    <comment ref="CX33" authorId="4">
      <text>
        <r>
          <rPr>
            <b/>
            <sz val="9"/>
            <color indexed="81"/>
            <rFont val="Tahoma"/>
            <family val="2"/>
          </rPr>
          <t>Rosenblum, Mark (Research):</t>
        </r>
        <r>
          <rPr>
            <sz val="9"/>
            <color indexed="81"/>
            <rFont val="Tahoma"/>
            <family val="2"/>
          </rPr>
          <t xml:space="preserve">
removing 3 month AB reporting lag: $716</t>
        </r>
      </text>
    </comment>
    <comment ref="CT35" authorId="2">
      <text>
        <r>
          <rPr>
            <b/>
            <sz val="8"/>
            <color indexed="81"/>
            <rFont val="Tahoma"/>
            <family val="2"/>
          </rPr>
          <t>saursing:</t>
        </r>
        <r>
          <rPr>
            <sz val="8"/>
            <color indexed="81"/>
            <rFont val="Tahoma"/>
            <family val="2"/>
          </rPr>
          <t xml:space="preserve">
$120M pre-tax, see row 130</t>
        </r>
      </text>
    </comment>
    <comment ref="CU35" authorId="2">
      <text>
        <r>
          <rPr>
            <b/>
            <sz val="8"/>
            <color indexed="81"/>
            <rFont val="Tahoma"/>
            <family val="2"/>
          </rPr>
          <t>saursing:</t>
        </r>
        <r>
          <rPr>
            <sz val="8"/>
            <color indexed="81"/>
            <rFont val="Tahoma"/>
            <family val="2"/>
          </rPr>
          <t xml:space="preserve">
Guidance had been for $85M pre-tax charge, came in at $8M pre-tax benefit, and $5M benefit after-tax</t>
        </r>
      </text>
    </comment>
    <comment ref="DJ35" authorId="4">
      <text>
        <r>
          <rPr>
            <b/>
            <sz val="9"/>
            <color indexed="81"/>
            <rFont val="Tahoma"/>
            <family val="2"/>
          </rPr>
          <t>Rosenblum, Mark (Research):</t>
        </r>
        <r>
          <rPr>
            <sz val="9"/>
            <color indexed="81"/>
            <rFont val="Tahoma"/>
            <family val="2"/>
          </rPr>
          <t xml:space="preserve">
WBA changed presentation of adjustments in 4FQ16.  Prior periods are not comparable.</t>
        </r>
      </text>
    </comment>
    <comment ref="CR36" authorId="7">
      <text>
        <r>
          <rPr>
            <b/>
            <sz val="8"/>
            <color indexed="81"/>
            <rFont val="Tahoma"/>
            <family val="2"/>
          </rPr>
          <t>steshin:</t>
        </r>
        <r>
          <rPr>
            <sz val="8"/>
            <color indexed="81"/>
            <rFont val="Tahoma"/>
            <family val="2"/>
          </rPr>
          <t xml:space="preserve">
12/21/12: 59M acq. related amort
34M Hurricane Sandy
24M USA Drug
16M AB transaction and synergy costs
11/11/2012: guided to incremental 75M in amortization expense from AB deal, with more in 1Q</t>
        </r>
      </text>
    </comment>
    <comment ref="CU36" authorId="2">
      <text>
        <r>
          <rPr>
            <b/>
            <sz val="8"/>
            <color indexed="81"/>
            <rFont val="Tahoma"/>
            <family val="2"/>
          </rPr>
          <t>saursing:</t>
        </r>
        <r>
          <rPr>
            <sz val="8"/>
            <color indexed="81"/>
            <rFont val="Tahoma"/>
            <family val="2"/>
          </rPr>
          <t xml:space="preserve">
AB deal step-down in amort will in 3Q will not perist going forward, will likely go back to $9M per qtr from $3M in 3Q</t>
        </r>
      </text>
    </comment>
    <comment ref="CX36" authorId="4">
      <text>
        <r>
          <rPr>
            <b/>
            <sz val="9"/>
            <color indexed="81"/>
            <rFont val="Tahoma"/>
            <family val="2"/>
          </rPr>
          <t>Rosenblum, Mark (Research):</t>
        </r>
        <r>
          <rPr>
            <sz val="9"/>
            <color indexed="81"/>
            <rFont val="Tahoma"/>
            <family val="2"/>
          </rPr>
          <t xml:space="preserve">
removing 3 month AB reporting lag: -$62</t>
        </r>
      </text>
    </comment>
    <comment ref="DJ36" authorId="4">
      <text>
        <r>
          <rPr>
            <b/>
            <sz val="9"/>
            <color indexed="81"/>
            <rFont val="Tahoma"/>
            <family val="2"/>
          </rPr>
          <t>Rosenblum, Mark (Research):</t>
        </r>
        <r>
          <rPr>
            <sz val="9"/>
            <color indexed="81"/>
            <rFont val="Tahoma"/>
            <family val="2"/>
          </rPr>
          <t xml:space="preserve">
WBA changed presentation of adjustments in 4FQ16.  Prior periods are not comparable.</t>
        </r>
      </text>
    </comment>
    <comment ref="CX37" authorId="4">
      <text>
        <r>
          <rPr>
            <b/>
            <sz val="9"/>
            <color indexed="81"/>
            <rFont val="Tahoma"/>
            <family val="2"/>
          </rPr>
          <t>Rosenblum, Mark (Research):</t>
        </r>
        <r>
          <rPr>
            <sz val="9"/>
            <color indexed="81"/>
            <rFont val="Tahoma"/>
            <family val="2"/>
          </rPr>
          <t xml:space="preserve">
removing 3 month AB reporting lag: -$55</t>
        </r>
      </text>
    </comment>
    <comment ref="DJ37" authorId="4">
      <text>
        <r>
          <rPr>
            <b/>
            <sz val="9"/>
            <color indexed="81"/>
            <rFont val="Tahoma"/>
            <family val="2"/>
          </rPr>
          <t>Rosenblum, Mark (Research):</t>
        </r>
        <r>
          <rPr>
            <sz val="9"/>
            <color indexed="81"/>
            <rFont val="Tahoma"/>
            <family val="2"/>
          </rPr>
          <t xml:space="preserve">
WBA changed presentation of adjustments in 4FQ16.  Prior periods are not comparable.</t>
        </r>
      </text>
    </comment>
    <comment ref="DJ38" authorId="4">
      <text>
        <r>
          <rPr>
            <b/>
            <sz val="9"/>
            <color indexed="81"/>
            <rFont val="Tahoma"/>
            <family val="2"/>
          </rPr>
          <t>Rosenblum, Mark (Research):</t>
        </r>
        <r>
          <rPr>
            <sz val="9"/>
            <color indexed="81"/>
            <rFont val="Tahoma"/>
            <family val="2"/>
          </rPr>
          <t xml:space="preserve">
WBA changed presentation of adjustments in 4FQ16.  Prior periods are not comparable.</t>
        </r>
      </text>
    </comment>
    <comment ref="CS39" authorId="7">
      <text>
        <r>
          <rPr>
            <b/>
            <sz val="8"/>
            <color indexed="81"/>
            <rFont val="Tahoma"/>
            <family val="2"/>
          </rPr>
          <t>steshin:</t>
        </r>
        <r>
          <rPr>
            <sz val="8"/>
            <color indexed="81"/>
            <rFont val="Tahoma"/>
            <family val="2"/>
          </rPr>
          <t xml:space="preserve">
3/19/2013:
gain on sale of WHI - why???</t>
        </r>
      </text>
    </comment>
    <comment ref="CT39" authorId="2">
      <text>
        <r>
          <rPr>
            <b/>
            <sz val="8"/>
            <color indexed="81"/>
            <rFont val="Tahoma"/>
            <family val="2"/>
          </rPr>
          <t>saursing:</t>
        </r>
        <r>
          <rPr>
            <sz val="8"/>
            <color indexed="81"/>
            <rFont val="Tahoma"/>
            <family val="2"/>
          </rPr>
          <t xml:space="preserve">
$47M DEA settlement excluded from adjusted net income, but $48M FMV adjustment to warrants also excluded</t>
        </r>
      </text>
    </comment>
    <comment ref="CU39" authorId="2">
      <text>
        <r>
          <rPr>
            <b/>
            <sz val="8"/>
            <color indexed="81"/>
            <rFont val="Tahoma"/>
            <family val="2"/>
          </rPr>
          <t>saursing:</t>
        </r>
        <r>
          <rPr>
            <sz val="8"/>
            <color indexed="81"/>
            <rFont val="Tahoma"/>
            <family val="2"/>
          </rPr>
          <t xml:space="preserve">
$62M FMV adjustment increase backed out (excluded from) adjusted net income</t>
        </r>
      </text>
    </comment>
    <comment ref="CW39" authorId="3">
      <text>
        <r>
          <rPr>
            <b/>
            <sz val="9"/>
            <color indexed="81"/>
            <rFont val="Tahoma"/>
            <family val="2"/>
          </rPr>
          <t>Singh, Saurabh (Research):</t>
        </r>
        <r>
          <rPr>
            <sz val="9"/>
            <color indexed="81"/>
            <rFont val="Tahoma"/>
            <family val="2"/>
          </rPr>
          <t xml:space="preserve">
$161M benefit from ABC warrant FMV adjustment backed out and Organizational efficiency costs of $15M added back to get to adj. net income</t>
        </r>
      </text>
    </comment>
    <comment ref="CX39" authorId="3">
      <text>
        <r>
          <rPr>
            <b/>
            <sz val="9"/>
            <color indexed="81"/>
            <rFont val="Tahoma"/>
            <family val="2"/>
          </rPr>
          <t>Singh, Saurabh (Research):</t>
        </r>
        <r>
          <rPr>
            <sz val="9"/>
            <color indexed="81"/>
            <rFont val="Tahoma"/>
            <family val="2"/>
          </rPr>
          <t xml:space="preserve">
$26M reduction from FMV adjustment benefit, $1M add-back for organizational efficiency costs
removing 3 month AB reporting lag: -$57</t>
        </r>
      </text>
    </comment>
    <comment ref="CY39" authorId="3">
      <text>
        <r>
          <rPr>
            <b/>
            <sz val="9"/>
            <color indexed="81"/>
            <rFont val="Tahoma"/>
            <family val="2"/>
          </rPr>
          <t>Singh, Saurabh (Research):</t>
        </r>
        <r>
          <rPr>
            <sz val="9"/>
            <color indexed="81"/>
            <rFont val="Tahoma"/>
            <family val="2"/>
          </rPr>
          <t xml:space="preserve">
$67M reduction from FMV adjustment benefit, $68M add-back for organizational efficiency costs</t>
        </r>
      </text>
    </comment>
    <comment ref="CZ39" authorId="3">
      <text>
        <r>
          <rPr>
            <b/>
            <sz val="9"/>
            <color indexed="81"/>
            <rFont val="Tahoma"/>
            <family val="2"/>
          </rPr>
          <t>Singh, Saurabh (Research):</t>
        </r>
        <r>
          <rPr>
            <sz val="9"/>
            <color indexed="81"/>
            <rFont val="Tahoma"/>
            <family val="2"/>
          </rPr>
          <t xml:space="preserve">
$97M reduction from FMV adjustment benefit, $95M ($74M store closure + $21M other optimization costs) add-back for organizational efficiency costs,
$866M addback for AB call option loss
$70M ($57M acq related amort. + $13M acq. related costs) addback for acquisition related items</t>
        </r>
      </text>
    </comment>
    <comment ref="DB39" authorId="3">
      <text>
        <r>
          <rPr>
            <b/>
            <sz val="9"/>
            <color indexed="81"/>
            <rFont val="Tahoma"/>
            <family val="2"/>
          </rPr>
          <t>Singh, Saurabh (Research):</t>
        </r>
        <r>
          <rPr>
            <sz val="9"/>
            <color indexed="81"/>
            <rFont val="Tahoma"/>
            <family val="2"/>
          </rPr>
          <t xml:space="preserve">
Increase in FMV of ABC warrants: -$279M (increased from $222 as a result of AB reporting lag - portion of warrants held by AB)
FX Hedging Loss: $96M
Tax valuation release: -$86M
WBA Interest: $9M
Store optimization: $18M</t>
        </r>
      </text>
    </comment>
    <comment ref="DC39" authorId="3">
      <text>
        <r>
          <rPr>
            <b/>
            <sz val="9"/>
            <color indexed="81"/>
            <rFont val="Tahoma"/>
            <family val="2"/>
          </rPr>
          <t>Singh, Saurabh (Research):</t>
        </r>
        <r>
          <rPr>
            <sz val="9"/>
            <color indexed="81"/>
            <rFont val="Tahoma"/>
            <family val="2"/>
          </rPr>
          <t xml:space="preserve">
$814M Gain on Step 2 equity interest
$376M increase in FMV of ABC warrants</t>
        </r>
      </text>
    </comment>
    <comment ref="DD39" authorId="4">
      <text>
        <r>
          <rPr>
            <b/>
            <sz val="9"/>
            <color indexed="81"/>
            <rFont val="Tahoma"/>
            <family val="2"/>
          </rPr>
          <t>Rosenblum, Mark (Research):</t>
        </r>
        <r>
          <rPr>
            <sz val="9"/>
            <color indexed="81"/>
            <rFont val="Tahoma"/>
            <family val="2"/>
          </rPr>
          <t xml:space="preserve">
Cost transformation: $114M
Store closure and other: $5M
Loss on sale of business: $12M
Increase in ABC warrants: -$320M
partial release of capital loss valuation allowance: -$129
Adjuste tax rate true-up: $19M</t>
        </r>
      </text>
    </comment>
    <comment ref="DJ39" authorId="4">
      <text>
        <r>
          <rPr>
            <b/>
            <sz val="9"/>
            <color indexed="81"/>
            <rFont val="Tahoma"/>
            <family val="2"/>
          </rPr>
          <t>Rosenblum, Mark (Research):</t>
        </r>
        <r>
          <rPr>
            <sz val="9"/>
            <color indexed="81"/>
            <rFont val="Tahoma"/>
            <family val="2"/>
          </rPr>
          <t xml:space="preserve">
WBA changed presentation of adjustments in 4FQ16.  Prior periods are not comparable.</t>
        </r>
      </text>
    </comment>
    <comment ref="DO39" authorId="8">
      <text>
        <r>
          <rPr>
            <b/>
            <sz val="9"/>
            <color indexed="81"/>
            <rFont val="Tahoma"/>
            <family val="2"/>
          </rPr>
          <t>Lauricella, Rose (Research):</t>
        </r>
        <r>
          <rPr>
            <sz val="9"/>
            <color indexed="81"/>
            <rFont val="Tahoma"/>
            <family val="2"/>
          </rPr>
          <t xml:space="preserve">
why do you take out </t>
        </r>
      </text>
    </comment>
    <comment ref="DJ40" authorId="4">
      <text>
        <r>
          <rPr>
            <b/>
            <sz val="9"/>
            <color indexed="81"/>
            <rFont val="Tahoma"/>
            <family val="2"/>
          </rPr>
          <t>Rosenblum, Mark (Research):</t>
        </r>
        <r>
          <rPr>
            <sz val="9"/>
            <color indexed="81"/>
            <rFont val="Tahoma"/>
            <family val="2"/>
          </rPr>
          <t xml:space="preserve">
WBA changed presentation of adjustments in 4FQ16.  Prior periods are not comparable.</t>
        </r>
      </text>
    </comment>
    <comment ref="CX41" authorId="4">
      <text>
        <r>
          <rPr>
            <b/>
            <sz val="9"/>
            <color indexed="81"/>
            <rFont val="Tahoma"/>
            <family val="2"/>
          </rPr>
          <t>Rosenblum, Mark (Research):</t>
        </r>
        <r>
          <rPr>
            <sz val="9"/>
            <color indexed="81"/>
            <rFont val="Tahoma"/>
            <family val="2"/>
          </rPr>
          <t xml:space="preserve">
removing 3 month AB reporting lag: $934</t>
        </r>
      </text>
    </comment>
    <comment ref="AV44" authorId="1">
      <text>
        <r>
          <rPr>
            <b/>
            <sz val="8"/>
            <color indexed="81"/>
            <rFont val="Tahoma"/>
            <family val="2"/>
          </rPr>
          <t>Roxana Fariborz:</t>
        </r>
        <r>
          <rPr>
            <sz val="8"/>
            <color indexed="81"/>
            <rFont val="Tahoma"/>
            <family val="2"/>
          </rPr>
          <t xml:space="preserve">
$12 mn vitamin litigation + $13.6 mn LIFO effect from year ago quarter - $6.5 mn unfavorable</t>
        </r>
      </text>
    </comment>
    <comment ref="AZ44" authorId="0">
      <text>
        <r>
          <rPr>
            <b/>
            <sz val="8"/>
            <color indexed="81"/>
            <rFont val="Tahoma"/>
            <family val="2"/>
          </rPr>
          <t>fariborz:</t>
        </r>
        <r>
          <rPr>
            <sz val="8"/>
            <color indexed="81"/>
            <rFont val="Tahoma"/>
            <family val="2"/>
          </rPr>
          <t xml:space="preserve">
2 drug antitrust litigation settlements + $3 mn due to change in lease accounting</t>
        </r>
      </text>
    </comment>
    <comment ref="BD44" authorId="0">
      <text>
        <r>
          <rPr>
            <b/>
            <sz val="8"/>
            <color indexed="81"/>
            <rFont val="Tahoma"/>
            <family val="2"/>
          </rPr>
          <t>fariborz:</t>
        </r>
        <r>
          <rPr>
            <sz val="8"/>
            <color indexed="81"/>
            <rFont val="Tahoma"/>
            <family val="2"/>
          </rPr>
          <t xml:space="preserve">
2 drug antitrust litigation settlements; note that leases had a $4.1 mn after-tax effect</t>
        </r>
      </text>
    </comment>
    <comment ref="BE44" authorId="0">
      <text>
        <r>
          <rPr>
            <b/>
            <sz val="8"/>
            <color indexed="81"/>
            <rFont val="Tahoma"/>
            <family val="2"/>
          </rPr>
          <t xml:space="preserve">fariborz:  4.7M </t>
        </r>
        <r>
          <rPr>
            <sz val="8"/>
            <color indexed="81"/>
            <rFont val="Tahoma"/>
            <family val="2"/>
          </rPr>
          <t>drug antitrust litigation settlement + 4.7 mn in LIFO change + $3 mn from change in lease accounting</t>
        </r>
      </text>
    </comment>
    <comment ref="BG44" authorId="9">
      <text>
        <r>
          <rPr>
            <b/>
            <sz val="8"/>
            <color indexed="81"/>
            <rFont val="Tahoma"/>
            <family val="2"/>
          </rPr>
          <t>Mark Wiltamuth:</t>
        </r>
        <r>
          <rPr>
            <sz val="8"/>
            <color indexed="81"/>
            <rFont val="Tahoma"/>
            <family val="2"/>
          </rPr>
          <t xml:space="preserve">
$54.7 or $0.03 charge for Hurricane Katrina (inv losses, expenses, etc)</t>
        </r>
      </text>
    </comment>
    <comment ref="CP44" authorId="7">
      <text>
        <r>
          <rPr>
            <b/>
            <sz val="8"/>
            <color indexed="81"/>
            <rFont val="Tahoma"/>
            <family val="2"/>
          </rPr>
          <t>steshin:</t>
        </r>
        <r>
          <rPr>
            <sz val="8"/>
            <color indexed="81"/>
            <rFont val="Tahoma"/>
            <family val="2"/>
          </rPr>
          <t xml:space="preserve">
9/28/12: called out $0.14 but can't get to that number</t>
        </r>
      </text>
    </comment>
    <comment ref="BM45" authorId="10">
      <text>
        <r>
          <rPr>
            <b/>
            <sz val="8"/>
            <color indexed="81"/>
            <rFont val="Tahoma"/>
            <family val="2"/>
          </rPr>
          <t>justinv:</t>
        </r>
        <r>
          <rPr>
            <sz val="8"/>
            <color indexed="81"/>
            <rFont val="Tahoma"/>
            <family val="2"/>
          </rPr>
          <t xml:space="preserve">
Options expensing begins</t>
        </r>
      </text>
    </comment>
    <comment ref="CN45" authorId="7">
      <text>
        <r>
          <rPr>
            <b/>
            <sz val="8"/>
            <color indexed="81"/>
            <rFont val="Tahoma"/>
            <family val="2"/>
          </rPr>
          <t>steshin:</t>
        </r>
        <r>
          <rPr>
            <sz val="8"/>
            <color indexed="81"/>
            <rFont val="Tahoma"/>
            <family val="2"/>
          </rPr>
          <t xml:space="preserve">
ESRX: -0.07 effect
Weak cold: -0.03 effect</t>
        </r>
      </text>
    </comment>
    <comment ref="CP45" authorId="7">
      <text>
        <r>
          <rPr>
            <b/>
            <sz val="8"/>
            <color indexed="81"/>
            <rFont val="Tahoma"/>
            <family val="2"/>
          </rPr>
          <t>steshin:</t>
        </r>
        <r>
          <rPr>
            <sz val="8"/>
            <color indexed="81"/>
            <rFont val="Tahoma"/>
            <family val="2"/>
          </rPr>
          <t xml:space="preserve">
9/28/12: Press release called out adj EPS of $0.63; but this includes $0.10 LIFO adjustment</t>
        </r>
      </text>
    </comment>
    <comment ref="CX46" authorId="4">
      <text>
        <r>
          <rPr>
            <b/>
            <sz val="9"/>
            <color indexed="81"/>
            <rFont val="Tahoma"/>
            <family val="2"/>
          </rPr>
          <t>Rosenblum, Mark (Research):</t>
        </r>
        <r>
          <rPr>
            <sz val="9"/>
            <color indexed="81"/>
            <rFont val="Tahoma"/>
            <family val="2"/>
          </rPr>
          <t xml:space="preserve">
removing 3 month AB reporting lag: $0.97</t>
        </r>
      </text>
    </comment>
    <comment ref="DK46" authorId="4">
      <text>
        <r>
          <rPr>
            <b/>
            <sz val="9"/>
            <color indexed="81"/>
            <rFont val="Tahoma"/>
            <family val="2"/>
          </rPr>
          <t xml:space="preserve">Rosenblum, Mark (Research):
2FQ16 Guidance:
$4.35 - $4.55
</t>
        </r>
        <r>
          <rPr>
            <sz val="9"/>
            <color indexed="81"/>
            <rFont val="Tahoma"/>
            <family val="2"/>
          </rPr>
          <t>1FQ16 Guidance:
$4.30 - $4.55
$0.03 contribution from ABC 
4FQ15 Guidance:
$4.25 - $4.55
$0.03 contribution from ABC Equity method investment</t>
        </r>
      </text>
    </comment>
    <comment ref="DP46" authorId="4">
      <text>
        <r>
          <rPr>
            <b/>
            <sz val="9"/>
            <color indexed="81"/>
            <rFont val="Tahoma"/>
            <family val="2"/>
          </rPr>
          <t>Rosenblum, Mark (Research):</t>
        </r>
        <r>
          <rPr>
            <sz val="9"/>
            <color indexed="81"/>
            <rFont val="Tahoma"/>
            <family val="2"/>
          </rPr>
          <t xml:space="preserve">
$0.15 contribution from ABC Equity method investment</t>
        </r>
      </text>
    </comment>
    <comment ref="AU52" authorId="0">
      <text>
        <r>
          <rPr>
            <b/>
            <sz val="8"/>
            <color indexed="81"/>
            <rFont val="Tahoma"/>
            <family val="2"/>
          </rPr>
          <t>fariborz:</t>
        </r>
        <r>
          <rPr>
            <sz val="8"/>
            <color indexed="81"/>
            <rFont val="Tahoma"/>
            <family val="2"/>
          </rPr>
          <t xml:space="preserve">
WAG plans to buy back 8-10 mn shares annually starting in F03</t>
        </r>
      </text>
    </comment>
    <comment ref="AV52" authorId="0">
      <text>
        <r>
          <rPr>
            <b/>
            <sz val="8"/>
            <color indexed="81"/>
            <rFont val="Tahoma"/>
            <family val="2"/>
          </rPr>
          <t>fariborz:</t>
        </r>
        <r>
          <rPr>
            <sz val="8"/>
            <color indexed="81"/>
            <rFont val="Tahoma"/>
            <family val="2"/>
          </rPr>
          <t xml:space="preserve">
WAG plans to buy back 8-10 mn shares annually starting in F03</t>
        </r>
      </text>
    </comment>
    <comment ref="CA55" authorId="10">
      <text>
        <r>
          <rPr>
            <b/>
            <sz val="8"/>
            <color indexed="81"/>
            <rFont val="Tahoma"/>
            <family val="2"/>
          </rPr>
          <t>justinv:</t>
        </r>
        <r>
          <rPr>
            <sz val="8"/>
            <color indexed="81"/>
            <rFont val="Tahoma"/>
            <family val="2"/>
          </rPr>
          <t xml:space="preserve">
On Sept. 30.  Fiscal year ended Aug. 31</t>
        </r>
      </text>
    </comment>
    <comment ref="CP55" authorId="2">
      <text>
        <r>
          <rPr>
            <b/>
            <sz val="8"/>
            <color indexed="81"/>
            <rFont val="Tahoma"/>
            <family val="2"/>
          </rPr>
          <t>saursing:</t>
        </r>
        <r>
          <rPr>
            <sz val="8"/>
            <color indexed="81"/>
            <rFont val="Tahoma"/>
            <family val="2"/>
          </rPr>
          <t xml:space="preserve">
83.M shares issued for AB transaction</t>
        </r>
      </text>
    </comment>
    <comment ref="CS55" authorId="2">
      <text>
        <r>
          <rPr>
            <b/>
            <sz val="8"/>
            <color indexed="81"/>
            <rFont val="Tahoma"/>
            <family val="2"/>
          </rPr>
          <t>saursing:</t>
        </r>
        <r>
          <rPr>
            <sz val="8"/>
            <color indexed="81"/>
            <rFont val="Tahoma"/>
            <family val="2"/>
          </rPr>
          <t xml:space="preserve">
shares outstanding as of 2/28/13 per 10-Q</t>
        </r>
      </text>
    </comment>
    <comment ref="CX63" authorId="4">
      <text>
        <r>
          <rPr>
            <b/>
            <sz val="9"/>
            <color indexed="81"/>
            <rFont val="Tahoma"/>
            <family val="2"/>
          </rPr>
          <t>Rosenblum, Mark (Research):</t>
        </r>
        <r>
          <rPr>
            <sz val="9"/>
            <color indexed="81"/>
            <rFont val="Tahoma"/>
            <family val="2"/>
          </rPr>
          <t xml:space="preserve">
removing 3 month AB reporting lag: $94</t>
        </r>
      </text>
    </comment>
    <comment ref="CY65" authorId="3">
      <text>
        <r>
          <rPr>
            <b/>
            <sz val="9"/>
            <color indexed="81"/>
            <rFont val="Tahoma"/>
            <family val="2"/>
          </rPr>
          <t>Singh, Saurabh (Research):</t>
        </r>
        <r>
          <rPr>
            <sz val="9"/>
            <color indexed="81"/>
            <rFont val="Tahoma"/>
            <family val="2"/>
          </rPr>
          <t xml:space="preserve">
Store closures and other optimization costs</t>
        </r>
      </text>
    </comment>
    <comment ref="CZ65" authorId="3">
      <text>
        <r>
          <rPr>
            <b/>
            <sz val="9"/>
            <color indexed="81"/>
            <rFont val="Tahoma"/>
            <family val="2"/>
          </rPr>
          <t>Singh, Saurabh (Research):</t>
        </r>
        <r>
          <rPr>
            <sz val="9"/>
            <color indexed="81"/>
            <rFont val="Tahoma"/>
            <family val="2"/>
          </rPr>
          <t xml:space="preserve">
Store closures and other optimization costs</t>
        </r>
      </text>
    </comment>
    <comment ref="DB65" authorId="3">
      <text>
        <r>
          <rPr>
            <b/>
            <sz val="9"/>
            <color indexed="81"/>
            <rFont val="Tahoma"/>
            <family val="2"/>
          </rPr>
          <t>Singh, Saurabh (Research):</t>
        </r>
        <r>
          <rPr>
            <sz val="9"/>
            <color indexed="81"/>
            <rFont val="Tahoma"/>
            <family val="2"/>
          </rPr>
          <t xml:space="preserve">
Store optimization costs</t>
        </r>
      </text>
    </comment>
    <comment ref="DC65" authorId="3">
      <text>
        <r>
          <rPr>
            <b/>
            <sz val="9"/>
            <color indexed="81"/>
            <rFont val="Tahoma"/>
            <family val="2"/>
          </rPr>
          <t>Singh, Saurabh (Research):</t>
        </r>
        <r>
          <rPr>
            <sz val="9"/>
            <color indexed="81"/>
            <rFont val="Tahoma"/>
            <family val="2"/>
          </rPr>
          <t xml:space="preserve">
$110M asset impairement
$16M optimization costs
$6M decrease in FMV of ABC warrants</t>
        </r>
      </text>
    </comment>
    <comment ref="DD65" authorId="4">
      <text>
        <r>
          <rPr>
            <b/>
            <sz val="9"/>
            <color indexed="81"/>
            <rFont val="Tahoma"/>
            <family val="2"/>
          </rPr>
          <t>Rosenblum, Mark (Research):</t>
        </r>
        <r>
          <rPr>
            <sz val="9"/>
            <color indexed="81"/>
            <rFont val="Tahoma"/>
            <family val="2"/>
          </rPr>
          <t xml:space="preserve">
Cost transformation acquisition-related amortization: $160M
Other optimization costs: $7M
Loss on sale of business: $12M</t>
        </r>
      </text>
    </comment>
    <comment ref="CX66" authorId="3">
      <text>
        <r>
          <rPr>
            <b/>
            <sz val="9"/>
            <color indexed="81"/>
            <rFont val="Tahoma"/>
            <family val="2"/>
          </rPr>
          <t>Singh, Saurabh (Research):</t>
        </r>
        <r>
          <rPr>
            <sz val="9"/>
            <color indexed="81"/>
            <rFont val="Tahoma"/>
            <family val="2"/>
          </rPr>
          <t xml:space="preserve">
Snow removal costs of $23M or ~50 bps impact to adj. SG&amp;A growth, total weather costs $60 includes other iimpact from store closure days and traffic (~80 bps impact to adj. SG&amp;A growth)
Removing 3 month AB reporting lag: $4,456</t>
        </r>
      </text>
    </comment>
    <comment ref="CU70" authorId="2">
      <text>
        <r>
          <rPr>
            <b/>
            <sz val="8"/>
            <color indexed="81"/>
            <rFont val="Tahoma"/>
            <family val="2"/>
          </rPr>
          <t>saursing:</t>
        </r>
        <r>
          <rPr>
            <sz val="8"/>
            <color indexed="81"/>
            <rFont val="Tahoma"/>
            <family val="2"/>
          </rPr>
          <t xml:space="preserve">
Use to be equal to amount on GAAP equity earnings from AB line before, but in 4Q was lower by $34M. Is that tax or AB Warrants FMV adjustment? Why not done in prior quarters?</t>
        </r>
      </text>
    </comment>
    <comment ref="CX70" authorId="4">
      <text>
        <r>
          <rPr>
            <b/>
            <sz val="9"/>
            <color indexed="81"/>
            <rFont val="Tahoma"/>
            <family val="2"/>
          </rPr>
          <t>Rosenblum, Mark (Research):</t>
        </r>
        <r>
          <rPr>
            <sz val="9"/>
            <color indexed="81"/>
            <rFont val="Tahoma"/>
            <family val="2"/>
          </rPr>
          <t xml:space="preserve">
removing 3 month AB reporting lag: $136</t>
        </r>
      </text>
    </comment>
    <comment ref="CX71" authorId="4">
      <text>
        <r>
          <rPr>
            <b/>
            <sz val="9"/>
            <color indexed="81"/>
            <rFont val="Tahoma"/>
            <family val="2"/>
          </rPr>
          <t>Rosenblum, Mark (Research):</t>
        </r>
        <r>
          <rPr>
            <sz val="9"/>
            <color indexed="81"/>
            <rFont val="Tahoma"/>
            <family val="2"/>
          </rPr>
          <t xml:space="preserve">
removing 3 month AB reporting lag: $27</t>
        </r>
      </text>
    </comment>
    <comment ref="CY71" authorId="3">
      <text>
        <r>
          <rPr>
            <b/>
            <sz val="9"/>
            <color indexed="81"/>
            <rFont val="Tahoma"/>
            <family val="2"/>
          </rPr>
          <t>Singh, Saurabh (Research):</t>
        </r>
        <r>
          <rPr>
            <sz val="9"/>
            <color indexed="81"/>
            <rFont val="Tahoma"/>
            <family val="2"/>
          </rPr>
          <t xml:space="preserve">
p.37 of earnings deck</t>
        </r>
      </text>
    </comment>
    <comment ref="CZ71" authorId="3">
      <text>
        <r>
          <rPr>
            <b/>
            <sz val="9"/>
            <color indexed="81"/>
            <rFont val="Tahoma"/>
            <family val="2"/>
          </rPr>
          <t>Singh, Saurabh (Research):</t>
        </r>
        <r>
          <rPr>
            <sz val="9"/>
            <color indexed="81"/>
            <rFont val="Tahoma"/>
            <family val="2"/>
          </rPr>
          <t xml:space="preserve">
p.39 of earnings deck</t>
        </r>
      </text>
    </comment>
    <comment ref="DC71" authorId="3">
      <text>
        <r>
          <rPr>
            <b/>
            <sz val="9"/>
            <color indexed="81"/>
            <rFont val="Tahoma"/>
            <family val="2"/>
          </rPr>
          <t>Singh, Saurabh (Research):</t>
        </r>
        <r>
          <rPr>
            <sz val="9"/>
            <color indexed="81"/>
            <rFont val="Tahoma"/>
            <family val="2"/>
          </rPr>
          <t xml:space="preserve">
Don't really know this as WBA stopped giving it out</t>
        </r>
      </text>
    </comment>
    <comment ref="CX72" authorId="4">
      <text>
        <r>
          <rPr>
            <b/>
            <sz val="9"/>
            <color indexed="81"/>
            <rFont val="Tahoma"/>
            <family val="2"/>
          </rPr>
          <t>Rosenblum, Mark (Research):</t>
        </r>
        <r>
          <rPr>
            <sz val="9"/>
            <color indexed="81"/>
            <rFont val="Tahoma"/>
            <family val="2"/>
          </rPr>
          <t xml:space="preserve">
removing 3 month AB reporting lag: $0</t>
        </r>
      </text>
    </comment>
    <comment ref="CX73" authorId="4">
      <text>
        <r>
          <rPr>
            <b/>
            <sz val="9"/>
            <color indexed="81"/>
            <rFont val="Tahoma"/>
            <family val="2"/>
          </rPr>
          <t>Rosenblum, Mark (Research):</t>
        </r>
        <r>
          <rPr>
            <sz val="9"/>
            <color indexed="81"/>
            <rFont val="Tahoma"/>
            <family val="2"/>
          </rPr>
          <t xml:space="preserve">
removing 3 month AB reporting lag: $0</t>
        </r>
      </text>
    </comment>
    <comment ref="CX74" authorId="4">
      <text>
        <r>
          <rPr>
            <b/>
            <sz val="9"/>
            <color indexed="81"/>
            <rFont val="Tahoma"/>
            <family val="2"/>
          </rPr>
          <t>Rosenblum, Mark (Research):</t>
        </r>
        <r>
          <rPr>
            <sz val="9"/>
            <color indexed="81"/>
            <rFont val="Tahoma"/>
            <family val="2"/>
          </rPr>
          <t xml:space="preserve">
removing 3 month AB reporting lag: $163</t>
        </r>
      </text>
    </comment>
    <comment ref="DC74" authorId="3">
      <text>
        <r>
          <rPr>
            <b/>
            <sz val="9"/>
            <color indexed="81"/>
            <rFont val="Tahoma"/>
            <family val="2"/>
          </rPr>
          <t>Singh, Saurabh (Research):</t>
        </r>
        <r>
          <rPr>
            <sz val="9"/>
            <color indexed="81"/>
            <rFont val="Tahoma"/>
            <family val="2"/>
          </rPr>
          <t xml:space="preserve">
1-month impact, don't really know adjusted figure as WBA stopped giving it out</t>
        </r>
      </text>
    </comment>
    <comment ref="DP74" authorId="3">
      <text>
        <r>
          <rPr>
            <b/>
            <sz val="9"/>
            <color indexed="81"/>
            <rFont val="Tahoma"/>
            <family val="2"/>
          </rPr>
          <t>Singh, Saurabh (Research):</t>
        </r>
        <r>
          <rPr>
            <sz val="9"/>
            <color indexed="81"/>
            <rFont val="Tahoma"/>
            <family val="2"/>
          </rPr>
          <t xml:space="preserve">
ABC Warrants</t>
        </r>
      </text>
    </comment>
    <comment ref="DU74" authorId="3">
      <text>
        <r>
          <rPr>
            <b/>
            <sz val="9"/>
            <color indexed="81"/>
            <rFont val="Tahoma"/>
            <family val="2"/>
          </rPr>
          <t>Singh, Saurabh (Research):</t>
        </r>
        <r>
          <rPr>
            <sz val="9"/>
            <color indexed="81"/>
            <rFont val="Tahoma"/>
            <family val="2"/>
          </rPr>
          <t xml:space="preserve">
ABC Warrants</t>
        </r>
      </text>
    </comment>
    <comment ref="DZ74" authorId="3">
      <text>
        <r>
          <rPr>
            <b/>
            <sz val="9"/>
            <color indexed="81"/>
            <rFont val="Tahoma"/>
            <family val="2"/>
          </rPr>
          <t>Singh, Saurabh (Research):</t>
        </r>
        <r>
          <rPr>
            <sz val="9"/>
            <color indexed="81"/>
            <rFont val="Tahoma"/>
            <family val="2"/>
          </rPr>
          <t xml:space="preserve">
ABC Warrants</t>
        </r>
      </text>
    </comment>
    <comment ref="EE74" authorId="3">
      <text>
        <r>
          <rPr>
            <b/>
            <sz val="9"/>
            <color indexed="81"/>
            <rFont val="Tahoma"/>
            <family val="2"/>
          </rPr>
          <t>Singh, Saurabh (Research):</t>
        </r>
        <r>
          <rPr>
            <sz val="9"/>
            <color indexed="81"/>
            <rFont val="Tahoma"/>
            <family val="2"/>
          </rPr>
          <t xml:space="preserve">
ABC Warrants</t>
        </r>
      </text>
    </comment>
    <comment ref="CX76" authorId="4">
      <text>
        <r>
          <rPr>
            <b/>
            <sz val="9"/>
            <color indexed="81"/>
            <rFont val="Tahoma"/>
            <family val="2"/>
          </rPr>
          <t>Rosenblum, Mark (Research):</t>
        </r>
        <r>
          <rPr>
            <sz val="9"/>
            <color indexed="81"/>
            <rFont val="Tahoma"/>
            <family val="2"/>
          </rPr>
          <t xml:space="preserve">
removing 3 month AB reporting lag: $1,408</t>
        </r>
      </text>
    </comment>
    <comment ref="AH79" authorId="0">
      <text>
        <r>
          <rPr>
            <b/>
            <sz val="8"/>
            <color indexed="81"/>
            <rFont val="Tahoma"/>
            <family val="2"/>
          </rPr>
          <t>fariborz:</t>
        </r>
        <r>
          <rPr>
            <sz val="8"/>
            <color indexed="81"/>
            <rFont val="Tahoma"/>
            <family val="2"/>
          </rPr>
          <t xml:space="preserve">
excludes manu settlement</t>
        </r>
      </text>
    </comment>
    <comment ref="CX79" authorId="4">
      <text>
        <r>
          <rPr>
            <b/>
            <sz val="9"/>
            <color indexed="81"/>
            <rFont val="Tahoma"/>
            <family val="2"/>
          </rPr>
          <t>Rosenblum, Mark (Research):</t>
        </r>
        <r>
          <rPr>
            <sz val="9"/>
            <color indexed="81"/>
            <rFont val="Tahoma"/>
            <family val="2"/>
          </rPr>
          <t xml:space="preserve">
removing 3 month AB reporting lag: $1,666</t>
        </r>
      </text>
    </comment>
    <comment ref="CQ82" authorId="7">
      <text>
        <r>
          <rPr>
            <b/>
            <sz val="8"/>
            <color indexed="81"/>
            <rFont val="Tahoma"/>
            <family val="2"/>
          </rPr>
          <t>steshin:</t>
        </r>
        <r>
          <rPr>
            <sz val="8"/>
            <color indexed="81"/>
            <rFont val="Tahoma"/>
            <family val="2"/>
          </rPr>
          <t xml:space="preserve">
"Gross margin in fiscal 2012 was positively impacted by higher front-end margins in the household items, convenience and fresh foods and non-prescription drug categories but offset by lower retail pharmacy margins where lower market-driven reimbursements and a higher provision for LIFO more than offset the impact of new generics including the generic Lipitor."</t>
        </r>
      </text>
    </comment>
    <comment ref="DK82" authorId="4">
      <text>
        <r>
          <rPr>
            <b/>
            <sz val="9"/>
            <color indexed="81"/>
            <rFont val="Tahoma"/>
            <family val="2"/>
          </rPr>
          <t>Rosenblum, Mark (Research):</t>
        </r>
        <r>
          <rPr>
            <sz val="9"/>
            <color indexed="81"/>
            <rFont val="Tahoma"/>
            <family val="2"/>
          </rPr>
          <t xml:space="preserve">
5.9% organic growth</t>
        </r>
      </text>
    </comment>
    <comment ref="CX86" authorId="4">
      <text>
        <r>
          <rPr>
            <b/>
            <sz val="9"/>
            <color indexed="81"/>
            <rFont val="Tahoma"/>
            <family val="2"/>
          </rPr>
          <t>Rosenblum, Mark (Research):</t>
        </r>
        <r>
          <rPr>
            <sz val="9"/>
            <color indexed="81"/>
            <rFont val="Tahoma"/>
            <family val="2"/>
          </rPr>
          <t xml:space="preserve">
removing 3 month AB reporting lag: 1.2%</t>
        </r>
      </text>
    </comment>
    <comment ref="CX87" authorId="4">
      <text>
        <r>
          <rPr>
            <b/>
            <sz val="9"/>
            <color indexed="81"/>
            <rFont val="Tahoma"/>
            <family val="2"/>
          </rPr>
          <t>Rosenblum, Mark (Research):</t>
        </r>
        <r>
          <rPr>
            <sz val="9"/>
            <color indexed="81"/>
            <rFont val="Tahoma"/>
            <family val="2"/>
          </rPr>
          <t xml:space="preserve">
removing 3 month AB reporting lag: 1.0%</t>
        </r>
      </text>
    </comment>
    <comment ref="CX88" authorId="4">
      <text>
        <r>
          <rPr>
            <b/>
            <sz val="9"/>
            <color indexed="81"/>
            <rFont val="Tahoma"/>
            <family val="2"/>
          </rPr>
          <t>Rosenblum, Mark (Research):</t>
        </r>
        <r>
          <rPr>
            <sz val="9"/>
            <color indexed="81"/>
            <rFont val="Tahoma"/>
            <family val="2"/>
          </rPr>
          <t xml:space="preserve">
removing 3 month AB reporting lag: 1.0%</t>
        </r>
      </text>
    </comment>
    <comment ref="CX89" authorId="4">
      <text>
        <r>
          <rPr>
            <b/>
            <sz val="9"/>
            <color indexed="81"/>
            <rFont val="Tahoma"/>
            <family val="2"/>
          </rPr>
          <t>Rosenblum, Mark (Research):</t>
        </r>
        <r>
          <rPr>
            <sz val="9"/>
            <color indexed="81"/>
            <rFont val="Tahoma"/>
            <family val="2"/>
          </rPr>
          <t xml:space="preserve">
removing 3 month AB reporting lag: 0.2%</t>
        </r>
      </text>
    </comment>
    <comment ref="DK89" authorId="4">
      <text>
        <r>
          <rPr>
            <b/>
            <sz val="9"/>
            <color indexed="81"/>
            <rFont val="Tahoma"/>
            <family val="2"/>
          </rPr>
          <t>Rosenblum, Mark (Research):</t>
        </r>
        <r>
          <rPr>
            <sz val="9"/>
            <color indexed="81"/>
            <rFont val="Tahoma"/>
            <family val="2"/>
          </rPr>
          <t xml:space="preserve">
ABC Investment contributing 65bps in growth</t>
        </r>
      </text>
    </comment>
    <comment ref="DP89" authorId="4">
      <text>
        <r>
          <rPr>
            <b/>
            <sz val="9"/>
            <color indexed="81"/>
            <rFont val="Tahoma"/>
            <family val="2"/>
          </rPr>
          <t>Rosenblum, Mark (Research):</t>
        </r>
        <r>
          <rPr>
            <sz val="9"/>
            <color indexed="81"/>
            <rFont val="Tahoma"/>
            <family val="2"/>
          </rPr>
          <t xml:space="preserve">
ABC investment contributing 2.6% in growth</t>
        </r>
      </text>
    </comment>
    <comment ref="CX90" authorId="4">
      <text>
        <r>
          <rPr>
            <b/>
            <sz val="9"/>
            <color indexed="81"/>
            <rFont val="Tahoma"/>
            <family val="2"/>
          </rPr>
          <t>Rosenblum, Mark (Research):</t>
        </r>
        <r>
          <rPr>
            <sz val="9"/>
            <color indexed="81"/>
            <rFont val="Tahoma"/>
            <family val="2"/>
          </rPr>
          <t xml:space="preserve">
removing 3 month AB reporting lag: -3.4%</t>
        </r>
      </text>
    </comment>
    <comment ref="CX91" authorId="4">
      <text>
        <r>
          <rPr>
            <b/>
            <sz val="9"/>
            <color indexed="81"/>
            <rFont val="Tahoma"/>
            <family val="2"/>
          </rPr>
          <t>Rosenblum, Mark (Research):</t>
        </r>
        <r>
          <rPr>
            <sz val="9"/>
            <color indexed="81"/>
            <rFont val="Tahoma"/>
            <family val="2"/>
          </rPr>
          <t xml:space="preserve">
removing 3 month AB reporting lag: 2.1%</t>
        </r>
      </text>
    </comment>
    <comment ref="CX93" authorId="4">
      <text>
        <r>
          <rPr>
            <b/>
            <sz val="9"/>
            <color indexed="81"/>
            <rFont val="Tahoma"/>
            <family val="2"/>
          </rPr>
          <t>Rosenblum, Mark (Research):</t>
        </r>
        <r>
          <rPr>
            <sz val="9"/>
            <color indexed="81"/>
            <rFont val="Tahoma"/>
            <family val="2"/>
          </rPr>
          <t xml:space="preserve">
removing 3 month AB reporting lag: 1.0%</t>
        </r>
      </text>
    </comment>
    <comment ref="DK93" authorId="4">
      <text>
        <r>
          <rPr>
            <b/>
            <sz val="9"/>
            <color indexed="81"/>
            <rFont val="Tahoma"/>
            <family val="2"/>
          </rPr>
          <t>Rosenblum, Mark (Research):</t>
        </r>
        <r>
          <rPr>
            <sz val="9"/>
            <color indexed="81"/>
            <rFont val="Tahoma"/>
            <family val="2"/>
          </rPr>
          <t xml:space="preserve">
ABC Investment contributing 67bps in growth</t>
        </r>
      </text>
    </comment>
    <comment ref="DP93" authorId="4">
      <text>
        <r>
          <rPr>
            <b/>
            <sz val="9"/>
            <color indexed="81"/>
            <rFont val="Tahoma"/>
            <family val="2"/>
          </rPr>
          <t>Rosenblum, Mark (Research):</t>
        </r>
        <r>
          <rPr>
            <sz val="9"/>
            <color indexed="81"/>
            <rFont val="Tahoma"/>
            <family val="2"/>
          </rPr>
          <t xml:space="preserve">
ABC Investment contributing 3.0% in growth</t>
        </r>
      </text>
    </comment>
    <comment ref="AY96" authorId="1">
      <text>
        <r>
          <rPr>
            <b/>
            <sz val="8"/>
            <color indexed="81"/>
            <rFont val="Tahoma"/>
            <family val="2"/>
          </rPr>
          <t>Roxana Fariborz:</t>
        </r>
        <r>
          <rPr>
            <sz val="8"/>
            <color indexed="81"/>
            <rFont val="Tahoma"/>
            <family val="2"/>
          </rPr>
          <t xml:space="preserve">
includes boost from EITF vendor allowance</t>
        </r>
      </text>
    </comment>
    <comment ref="DD97" authorId="11">
      <text>
        <r>
          <rPr>
            <b/>
            <sz val="9"/>
            <color indexed="81"/>
            <rFont val="Tahoma"/>
            <family val="2"/>
          </rPr>
          <t>Singh, Saurabh (Research):</t>
        </r>
        <r>
          <rPr>
            <sz val="9"/>
            <color indexed="81"/>
            <rFont val="Tahoma"/>
            <family val="2"/>
          </rPr>
          <t xml:space="preserve">
WAG standalone gross margin at  27.52% down 73 bps bps y/y. See Retail tab row 198 for details rows </t>
        </r>
      </text>
    </comment>
    <comment ref="DE97" authorId="11">
      <text>
        <r>
          <rPr>
            <b/>
            <sz val="9"/>
            <color indexed="81"/>
            <rFont val="Tahoma"/>
            <family val="2"/>
          </rPr>
          <t>Singh, Saurabh (Research):</t>
        </r>
        <r>
          <rPr>
            <sz val="9"/>
            <color indexed="81"/>
            <rFont val="Tahoma"/>
            <family val="2"/>
          </rPr>
          <t xml:space="preserve">
WAG standalone gross margin at  27.55% down 42 bps bps y/y. See Retail tab row 198 for details rows </t>
        </r>
      </text>
    </comment>
    <comment ref="DG97" authorId="11">
      <text>
        <r>
          <rPr>
            <b/>
            <sz val="9"/>
            <color indexed="81"/>
            <rFont val="Tahoma"/>
            <family val="2"/>
          </rPr>
          <t>Singh, Saurabh (Research):</t>
        </r>
        <r>
          <rPr>
            <sz val="9"/>
            <color indexed="81"/>
            <rFont val="Tahoma"/>
            <family val="2"/>
          </rPr>
          <t xml:space="preserve">
WAG standalone gross margin at  27.55% down 42 bps bps y/y. See Retail tab row 198 for details rows </t>
        </r>
      </text>
    </comment>
    <comment ref="DH97" authorId="11">
      <text>
        <r>
          <rPr>
            <b/>
            <sz val="9"/>
            <color indexed="81"/>
            <rFont val="Tahoma"/>
            <family val="2"/>
          </rPr>
          <t>Singh, Saurabh (Research):</t>
        </r>
        <r>
          <rPr>
            <sz val="9"/>
            <color indexed="81"/>
            <rFont val="Tahoma"/>
            <family val="2"/>
          </rPr>
          <t xml:space="preserve">
WAG standalone gross margin at  27.55% down 42 bps bps y/y. See Retail tab row 198 for details rows </t>
        </r>
      </text>
    </comment>
    <comment ref="DI97" authorId="11">
      <text>
        <r>
          <rPr>
            <b/>
            <sz val="9"/>
            <color indexed="81"/>
            <rFont val="Tahoma"/>
            <family val="2"/>
          </rPr>
          <t>Singh, Saurabh (Research):</t>
        </r>
        <r>
          <rPr>
            <sz val="9"/>
            <color indexed="81"/>
            <rFont val="Tahoma"/>
            <family val="2"/>
          </rPr>
          <t xml:space="preserve">
WAG standalone gross margin at  27.55% down 42 bps bps y/y. See Retail tab row 198 for details rows </t>
        </r>
      </text>
    </comment>
    <comment ref="DJ97" authorId="11">
      <text>
        <r>
          <rPr>
            <b/>
            <sz val="9"/>
            <color indexed="81"/>
            <rFont val="Tahoma"/>
            <family val="2"/>
          </rPr>
          <t>Singh, Saurabh (Research):</t>
        </r>
        <r>
          <rPr>
            <sz val="9"/>
            <color indexed="81"/>
            <rFont val="Tahoma"/>
            <family val="2"/>
          </rPr>
          <t xml:space="preserve">
WAG standalone gross margin at  27.55% down 42 bps bps y/y. See Retail tab row 198 for details rows </t>
        </r>
      </text>
    </comment>
    <comment ref="CX99" authorId="4">
      <text>
        <r>
          <rPr>
            <b/>
            <sz val="9"/>
            <color indexed="81"/>
            <rFont val="Tahoma"/>
            <family val="2"/>
          </rPr>
          <t>Rosenblum, Mark (Research):</t>
        </r>
        <r>
          <rPr>
            <sz val="9"/>
            <color indexed="81"/>
            <rFont val="Tahoma"/>
            <family val="2"/>
          </rPr>
          <t xml:space="preserve">
removing 3 month AB reporting lag: 22.7%</t>
        </r>
      </text>
    </comment>
    <comment ref="CX100" authorId="4">
      <text>
        <r>
          <rPr>
            <b/>
            <sz val="9"/>
            <color indexed="81"/>
            <rFont val="Tahoma"/>
            <family val="2"/>
          </rPr>
          <t>Rosenblum, Mark (Research):</t>
        </r>
        <r>
          <rPr>
            <sz val="9"/>
            <color indexed="81"/>
            <rFont val="Tahoma"/>
            <family val="2"/>
          </rPr>
          <t xml:space="preserve">
removing 3 month AB reporting lag: 8.5%</t>
        </r>
      </text>
    </comment>
    <comment ref="CX101" authorId="4">
      <text>
        <r>
          <rPr>
            <b/>
            <sz val="9"/>
            <color indexed="81"/>
            <rFont val="Tahoma"/>
            <family val="2"/>
          </rPr>
          <t>Rosenblum, Mark (Research):</t>
        </r>
        <r>
          <rPr>
            <sz val="9"/>
            <color indexed="81"/>
            <rFont val="Tahoma"/>
            <family val="2"/>
          </rPr>
          <t xml:space="preserve">
removing 3 month AB reporting lag: 6.2%</t>
        </r>
      </text>
    </comment>
    <comment ref="CX102" authorId="4">
      <text>
        <r>
          <rPr>
            <b/>
            <sz val="9"/>
            <color indexed="81"/>
            <rFont val="Tahoma"/>
            <family val="2"/>
          </rPr>
          <t>Rosenblum, Mark (Research):</t>
        </r>
        <r>
          <rPr>
            <sz val="9"/>
            <color indexed="81"/>
            <rFont val="Tahoma"/>
            <family val="2"/>
          </rPr>
          <t xml:space="preserve">
removing 3 month AB reporting lag: 7.2%</t>
        </r>
      </text>
    </comment>
    <comment ref="DD102" authorId="11">
      <text>
        <r>
          <rPr>
            <b/>
            <sz val="9"/>
            <color indexed="81"/>
            <rFont val="Tahoma"/>
            <family val="2"/>
          </rPr>
          <t>Goldwasser, Ricky (Research):</t>
        </r>
        <r>
          <rPr>
            <sz val="9"/>
            <color indexed="81"/>
            <rFont val="Tahoma"/>
            <family val="2"/>
          </rPr>
          <t xml:space="preserve">
Addition of Alliance Boots translates to ~10-15 bps of margin pressure </t>
        </r>
      </text>
    </comment>
    <comment ref="DE102" authorId="11">
      <text>
        <r>
          <rPr>
            <b/>
            <sz val="9"/>
            <color indexed="81"/>
            <rFont val="Tahoma"/>
            <family val="2"/>
          </rPr>
          <t>Goldwasser, Ricky (Research):</t>
        </r>
        <r>
          <rPr>
            <sz val="9"/>
            <color indexed="81"/>
            <rFont val="Tahoma"/>
            <family val="2"/>
          </rPr>
          <t xml:space="preserve">
Addition of Alliance Boots translates to ~10-15 bps of margin pressure </t>
        </r>
      </text>
    </comment>
    <comment ref="DG102" authorId="11">
      <text>
        <r>
          <rPr>
            <b/>
            <sz val="9"/>
            <color indexed="81"/>
            <rFont val="Tahoma"/>
            <family val="2"/>
          </rPr>
          <t>Goldwasser, Ricky (Research):</t>
        </r>
        <r>
          <rPr>
            <sz val="9"/>
            <color indexed="81"/>
            <rFont val="Tahoma"/>
            <family val="2"/>
          </rPr>
          <t xml:space="preserve">
Addition of Alliance Boots translates to ~10-15 bps of margin pressure </t>
        </r>
      </text>
    </comment>
    <comment ref="DH102" authorId="11">
      <text>
        <r>
          <rPr>
            <b/>
            <sz val="9"/>
            <color indexed="81"/>
            <rFont val="Tahoma"/>
            <family val="2"/>
          </rPr>
          <t>Goldwasser, Ricky (Research):</t>
        </r>
        <r>
          <rPr>
            <sz val="9"/>
            <color indexed="81"/>
            <rFont val="Tahoma"/>
            <family val="2"/>
          </rPr>
          <t xml:space="preserve">
Addition of Alliance Boots translates to ~10-15 bps of margin pressure </t>
        </r>
      </text>
    </comment>
    <comment ref="DI102" authorId="11">
      <text>
        <r>
          <rPr>
            <b/>
            <sz val="9"/>
            <color indexed="81"/>
            <rFont val="Tahoma"/>
            <family val="2"/>
          </rPr>
          <t>Goldwasser, Ricky (Research):</t>
        </r>
        <r>
          <rPr>
            <sz val="9"/>
            <color indexed="81"/>
            <rFont val="Tahoma"/>
            <family val="2"/>
          </rPr>
          <t xml:space="preserve">
Addition of Alliance Boots translates to ~10-15 bps of margin pressure </t>
        </r>
      </text>
    </comment>
    <comment ref="DJ102" authorId="11">
      <text>
        <r>
          <rPr>
            <b/>
            <sz val="9"/>
            <color indexed="81"/>
            <rFont val="Tahoma"/>
            <family val="2"/>
          </rPr>
          <t>Goldwasser, Ricky (Research):</t>
        </r>
        <r>
          <rPr>
            <sz val="9"/>
            <color indexed="81"/>
            <rFont val="Tahoma"/>
            <family val="2"/>
          </rPr>
          <t xml:space="preserve">
Addition of Alliance Boots translates to ~10-15 bps of margin pressure </t>
        </r>
      </text>
    </comment>
    <comment ref="DB103" authorId="3">
      <text>
        <r>
          <rPr>
            <b/>
            <sz val="9"/>
            <color indexed="81"/>
            <rFont val="Tahoma"/>
            <family val="2"/>
          </rPr>
          <t>Singh, Saurabh (Research):</t>
        </r>
        <r>
          <rPr>
            <sz val="9"/>
            <color indexed="81"/>
            <rFont val="Tahoma"/>
            <family val="2"/>
          </rPr>
          <t xml:space="preserve">
Adjusted Tax Rate</t>
        </r>
      </text>
    </comment>
    <comment ref="DC103" authorId="3">
      <text>
        <r>
          <rPr>
            <b/>
            <sz val="9"/>
            <color indexed="81"/>
            <rFont val="Tahoma"/>
            <family val="2"/>
          </rPr>
          <t>Singh, Saurabh (Research):</t>
        </r>
        <r>
          <rPr>
            <sz val="9"/>
            <color indexed="81"/>
            <rFont val="Tahoma"/>
            <family val="2"/>
          </rPr>
          <t xml:space="preserve">
Adjusted Tax Rate</t>
        </r>
      </text>
    </comment>
    <comment ref="DG103" authorId="4">
      <text>
        <r>
          <rPr>
            <b/>
            <sz val="9"/>
            <color indexed="81"/>
            <rFont val="Tahoma"/>
            <family val="2"/>
          </rPr>
          <t>Rosenblum, Mark (Research):</t>
        </r>
        <r>
          <rPr>
            <sz val="9"/>
            <color indexed="81"/>
            <rFont val="Tahoma"/>
            <family val="2"/>
          </rPr>
          <t xml:space="preserve">
Adjusted tax rate</t>
        </r>
      </text>
    </comment>
    <comment ref="CX104" authorId="4">
      <text>
        <r>
          <rPr>
            <b/>
            <sz val="9"/>
            <color indexed="81"/>
            <rFont val="Tahoma"/>
            <family val="2"/>
          </rPr>
          <t>Rosenblum, Mark (Research):</t>
        </r>
        <r>
          <rPr>
            <sz val="9"/>
            <color indexed="81"/>
            <rFont val="Tahoma"/>
            <family val="2"/>
          </rPr>
          <t xml:space="preserve">
removing 3 month AB reporting lag: 3.7%</t>
        </r>
      </text>
    </comment>
    <comment ref="CX105" authorId="4">
      <text>
        <r>
          <rPr>
            <b/>
            <sz val="9"/>
            <color indexed="81"/>
            <rFont val="Tahoma"/>
            <family val="2"/>
          </rPr>
          <t>Rosenblum, Mark (Research):</t>
        </r>
        <r>
          <rPr>
            <sz val="9"/>
            <color indexed="81"/>
            <rFont val="Tahoma"/>
            <family val="2"/>
          </rPr>
          <t xml:space="preserve">
removing 3 month AB reporting lag: 4.8%</t>
        </r>
      </text>
    </comment>
    <comment ref="CU134" authorId="2">
      <text>
        <r>
          <rPr>
            <b/>
            <sz val="8"/>
            <color indexed="81"/>
            <rFont val="Tahoma"/>
            <family val="2"/>
          </rPr>
          <t>saursing:</t>
        </r>
        <r>
          <rPr>
            <sz val="8"/>
            <color indexed="81"/>
            <rFont val="Tahoma"/>
            <family val="2"/>
          </rPr>
          <t xml:space="preserve">
Guidance had been for $85M pre-tax charge, came in at $8M pre-tax benefit, and $5M benefit after-tax</t>
        </r>
      </text>
    </comment>
    <comment ref="CS141" authorId="2">
      <text>
        <r>
          <rPr>
            <b/>
            <sz val="8"/>
            <color indexed="81"/>
            <rFont val="Tahoma"/>
            <family val="2"/>
          </rPr>
          <t>saursing:</t>
        </r>
        <r>
          <rPr>
            <sz val="8"/>
            <color indexed="81"/>
            <rFont val="Tahoma"/>
            <family val="2"/>
          </rPr>
          <t xml:space="preserve">
Was lowered by $19M due to an interest payment related to late payments of state Medicaid receivables</t>
        </r>
      </text>
    </comment>
    <comment ref="CT141" authorId="2">
      <text>
        <r>
          <rPr>
            <b/>
            <sz val="8"/>
            <color indexed="81"/>
            <rFont val="Tahoma"/>
            <family val="2"/>
          </rPr>
          <t>saursing:</t>
        </r>
        <r>
          <rPr>
            <sz val="8"/>
            <color indexed="81"/>
            <rFont val="Tahoma"/>
            <family val="2"/>
          </rPr>
          <t xml:space="preserve">
Was increased by $7M due to a non-cash expense related to FMV adjustment to outstanding interest rate swaps. 4Q13 impact is expected to be higher at $16M.</t>
        </r>
      </text>
    </comment>
    <comment ref="CU141" authorId="2">
      <text>
        <r>
          <rPr>
            <b/>
            <sz val="8"/>
            <color indexed="81"/>
            <rFont val="Tahoma"/>
            <family val="2"/>
          </rPr>
          <t>saursing:</t>
        </r>
        <r>
          <rPr>
            <sz val="8"/>
            <color indexed="81"/>
            <rFont val="Tahoma"/>
            <family val="2"/>
          </rPr>
          <t xml:space="preserve">
Want to hit $59M within the $57-$60M guidance range they gave. Impact of swap is $16M vs. $7M in 3Q13</t>
        </r>
      </text>
    </comment>
    <comment ref="CX143" authorId="3">
      <text>
        <r>
          <rPr>
            <b/>
            <sz val="9"/>
            <color indexed="81"/>
            <rFont val="Tahoma"/>
            <family val="2"/>
          </rPr>
          <t>Singh, Saurabh (Research):</t>
        </r>
        <r>
          <rPr>
            <sz val="9"/>
            <color indexed="81"/>
            <rFont val="Tahoma"/>
            <family val="2"/>
          </rPr>
          <t xml:space="preserve">
Set to hit guidance of $40M in net interest expense for Q2</t>
        </r>
      </text>
    </comment>
    <comment ref="CY143" authorId="2">
      <text>
        <r>
          <rPr>
            <b/>
            <sz val="8"/>
            <color indexed="81"/>
            <rFont val="Tahoma"/>
            <family val="2"/>
          </rPr>
          <t>saursing:</t>
        </r>
        <r>
          <rPr>
            <sz val="8"/>
            <color indexed="81"/>
            <rFont val="Tahoma"/>
            <family val="2"/>
          </rPr>
          <t xml:space="preserve">
$550M floating rate notes mature</t>
        </r>
      </text>
    </comment>
    <comment ref="DC145" authorId="3">
      <text>
        <r>
          <rPr>
            <b/>
            <sz val="9"/>
            <color indexed="81"/>
            <rFont val="Tahoma"/>
            <family val="2"/>
          </rPr>
          <t>Singh, Saurabh (Research):</t>
        </r>
        <r>
          <rPr>
            <sz val="9"/>
            <color indexed="81"/>
            <rFont val="Tahoma"/>
            <family val="2"/>
          </rPr>
          <t xml:space="preserve">
~$2M interest income on WAG cash plus AB standalone interest income </t>
        </r>
      </text>
    </comment>
    <comment ref="DD145" authorId="3">
      <text>
        <r>
          <rPr>
            <b/>
            <sz val="9"/>
            <color indexed="81"/>
            <rFont val="Tahoma"/>
            <family val="2"/>
          </rPr>
          <t>Singh, Saurabh (Research):</t>
        </r>
        <r>
          <rPr>
            <sz val="9"/>
            <color indexed="81"/>
            <rFont val="Tahoma"/>
            <family val="2"/>
          </rPr>
          <t xml:space="preserve">
~$2M interest income on WAG cash plus AB standalone interest income </t>
        </r>
      </text>
    </comment>
    <comment ref="DE145" authorId="3">
      <text>
        <r>
          <rPr>
            <b/>
            <sz val="9"/>
            <color indexed="81"/>
            <rFont val="Tahoma"/>
            <family val="2"/>
          </rPr>
          <t>Singh, Saurabh (Research):</t>
        </r>
        <r>
          <rPr>
            <sz val="9"/>
            <color indexed="81"/>
            <rFont val="Tahoma"/>
            <family val="2"/>
          </rPr>
          <t xml:space="preserve">
~$2M interest income on WAG cash plus AB standalone interest income </t>
        </r>
      </text>
    </comment>
    <comment ref="DG145" authorId="3">
      <text>
        <r>
          <rPr>
            <b/>
            <sz val="9"/>
            <color indexed="81"/>
            <rFont val="Tahoma"/>
            <family val="2"/>
          </rPr>
          <t>Singh, Saurabh (Research):</t>
        </r>
        <r>
          <rPr>
            <sz val="9"/>
            <color indexed="81"/>
            <rFont val="Tahoma"/>
            <family val="2"/>
          </rPr>
          <t xml:space="preserve">
~$2M interest income on WAG cash plus AB standalone interest income </t>
        </r>
      </text>
    </comment>
    <comment ref="DH145" authorId="3">
      <text>
        <r>
          <rPr>
            <b/>
            <sz val="9"/>
            <color indexed="81"/>
            <rFont val="Tahoma"/>
            <family val="2"/>
          </rPr>
          <t>Singh, Saurabh (Research):</t>
        </r>
        <r>
          <rPr>
            <sz val="9"/>
            <color indexed="81"/>
            <rFont val="Tahoma"/>
            <family val="2"/>
          </rPr>
          <t xml:space="preserve">
~$2M interest income on WAG cash plus AB standalone interest income </t>
        </r>
      </text>
    </comment>
    <comment ref="DI145" authorId="3">
      <text>
        <r>
          <rPr>
            <b/>
            <sz val="9"/>
            <color indexed="81"/>
            <rFont val="Tahoma"/>
            <family val="2"/>
          </rPr>
          <t>Singh, Saurabh (Research):</t>
        </r>
        <r>
          <rPr>
            <sz val="9"/>
            <color indexed="81"/>
            <rFont val="Tahoma"/>
            <family val="2"/>
          </rPr>
          <t xml:space="preserve">
~$2M interest income on WAG cash plus AB standalone interest income </t>
        </r>
      </text>
    </comment>
    <comment ref="DJ145" authorId="3">
      <text>
        <r>
          <rPr>
            <b/>
            <sz val="9"/>
            <color indexed="81"/>
            <rFont val="Tahoma"/>
            <family val="2"/>
          </rPr>
          <t>Singh, Saurabh (Research):</t>
        </r>
        <r>
          <rPr>
            <sz val="9"/>
            <color indexed="81"/>
            <rFont val="Tahoma"/>
            <family val="2"/>
          </rPr>
          <t xml:space="preserve">
~$2M interest income on WAG cash plus AB standalone interest income </t>
        </r>
      </text>
    </comment>
    <comment ref="DK145" authorId="3">
      <text>
        <r>
          <rPr>
            <b/>
            <sz val="9"/>
            <color indexed="81"/>
            <rFont val="Tahoma"/>
            <family val="2"/>
          </rPr>
          <t>Singh, Saurabh (Research):</t>
        </r>
        <r>
          <rPr>
            <sz val="9"/>
            <color indexed="81"/>
            <rFont val="Tahoma"/>
            <family val="2"/>
          </rPr>
          <t xml:space="preserve">
~$5M interest income on WAG cash plus AB standalone interest income </t>
        </r>
      </text>
    </comment>
    <comment ref="DP145" authorId="3">
      <text>
        <r>
          <rPr>
            <b/>
            <sz val="9"/>
            <color indexed="81"/>
            <rFont val="Tahoma"/>
            <family val="2"/>
          </rPr>
          <t>Singh, Saurabh (Research):</t>
        </r>
        <r>
          <rPr>
            <sz val="9"/>
            <color indexed="81"/>
            <rFont val="Tahoma"/>
            <family val="2"/>
          </rPr>
          <t xml:space="preserve">
~$10M interest income on WAG cash plus AB standalone interest income </t>
        </r>
      </text>
    </comment>
    <comment ref="DU145" authorId="3">
      <text>
        <r>
          <rPr>
            <b/>
            <sz val="9"/>
            <color indexed="81"/>
            <rFont val="Tahoma"/>
            <family val="2"/>
          </rPr>
          <t>Singh, Saurabh (Research):</t>
        </r>
        <r>
          <rPr>
            <sz val="9"/>
            <color indexed="81"/>
            <rFont val="Tahoma"/>
            <family val="2"/>
          </rPr>
          <t xml:space="preserve">
~$10M interest income on WAG cash plus AB standalone interest income </t>
        </r>
      </text>
    </comment>
    <comment ref="DZ145" authorId="3">
      <text>
        <r>
          <rPr>
            <b/>
            <sz val="9"/>
            <color indexed="81"/>
            <rFont val="Tahoma"/>
            <family val="2"/>
          </rPr>
          <t>Singh, Saurabh (Research):</t>
        </r>
        <r>
          <rPr>
            <sz val="9"/>
            <color indexed="81"/>
            <rFont val="Tahoma"/>
            <family val="2"/>
          </rPr>
          <t xml:space="preserve">
~$10M interest income on WAG cash plus AB standalone interest income </t>
        </r>
      </text>
    </comment>
    <comment ref="EE145" authorId="3">
      <text>
        <r>
          <rPr>
            <b/>
            <sz val="9"/>
            <color indexed="81"/>
            <rFont val="Tahoma"/>
            <family val="2"/>
          </rPr>
          <t>Singh, Saurabh (Research):</t>
        </r>
        <r>
          <rPr>
            <sz val="9"/>
            <color indexed="81"/>
            <rFont val="Tahoma"/>
            <family val="2"/>
          </rPr>
          <t xml:space="preserve">
~$10M interest income on WAG cash plus AB standalone interest income </t>
        </r>
      </text>
    </comment>
    <comment ref="DC147" authorId="3">
      <text>
        <r>
          <rPr>
            <b/>
            <sz val="9"/>
            <color indexed="81"/>
            <rFont val="Tahoma"/>
            <family val="2"/>
          </rPr>
          <t>Singh, Saurabh (Research):</t>
        </r>
        <r>
          <rPr>
            <sz val="9"/>
            <color indexed="81"/>
            <rFont val="Tahoma"/>
            <family val="2"/>
          </rPr>
          <t xml:space="preserve">
Pre-funded refinancing of AB debt and payment of Step 2 cash consideration</t>
        </r>
      </text>
    </comment>
    <comment ref="DK147" authorId="2">
      <text>
        <r>
          <rPr>
            <b/>
            <sz val="8"/>
            <color indexed="81"/>
            <rFont val="Tahoma"/>
            <family val="2"/>
          </rPr>
          <t>saursing:</t>
        </r>
        <r>
          <rPr>
            <sz val="8"/>
            <color indexed="81"/>
            <rFont val="Tahoma"/>
            <family val="2"/>
          </rPr>
          <t xml:space="preserve">
Blended rate based on AB and WAG interest rates</t>
        </r>
      </text>
    </comment>
    <comment ref="AM165" authorId="12">
      <text>
        <r>
          <rPr>
            <b/>
            <sz val="8"/>
            <color indexed="81"/>
            <rFont val="Tahoma"/>
            <family val="2"/>
          </rPr>
          <t>dlevin:</t>
        </r>
        <r>
          <rPr>
            <sz val="8"/>
            <color indexed="81"/>
            <rFont val="Tahoma"/>
            <family val="2"/>
          </rPr>
          <t xml:space="preserve">
30 relocations</t>
        </r>
      </text>
    </comment>
    <comment ref="AO165" authorId="0">
      <text>
        <r>
          <rPr>
            <b/>
            <sz val="8"/>
            <color indexed="81"/>
            <rFont val="Tahoma"/>
            <family val="2"/>
          </rPr>
          <t>fariborz:</t>
        </r>
        <r>
          <rPr>
            <sz val="8"/>
            <color indexed="81"/>
            <rFont val="Tahoma"/>
            <family val="2"/>
          </rPr>
          <t xml:space="preserve">
29 relocations</t>
        </r>
      </text>
    </comment>
    <comment ref="AP165" authorId="0">
      <text>
        <r>
          <rPr>
            <b/>
            <sz val="8"/>
            <color indexed="81"/>
            <rFont val="Tahoma"/>
            <family val="2"/>
          </rPr>
          <t>fariborz:</t>
        </r>
        <r>
          <rPr>
            <sz val="8"/>
            <color indexed="81"/>
            <rFont val="Tahoma"/>
            <family val="2"/>
          </rPr>
          <t xml:space="preserve">
14 relocations</t>
        </r>
      </text>
    </comment>
    <comment ref="AQ165" authorId="0">
      <text>
        <r>
          <rPr>
            <b/>
            <sz val="8"/>
            <color indexed="81"/>
            <rFont val="Tahoma"/>
            <family val="2"/>
          </rPr>
          <t>fariborz:</t>
        </r>
        <r>
          <rPr>
            <sz val="8"/>
            <color indexed="81"/>
            <rFont val="Tahoma"/>
            <family val="2"/>
          </rPr>
          <t xml:space="preserve">
19 relocations</t>
        </r>
      </text>
    </comment>
    <comment ref="AT165" authorId="0">
      <text>
        <r>
          <rPr>
            <b/>
            <sz val="8"/>
            <color indexed="81"/>
            <rFont val="Tahoma"/>
            <family val="2"/>
          </rPr>
          <t>fariborz:</t>
        </r>
        <r>
          <rPr>
            <sz val="8"/>
            <color indexed="81"/>
            <rFont val="Tahoma"/>
            <family val="2"/>
          </rPr>
          <t xml:space="preserve">
20 relocations</t>
        </r>
      </text>
    </comment>
    <comment ref="AU165" authorId="0">
      <text>
        <r>
          <rPr>
            <b/>
            <sz val="8"/>
            <color indexed="81"/>
            <rFont val="Tahoma"/>
            <family val="2"/>
          </rPr>
          <t>fariborz:</t>
        </r>
        <r>
          <rPr>
            <sz val="8"/>
            <color indexed="81"/>
            <rFont val="Tahoma"/>
            <family val="2"/>
          </rPr>
          <t xml:space="preserve">
11
 relocations</t>
        </r>
      </text>
    </comment>
    <comment ref="AV165" authorId="0">
      <text>
        <r>
          <rPr>
            <b/>
            <sz val="8"/>
            <color indexed="81"/>
            <rFont val="Tahoma"/>
            <family val="2"/>
          </rPr>
          <t>fariborz:</t>
        </r>
        <r>
          <rPr>
            <sz val="8"/>
            <color indexed="81"/>
            <rFont val="Tahoma"/>
            <family val="2"/>
          </rPr>
          <t xml:space="preserve">
13 relocations</t>
        </r>
      </text>
    </comment>
    <comment ref="AW165" authorId="1">
      <text>
        <r>
          <rPr>
            <b/>
            <sz val="8"/>
            <color indexed="81"/>
            <rFont val="Tahoma"/>
            <family val="2"/>
          </rPr>
          <t>Roxana Fariborz:</t>
        </r>
        <r>
          <rPr>
            <sz val="8"/>
            <color indexed="81"/>
            <rFont val="Tahoma"/>
            <family val="2"/>
          </rPr>
          <t xml:space="preserve">
31 relos</t>
        </r>
      </text>
    </comment>
    <comment ref="AY165" authorId="1">
      <text>
        <r>
          <rPr>
            <b/>
            <sz val="8"/>
            <color indexed="81"/>
            <rFont val="Tahoma"/>
            <family val="2"/>
          </rPr>
          <t>Roxana Fariborz:</t>
        </r>
        <r>
          <rPr>
            <sz val="8"/>
            <color indexed="81"/>
            <rFont val="Tahoma"/>
            <family val="2"/>
          </rPr>
          <t xml:space="preserve">
20 relos</t>
        </r>
      </text>
    </comment>
    <comment ref="AZ165" authorId="1">
      <text>
        <r>
          <rPr>
            <b/>
            <sz val="8"/>
            <color indexed="81"/>
            <rFont val="Tahoma"/>
            <family val="2"/>
          </rPr>
          <t>Roxana Fariborz:</t>
        </r>
        <r>
          <rPr>
            <sz val="8"/>
            <color indexed="81"/>
            <rFont val="Tahoma"/>
            <family val="2"/>
          </rPr>
          <t xml:space="preserve">
6 relos</t>
        </r>
      </text>
    </comment>
    <comment ref="BA165" authorId="1">
      <text>
        <r>
          <rPr>
            <b/>
            <sz val="8"/>
            <color indexed="81"/>
            <rFont val="Tahoma"/>
            <family val="2"/>
          </rPr>
          <t>Roxana Fariborz:</t>
        </r>
        <r>
          <rPr>
            <sz val="8"/>
            <color indexed="81"/>
            <rFont val="Tahoma"/>
            <family val="2"/>
          </rPr>
          <t xml:space="preserve">
9 relos</t>
        </r>
      </text>
    </comment>
    <comment ref="BB165" authorId="1">
      <text>
        <r>
          <rPr>
            <b/>
            <sz val="8"/>
            <color indexed="81"/>
            <rFont val="Tahoma"/>
            <family val="2"/>
          </rPr>
          <t>Roxana Fariborz:</t>
        </r>
        <r>
          <rPr>
            <sz val="8"/>
            <color indexed="81"/>
            <rFont val="Tahoma"/>
            <family val="2"/>
          </rPr>
          <t xml:space="preserve">
34 relos</t>
        </r>
      </text>
    </comment>
    <comment ref="BD165" authorId="1">
      <text>
        <r>
          <rPr>
            <b/>
            <sz val="8"/>
            <color indexed="81"/>
            <rFont val="Tahoma"/>
            <family val="2"/>
          </rPr>
          <t>Roxana Fariborz:</t>
        </r>
        <r>
          <rPr>
            <sz val="8"/>
            <color indexed="81"/>
            <rFont val="Tahoma"/>
            <family val="2"/>
          </rPr>
          <t xml:space="preserve">
10 relos</t>
        </r>
      </text>
    </comment>
    <comment ref="BE165" authorId="1">
      <text>
        <r>
          <rPr>
            <b/>
            <sz val="8"/>
            <color indexed="81"/>
            <rFont val="Tahoma"/>
            <family val="2"/>
          </rPr>
          <t>Roxana Fariborz:</t>
        </r>
        <r>
          <rPr>
            <sz val="8"/>
            <color indexed="81"/>
            <rFont val="Tahoma"/>
            <family val="2"/>
          </rPr>
          <t xml:space="preserve">
7 relos</t>
        </r>
      </text>
    </comment>
    <comment ref="BF165" authorId="1">
      <text>
        <r>
          <rPr>
            <b/>
            <sz val="8"/>
            <color indexed="81"/>
            <rFont val="Tahoma"/>
            <family val="2"/>
          </rPr>
          <t>Roxana Fariborz:
17 relos</t>
        </r>
      </text>
    </comment>
    <comment ref="BH165" authorId="0">
      <text>
        <r>
          <rPr>
            <b/>
            <sz val="8"/>
            <color indexed="81"/>
            <rFont val="Tahoma"/>
            <family val="2"/>
          </rPr>
          <t>fariborz:</t>
        </r>
        <r>
          <rPr>
            <sz val="8"/>
            <color indexed="81"/>
            <rFont val="Tahoma"/>
            <family val="2"/>
          </rPr>
          <t xml:space="preserve">
assumes 3% store closures per year</t>
        </r>
      </text>
    </comment>
    <comment ref="BM165" authorId="0">
      <text>
        <r>
          <rPr>
            <b/>
            <sz val="8"/>
            <color indexed="81"/>
            <rFont val="Tahoma"/>
            <family val="2"/>
          </rPr>
          <t>fariborz:</t>
        </r>
        <r>
          <rPr>
            <sz val="8"/>
            <color indexed="81"/>
            <rFont val="Tahoma"/>
            <family val="2"/>
          </rPr>
          <t xml:space="preserve">
assumes 3% store closures per year</t>
        </r>
      </text>
    </comment>
    <comment ref="BR165" authorId="0">
      <text>
        <r>
          <rPr>
            <b/>
            <sz val="8"/>
            <color indexed="81"/>
            <rFont val="Tahoma"/>
            <family val="2"/>
          </rPr>
          <t>fariborz:</t>
        </r>
        <r>
          <rPr>
            <sz val="8"/>
            <color indexed="81"/>
            <rFont val="Tahoma"/>
            <family val="2"/>
          </rPr>
          <t xml:space="preserve">
assumes 3% store closures per year</t>
        </r>
      </text>
    </comment>
    <comment ref="BW165" authorId="0">
      <text>
        <r>
          <rPr>
            <b/>
            <sz val="8"/>
            <color indexed="81"/>
            <rFont val="Tahoma"/>
            <family val="2"/>
          </rPr>
          <t>fariborz:</t>
        </r>
        <r>
          <rPr>
            <sz val="8"/>
            <color indexed="81"/>
            <rFont val="Tahoma"/>
            <family val="2"/>
          </rPr>
          <t xml:space="preserve">
assumes 3% store closures per year</t>
        </r>
      </text>
    </comment>
    <comment ref="CB165" authorId="0">
      <text>
        <r>
          <rPr>
            <b/>
            <sz val="8"/>
            <color indexed="81"/>
            <rFont val="Tahoma"/>
            <family val="2"/>
          </rPr>
          <t>fariborz:</t>
        </r>
        <r>
          <rPr>
            <sz val="8"/>
            <color indexed="81"/>
            <rFont val="Tahoma"/>
            <family val="2"/>
          </rPr>
          <t xml:space="preserve">
assumes 3% store closures per year</t>
        </r>
      </text>
    </comment>
    <comment ref="AX169" authorId="13">
      <text>
        <r>
          <rPr>
            <b/>
            <sz val="8"/>
            <color indexed="81"/>
            <rFont val="Tahoma"/>
            <family val="2"/>
          </rPr>
          <t>Mark  Wiltamuth:</t>
        </r>
        <r>
          <rPr>
            <sz val="8"/>
            <color indexed="81"/>
            <rFont val="Tahoma"/>
            <family val="2"/>
          </rPr>
          <t xml:space="preserve">
assume 1% remodeled each year</t>
        </r>
      </text>
    </comment>
    <comment ref="AS174" authorId="0">
      <text>
        <r>
          <rPr>
            <b/>
            <sz val="8"/>
            <color indexed="81"/>
            <rFont val="Tahoma"/>
            <family val="2"/>
          </rPr>
          <t>fariborz:</t>
        </r>
        <r>
          <rPr>
            <sz val="8"/>
            <color indexed="81"/>
            <rFont val="Tahoma"/>
            <family val="2"/>
          </rPr>
          <t xml:space="preserve">
if build new store, costs $3.5-$4.5 mn; if lease new store (WAG leases approx 80%, costs $500,000</t>
        </r>
      </text>
    </comment>
    <comment ref="CG174" authorId="10">
      <text>
        <r>
          <rPr>
            <b/>
            <sz val="8"/>
            <color indexed="81"/>
            <rFont val="Tahoma"/>
            <family val="2"/>
          </rPr>
          <t>justinv:</t>
        </r>
        <r>
          <rPr>
            <sz val="8"/>
            <color indexed="81"/>
            <rFont val="Tahoma"/>
            <family val="2"/>
          </rPr>
          <t xml:space="preserve">
recheck later</t>
        </r>
      </text>
    </comment>
    <comment ref="BH180" authorId="9">
      <text>
        <r>
          <rPr>
            <b/>
            <sz val="8"/>
            <color indexed="81"/>
            <rFont val="Tahoma"/>
            <family val="2"/>
          </rPr>
          <t>Mark Wiltamuth:</t>
        </r>
        <r>
          <rPr>
            <sz val="8"/>
            <color indexed="81"/>
            <rFont val="Tahoma"/>
            <family val="2"/>
          </rPr>
          <t xml:space="preserve">
Technology is 26% of $1.5 B  or $390  
other is 12%</t>
        </r>
      </text>
    </comment>
    <comment ref="BM181" authorId="5">
      <text>
        <r>
          <rPr>
            <b/>
            <sz val="8"/>
            <color indexed="81"/>
            <rFont val="Tahoma"/>
            <family val="2"/>
          </rPr>
          <t>jbirnbau:</t>
        </r>
        <r>
          <rPr>
            <sz val="8"/>
            <color indexed="81"/>
            <rFont val="Tahoma"/>
            <family val="2"/>
          </rPr>
          <t xml:space="preserve">
$1.4B in 2006 capex guidance 9/26/05</t>
        </r>
      </text>
    </comment>
    <comment ref="CP211" authorId="7">
      <text>
        <r>
          <rPr>
            <b/>
            <sz val="8"/>
            <color indexed="81"/>
            <rFont val="Tahoma"/>
            <family val="2"/>
          </rPr>
          <t>steshin:</t>
        </r>
        <r>
          <rPr>
            <sz val="8"/>
            <color indexed="81"/>
            <rFont val="Tahoma"/>
            <family val="2"/>
          </rPr>
          <t xml:space="preserve">
866M call option</t>
        </r>
      </text>
    </comment>
    <comment ref="CP212" authorId="7">
      <text>
        <r>
          <rPr>
            <b/>
            <sz val="8"/>
            <color indexed="81"/>
            <rFont val="Tahoma"/>
            <family val="2"/>
          </rPr>
          <t>steshin:</t>
        </r>
        <r>
          <rPr>
            <sz val="8"/>
            <color indexed="81"/>
            <rFont val="Tahoma"/>
            <family val="2"/>
          </rPr>
          <t xml:space="preserve">
9/28/12:
+6.140B equity method accounting for Alliance Boots
+0.866B Alliance Boots purchase option
</t>
        </r>
      </text>
    </comment>
    <comment ref="CO236" authorId="7">
      <text>
        <r>
          <rPr>
            <b/>
            <sz val="8"/>
            <color indexed="81"/>
            <rFont val="Tahoma"/>
            <family val="2"/>
          </rPr>
          <t>steshin:</t>
        </r>
        <r>
          <rPr>
            <sz val="8"/>
            <color indexed="81"/>
            <rFont val="Tahoma"/>
            <family val="2"/>
          </rPr>
          <t xml:space="preserve">
plug</t>
        </r>
      </text>
    </comment>
    <comment ref="CU236" authorId="2">
      <text>
        <r>
          <rPr>
            <b/>
            <sz val="8"/>
            <color indexed="81"/>
            <rFont val="Tahoma"/>
            <family val="2"/>
          </rPr>
          <t>saursing:</t>
        </r>
        <r>
          <rPr>
            <sz val="8"/>
            <color indexed="81"/>
            <rFont val="Tahoma"/>
            <family val="2"/>
          </rPr>
          <t xml:space="preserve">
Plug to tie to reported shareholders equity in PR, which does not break out components of Sh Equity</t>
        </r>
      </text>
    </comment>
    <comment ref="B240" authorId="1">
      <text>
        <r>
          <rPr>
            <b/>
            <sz val="8"/>
            <color indexed="81"/>
            <rFont val="Tahoma"/>
            <family val="2"/>
          </rPr>
          <t>Roxana Fariborz:</t>
        </r>
        <r>
          <rPr>
            <sz val="8"/>
            <color indexed="81"/>
            <rFont val="Tahoma"/>
            <family val="2"/>
          </rPr>
          <t xml:space="preserve">
get from shh equity section</t>
        </r>
      </text>
    </comment>
    <comment ref="AX240" authorId="1">
      <text>
        <r>
          <rPr>
            <b/>
            <sz val="8"/>
            <color indexed="81"/>
            <rFont val="Tahoma"/>
            <family val="2"/>
          </rPr>
          <t>Roxana Fariborz:</t>
        </r>
        <r>
          <rPr>
            <sz val="8"/>
            <color indexed="81"/>
            <rFont val="Tahoma"/>
            <family val="2"/>
          </rPr>
          <t xml:space="preserve">
per Brian
Employee stock purchases and option plans = ($50.6 million)  This is negative because Walgreens is no longer issuing stock to fund their employee plans but has opted to purchase the stock on the open market.  This results in a reduction in paid-in capital</t>
        </r>
      </text>
    </comment>
    <comment ref="CG294" authorId="10">
      <text>
        <r>
          <rPr>
            <b/>
            <sz val="8"/>
            <color indexed="81"/>
            <rFont val="Tahoma"/>
            <family val="2"/>
          </rPr>
          <t>justinv:</t>
        </r>
        <r>
          <rPr>
            <sz val="8"/>
            <color indexed="81"/>
            <rFont val="Tahoma"/>
            <family val="2"/>
          </rPr>
          <t xml:space="preserve">
2B buyback authorization provided by BOD on Oct. 15, 2009.  Assumes they use half of that in FY2010.</t>
        </r>
      </text>
    </comment>
    <comment ref="CL294" authorId="10">
      <text>
        <r>
          <rPr>
            <b/>
            <sz val="8"/>
            <color indexed="81"/>
            <rFont val="Tahoma"/>
            <family val="2"/>
          </rPr>
          <t>justinv:</t>
        </r>
        <r>
          <rPr>
            <sz val="8"/>
            <color indexed="81"/>
            <rFont val="Tahoma"/>
            <family val="2"/>
          </rPr>
          <t xml:space="preserve">
Assumes they use the other half of the 2B authorization provided on Oct. 15, 2009.</t>
        </r>
      </text>
    </comment>
    <comment ref="CT294" authorId="2">
      <text>
        <r>
          <rPr>
            <b/>
            <sz val="8"/>
            <color indexed="81"/>
            <rFont val="Tahoma"/>
            <family val="2"/>
          </rPr>
          <t>saursing:</t>
        </r>
        <r>
          <rPr>
            <sz val="8"/>
            <color indexed="81"/>
            <rFont val="Tahoma"/>
            <family val="2"/>
          </rPr>
          <t xml:space="preserve">
YTD they repurchased $567M of shares, all ofwhich was to support the needs of the employee stock plans</t>
        </r>
      </text>
    </comment>
    <comment ref="CT295" authorId="2">
      <text>
        <r>
          <rPr>
            <b/>
            <sz val="8"/>
            <color indexed="81"/>
            <rFont val="Tahoma"/>
            <family val="2"/>
          </rPr>
          <t>saursing:</t>
        </r>
        <r>
          <rPr>
            <sz val="8"/>
            <color indexed="81"/>
            <rFont val="Tahoma"/>
            <family val="2"/>
          </rPr>
          <t xml:space="preserve">
Estimated average repurchase price, they did not disclose it in 10-Q or transcript</t>
        </r>
      </text>
    </comment>
    <comment ref="CP297" authorId="7">
      <text>
        <r>
          <rPr>
            <b/>
            <sz val="8"/>
            <color indexed="81"/>
            <rFont val="Tahoma"/>
            <family val="2"/>
          </rPr>
          <t>steshin:</t>
        </r>
        <r>
          <rPr>
            <sz val="8"/>
            <color indexed="81"/>
            <rFont val="Tahoma"/>
            <family val="2"/>
          </rPr>
          <t xml:space="preserve">
7/10/12: 
+84.3M shares from Alliance Boots Acq
+ normal option exercise</t>
        </r>
      </text>
    </comment>
    <comment ref="CC300" authorId="10">
      <text>
        <r>
          <rPr>
            <b/>
            <sz val="8"/>
            <color indexed="81"/>
            <rFont val="Tahoma"/>
            <family val="2"/>
          </rPr>
          <t>justinv:</t>
        </r>
        <r>
          <rPr>
            <sz val="8"/>
            <color indexed="81"/>
            <rFont val="Tahoma"/>
            <family val="2"/>
          </rPr>
          <t xml:space="preserve">
Increased as part of the share repurchase authorization of $2B on Oct. 15 2009.  Represents a 22% increase.</t>
        </r>
      </text>
    </comment>
    <comment ref="B330" authorId="14">
      <text>
        <r>
          <rPr>
            <b/>
            <sz val="8"/>
            <color indexed="81"/>
            <rFont val="Tahoma"/>
            <family val="2"/>
          </rPr>
          <t>Oliver Wintermantel:</t>
        </r>
        <r>
          <rPr>
            <sz val="8"/>
            <color indexed="81"/>
            <rFont val="Tahoma"/>
            <family val="2"/>
          </rPr>
          <t xml:space="preserve">
How many days does it take to turn inventory into revenues.</t>
        </r>
      </text>
    </comment>
    <comment ref="B357" authorId="7">
      <text>
        <r>
          <rPr>
            <b/>
            <sz val="8"/>
            <color indexed="81"/>
            <rFont val="Tahoma"/>
            <family val="2"/>
          </rPr>
          <t>steshin:</t>
        </r>
        <r>
          <rPr>
            <sz val="8"/>
            <color indexed="81"/>
            <rFont val="Tahoma"/>
            <family val="2"/>
          </rPr>
          <t xml:space="preserve">
Assume that Alliance Boots pays no dividend to WAG</t>
        </r>
      </text>
    </comment>
    <comment ref="B358" authorId="0">
      <text>
        <r>
          <rPr>
            <b/>
            <sz val="8"/>
            <color indexed="81"/>
            <rFont val="Tahoma"/>
            <family val="2"/>
          </rPr>
          <t>fariborz:</t>
        </r>
        <r>
          <rPr>
            <sz val="8"/>
            <color indexed="81"/>
            <rFont val="Tahoma"/>
            <family val="2"/>
          </rPr>
          <t xml:space="preserve">
92% of last year's depreciation - (capex/useful life of 15-20 years)</t>
        </r>
      </text>
    </comment>
    <comment ref="CB358" authorId="10">
      <text>
        <r>
          <rPr>
            <b/>
            <sz val="8"/>
            <color indexed="81"/>
            <rFont val="Tahoma"/>
            <family val="2"/>
          </rPr>
          <t>justinv:</t>
        </r>
        <r>
          <rPr>
            <sz val="8"/>
            <color indexed="81"/>
            <rFont val="Tahoma"/>
            <family val="2"/>
          </rPr>
          <t xml:space="preserve">
includes amortization </t>
        </r>
      </text>
    </comment>
    <comment ref="CG358" authorId="10">
      <text>
        <r>
          <rPr>
            <b/>
            <sz val="8"/>
            <color indexed="81"/>
            <rFont val="Tahoma"/>
            <family val="2"/>
          </rPr>
          <t>justinv:</t>
        </r>
        <r>
          <rPr>
            <sz val="8"/>
            <color indexed="81"/>
            <rFont val="Tahoma"/>
            <family val="2"/>
          </rPr>
          <t xml:space="preserve">
includes amortization </t>
        </r>
      </text>
    </comment>
    <comment ref="CB362" authorId="10">
      <text>
        <r>
          <rPr>
            <b/>
            <sz val="8"/>
            <color indexed="81"/>
            <rFont val="Tahoma"/>
            <family val="2"/>
          </rPr>
          <t>justinv:</t>
        </r>
        <r>
          <rPr>
            <sz val="8"/>
            <color indexed="81"/>
            <rFont val="Tahoma"/>
            <family val="2"/>
          </rPr>
          <t xml:space="preserve">
Includes 1 mm tax savings from employee stock plans</t>
        </r>
      </text>
    </comment>
    <comment ref="CW362" authorId="2">
      <text>
        <r>
          <rPr>
            <b/>
            <sz val="8"/>
            <color indexed="81"/>
            <rFont val="Tahoma"/>
            <family val="2"/>
          </rPr>
          <t>saursing:</t>
        </r>
        <r>
          <rPr>
            <sz val="8"/>
            <color indexed="81"/>
            <rFont val="Tahoma"/>
            <family val="2"/>
          </rPr>
          <t xml:space="preserve">
Change in FMV of warrants, other, and other non-current assets &amp; liabilities</t>
        </r>
      </text>
    </comment>
    <comment ref="CX362" authorId="2">
      <text>
        <r>
          <rPr>
            <b/>
            <sz val="8"/>
            <color indexed="81"/>
            <rFont val="Tahoma"/>
            <family val="2"/>
          </rPr>
          <t>saursing:</t>
        </r>
        <r>
          <rPr>
            <sz val="8"/>
            <color indexed="81"/>
            <rFont val="Tahoma"/>
            <family val="2"/>
          </rPr>
          <t xml:space="preserve">
Change in FMV of warrants, other, and other non-current assets &amp; liabilities</t>
        </r>
      </text>
    </comment>
    <comment ref="CY362" authorId="2">
      <text>
        <r>
          <rPr>
            <b/>
            <sz val="8"/>
            <color indexed="81"/>
            <rFont val="Tahoma"/>
            <family val="2"/>
          </rPr>
          <t>saursing:</t>
        </r>
        <r>
          <rPr>
            <sz val="8"/>
            <color indexed="81"/>
            <rFont val="Tahoma"/>
            <family val="2"/>
          </rPr>
          <t xml:space="preserve">
Change in FMV of warrants, other, and other non-current assets &amp; liabilities</t>
        </r>
      </text>
    </comment>
    <comment ref="DB362" authorId="2">
      <text>
        <r>
          <rPr>
            <b/>
            <sz val="8"/>
            <color indexed="81"/>
            <rFont val="Tahoma"/>
            <family val="2"/>
          </rPr>
          <t>saursing:</t>
        </r>
        <r>
          <rPr>
            <sz val="8"/>
            <color indexed="81"/>
            <rFont val="Tahoma"/>
            <family val="2"/>
          </rPr>
          <t xml:space="preserve">
Change in FMV of warrants, other, and other non-current assets &amp; liabilities</t>
        </r>
      </text>
    </comment>
    <comment ref="DD362" authorId="4">
      <text>
        <r>
          <rPr>
            <b/>
            <sz val="9"/>
            <color indexed="81"/>
            <rFont val="Tahoma"/>
            <family val="2"/>
          </rPr>
          <t>Rosenblum, Mark (Research):</t>
        </r>
        <r>
          <rPr>
            <sz val="9"/>
            <color indexed="81"/>
            <rFont val="Tahoma"/>
            <family val="2"/>
          </rPr>
          <t xml:space="preserve">
Change in ABC Warrants: -$1,313
Gain on previously held equity interest: -$706
unrealzied gain from FV adj: -$114
equity earnings in AB: -$315
Other: 738</t>
        </r>
      </text>
    </comment>
    <comment ref="BH372" authorId="0">
      <text>
        <r>
          <rPr>
            <b/>
            <sz val="8"/>
            <color indexed="81"/>
            <rFont val="Tahoma"/>
            <family val="2"/>
          </rPr>
          <t>fariborz:</t>
        </r>
        <r>
          <rPr>
            <sz val="8"/>
            <color indexed="81"/>
            <rFont val="Tahoma"/>
            <family val="2"/>
          </rPr>
          <t xml:space="preserve">
On 9/27 said that F05 capex budget of $1.5 bn reflects new stores (incl more planned real estate purchases) + tec + new DC in S. Carolina scheduled to open in 2007</t>
        </r>
      </text>
    </comment>
    <comment ref="CL375" authorId="6">
      <text>
        <r>
          <rPr>
            <b/>
            <sz val="8"/>
            <color indexed="81"/>
            <rFont val="Tahoma"/>
            <family val="2"/>
          </rPr>
          <t>Justin Van Vleck:</t>
        </r>
        <r>
          <rPr>
            <sz val="8"/>
            <color indexed="81"/>
            <rFont val="Tahoma"/>
            <family val="2"/>
          </rPr>
          <t xml:space="preserve">
includes businesses sold (primarily WHI)</t>
        </r>
      </text>
    </comment>
    <comment ref="CP375" authorId="7">
      <text>
        <r>
          <rPr>
            <b/>
            <sz val="8"/>
            <color indexed="81"/>
            <rFont val="Tahoma"/>
            <family val="2"/>
          </rPr>
          <t>steshin:</t>
        </r>
        <r>
          <rPr>
            <sz val="8"/>
            <color indexed="81"/>
            <rFont val="Tahoma"/>
            <family val="2"/>
          </rPr>
          <t xml:space="preserve">
7/10/12:
+4B Alliance Boots, 1st Stage Acq
+</t>
        </r>
      </text>
    </comment>
    <comment ref="CU376" authorId="3">
      <text>
        <r>
          <rPr>
            <b/>
            <sz val="9"/>
            <color indexed="81"/>
            <rFont val="Tahoma"/>
            <family val="2"/>
          </rPr>
          <t>Singh, Saurabh (Research):</t>
        </r>
        <r>
          <rPr>
            <sz val="9"/>
            <color indexed="81"/>
            <rFont val="Tahoma"/>
            <family val="2"/>
          </rPr>
          <t xml:space="preserve">
$224M was investment in ABC</t>
        </r>
      </text>
    </comment>
    <comment ref="CW376" authorId="2">
      <text>
        <r>
          <rPr>
            <b/>
            <sz val="8"/>
            <color indexed="81"/>
            <rFont val="Tahoma"/>
            <family val="2"/>
          </rPr>
          <t>saursing:</t>
        </r>
        <r>
          <rPr>
            <sz val="8"/>
            <color indexed="81"/>
            <rFont val="Tahoma"/>
            <family val="2"/>
          </rPr>
          <t xml:space="preserve">
Investment in ABC (-$290M) and Other</t>
        </r>
      </text>
    </comment>
    <comment ref="CX376" authorId="2">
      <text>
        <r>
          <rPr>
            <b/>
            <sz val="8"/>
            <color indexed="81"/>
            <rFont val="Tahoma"/>
            <family val="2"/>
          </rPr>
          <t>saursing:</t>
        </r>
        <r>
          <rPr>
            <sz val="8"/>
            <color indexed="81"/>
            <rFont val="Tahoma"/>
            <family val="2"/>
          </rPr>
          <t xml:space="preserve">
Investment in ABC and Other</t>
        </r>
      </text>
    </comment>
    <comment ref="CY376" authorId="2">
      <text>
        <r>
          <rPr>
            <b/>
            <sz val="8"/>
            <color indexed="81"/>
            <rFont val="Tahoma"/>
            <family val="2"/>
          </rPr>
          <t>saursing:</t>
        </r>
        <r>
          <rPr>
            <sz val="8"/>
            <color indexed="81"/>
            <rFont val="Tahoma"/>
            <family val="2"/>
          </rPr>
          <t xml:space="preserve">
Investment in ABC and Other</t>
        </r>
      </text>
    </comment>
    <comment ref="CB379" authorId="10">
      <text>
        <r>
          <rPr>
            <b/>
            <sz val="8"/>
            <color indexed="81"/>
            <rFont val="Tahoma"/>
            <family val="2"/>
          </rPr>
          <t>justinv:</t>
        </r>
        <r>
          <rPr>
            <sz val="8"/>
            <color indexed="81"/>
            <rFont val="Tahoma"/>
            <family val="2"/>
          </rPr>
          <t xml:space="preserve">
Includes short term debt repayment of 70 mm</t>
        </r>
      </text>
    </comment>
    <comment ref="CP379" authorId="7">
      <text>
        <r>
          <rPr>
            <b/>
            <sz val="8"/>
            <color indexed="81"/>
            <rFont val="Tahoma"/>
            <family val="2"/>
          </rPr>
          <t>steshin:</t>
        </r>
        <r>
          <rPr>
            <sz val="8"/>
            <color indexed="81"/>
            <rFont val="Tahoma"/>
            <family val="2"/>
          </rPr>
          <t xml:space="preserve">
+3.5B Bridge Facility
~subsequently replaced by 4B at 2.2% WA maturity = 8.7years</t>
        </r>
      </text>
    </comment>
    <comment ref="CU379" authorId="2">
      <text>
        <r>
          <rPr>
            <b/>
            <sz val="8"/>
            <color indexed="81"/>
            <rFont val="Tahoma"/>
            <family val="2"/>
          </rPr>
          <t>saursing:</t>
        </r>
        <r>
          <rPr>
            <sz val="8"/>
            <color indexed="81"/>
            <rFont val="Tahoma"/>
            <family val="2"/>
          </rPr>
          <t xml:space="preserve">
$1.3B of debt due on August 1 retired</t>
        </r>
      </text>
    </comment>
    <comment ref="CY379" authorId="2">
      <text>
        <r>
          <rPr>
            <b/>
            <sz val="8"/>
            <color indexed="81"/>
            <rFont val="Tahoma"/>
            <family val="2"/>
          </rPr>
          <t>saursing:</t>
        </r>
        <r>
          <rPr>
            <sz val="8"/>
            <color indexed="81"/>
            <rFont val="Tahoma"/>
            <family val="2"/>
          </rPr>
          <t xml:space="preserve">
Floating rate bond maturing 03/13/14</t>
        </r>
      </text>
    </comment>
    <comment ref="DP379" authorId="3">
      <text>
        <r>
          <rPr>
            <b/>
            <sz val="9"/>
            <color indexed="81"/>
            <rFont val="Tahoma"/>
            <family val="2"/>
          </rPr>
          <t>Singh, Saurabh (Research):</t>
        </r>
        <r>
          <rPr>
            <sz val="9"/>
            <color indexed="81"/>
            <rFont val="Tahoma"/>
            <family val="2"/>
          </rPr>
          <t xml:space="preserve">
Exercise of Trache 1 of ABC warrants is $1,190M in new debt (22.7M shares * $52.50 strike)</t>
        </r>
      </text>
    </comment>
    <comment ref="DU379" authorId="3">
      <text>
        <r>
          <rPr>
            <b/>
            <sz val="9"/>
            <color indexed="81"/>
            <rFont val="Tahoma"/>
            <family val="2"/>
          </rPr>
          <t>Singh, Saurabh (Research):</t>
        </r>
        <r>
          <rPr>
            <sz val="9"/>
            <color indexed="81"/>
            <rFont val="Tahoma"/>
            <family val="2"/>
          </rPr>
          <t xml:space="preserve">
Exercise of Trache 1 of ABC warrants is $1,190M in new debt (22.7M shares * $52.50 strike)</t>
        </r>
      </text>
    </comment>
    <comment ref="DZ379" authorId="3">
      <text>
        <r>
          <rPr>
            <b/>
            <sz val="9"/>
            <color indexed="81"/>
            <rFont val="Tahoma"/>
            <family val="2"/>
          </rPr>
          <t>Singh, Saurabh (Research):</t>
        </r>
        <r>
          <rPr>
            <sz val="9"/>
            <color indexed="81"/>
            <rFont val="Tahoma"/>
            <family val="2"/>
          </rPr>
          <t xml:space="preserve">
Exercise of Trache 1 of ABC warrants is $1,190M in new debt (22.7M shares * $52.50 strike)</t>
        </r>
      </text>
    </comment>
    <comment ref="EE379" authorId="3">
      <text>
        <r>
          <rPr>
            <b/>
            <sz val="9"/>
            <color indexed="81"/>
            <rFont val="Tahoma"/>
            <family val="2"/>
          </rPr>
          <t>Singh, Saurabh (Research):</t>
        </r>
        <r>
          <rPr>
            <sz val="9"/>
            <color indexed="81"/>
            <rFont val="Tahoma"/>
            <family val="2"/>
          </rPr>
          <t xml:space="preserve">
Exercise of Trache 1 of ABC warrants is $1,190M in new debt (22.7M shares * $52.50 strike)</t>
        </r>
      </text>
    </comment>
    <comment ref="DD382" authorId="3">
      <text>
        <r>
          <rPr>
            <b/>
            <sz val="9"/>
            <color indexed="81"/>
            <rFont val="Tahoma"/>
            <family val="2"/>
          </rPr>
          <t>Singh, Saurabh (Research):</t>
        </r>
        <r>
          <rPr>
            <sz val="9"/>
            <color indexed="81"/>
            <rFont val="Tahoma"/>
            <family val="2"/>
          </rPr>
          <t xml:space="preserve">
Said on 4/9 2FQ15 CC that they repurchased total $330M out of total $3B share repo authorization including the $94M in 2FQ15.</t>
        </r>
      </text>
    </comment>
    <comment ref="CY385" authorId="3">
      <text>
        <r>
          <rPr>
            <b/>
            <sz val="9"/>
            <color indexed="81"/>
            <rFont val="Tahoma"/>
            <family val="2"/>
          </rPr>
          <t>Singh, Saurabh (Research):</t>
        </r>
        <r>
          <rPr>
            <sz val="9"/>
            <color indexed="81"/>
            <rFont val="Tahoma"/>
            <family val="2"/>
          </rPr>
          <t xml:space="preserve">
$225M from proceeds raised from financing leases</t>
        </r>
      </text>
    </comment>
    <comment ref="DA385" authorId="3">
      <text>
        <r>
          <rPr>
            <b/>
            <sz val="9"/>
            <color indexed="81"/>
            <rFont val="Tahoma"/>
            <family val="2"/>
          </rPr>
          <t>Singh, Saurabh (Research):</t>
        </r>
        <r>
          <rPr>
            <sz val="9"/>
            <color indexed="81"/>
            <rFont val="Tahoma"/>
            <family val="2"/>
          </rPr>
          <t xml:space="preserve">
$268M from proceeds raised from financing leases</t>
        </r>
      </text>
    </comment>
    <comment ref="DB385" authorId="3">
      <text>
        <r>
          <rPr>
            <b/>
            <sz val="9"/>
            <color indexed="81"/>
            <rFont val="Tahoma"/>
            <family val="2"/>
          </rPr>
          <t>Singh, Saurabh (Research):</t>
        </r>
        <r>
          <rPr>
            <sz val="9"/>
            <color indexed="81"/>
            <rFont val="Tahoma"/>
            <family val="2"/>
          </rPr>
          <t xml:space="preserve">
$10M for change in cash from FX</t>
        </r>
      </text>
    </comment>
    <comment ref="DC385" authorId="3">
      <text>
        <r>
          <rPr>
            <b/>
            <sz val="9"/>
            <color indexed="81"/>
            <rFont val="Tahoma"/>
            <family val="2"/>
          </rPr>
          <t>Singh, Saurabh (Research):</t>
        </r>
        <r>
          <rPr>
            <sz val="9"/>
            <color indexed="81"/>
            <rFont val="Tahoma"/>
            <family val="2"/>
          </rPr>
          <t xml:space="preserve">
-$89M impact from change in FX</t>
        </r>
      </text>
    </comment>
    <comment ref="DI385" authorId="3">
      <text>
        <r>
          <rPr>
            <b/>
            <sz val="9"/>
            <color indexed="81"/>
            <rFont val="Tahoma"/>
            <family val="2"/>
          </rPr>
          <t>Singh, Saurabh (Research):</t>
        </r>
        <r>
          <rPr>
            <sz val="9"/>
            <color indexed="81"/>
            <rFont val="Tahoma"/>
            <family val="2"/>
          </rPr>
          <t xml:space="preserve">
Cash outflow to purchase ABC warrants</t>
        </r>
      </text>
    </comment>
    <comment ref="DN385" authorId="3">
      <text>
        <r>
          <rPr>
            <b/>
            <sz val="9"/>
            <color indexed="81"/>
            <rFont val="Tahoma"/>
            <family val="2"/>
          </rPr>
          <t>Singh, Saurabh (Research):</t>
        </r>
        <r>
          <rPr>
            <sz val="9"/>
            <color indexed="81"/>
            <rFont val="Tahoma"/>
            <family val="2"/>
          </rPr>
          <t xml:space="preserve">
Cash outflow to purchase ABC warrants</t>
        </r>
      </text>
    </comment>
    <comment ref="DP385" authorId="3">
      <text>
        <r>
          <rPr>
            <b/>
            <sz val="9"/>
            <color indexed="81"/>
            <rFont val="Tahoma"/>
            <family val="2"/>
          </rPr>
          <t>Singh, Saurabh (Research):</t>
        </r>
        <r>
          <rPr>
            <sz val="9"/>
            <color indexed="81"/>
            <rFont val="Tahoma"/>
            <family val="2"/>
          </rPr>
          <t xml:space="preserve">
Cash outflow to purchase ABC warrants</t>
        </r>
      </text>
    </comment>
    <comment ref="DR385" authorId="3">
      <text>
        <r>
          <rPr>
            <b/>
            <sz val="9"/>
            <color indexed="81"/>
            <rFont val="Tahoma"/>
            <family val="2"/>
          </rPr>
          <t>Singh, Saurabh (Research):</t>
        </r>
        <r>
          <rPr>
            <sz val="9"/>
            <color indexed="81"/>
            <rFont val="Tahoma"/>
            <family val="2"/>
          </rPr>
          <t xml:space="preserve">
Cash outflow to purchase ABC warrants</t>
        </r>
      </text>
    </comment>
    <comment ref="DU385" authorId="3">
      <text>
        <r>
          <rPr>
            <b/>
            <sz val="9"/>
            <color indexed="81"/>
            <rFont val="Tahoma"/>
            <family val="2"/>
          </rPr>
          <t>Singh, Saurabh (Research):</t>
        </r>
        <r>
          <rPr>
            <sz val="9"/>
            <color indexed="81"/>
            <rFont val="Tahoma"/>
            <family val="2"/>
          </rPr>
          <t xml:space="preserve">
Cash outflow to purchase ABC warrants</t>
        </r>
      </text>
    </comment>
    <comment ref="DW385" authorId="3">
      <text>
        <r>
          <rPr>
            <b/>
            <sz val="9"/>
            <color indexed="81"/>
            <rFont val="Tahoma"/>
            <family val="2"/>
          </rPr>
          <t>Singh, Saurabh (Research):</t>
        </r>
        <r>
          <rPr>
            <sz val="9"/>
            <color indexed="81"/>
            <rFont val="Tahoma"/>
            <family val="2"/>
          </rPr>
          <t xml:space="preserve">
Cash outflow to purchase ABC warrants</t>
        </r>
      </text>
    </comment>
    <comment ref="DZ385" authorId="3">
      <text>
        <r>
          <rPr>
            <b/>
            <sz val="9"/>
            <color indexed="81"/>
            <rFont val="Tahoma"/>
            <family val="2"/>
          </rPr>
          <t>Singh, Saurabh (Research):</t>
        </r>
        <r>
          <rPr>
            <sz val="9"/>
            <color indexed="81"/>
            <rFont val="Tahoma"/>
            <family val="2"/>
          </rPr>
          <t xml:space="preserve">
Cash outflow to purchase ABC warrants</t>
        </r>
      </text>
    </comment>
    <comment ref="EB385" authorId="3">
      <text>
        <r>
          <rPr>
            <b/>
            <sz val="9"/>
            <color indexed="81"/>
            <rFont val="Tahoma"/>
            <family val="2"/>
          </rPr>
          <t>Singh, Saurabh (Research):</t>
        </r>
        <r>
          <rPr>
            <sz val="9"/>
            <color indexed="81"/>
            <rFont val="Tahoma"/>
            <family val="2"/>
          </rPr>
          <t xml:space="preserve">
Cash outflow to purchase ABC warrants</t>
        </r>
      </text>
    </comment>
    <comment ref="EE385" authorId="3">
      <text>
        <r>
          <rPr>
            <b/>
            <sz val="9"/>
            <color indexed="81"/>
            <rFont val="Tahoma"/>
            <family val="2"/>
          </rPr>
          <t>Singh, Saurabh (Research):</t>
        </r>
        <r>
          <rPr>
            <sz val="9"/>
            <color indexed="81"/>
            <rFont val="Tahoma"/>
            <family val="2"/>
          </rPr>
          <t xml:space="preserve">
Cash outflow to purchase ABC warrants</t>
        </r>
      </text>
    </comment>
    <comment ref="DI386" authorId="3">
      <text>
        <r>
          <rPr>
            <b/>
            <sz val="9"/>
            <color indexed="81"/>
            <rFont val="Tahoma"/>
            <family val="2"/>
          </rPr>
          <t>Singh, Saurabh (Research):</t>
        </r>
        <r>
          <rPr>
            <sz val="9"/>
            <color indexed="81"/>
            <rFont val="Tahoma"/>
            <family val="2"/>
          </rPr>
          <t xml:space="preserve">
Cash outflow to purchase ABC warrants</t>
        </r>
      </text>
    </comment>
  </commentList>
</comments>
</file>

<file path=xl/comments2.xml><?xml version="1.0" encoding="utf-8"?>
<comments xmlns="http://schemas.openxmlformats.org/spreadsheetml/2006/main">
  <authors>
    <author>saursing</author>
    <author>Singh, Saurabh (Research)</author>
    <author>Roxana Fariborz</author>
    <author>justinv</author>
    <author>steshin</author>
    <author>Justin Van Vleck</author>
    <author>Rosenblum, Mark (Research)</author>
    <author>fariborz</author>
  </authors>
  <commentList>
    <comment ref="CT12" authorId="0">
      <text>
        <r>
          <rPr>
            <b/>
            <sz val="8"/>
            <color indexed="81"/>
            <rFont val="Tahoma"/>
            <family val="2"/>
          </rPr>
          <t>saursing:</t>
        </r>
        <r>
          <rPr>
            <sz val="8"/>
            <color indexed="81"/>
            <rFont val="Tahoma"/>
            <family val="2"/>
          </rPr>
          <t xml:space="preserve">
3QFY13 PR</t>
        </r>
      </text>
    </comment>
    <comment ref="CU12" authorId="0">
      <text>
        <r>
          <rPr>
            <b/>
            <sz val="8"/>
            <color indexed="81"/>
            <rFont val="Tahoma"/>
            <family val="2"/>
          </rPr>
          <t>saursing:</t>
        </r>
        <r>
          <rPr>
            <sz val="8"/>
            <color indexed="81"/>
            <rFont val="Tahoma"/>
            <family val="2"/>
          </rPr>
          <t xml:space="preserve">
4QFY13 PR</t>
        </r>
      </text>
    </comment>
    <comment ref="CW12" authorId="0">
      <text>
        <r>
          <rPr>
            <b/>
            <sz val="8"/>
            <color indexed="81"/>
            <rFont val="Tahoma"/>
            <family val="2"/>
          </rPr>
          <t>saursing:</t>
        </r>
        <r>
          <rPr>
            <sz val="8"/>
            <color indexed="81"/>
            <rFont val="Tahoma"/>
            <family val="2"/>
          </rPr>
          <t xml:space="preserve">
Nov '13 SSS PR: 8,197
1FQ14 PR: 8,200</t>
        </r>
      </text>
    </comment>
    <comment ref="CX12" authorId="0">
      <text>
        <r>
          <rPr>
            <b/>
            <sz val="8"/>
            <color indexed="81"/>
            <rFont val="Tahoma"/>
            <family val="2"/>
          </rPr>
          <t>saursing:</t>
        </r>
        <r>
          <rPr>
            <sz val="8"/>
            <color indexed="81"/>
            <rFont val="Tahoma"/>
            <family val="2"/>
          </rPr>
          <t xml:space="preserve">
Feb '14 SSS PR: 8,209
+138 stores y/y, including 60 net acquired stores
2FQ14 PR: 8,210 stores</t>
        </r>
      </text>
    </comment>
    <comment ref="CY12" authorId="1">
      <text>
        <r>
          <rPr>
            <b/>
            <sz val="9"/>
            <color indexed="81"/>
            <rFont val="Tahoma"/>
            <family val="2"/>
          </rPr>
          <t>Singh, Saurabh (Research):</t>
        </r>
        <r>
          <rPr>
            <sz val="9"/>
            <color indexed="81"/>
            <rFont val="Tahoma"/>
            <family val="2"/>
          </rPr>
          <t xml:space="preserve">
Was 8,222 est. but act per May SSS was 8,216</t>
        </r>
      </text>
    </comment>
    <comment ref="CZ12" authorId="1">
      <text>
        <r>
          <rPr>
            <b/>
            <sz val="9"/>
            <color indexed="81"/>
            <rFont val="Tahoma"/>
            <family val="2"/>
          </rPr>
          <t>Singh, Saurabh (Research):</t>
        </r>
        <r>
          <rPr>
            <sz val="9"/>
            <color indexed="81"/>
            <rFont val="Tahoma"/>
            <family val="2"/>
          </rPr>
          <t xml:space="preserve">
Per Aug SSS PR. Includes 70 stores acquired over LTM, so on organic basis on 21 net adds. 
Store closures = 48 =&gt;
Aug = 5, Jul = 30, Jun =13.
Goal was to close 76 stores in 2HFY14</t>
        </r>
      </text>
    </comment>
    <comment ref="DA12" authorId="1">
      <text>
        <r>
          <rPr>
            <b/>
            <sz val="9"/>
            <color indexed="81"/>
            <rFont val="Tahoma"/>
            <family val="2"/>
          </rPr>
          <t>Singh, Saurabh (Research):</t>
        </r>
        <r>
          <rPr>
            <sz val="9"/>
            <color indexed="81"/>
            <rFont val="Tahoma"/>
            <family val="2"/>
          </rPr>
          <t xml:space="preserve">
55-75M net store count increase expected for FY14 net of 76 store closures</t>
        </r>
      </text>
    </comment>
    <comment ref="AU18" authorId="2">
      <text>
        <r>
          <rPr>
            <b/>
            <sz val="8"/>
            <color indexed="81"/>
            <rFont val="Tahoma"/>
            <family val="2"/>
          </rPr>
          <t>Roxana Fariborz:</t>
        </r>
        <r>
          <rPr>
            <sz val="8"/>
            <color indexed="81"/>
            <rFont val="Tahoma"/>
            <family val="2"/>
          </rPr>
          <t xml:space="preserve">
note: WAG only releases the selling area at the end of the year.  At the end of F02 it was 42.697 million square feet</t>
        </r>
      </text>
    </comment>
    <comment ref="AV18" authorId="2">
      <text>
        <r>
          <rPr>
            <b/>
            <sz val="8"/>
            <color indexed="81"/>
            <rFont val="Tahoma"/>
            <family val="2"/>
          </rPr>
          <t>Roxana Fariborz:</t>
        </r>
        <r>
          <rPr>
            <sz val="8"/>
            <color indexed="81"/>
            <rFont val="Tahoma"/>
            <family val="2"/>
          </rPr>
          <t xml:space="preserve">
note: WAG only releases the selling area at the end of the year.  At the end of F02 it was 42.697 million square feet</t>
        </r>
      </text>
    </comment>
    <comment ref="CE18" authorId="3">
      <text>
        <r>
          <rPr>
            <b/>
            <sz val="8"/>
            <color indexed="81"/>
            <rFont val="Tahoma"/>
            <family val="2"/>
          </rPr>
          <t>justinv:</t>
        </r>
        <r>
          <rPr>
            <sz val="8"/>
            <color indexed="81"/>
            <rFont val="Tahoma"/>
            <family val="2"/>
          </rPr>
          <t xml:space="preserve">
Includes Duane Reade acquisition of 258 stores comprising 1.771M sq. ft.  See store selling area file for 2010 saved in companies folder.</t>
        </r>
      </text>
    </comment>
    <comment ref="CF18" authorId="3">
      <text>
        <r>
          <rPr>
            <b/>
            <sz val="8"/>
            <color indexed="81"/>
            <rFont val="Tahoma"/>
            <family val="2"/>
          </rPr>
          <t>justinv:</t>
        </r>
        <r>
          <rPr>
            <sz val="8"/>
            <color indexed="81"/>
            <rFont val="Tahoma"/>
            <family val="2"/>
          </rPr>
          <t xml:space="preserve">
Includes Duane Reade acquisition of 258 stores comprising 1.725M sq. ft.  See store selling area file for 2010 saved in companies folder.</t>
        </r>
      </text>
    </comment>
    <comment ref="CE22" authorId="3">
      <text>
        <r>
          <rPr>
            <b/>
            <sz val="8"/>
            <color indexed="81"/>
            <rFont val="Tahoma"/>
            <family val="2"/>
          </rPr>
          <t>justinv:</t>
        </r>
        <r>
          <rPr>
            <sz val="8"/>
            <color indexed="81"/>
            <rFont val="Tahoma"/>
            <family val="2"/>
          </rPr>
          <t xml:space="preserve">
2.3% of this growth comes from Duane Reade</t>
        </r>
      </text>
    </comment>
    <comment ref="CF22" authorId="3">
      <text>
        <r>
          <rPr>
            <b/>
            <sz val="8"/>
            <color indexed="81"/>
            <rFont val="Tahoma"/>
            <family val="2"/>
          </rPr>
          <t>justinv:</t>
        </r>
        <r>
          <rPr>
            <sz val="8"/>
            <color indexed="81"/>
            <rFont val="Tahoma"/>
            <family val="2"/>
          </rPr>
          <t xml:space="preserve">
2.2% of this growth comes from Duane Reade</t>
        </r>
      </text>
    </comment>
    <comment ref="CX22" authorId="1">
      <text>
        <r>
          <rPr>
            <b/>
            <sz val="9"/>
            <color indexed="81"/>
            <rFont val="Tahoma"/>
            <family val="2"/>
          </rPr>
          <t>Singh, Saurabh (Research):</t>
        </r>
        <r>
          <rPr>
            <sz val="9"/>
            <color indexed="81"/>
            <rFont val="Tahoma"/>
            <family val="2"/>
          </rPr>
          <t xml:space="preserve">
Did not have updated on WAG website as of 6/13/14</t>
        </r>
      </text>
    </comment>
    <comment ref="CH34" authorId="4">
      <text>
        <r>
          <rPr>
            <b/>
            <sz val="8"/>
            <color indexed="81"/>
            <rFont val="Tahoma"/>
            <family val="2"/>
          </rPr>
          <t>steshin:</t>
        </r>
        <r>
          <rPr>
            <sz val="8"/>
            <color indexed="81"/>
            <rFont val="Tahoma"/>
            <family val="2"/>
          </rPr>
          <t xml:space="preserve">
+5.6M flu shots</t>
        </r>
      </text>
    </comment>
    <comment ref="CM34" authorId="4">
      <text>
        <r>
          <rPr>
            <b/>
            <sz val="8"/>
            <color indexed="81"/>
            <rFont val="Tahoma"/>
            <family val="2"/>
          </rPr>
          <t>steshin:</t>
        </r>
        <r>
          <rPr>
            <sz val="8"/>
            <color indexed="81"/>
            <rFont val="Tahoma"/>
            <family val="2"/>
          </rPr>
          <t xml:space="preserve">
+5M flu shuts (down from 5.6M a year-ago)</t>
        </r>
      </text>
    </comment>
    <comment ref="CV34" authorId="1">
      <text>
        <r>
          <rPr>
            <b/>
            <sz val="9"/>
            <color indexed="81"/>
            <rFont val="Tahoma"/>
            <family val="2"/>
          </rPr>
          <t>Singh, Saurabh (Research):</t>
        </r>
        <r>
          <rPr>
            <sz val="9"/>
            <color indexed="81"/>
            <rFont val="Tahoma"/>
            <family val="2"/>
          </rPr>
          <t xml:space="preserve">
208M from 90-Day at Retail</t>
        </r>
      </text>
    </comment>
    <comment ref="CZ34" authorId="1">
      <text>
        <r>
          <rPr>
            <b/>
            <sz val="9"/>
            <color indexed="81"/>
            <rFont val="Tahoma"/>
            <family val="2"/>
          </rPr>
          <t>Singh, Saurabh (Research):</t>
        </r>
        <r>
          <rPr>
            <sz val="9"/>
            <color indexed="81"/>
            <rFont val="Tahoma"/>
            <family val="2"/>
          </rPr>
          <t xml:space="preserve">
Adj. scripts grew 4.2% y/y per transcript</t>
        </r>
      </text>
    </comment>
    <comment ref="B35" authorId="5">
      <text>
        <r>
          <rPr>
            <b/>
            <sz val="8"/>
            <color indexed="81"/>
            <rFont val="Tahoma"/>
            <family val="2"/>
          </rPr>
          <t>Justin Van Vleck:</t>
        </r>
        <r>
          <rPr>
            <sz val="8"/>
            <color indexed="81"/>
            <rFont val="Tahoma"/>
            <family val="2"/>
          </rPr>
          <t xml:space="preserve">
Given the company calls out whole numbers, the Y/Y change in script count they call out doesn't exactly foot with the script numbers.</t>
        </r>
      </text>
    </comment>
    <comment ref="CB39" authorId="1">
      <text>
        <r>
          <rPr>
            <b/>
            <sz val="9"/>
            <color indexed="81"/>
            <rFont val="Tahoma"/>
            <family val="2"/>
          </rPr>
          <t>Singh, Saurabh (Research):</t>
        </r>
        <r>
          <rPr>
            <sz val="9"/>
            <color indexed="81"/>
            <rFont val="Tahoma"/>
            <family val="2"/>
          </rPr>
          <t xml:space="preserve">
Per 2013 Annual Shareholder Meeting Presentation 93/3 = 31M 90-Day scripts</t>
        </r>
      </text>
    </comment>
    <comment ref="CG39" authorId="1">
      <text>
        <r>
          <rPr>
            <b/>
            <sz val="9"/>
            <color indexed="81"/>
            <rFont val="Tahoma"/>
            <family val="2"/>
          </rPr>
          <t>Singh, Saurabh (Research):</t>
        </r>
        <r>
          <rPr>
            <sz val="9"/>
            <color indexed="81"/>
            <rFont val="Tahoma"/>
            <family val="2"/>
          </rPr>
          <t xml:space="preserve">
Per 2013 Annual Shareholder Meeting Presentation 113/3 = 38M 90-Day scripts</t>
        </r>
      </text>
    </comment>
    <comment ref="CL39" authorId="1">
      <text>
        <r>
          <rPr>
            <b/>
            <sz val="9"/>
            <color indexed="81"/>
            <rFont val="Tahoma"/>
            <family val="2"/>
          </rPr>
          <t>Singh, Saurabh (Research):</t>
        </r>
        <r>
          <rPr>
            <sz val="9"/>
            <color indexed="81"/>
            <rFont val="Tahoma"/>
            <family val="2"/>
          </rPr>
          <t xml:space="preserve">
Per 2013 Annual Shareholder Meeting Presentation 145/3 = 48M 90-Day scripts</t>
        </r>
      </text>
    </comment>
    <comment ref="CQ39" authorId="1">
      <text>
        <r>
          <rPr>
            <b/>
            <sz val="9"/>
            <color indexed="81"/>
            <rFont val="Tahoma"/>
            <family val="2"/>
          </rPr>
          <t>Singh, Saurabh (Research):</t>
        </r>
        <r>
          <rPr>
            <sz val="9"/>
            <color indexed="81"/>
            <rFont val="Tahoma"/>
            <family val="2"/>
          </rPr>
          <t xml:space="preserve">
Per 2013 Annual Shareholder Meeting Presentation 178/3 = 59M 90-Day scripts</t>
        </r>
      </text>
    </comment>
    <comment ref="CV39" authorId="1">
      <text>
        <r>
          <rPr>
            <b/>
            <sz val="9"/>
            <color indexed="81"/>
            <rFont val="Tahoma"/>
            <family val="2"/>
          </rPr>
          <t>Singh, Saurabh (Research):</t>
        </r>
        <r>
          <rPr>
            <sz val="9"/>
            <color indexed="81"/>
            <rFont val="Tahoma"/>
            <family val="2"/>
          </rPr>
          <t xml:space="preserve">
Per 2013 Annual Shareholder Meeting Presentation 208/3 = 69M 90-Day scripts</t>
        </r>
      </text>
    </comment>
    <comment ref="BS40" authorId="5">
      <text>
        <r>
          <rPr>
            <b/>
            <sz val="8"/>
            <color indexed="81"/>
            <rFont val="Tahoma"/>
            <family val="2"/>
          </rPr>
          <t>Justin Van Vleck:</t>
        </r>
        <r>
          <rPr>
            <sz val="8"/>
            <color indexed="81"/>
            <rFont val="Tahoma"/>
            <family val="2"/>
          </rPr>
          <t xml:space="preserve">
estimated</t>
        </r>
      </text>
    </comment>
    <comment ref="BT40" authorId="5">
      <text>
        <r>
          <rPr>
            <b/>
            <sz val="8"/>
            <color indexed="81"/>
            <rFont val="Tahoma"/>
            <family val="2"/>
          </rPr>
          <t>Justin Van Vleck:</t>
        </r>
        <r>
          <rPr>
            <sz val="8"/>
            <color indexed="81"/>
            <rFont val="Tahoma"/>
            <family val="2"/>
          </rPr>
          <t xml:space="preserve">
estimated</t>
        </r>
      </text>
    </comment>
    <comment ref="BV40" authorId="5">
      <text>
        <r>
          <rPr>
            <b/>
            <sz val="8"/>
            <color indexed="81"/>
            <rFont val="Tahoma"/>
            <family val="2"/>
          </rPr>
          <t>Justin Van Vleck:</t>
        </r>
        <r>
          <rPr>
            <sz val="8"/>
            <color indexed="81"/>
            <rFont val="Tahoma"/>
            <family val="2"/>
          </rPr>
          <t xml:space="preserve">
estimated</t>
        </r>
      </text>
    </comment>
    <comment ref="CF40" authorId="5">
      <text>
        <r>
          <rPr>
            <b/>
            <sz val="8"/>
            <color indexed="81"/>
            <rFont val="Tahoma"/>
            <family val="2"/>
          </rPr>
          <t>Justin Van Vleck:</t>
        </r>
        <r>
          <rPr>
            <sz val="8"/>
            <color indexed="81"/>
            <rFont val="Tahoma"/>
            <family val="2"/>
          </rPr>
          <t xml:space="preserve">
estimated from here on out as they only give adjusted prescriptions now</t>
        </r>
      </text>
    </comment>
    <comment ref="B45" authorId="5">
      <text>
        <r>
          <rPr>
            <b/>
            <sz val="8"/>
            <color indexed="81"/>
            <rFont val="Tahoma"/>
            <family val="2"/>
          </rPr>
          <t>Justin Van Vleck:</t>
        </r>
        <r>
          <rPr>
            <sz val="8"/>
            <color indexed="81"/>
            <rFont val="Tahoma"/>
            <family val="2"/>
          </rPr>
          <t xml:space="preserve">
Typically given in the earnings slides, also called out on the conference call</t>
        </r>
      </text>
    </comment>
    <comment ref="BS45" authorId="5">
      <text>
        <r>
          <rPr>
            <b/>
            <sz val="8"/>
            <color indexed="81"/>
            <rFont val="Tahoma"/>
            <family val="2"/>
          </rPr>
          <t>Justin Van Vleck:</t>
        </r>
        <r>
          <rPr>
            <sz val="8"/>
            <color indexed="81"/>
            <rFont val="Tahoma"/>
            <family val="2"/>
          </rPr>
          <t xml:space="preserve">
no adjusted number given in 1QF09 earnings slides</t>
        </r>
      </text>
    </comment>
    <comment ref="BX45" authorId="5">
      <text>
        <r>
          <rPr>
            <b/>
            <sz val="8"/>
            <color indexed="81"/>
            <rFont val="Tahoma"/>
            <family val="2"/>
          </rPr>
          <t>Justin Van Vleck:</t>
        </r>
        <r>
          <rPr>
            <sz val="8"/>
            <color indexed="81"/>
            <rFont val="Tahoma"/>
            <family val="2"/>
          </rPr>
          <t xml:space="preserve">
given on the earnings slides - see company folder</t>
        </r>
      </text>
    </comment>
    <comment ref="BY45" authorId="5">
      <text>
        <r>
          <rPr>
            <b/>
            <sz val="8"/>
            <color indexed="81"/>
            <rFont val="Tahoma"/>
            <family val="2"/>
          </rPr>
          <t>Justin Van Vleck:</t>
        </r>
        <r>
          <rPr>
            <sz val="8"/>
            <color indexed="81"/>
            <rFont val="Tahoma"/>
            <family val="2"/>
          </rPr>
          <t xml:space="preserve">
adjusted for 90 day fills</t>
        </r>
      </text>
    </comment>
    <comment ref="BZ45" authorId="5">
      <text>
        <r>
          <rPr>
            <b/>
            <sz val="8"/>
            <color indexed="81"/>
            <rFont val="Tahoma"/>
            <family val="2"/>
          </rPr>
          <t>Justin Van Vleck:</t>
        </r>
        <r>
          <rPr>
            <sz val="8"/>
            <color indexed="81"/>
            <rFont val="Tahoma"/>
            <family val="2"/>
          </rPr>
          <t xml:space="preserve">
adjusted for 90 day fills - 90 day fills = 3 30 day equivalents</t>
        </r>
      </text>
    </comment>
    <comment ref="CD45" authorId="5">
      <text>
        <r>
          <rPr>
            <b/>
            <sz val="8"/>
            <color indexed="81"/>
            <rFont val="Tahoma"/>
            <family val="2"/>
          </rPr>
          <t>Justin Van Vleck:</t>
        </r>
        <r>
          <rPr>
            <sz val="8"/>
            <color indexed="81"/>
            <rFont val="Tahoma"/>
            <family val="2"/>
          </rPr>
          <t xml:space="preserve">
97 bps benefit from flu shots</t>
        </r>
      </text>
    </comment>
    <comment ref="CH45" authorId="5">
      <text>
        <r>
          <rPr>
            <b/>
            <sz val="8"/>
            <color indexed="81"/>
            <rFont val="Tahoma"/>
            <family val="2"/>
          </rPr>
          <t>Justin Van Vleck:</t>
        </r>
        <r>
          <rPr>
            <sz val="8"/>
            <color indexed="81"/>
            <rFont val="Tahoma"/>
            <family val="2"/>
          </rPr>
          <t xml:space="preserve">
given on the conference call.  
As Greg detailed, we were cycling difficult comps in the quarter from the impact of H1N1 on both our front end and our pharmacy.</t>
        </r>
      </text>
    </comment>
    <comment ref="CI45" authorId="5">
      <text>
        <r>
          <rPr>
            <b/>
            <sz val="8"/>
            <color indexed="81"/>
            <rFont val="Tahoma"/>
            <family val="2"/>
          </rPr>
          <t>Justin Van Vleck:</t>
        </r>
        <r>
          <rPr>
            <sz val="8"/>
            <color indexed="81"/>
            <rFont val="Tahoma"/>
            <family val="2"/>
          </rPr>
          <t xml:space="preserve">
not given in the press release but given in the conference call transcript</t>
        </r>
      </text>
    </comment>
    <comment ref="CM45" authorId="4">
      <text>
        <r>
          <rPr>
            <b/>
            <sz val="8"/>
            <color indexed="81"/>
            <rFont val="Tahoma"/>
            <family val="2"/>
          </rPr>
          <t>steshin:</t>
        </r>
        <r>
          <rPr>
            <sz val="8"/>
            <color indexed="81"/>
            <rFont val="Tahoma"/>
            <family val="2"/>
          </rPr>
          <t xml:space="preserve">
ESRX impact: -0.6%
Slow Flu season: -0.6%
Flu shotS: -0.3% impact</t>
        </r>
      </text>
    </comment>
    <comment ref="CN45" authorId="4">
      <text>
        <r>
          <rPr>
            <b/>
            <sz val="8"/>
            <color indexed="81"/>
            <rFont val="Tahoma"/>
            <family val="2"/>
          </rPr>
          <t>steshin:</t>
        </r>
        <r>
          <rPr>
            <sz val="8"/>
            <color indexed="81"/>
            <rFont val="Tahoma"/>
            <family val="2"/>
          </rPr>
          <t xml:space="preserve">
-6.1% ex-extra day from leap year
+2.7 underlying comp
-1.3% weak flu
-7.5% ESRX impact
+1.2% from leap day</t>
        </r>
      </text>
    </comment>
    <comment ref="CO45" authorId="4">
      <text>
        <r>
          <rPr>
            <b/>
            <sz val="8"/>
            <color indexed="81"/>
            <rFont val="Tahoma"/>
            <family val="2"/>
          </rPr>
          <t>steshin:</t>
        </r>
        <r>
          <rPr>
            <sz val="8"/>
            <color indexed="81"/>
            <rFont val="Tahoma"/>
            <family val="2"/>
          </rPr>
          <t xml:space="preserve">
-0.1% calendar adj
+2.1% core comp
-0.4% weak cough/flu 
-10.7% ESRX
</t>
        </r>
      </text>
    </comment>
    <comment ref="CP45" authorId="4">
      <text>
        <r>
          <rPr>
            <b/>
            <sz val="8"/>
            <color indexed="81"/>
            <rFont val="Tahoma"/>
            <family val="2"/>
          </rPr>
          <t>steshin:</t>
        </r>
        <r>
          <rPr>
            <sz val="8"/>
            <color indexed="81"/>
            <rFont val="Tahoma"/>
            <family val="2"/>
          </rPr>
          <t xml:space="preserve">
9/6/12
-from Aug release
-ESRX effect ~-10.7%
</t>
        </r>
      </text>
    </comment>
    <comment ref="CS45" authorId="4">
      <text>
        <r>
          <rPr>
            <b/>
            <sz val="8"/>
            <color indexed="81"/>
            <rFont val="Tahoma"/>
            <family val="2"/>
          </rPr>
          <t>steshin:</t>
        </r>
        <r>
          <rPr>
            <sz val="8"/>
            <color indexed="81"/>
            <rFont val="Tahoma"/>
            <family val="2"/>
          </rPr>
          <t xml:space="preserve">
3/19/2013:
includes lapping extra day in Feb from 2012</t>
        </r>
      </text>
    </comment>
    <comment ref="CT45" authorId="0">
      <text>
        <r>
          <rPr>
            <b/>
            <sz val="8"/>
            <color indexed="81"/>
            <rFont val="Tahoma"/>
            <family val="2"/>
          </rPr>
          <t>saursing:</t>
        </r>
        <r>
          <rPr>
            <sz val="8"/>
            <color indexed="81"/>
            <rFont val="Tahoma"/>
            <family val="2"/>
          </rPr>
          <t xml:space="preserve">
Per 3Q12 earnings deck</t>
        </r>
      </text>
    </comment>
    <comment ref="CW45" authorId="1">
      <text>
        <r>
          <rPr>
            <b/>
            <sz val="9"/>
            <color indexed="81"/>
            <rFont val="Tahoma"/>
            <family val="2"/>
          </rPr>
          <t>Singh, Saurabh (Research):</t>
        </r>
        <r>
          <rPr>
            <sz val="9"/>
            <color indexed="81"/>
            <rFont val="Tahoma"/>
            <family val="2"/>
          </rPr>
          <t xml:space="preserve">
Per Nov '13 SSS release</t>
        </r>
      </text>
    </comment>
    <comment ref="CX45" authorId="1">
      <text>
        <r>
          <rPr>
            <b/>
            <sz val="9"/>
            <color indexed="81"/>
            <rFont val="Tahoma"/>
            <family val="2"/>
          </rPr>
          <t>Singh, Saurabh (Research):</t>
        </r>
        <r>
          <rPr>
            <sz val="9"/>
            <color indexed="81"/>
            <rFont val="Tahoma"/>
            <family val="2"/>
          </rPr>
          <t xml:space="preserve">
We had assumed 3.3% vs. actual 2.4% (per Feb '14 monthly sales PR) but 2FQ14 PR had lower still at 2.2%</t>
        </r>
      </text>
    </comment>
    <comment ref="CY45" authorId="1">
      <text>
        <r>
          <rPr>
            <b/>
            <sz val="9"/>
            <color indexed="81"/>
            <rFont val="Tahoma"/>
            <family val="2"/>
          </rPr>
          <t>Singh, Saurabh (Research):</t>
        </r>
        <r>
          <rPr>
            <sz val="9"/>
            <color indexed="81"/>
            <rFont val="Tahoma"/>
            <family val="2"/>
          </rPr>
          <t xml:space="preserve">
May '14 Monthly Sales PR: +4.0%</t>
        </r>
      </text>
    </comment>
    <comment ref="CZ45" authorId="1">
      <text>
        <r>
          <rPr>
            <b/>
            <sz val="9"/>
            <color indexed="81"/>
            <rFont val="Tahoma"/>
            <family val="2"/>
          </rPr>
          <t>Singh, Saurabh (Research):</t>
        </r>
        <r>
          <rPr>
            <sz val="9"/>
            <color indexed="81"/>
            <rFont val="Tahoma"/>
            <family val="2"/>
          </rPr>
          <t xml:space="preserve">
Per Aug SSS PR</t>
        </r>
      </text>
    </comment>
    <comment ref="DR45" authorId="6">
      <text>
        <r>
          <rPr>
            <b/>
            <sz val="9"/>
            <color indexed="81"/>
            <rFont val="Tahoma"/>
            <family val="2"/>
          </rPr>
          <t>Rosenblum, Mark (Research):</t>
        </r>
        <r>
          <rPr>
            <sz val="9"/>
            <color indexed="81"/>
            <rFont val="Tahoma"/>
            <family val="2"/>
          </rPr>
          <t xml:space="preserve">
10 bps impact from AET PDP network</t>
        </r>
      </text>
    </comment>
    <comment ref="DS45" authorId="6">
      <text>
        <r>
          <rPr>
            <b/>
            <sz val="9"/>
            <color indexed="81"/>
            <rFont val="Tahoma"/>
            <family val="2"/>
          </rPr>
          <t>Rosenblum, Mark (Research):</t>
        </r>
        <r>
          <rPr>
            <sz val="9"/>
            <color indexed="81"/>
            <rFont val="Tahoma"/>
            <family val="2"/>
          </rPr>
          <t xml:space="preserve">
15 bps impact from AET PDP network</t>
        </r>
      </text>
    </comment>
    <comment ref="DT45" authorId="6">
      <text>
        <r>
          <rPr>
            <b/>
            <sz val="9"/>
            <color indexed="81"/>
            <rFont val="Tahoma"/>
            <family val="2"/>
          </rPr>
          <t>Rosenblum, Mark (Research):</t>
        </r>
        <r>
          <rPr>
            <sz val="9"/>
            <color indexed="81"/>
            <rFont val="Tahoma"/>
            <family val="2"/>
          </rPr>
          <t xml:space="preserve">
15 bps impact from AET PDP network</t>
        </r>
      </text>
    </comment>
    <comment ref="DW45" authorId="6">
      <text>
        <r>
          <rPr>
            <b/>
            <sz val="9"/>
            <color indexed="81"/>
            <rFont val="Tahoma"/>
            <family val="2"/>
          </rPr>
          <t>Rosenblum, Mark (Research):</t>
        </r>
        <r>
          <rPr>
            <sz val="9"/>
            <color indexed="81"/>
            <rFont val="Tahoma"/>
            <family val="2"/>
          </rPr>
          <t xml:space="preserve">
10 bps impact from AET PDP network</t>
        </r>
      </text>
    </comment>
    <comment ref="DX45" authorId="6">
      <text>
        <r>
          <rPr>
            <b/>
            <sz val="9"/>
            <color indexed="81"/>
            <rFont val="Tahoma"/>
            <family val="2"/>
          </rPr>
          <t>Rosenblum, Mark (Research):</t>
        </r>
        <r>
          <rPr>
            <sz val="9"/>
            <color indexed="81"/>
            <rFont val="Tahoma"/>
            <family val="2"/>
          </rPr>
          <t xml:space="preserve">
15 bps impact from AET PDP network</t>
        </r>
      </text>
    </comment>
    <comment ref="DY45" authorId="6">
      <text>
        <r>
          <rPr>
            <b/>
            <sz val="9"/>
            <color indexed="81"/>
            <rFont val="Tahoma"/>
            <family val="2"/>
          </rPr>
          <t>Rosenblum, Mark (Research):</t>
        </r>
        <r>
          <rPr>
            <sz val="9"/>
            <color indexed="81"/>
            <rFont val="Tahoma"/>
            <family val="2"/>
          </rPr>
          <t xml:space="preserve">
15 bps impact from AET PDP network</t>
        </r>
      </text>
    </comment>
    <comment ref="EB45" authorId="6">
      <text>
        <r>
          <rPr>
            <b/>
            <sz val="9"/>
            <color indexed="81"/>
            <rFont val="Tahoma"/>
            <family val="2"/>
          </rPr>
          <t>Rosenblum, Mark (Research):</t>
        </r>
        <r>
          <rPr>
            <sz val="9"/>
            <color indexed="81"/>
            <rFont val="Tahoma"/>
            <family val="2"/>
          </rPr>
          <t xml:space="preserve">
10 bps impact from AET PDP network</t>
        </r>
      </text>
    </comment>
    <comment ref="EC45" authorId="6">
      <text>
        <r>
          <rPr>
            <b/>
            <sz val="9"/>
            <color indexed="81"/>
            <rFont val="Tahoma"/>
            <family val="2"/>
          </rPr>
          <t>Rosenblum, Mark (Research):</t>
        </r>
        <r>
          <rPr>
            <sz val="9"/>
            <color indexed="81"/>
            <rFont val="Tahoma"/>
            <family val="2"/>
          </rPr>
          <t xml:space="preserve">
15 bps impact from AET PDP network</t>
        </r>
      </text>
    </comment>
    <comment ref="ED45" authorId="6">
      <text>
        <r>
          <rPr>
            <b/>
            <sz val="9"/>
            <color indexed="81"/>
            <rFont val="Tahoma"/>
            <family val="2"/>
          </rPr>
          <t>Rosenblum, Mark (Research):</t>
        </r>
        <r>
          <rPr>
            <sz val="9"/>
            <color indexed="81"/>
            <rFont val="Tahoma"/>
            <family val="2"/>
          </rPr>
          <t xml:space="preserve">
15 bps impact from AET PDP network</t>
        </r>
      </text>
    </comment>
    <comment ref="CI46" authorId="5">
      <text>
        <r>
          <rPr>
            <b/>
            <sz val="8"/>
            <color indexed="81"/>
            <rFont val="Tahoma"/>
            <family val="2"/>
          </rPr>
          <t>Justin Van Vleck:</t>
        </r>
        <r>
          <rPr>
            <sz val="8"/>
            <color indexed="81"/>
            <rFont val="Tahoma"/>
            <family val="2"/>
          </rPr>
          <t xml:space="preserve">
stopped disclosing the 90 day benefit in this quarter</t>
        </r>
      </text>
    </comment>
    <comment ref="B48" authorId="5">
      <text>
        <r>
          <rPr>
            <b/>
            <sz val="8"/>
            <color indexed="81"/>
            <rFont val="Tahoma"/>
            <family val="2"/>
          </rPr>
          <t>Justin Van Vleck:</t>
        </r>
        <r>
          <rPr>
            <sz val="8"/>
            <color indexed="81"/>
            <rFont val="Tahoma"/>
            <family val="2"/>
          </rPr>
          <t xml:space="preserve">
Walgreens does not disclose, so we use CVS GDR, calendar adjusted</t>
        </r>
      </text>
    </comment>
    <comment ref="CK48" authorId="5">
      <text>
        <r>
          <rPr>
            <b/>
            <sz val="8"/>
            <color indexed="81"/>
            <rFont val="Tahoma"/>
            <family val="2"/>
          </rPr>
          <t>Justin Van Vleck:</t>
        </r>
        <r>
          <rPr>
            <sz val="8"/>
            <color indexed="81"/>
            <rFont val="Tahoma"/>
            <family val="2"/>
          </rPr>
          <t xml:space="preserve">
estimated</t>
        </r>
      </text>
    </comment>
    <comment ref="CW48" authorId="1">
      <text>
        <r>
          <rPr>
            <b/>
            <sz val="9"/>
            <color indexed="81"/>
            <rFont val="Tahoma"/>
            <family val="2"/>
          </rPr>
          <t>Singh, Saurabh (Research):</t>
        </r>
        <r>
          <rPr>
            <sz val="9"/>
            <color indexed="81"/>
            <rFont val="Tahoma"/>
            <family val="2"/>
          </rPr>
          <t xml:space="preserve">
CVS was 81% for Dec '13 qtr, up 109 bps y/y</t>
        </r>
      </text>
    </comment>
    <comment ref="CX48" authorId="1">
      <text>
        <r>
          <rPr>
            <b/>
            <sz val="9"/>
            <color indexed="81"/>
            <rFont val="Tahoma"/>
            <family val="2"/>
          </rPr>
          <t>Singh, Saurabh (Research):</t>
        </r>
        <r>
          <rPr>
            <sz val="9"/>
            <color indexed="81"/>
            <rFont val="Tahoma"/>
            <family val="2"/>
          </rPr>
          <t xml:space="preserve">
CVS was 82.9% for Mar '14 qtr, up 168 bps y/y</t>
        </r>
      </text>
    </comment>
    <comment ref="CY48" authorId="1">
      <text>
        <r>
          <rPr>
            <b/>
            <sz val="9"/>
            <color indexed="81"/>
            <rFont val="Tahoma"/>
            <family val="2"/>
          </rPr>
          <t>Singh, Saurabh (Research):</t>
        </r>
        <r>
          <rPr>
            <sz val="9"/>
            <color indexed="81"/>
            <rFont val="Tahoma"/>
            <family val="2"/>
          </rPr>
          <t xml:space="preserve">
CVS was 83.5% for June '14 qtr, up 163 bps y/y</t>
        </r>
      </text>
    </comment>
    <comment ref="B60" authorId="5">
      <text>
        <r>
          <rPr>
            <b/>
            <sz val="8"/>
            <color indexed="81"/>
            <rFont val="Tahoma"/>
            <family val="2"/>
          </rPr>
          <t>Justin Van Vleck:</t>
        </r>
        <r>
          <rPr>
            <sz val="8"/>
            <color indexed="81"/>
            <rFont val="Tahoma"/>
            <family val="2"/>
          </rPr>
          <t xml:space="preserve">
Uses Adjusted Prescriptions</t>
        </r>
      </text>
    </comment>
    <comment ref="DT61" authorId="6">
      <text>
        <r>
          <rPr>
            <b/>
            <sz val="9"/>
            <color indexed="81"/>
            <rFont val="Tahoma"/>
            <family val="2"/>
          </rPr>
          <t>Rosenblum, Mark (Research):</t>
        </r>
        <r>
          <rPr>
            <sz val="9"/>
            <color indexed="81"/>
            <rFont val="Tahoma"/>
            <family val="2"/>
          </rPr>
          <t xml:space="preserve">
Assumes WBA retains ~70% of Rx from closed stores</t>
        </r>
      </text>
    </comment>
    <comment ref="DV61" authorId="6">
      <text>
        <r>
          <rPr>
            <b/>
            <sz val="9"/>
            <color indexed="81"/>
            <rFont val="Tahoma"/>
            <family val="2"/>
          </rPr>
          <t>Rosenblum, Mark (Research):</t>
        </r>
        <r>
          <rPr>
            <sz val="9"/>
            <color indexed="81"/>
            <rFont val="Tahoma"/>
            <family val="2"/>
          </rPr>
          <t xml:space="preserve">
Assumes WBA retains ~70% of Rx from closed stores</t>
        </r>
      </text>
    </comment>
    <comment ref="DW61" authorId="6">
      <text>
        <r>
          <rPr>
            <b/>
            <sz val="9"/>
            <color indexed="81"/>
            <rFont val="Tahoma"/>
            <family val="2"/>
          </rPr>
          <t>Rosenblum, Mark (Research):</t>
        </r>
        <r>
          <rPr>
            <sz val="9"/>
            <color indexed="81"/>
            <rFont val="Tahoma"/>
            <family val="2"/>
          </rPr>
          <t xml:space="preserve">
Assumes WBA retains ~70% of Rx from closed stores</t>
        </r>
      </text>
    </comment>
    <comment ref="DX61" authorId="6">
      <text>
        <r>
          <rPr>
            <b/>
            <sz val="9"/>
            <color indexed="81"/>
            <rFont val="Tahoma"/>
            <family val="2"/>
          </rPr>
          <t>Rosenblum, Mark (Research):</t>
        </r>
        <r>
          <rPr>
            <sz val="9"/>
            <color indexed="81"/>
            <rFont val="Tahoma"/>
            <family val="2"/>
          </rPr>
          <t xml:space="preserve">
Assumes WBA retains ~70% of Rx from closed stores</t>
        </r>
      </text>
    </comment>
    <comment ref="DY61" authorId="6">
      <text>
        <r>
          <rPr>
            <b/>
            <sz val="9"/>
            <color indexed="81"/>
            <rFont val="Tahoma"/>
            <family val="2"/>
          </rPr>
          <t>Rosenblum, Mark (Research):</t>
        </r>
        <r>
          <rPr>
            <sz val="9"/>
            <color indexed="81"/>
            <rFont val="Tahoma"/>
            <family val="2"/>
          </rPr>
          <t xml:space="preserve">
Assumes WBA retains ~70% of Rx from closed stores</t>
        </r>
      </text>
    </comment>
    <comment ref="EA61" authorId="6">
      <text>
        <r>
          <rPr>
            <b/>
            <sz val="9"/>
            <color indexed="81"/>
            <rFont val="Tahoma"/>
            <family val="2"/>
          </rPr>
          <t>Rosenblum, Mark (Research):</t>
        </r>
        <r>
          <rPr>
            <sz val="9"/>
            <color indexed="81"/>
            <rFont val="Tahoma"/>
            <family val="2"/>
          </rPr>
          <t xml:space="preserve">
Assumes WBA retains ~70% of Rx from closed stores</t>
        </r>
      </text>
    </comment>
    <comment ref="EB61" authorId="6">
      <text>
        <r>
          <rPr>
            <b/>
            <sz val="9"/>
            <color indexed="81"/>
            <rFont val="Tahoma"/>
            <family val="2"/>
          </rPr>
          <t>Rosenblum, Mark (Research):</t>
        </r>
        <r>
          <rPr>
            <sz val="9"/>
            <color indexed="81"/>
            <rFont val="Tahoma"/>
            <family val="2"/>
          </rPr>
          <t xml:space="preserve">
Assumes WBA retains ~70% of Rx from closed stores</t>
        </r>
      </text>
    </comment>
    <comment ref="EC61" authorId="6">
      <text>
        <r>
          <rPr>
            <b/>
            <sz val="9"/>
            <color indexed="81"/>
            <rFont val="Tahoma"/>
            <family val="2"/>
          </rPr>
          <t>Rosenblum, Mark (Research):</t>
        </r>
        <r>
          <rPr>
            <sz val="9"/>
            <color indexed="81"/>
            <rFont val="Tahoma"/>
            <family val="2"/>
          </rPr>
          <t xml:space="preserve">
Assumes WBA retains ~70% of Rx from closed stores</t>
        </r>
      </text>
    </comment>
    <comment ref="ED61" authorId="6">
      <text>
        <r>
          <rPr>
            <b/>
            <sz val="9"/>
            <color indexed="81"/>
            <rFont val="Tahoma"/>
            <family val="2"/>
          </rPr>
          <t>Rosenblum, Mark (Research):</t>
        </r>
        <r>
          <rPr>
            <sz val="9"/>
            <color indexed="81"/>
            <rFont val="Tahoma"/>
            <family val="2"/>
          </rPr>
          <t xml:space="preserve">
Assumes WBA retains ~70% of Rx from closed stores</t>
        </r>
      </text>
    </comment>
    <comment ref="CT68" authorId="0">
      <text>
        <r>
          <rPr>
            <b/>
            <sz val="8"/>
            <color indexed="81"/>
            <rFont val="Tahoma"/>
            <family val="2"/>
          </rPr>
          <t>saursing:</t>
        </r>
        <r>
          <rPr>
            <sz val="8"/>
            <color indexed="81"/>
            <rFont val="Tahoma"/>
            <family val="2"/>
          </rPr>
          <t xml:space="preserve">
3.4% reported on 3Q PR</t>
        </r>
      </text>
    </comment>
    <comment ref="DB68" authorId="1">
      <text>
        <r>
          <rPr>
            <b/>
            <sz val="9"/>
            <color indexed="81"/>
            <rFont val="Tahoma"/>
            <family val="2"/>
          </rPr>
          <t>Singh, Saurabh (Research):</t>
        </r>
        <r>
          <rPr>
            <sz val="9"/>
            <color indexed="81"/>
            <rFont val="Tahoma"/>
            <family val="2"/>
          </rPr>
          <t xml:space="preserve">
Doesn't match 9.0% growth per PR even though implied figures are based on disclosed % Rx sales and Total Sales for both current and year ago quarter, usually there is a closer gap</t>
        </r>
      </text>
    </comment>
    <comment ref="DC68" authorId="1">
      <text>
        <r>
          <rPr>
            <b/>
            <sz val="9"/>
            <color indexed="81"/>
            <rFont val="Tahoma"/>
            <family val="2"/>
          </rPr>
          <t>Singh, Saurabh (Research):</t>
        </r>
        <r>
          <rPr>
            <sz val="9"/>
            <color indexed="81"/>
            <rFont val="Tahoma"/>
            <family val="2"/>
          </rPr>
          <t xml:space="preserve">
Compared to 10.1% reported</t>
        </r>
      </text>
    </comment>
    <comment ref="B74" authorId="5">
      <text>
        <r>
          <rPr>
            <b/>
            <sz val="8"/>
            <color indexed="81"/>
            <rFont val="Tahoma"/>
            <family val="2"/>
          </rPr>
          <t>Justin Van Vleck:</t>
        </r>
        <r>
          <rPr>
            <sz val="8"/>
            <color indexed="81"/>
            <rFont val="Tahoma"/>
            <family val="2"/>
          </rPr>
          <t xml:space="preserve">
Comparable drugstores are defined as those that have been open for at least twelve consecutive months without closure for seven or more consecutive days and without a major remodel or a natural disaster in the past twelve months.  Remodels associated with our CCR initiative are not considered major and therefore do not affect comparable drugstore results.  Relocated and acquired stores (including Duane Reade) are not included as comparable stores for the first twelve months after the relocation or acquisition. </t>
        </r>
      </text>
    </comment>
    <comment ref="CN74" authorId="4">
      <text>
        <r>
          <rPr>
            <b/>
            <sz val="8"/>
            <color indexed="81"/>
            <rFont val="Tahoma"/>
            <family val="2"/>
          </rPr>
          <t>steshin:</t>
        </r>
        <r>
          <rPr>
            <sz val="8"/>
            <color indexed="81"/>
            <rFont val="Tahoma"/>
            <family val="2"/>
          </rPr>
          <t xml:space="preserve">
-5% ex-leap day
+1.1% leap day</t>
        </r>
      </text>
    </comment>
    <comment ref="CO74" authorId="4">
      <text>
        <r>
          <rPr>
            <b/>
            <sz val="8"/>
            <color indexed="81"/>
            <rFont val="Tahoma"/>
            <family val="2"/>
          </rPr>
          <t>steshin:</t>
        </r>
        <r>
          <rPr>
            <sz val="8"/>
            <color indexed="81"/>
            <rFont val="Tahoma"/>
            <family val="2"/>
          </rPr>
          <t xml:space="preserve">
-320 bps from generics</t>
        </r>
      </text>
    </comment>
    <comment ref="CS74" authorId="4">
      <text>
        <r>
          <rPr>
            <b/>
            <sz val="8"/>
            <color indexed="81"/>
            <rFont val="Tahoma"/>
            <family val="2"/>
          </rPr>
          <t>steshin:</t>
        </r>
        <r>
          <rPr>
            <sz val="8"/>
            <color indexed="81"/>
            <rFont val="Tahoma"/>
            <family val="2"/>
          </rPr>
          <t xml:space="preserve">
3/19/2013:
includes lapping extra day in Feb from 2012</t>
        </r>
      </text>
    </comment>
    <comment ref="CT74" authorId="0">
      <text>
        <r>
          <rPr>
            <b/>
            <sz val="8"/>
            <color indexed="81"/>
            <rFont val="Tahoma"/>
            <family val="2"/>
          </rPr>
          <t>saursing:</t>
        </r>
        <r>
          <rPr>
            <sz val="8"/>
            <color indexed="81"/>
            <rFont val="Tahoma"/>
            <family val="2"/>
          </rPr>
          <t xml:space="preserve">
Matches 2.0% in May sales release</t>
        </r>
      </text>
    </comment>
    <comment ref="CW74" authorId="1">
      <text>
        <r>
          <rPr>
            <b/>
            <sz val="9"/>
            <color indexed="81"/>
            <rFont val="Tahoma"/>
            <family val="2"/>
          </rPr>
          <t>Singh, Saurabh (Research):</t>
        </r>
        <r>
          <rPr>
            <sz val="9"/>
            <color indexed="81"/>
            <rFont val="Tahoma"/>
            <family val="2"/>
          </rPr>
          <t xml:space="preserve">
Nov '13 Monthly Sales PR: +7.5% (7.2% in 1FQ14 PR)
</t>
        </r>
      </text>
    </comment>
    <comment ref="CX74" authorId="1">
      <text>
        <r>
          <rPr>
            <b/>
            <sz val="9"/>
            <color indexed="81"/>
            <rFont val="Tahoma"/>
            <family val="2"/>
          </rPr>
          <t>Singh, Saurabh (Research):</t>
        </r>
        <r>
          <rPr>
            <sz val="9"/>
            <color indexed="81"/>
            <rFont val="Tahoma"/>
            <family val="2"/>
          </rPr>
          <t xml:space="preserve">
Feb '14 Monthly Sales PR: +6.1%
2FQ14 PR: +5.8%</t>
        </r>
      </text>
    </comment>
    <comment ref="CY74" authorId="1">
      <text>
        <r>
          <rPr>
            <b/>
            <sz val="9"/>
            <color indexed="81"/>
            <rFont val="Tahoma"/>
            <family val="2"/>
          </rPr>
          <t>Singh, Saurabh (Research):</t>
        </r>
        <r>
          <rPr>
            <sz val="9"/>
            <color indexed="81"/>
            <rFont val="Tahoma"/>
            <family val="2"/>
          </rPr>
          <t xml:space="preserve">
May '14 Monthly Sales PR: +6.8%</t>
        </r>
      </text>
    </comment>
    <comment ref="CZ74" authorId="1">
      <text>
        <r>
          <rPr>
            <b/>
            <sz val="9"/>
            <color indexed="81"/>
            <rFont val="Tahoma"/>
            <family val="2"/>
          </rPr>
          <t>Singh, Saurabh (Research):</t>
        </r>
        <r>
          <rPr>
            <sz val="9"/>
            <color indexed="81"/>
            <rFont val="Tahoma"/>
            <family val="2"/>
          </rPr>
          <t xml:space="preserve">
Per Aug SSS</t>
        </r>
      </text>
    </comment>
    <comment ref="DB74" authorId="1">
      <text>
        <r>
          <rPr>
            <b/>
            <sz val="9"/>
            <color indexed="81"/>
            <rFont val="Tahoma"/>
            <family val="2"/>
          </rPr>
          <t>Singh, Saurabh (Research):</t>
        </r>
        <r>
          <rPr>
            <sz val="9"/>
            <color indexed="81"/>
            <rFont val="Tahoma"/>
            <family val="2"/>
          </rPr>
          <t xml:space="preserve">
Per Nov SSS was 8.3%</t>
        </r>
      </text>
    </comment>
    <comment ref="BZ99" authorId="5">
      <text>
        <r>
          <rPr>
            <b/>
            <sz val="8"/>
            <color indexed="81"/>
            <rFont val="Tahoma"/>
            <family val="2"/>
          </rPr>
          <t>Justin Van Vleck:</t>
        </r>
        <r>
          <rPr>
            <sz val="8"/>
            <color indexed="81"/>
            <rFont val="Tahoma"/>
            <family val="2"/>
          </rPr>
          <t xml:space="preserve">
Higher Retail pharmacy margins due to generics</t>
        </r>
      </text>
    </comment>
    <comment ref="CA99" authorId="5">
      <text>
        <r>
          <rPr>
            <b/>
            <sz val="8"/>
            <color indexed="81"/>
            <rFont val="Tahoma"/>
            <family val="2"/>
          </rPr>
          <t>Justin Van Vleck:</t>
        </r>
        <r>
          <rPr>
            <sz val="8"/>
            <color indexed="81"/>
            <rFont val="Tahoma"/>
            <family val="2"/>
          </rPr>
          <t xml:space="preserve">
pharmacy margin was up
"helping overall margins
was an increase in retail pharmacy margins for the generics."</t>
        </r>
      </text>
    </comment>
    <comment ref="CC99" authorId="3">
      <text>
        <r>
          <rPr>
            <b/>
            <sz val="8"/>
            <color indexed="81"/>
            <rFont val="Tahoma"/>
            <family val="2"/>
          </rPr>
          <t>justinv:</t>
        </r>
        <r>
          <rPr>
            <sz val="8"/>
            <color indexed="81"/>
            <rFont val="Tahoma"/>
            <family val="2"/>
          </rPr>
          <t xml:space="preserve">
Benefitted from generics and flu shots, but negatively impacted by third-party reimbursements.  Still positively contributed to margin however, indicating pharmacy margins were up.</t>
        </r>
      </text>
    </comment>
    <comment ref="CD99" authorId="3">
      <text>
        <r>
          <rPr>
            <b/>
            <sz val="8"/>
            <color indexed="81"/>
            <rFont val="Tahoma"/>
            <family val="2"/>
          </rPr>
          <t>justinv:</t>
        </r>
        <r>
          <rPr>
            <sz val="8"/>
            <color indexed="81"/>
            <rFont val="Tahoma"/>
            <family val="2"/>
          </rPr>
          <t xml:space="preserve">
pharmacy was neutral year over year</t>
        </r>
      </text>
    </comment>
    <comment ref="CE99" authorId="3">
      <text>
        <r>
          <rPr>
            <b/>
            <sz val="8"/>
            <color indexed="81"/>
            <rFont val="Tahoma"/>
            <family val="2"/>
          </rPr>
          <t>justinv:</t>
        </r>
        <r>
          <rPr>
            <sz val="8"/>
            <color indexed="81"/>
            <rFont val="Tahoma"/>
            <family val="2"/>
          </rPr>
          <t xml:space="preserve">
lower reimbursement rates, pharmacy margin was dilutive to total margin (it was down)</t>
        </r>
      </text>
    </comment>
    <comment ref="CF99" authorId="3">
      <text>
        <r>
          <rPr>
            <b/>
            <sz val="8"/>
            <color indexed="81"/>
            <rFont val="Tahoma"/>
            <family val="2"/>
          </rPr>
          <t>justinv:</t>
        </r>
        <r>
          <rPr>
            <sz val="8"/>
            <color indexed="81"/>
            <rFont val="Tahoma"/>
            <family val="2"/>
          </rPr>
          <t xml:space="preserve">
"On the pharmacy side, margins benefited from new generic introductions
partially offset by reimbursement"</t>
        </r>
      </text>
    </comment>
    <comment ref="CH99" authorId="5">
      <text>
        <r>
          <rPr>
            <b/>
            <sz val="8"/>
            <color indexed="81"/>
            <rFont val="Tahoma"/>
            <family val="2"/>
          </rPr>
          <t>Justin Van Vleck:</t>
        </r>
        <r>
          <rPr>
            <sz val="8"/>
            <color indexed="81"/>
            <rFont val="Tahoma"/>
            <family val="2"/>
          </rPr>
          <t xml:space="preserve">
pharmacy margin was up</t>
        </r>
      </text>
    </comment>
    <comment ref="CI99" authorId="3">
      <text>
        <r>
          <rPr>
            <b/>
            <sz val="8"/>
            <color indexed="81"/>
            <rFont val="Tahoma"/>
            <family val="2"/>
          </rPr>
          <t>justinv:</t>
        </r>
        <r>
          <rPr>
            <sz val="8"/>
            <color indexed="81"/>
            <rFont val="Tahoma"/>
            <family val="2"/>
          </rPr>
          <t xml:space="preserve">
pharmacy margins were flat, with benefits from generics offset by lower reimbursement</t>
        </r>
      </text>
    </comment>
    <comment ref="CJ99" authorId="3">
      <text>
        <r>
          <rPr>
            <b/>
            <sz val="8"/>
            <color indexed="81"/>
            <rFont val="Tahoma"/>
            <family val="2"/>
          </rPr>
          <t>justinv:</t>
        </r>
        <r>
          <rPr>
            <sz val="8"/>
            <color indexed="81"/>
            <rFont val="Tahoma"/>
            <family val="2"/>
          </rPr>
          <t xml:space="preserve">
pharmacy margins were up as generic drug benefit more than offset reimbursement pressure.</t>
        </r>
      </text>
    </comment>
    <comment ref="CK99" authorId="5">
      <text>
        <r>
          <rPr>
            <b/>
            <sz val="8"/>
            <color indexed="81"/>
            <rFont val="Tahoma"/>
            <family val="2"/>
          </rPr>
          <t>Justin Van Vleck:</t>
        </r>
        <r>
          <rPr>
            <sz val="8"/>
            <color indexed="81"/>
            <rFont val="Tahoma"/>
            <family val="2"/>
          </rPr>
          <t xml:space="preserve">
retail pharmacy margins were flat, according to the press release</t>
        </r>
      </text>
    </comment>
    <comment ref="CN99" authorId="4">
      <text>
        <r>
          <rPr>
            <b/>
            <sz val="8"/>
            <color indexed="81"/>
            <rFont val="Tahoma"/>
            <family val="2"/>
          </rPr>
          <t>steshin:</t>
        </r>
        <r>
          <rPr>
            <sz val="8"/>
            <color indexed="81"/>
            <rFont val="Tahoma"/>
            <family val="2"/>
          </rPr>
          <t xml:space="preserve">
RX margins declined b/c
1) reimbursement rate
2) specialty mix
3) LIFO
offset by + generic intro impact</t>
        </r>
      </text>
    </comment>
    <comment ref="CO99" authorId="4">
      <text>
        <r>
          <rPr>
            <b/>
            <sz val="8"/>
            <color indexed="81"/>
            <rFont val="Tahoma"/>
            <family val="2"/>
          </rPr>
          <t>steshin:</t>
        </r>
        <r>
          <rPr>
            <sz val="8"/>
            <color indexed="81"/>
            <rFont val="Tahoma"/>
            <family val="2"/>
          </rPr>
          <t xml:space="preserve">
+impact from generics
-reimbursement pressure
-specialty mix
-LIFO</t>
        </r>
      </text>
    </comment>
    <comment ref="CQ99" authorId="4">
      <text>
        <r>
          <rPr>
            <b/>
            <sz val="8"/>
            <color indexed="81"/>
            <rFont val="Tahoma"/>
            <family val="2"/>
          </rPr>
          <t>steshin:</t>
        </r>
        <r>
          <rPr>
            <sz val="8"/>
            <color indexed="81"/>
            <rFont val="Tahoma"/>
            <family val="2"/>
          </rPr>
          <t xml:space="preserve">
"Retail pharmacy margins were also higher as the positive effect of generic drug sales more than offset market-driven reimbursements and the write-down of flu shot inventory.  These positive effects were partially offset by a higher provision for LIFO."</t>
        </r>
      </text>
    </comment>
    <comment ref="BX101" authorId="5">
      <text>
        <r>
          <rPr>
            <b/>
            <sz val="8"/>
            <color indexed="81"/>
            <rFont val="Tahoma"/>
            <family val="2"/>
          </rPr>
          <t>Justin Van Vleck:</t>
        </r>
        <r>
          <rPr>
            <sz val="8"/>
            <color indexed="81"/>
            <rFont val="Tahoma"/>
            <family val="2"/>
          </rPr>
          <t xml:space="preserve">
Retail pharmacy margins were up</t>
        </r>
      </text>
    </comment>
    <comment ref="BY101" authorId="5">
      <text>
        <r>
          <rPr>
            <b/>
            <sz val="8"/>
            <color indexed="81"/>
            <rFont val="Tahoma"/>
            <family val="2"/>
          </rPr>
          <t>Justin Van Vleck:</t>
        </r>
        <r>
          <rPr>
            <sz val="8"/>
            <color indexed="81"/>
            <rFont val="Tahoma"/>
            <family val="2"/>
          </rPr>
          <t xml:space="preserve">
Gross margin was down 60 basis points in the quarter compared
with the prior year. Negatively impacting margins were lower front-end margins due to promotional
pricing and product mix, non-retail businesses and a higher LIFO provision. </t>
        </r>
        <r>
          <rPr>
            <b/>
            <sz val="8"/>
            <color indexed="81"/>
            <rFont val="Tahoma"/>
            <family val="2"/>
          </rPr>
          <t>Helping overall
margins was an increase in pharmacy margins as a result of the impact of generic drug sales.</t>
        </r>
      </text>
    </comment>
    <comment ref="BZ101" authorId="5">
      <text>
        <r>
          <rPr>
            <b/>
            <sz val="8"/>
            <color indexed="81"/>
            <rFont val="Tahoma"/>
            <family val="2"/>
          </rPr>
          <t>Justin Van Vleck:</t>
        </r>
        <r>
          <rPr>
            <sz val="8"/>
            <color indexed="81"/>
            <rFont val="Tahoma"/>
            <family val="2"/>
          </rPr>
          <t xml:space="preserve">
Gross margin was down 80 basis points in the quarter compared with prior year. Negatively impacting margins were front end product mix including LIFO, non-retail businesses and CCR markdowns.
</t>
        </r>
        <r>
          <rPr>
            <b/>
            <sz val="8"/>
            <color indexed="81"/>
            <rFont val="Tahoma"/>
            <family val="2"/>
          </rPr>
          <t>Partially offsetting the overall margin decline was an increase in pharmacy margins resulting from
generic drug sales.</t>
        </r>
      </text>
    </comment>
    <comment ref="CA101" authorId="5">
      <text>
        <r>
          <rPr>
            <b/>
            <sz val="8"/>
            <color indexed="81"/>
            <rFont val="Tahoma"/>
            <family val="2"/>
          </rPr>
          <t>Justin Van Vleck:</t>
        </r>
        <r>
          <rPr>
            <sz val="8"/>
            <color indexed="81"/>
            <rFont val="Tahoma"/>
            <family val="2"/>
          </rPr>
          <t xml:space="preserve">
Gross margin was up 10 basis points compared with the year ago quarter to 27.7%. This includes a LIFO provision of $48 million in this
year’s quarter versus a provision of $24 million in last year’s fourth quarter, </t>
        </r>
        <r>
          <rPr>
            <b/>
            <sz val="8"/>
            <color indexed="81"/>
            <rFont val="Tahoma"/>
            <family val="2"/>
          </rPr>
          <t>helping overall margins was an increase in retail pharmacy margins for the generics.</t>
        </r>
        <r>
          <rPr>
            <sz val="8"/>
            <color indexed="81"/>
            <rFont val="Tahoma"/>
            <family val="2"/>
          </rPr>
          <t xml:space="preserve">  Negatively impacting margin were non-retail businesses, front-end product mix, a higher LIFO provision and CCR markdowns. </t>
        </r>
      </text>
    </comment>
    <comment ref="CB101" authorId="5">
      <text>
        <r>
          <rPr>
            <b/>
            <sz val="8"/>
            <color indexed="81"/>
            <rFont val="Tahoma"/>
            <family val="2"/>
          </rPr>
          <t>Justin Van Vleck:</t>
        </r>
        <r>
          <rPr>
            <sz val="8"/>
            <color indexed="81"/>
            <rFont val="Tahoma"/>
            <family val="2"/>
          </rPr>
          <t xml:space="preserve">
Gross margin was up 10 basis points compared with the year ago quarter to 27.7%. This includes a LIFO provision of $48 million in this
year’s quarter versus a provision of $24 million in last year’s fourth quarter, </t>
        </r>
        <r>
          <rPr>
            <b/>
            <sz val="8"/>
            <color indexed="81"/>
            <rFont val="Tahoma"/>
            <family val="2"/>
          </rPr>
          <t>helping overall margins was an increase in retail pharmacy margins for the generics.</t>
        </r>
        <r>
          <rPr>
            <sz val="8"/>
            <color indexed="81"/>
            <rFont val="Tahoma"/>
            <family val="2"/>
          </rPr>
          <t xml:space="preserve">  Negatively impacting margin were non-retail businesses, front-end product mix, a higher LIFO provision and CCR markdowns.</t>
        </r>
        <r>
          <rPr>
            <b/>
            <sz val="8"/>
            <color indexed="81"/>
            <rFont val="Tahoma"/>
            <family val="2"/>
          </rPr>
          <t xml:space="preserve"> For the full fiscal year, our gross profit declined 40 basis points while the same factors were at play, the increases in retail pharmacy margins didn’t completely
offset the negative factors.
</t>
        </r>
        <r>
          <rPr>
            <sz val="8"/>
            <color indexed="81"/>
            <rFont val="Tahoma"/>
            <family val="2"/>
          </rPr>
          <t>This likely means pharmacy margins were up Y/Y</t>
        </r>
      </text>
    </comment>
    <comment ref="CC101" authorId="5">
      <text>
        <r>
          <rPr>
            <b/>
            <sz val="8"/>
            <color indexed="81"/>
            <rFont val="Tahoma"/>
            <family val="2"/>
          </rPr>
          <t>Justin Van Vleck:</t>
        </r>
        <r>
          <rPr>
            <sz val="8"/>
            <color indexed="81"/>
            <rFont val="Tahoma"/>
            <family val="2"/>
          </rPr>
          <t xml:space="preserve">
Helping overall margins was an increase in retail pharmacy margins due to the impact of generics
and flu shots, although those gains were partially offset by third-party reimbursement pressure
including the impact of AWP changes on Medicaid prescriptions. </t>
        </r>
      </text>
    </comment>
    <comment ref="B133" authorId="5">
      <text>
        <r>
          <rPr>
            <b/>
            <sz val="8"/>
            <color indexed="81"/>
            <rFont val="Tahoma"/>
            <family val="2"/>
          </rPr>
          <t>Justin Van Vleck:</t>
        </r>
        <r>
          <rPr>
            <sz val="8"/>
            <color indexed="81"/>
            <rFont val="Tahoma"/>
            <family val="2"/>
          </rPr>
          <t xml:space="preserve">
This should be down 1-5% according to discussions we had with former WAG mgt.</t>
        </r>
      </text>
    </comment>
    <comment ref="CH133" authorId="5">
      <text>
        <r>
          <rPr>
            <b/>
            <sz val="8"/>
            <color indexed="81"/>
            <rFont val="Tahoma"/>
            <family val="2"/>
          </rPr>
          <t>Justin Van Vleck:</t>
        </r>
        <r>
          <rPr>
            <sz val="8"/>
            <color indexed="81"/>
            <rFont val="Tahoma"/>
            <family val="2"/>
          </rPr>
          <t xml:space="preserve">
lighter revenue decline per script because of fewer generics last year resulting in lower reimbursement pressure Y/Y</t>
        </r>
      </text>
    </comment>
    <comment ref="CG149" authorId="5">
      <text>
        <r>
          <rPr>
            <b/>
            <sz val="8"/>
            <color indexed="81"/>
            <rFont val="Tahoma"/>
            <family val="2"/>
          </rPr>
          <t>Justin Van Vleck:</t>
        </r>
        <r>
          <rPr>
            <sz val="8"/>
            <color indexed="81"/>
            <rFont val="Tahoma"/>
            <family val="2"/>
          </rPr>
          <t xml:space="preserve">
despite IR's comments about average gross profit per script slightly increasing over the past few years (see cell to the right), it makes sense this was down because of 2009 being a solid generic year, and therefore the year after would be characterized by tougher reimbursement, all else equal</t>
        </r>
      </text>
    </comment>
    <comment ref="CL149" authorId="5">
      <text>
        <r>
          <rPr>
            <b/>
            <sz val="8"/>
            <color indexed="81"/>
            <rFont val="Tahoma"/>
            <family val="2"/>
          </rPr>
          <t>Justin Van Vleck:</t>
        </r>
        <r>
          <rPr>
            <sz val="8"/>
            <color indexed="81"/>
            <rFont val="Tahoma"/>
            <family val="2"/>
          </rPr>
          <t xml:space="preserve">
Rick Hans told me that gross profit per scritp for the total business has slightly increased over the past several years, with reimbursement pressure in both generics and brands being more than offset by positive mix shift from generics.  Going forward, Rick also said that the ESRX proposal that caused the dispute meant that gross profit per script for ESRX customers would actually go down during the generic wave, which they said was too onerous.  This gives you a sense of how much generic remibursement pressure they would be facing if they accepted the proposal given generic mix shift should help so much in the coming years (and would therefore be accretive to overall gross profit per script)</t>
        </r>
      </text>
    </comment>
    <comment ref="CM152" authorId="4">
      <text>
        <r>
          <rPr>
            <b/>
            <sz val="8"/>
            <color indexed="81"/>
            <rFont val="Tahoma"/>
            <family val="2"/>
          </rPr>
          <t>steshin:</t>
        </r>
        <r>
          <rPr>
            <sz val="8"/>
            <color indexed="81"/>
            <rFont val="Tahoma"/>
            <family val="2"/>
          </rPr>
          <t xml:space="preserve">
</t>
        </r>
      </text>
    </comment>
    <comment ref="CO152" authorId="4">
      <text>
        <r>
          <rPr>
            <b/>
            <sz val="8"/>
            <color indexed="81"/>
            <rFont val="Tahoma"/>
            <family val="2"/>
          </rPr>
          <t>steshin:</t>
        </r>
        <r>
          <rPr>
            <sz val="8"/>
            <color indexed="81"/>
            <rFont val="Tahoma"/>
            <family val="2"/>
          </rPr>
          <t xml:space="preserve">
11/30/2011: 10Q: +GM should go up more in 2H from gen. intros 
</t>
        </r>
      </text>
    </comment>
    <comment ref="CP152" authorId="4">
      <text>
        <r>
          <rPr>
            <b/>
            <sz val="8"/>
            <color indexed="81"/>
            <rFont val="Tahoma"/>
            <family val="2"/>
          </rPr>
          <t>steshin:</t>
        </r>
        <r>
          <rPr>
            <sz val="8"/>
            <color indexed="81"/>
            <rFont val="Tahoma"/>
            <family val="2"/>
          </rPr>
          <t xml:space="preserve">
9/28/12: had to assume that GP went down in order to get FE +GM positive. </t>
        </r>
      </text>
    </comment>
    <comment ref="CO153" authorId="4">
      <text>
        <r>
          <rPr>
            <b/>
            <sz val="8"/>
            <color indexed="81"/>
            <rFont val="Tahoma"/>
            <family val="2"/>
          </rPr>
          <t>steshin:</t>
        </r>
        <r>
          <rPr>
            <sz val="8"/>
            <color indexed="81"/>
            <rFont val="Tahoma"/>
            <family val="2"/>
          </rPr>
          <t xml:space="preserve">
6/19 - specialty mix higher, reimbursement pressure</t>
        </r>
      </text>
    </comment>
    <comment ref="CP153" authorId="4">
      <text>
        <r>
          <rPr>
            <b/>
            <sz val="8"/>
            <color indexed="81"/>
            <rFont val="Tahoma"/>
            <family val="2"/>
          </rPr>
          <t>steshin:</t>
        </r>
        <r>
          <rPr>
            <sz val="8"/>
            <color indexed="81"/>
            <rFont val="Tahoma"/>
            <family val="2"/>
          </rPr>
          <t xml:space="preserve">
9/28/12: moved this down a lot to reflect that WAG had a huge LIFO charge driven by branded drugs;</t>
        </r>
      </text>
    </comment>
    <comment ref="CM154" authorId="4">
      <text>
        <r>
          <rPr>
            <b/>
            <sz val="8"/>
            <color indexed="81"/>
            <rFont val="Tahoma"/>
            <family val="2"/>
          </rPr>
          <t>steshin:</t>
        </r>
        <r>
          <rPr>
            <sz val="8"/>
            <color indexed="81"/>
            <rFont val="Tahoma"/>
            <family val="2"/>
          </rPr>
          <t xml:space="preserve">
+generic introductions
- reimbursement pressure more than offset + from gen. intros</t>
        </r>
      </text>
    </comment>
    <comment ref="CK166" authorId="5">
      <text>
        <r>
          <rPr>
            <b/>
            <sz val="8"/>
            <color indexed="81"/>
            <rFont val="Tahoma"/>
            <family val="2"/>
          </rPr>
          <t>Justin Van Vleck:</t>
        </r>
        <r>
          <rPr>
            <sz val="8"/>
            <color indexed="81"/>
            <rFont val="Tahoma"/>
            <family val="2"/>
          </rPr>
          <t xml:space="preserve">
down because of tougher comparison quarter last year</t>
        </r>
      </text>
    </comment>
    <comment ref="BY168" authorId="5">
      <text>
        <r>
          <rPr>
            <b/>
            <sz val="8"/>
            <color indexed="81"/>
            <rFont val="Tahoma"/>
            <family val="2"/>
          </rPr>
          <t>Justin Van Vleck:</t>
        </r>
        <r>
          <rPr>
            <sz val="8"/>
            <color indexed="81"/>
            <rFont val="Tahoma"/>
            <family val="2"/>
          </rPr>
          <t xml:space="preserve">
hurt by 11 M of CCR restructuring costs</t>
        </r>
      </text>
    </comment>
    <comment ref="BZ168" authorId="5">
      <text>
        <r>
          <rPr>
            <b/>
            <sz val="8"/>
            <color indexed="81"/>
            <rFont val="Tahoma"/>
            <family val="2"/>
          </rPr>
          <t>Justin Van Vleck:</t>
        </r>
        <r>
          <rPr>
            <sz val="8"/>
            <color indexed="81"/>
            <rFont val="Tahoma"/>
            <family val="2"/>
          </rPr>
          <t xml:space="preserve">
This quarter had the largest CCR restructuring costs at 65M</t>
        </r>
      </text>
    </comment>
    <comment ref="CA168" authorId="5">
      <text>
        <r>
          <rPr>
            <b/>
            <sz val="8"/>
            <color indexed="81"/>
            <rFont val="Tahoma"/>
            <family val="2"/>
          </rPr>
          <t>Justin Van Vleck:</t>
        </r>
        <r>
          <rPr>
            <sz val="8"/>
            <color indexed="81"/>
            <rFont val="Tahoma"/>
            <family val="2"/>
          </rPr>
          <t xml:space="preserve">
hurt by 19M of CCR restructuring costs</t>
        </r>
      </text>
    </comment>
    <comment ref="CC168" authorId="5">
      <text>
        <r>
          <rPr>
            <b/>
            <sz val="8"/>
            <color indexed="81"/>
            <rFont val="Tahoma"/>
            <family val="2"/>
          </rPr>
          <t>Justin Van Vleck:</t>
        </r>
        <r>
          <rPr>
            <sz val="8"/>
            <color indexed="81"/>
            <rFont val="Tahoma"/>
            <family val="2"/>
          </rPr>
          <t xml:space="preserve">
hurt by 28M of CCR restructuring costs - margins in this quarter likely down more Y/Y than in 4Q as 4Q's restructuring costs were lower</t>
        </r>
      </text>
    </comment>
    <comment ref="BX169" authorId="5">
      <text>
        <r>
          <rPr>
            <b/>
            <sz val="8"/>
            <color indexed="81"/>
            <rFont val="Tahoma"/>
            <family val="2"/>
          </rPr>
          <t>Justin Van Vleck:</t>
        </r>
        <r>
          <rPr>
            <sz val="8"/>
            <color indexed="81"/>
            <rFont val="Tahoma"/>
            <family val="2"/>
          </rPr>
          <t xml:space="preserve">
"Gross margin was down 20 basis points in the quarter compared with the prior year.
The overall margin was negatively impacted by lower margins of the non-retail businesses and a
higher LIFO provision. This is partially offset by higher retail margins as a result of the impact of
generic drug sales. </t>
        </r>
        <r>
          <rPr>
            <b/>
            <sz val="8"/>
            <color indexed="81"/>
            <rFont val="Tahoma"/>
            <family val="2"/>
          </rPr>
          <t>Front-end margins were essentially flat year-over-year."</t>
        </r>
        <r>
          <rPr>
            <sz val="8"/>
            <color indexed="81"/>
            <rFont val="Tahoma"/>
            <family val="2"/>
          </rPr>
          <t xml:space="preserve">
Seems to be that they're saying FIFO front-end margins were essentially flat, and that a higher LIFO provision hurt their LIFO front-end margin, which is what they most broadly discuss</t>
        </r>
      </text>
    </comment>
    <comment ref="BY169" authorId="5">
      <text>
        <r>
          <rPr>
            <b/>
            <sz val="8"/>
            <color indexed="81"/>
            <rFont val="Tahoma"/>
            <family val="2"/>
          </rPr>
          <t>Justin Van Vleck:</t>
        </r>
        <r>
          <rPr>
            <sz val="8"/>
            <color indexed="81"/>
            <rFont val="Tahoma"/>
            <family val="2"/>
          </rPr>
          <t xml:space="preserve">
Gross margin was down 60 basis points in the quarter compared
with the prior year. Negatively impacting margins were lower front-end margins due to promotional
pricing and product mix, non-retail businesses and a higher LIFO provision. Helping overall
margins was an increase in pharmacy margins as a result of the impact of generic drug sales.</t>
        </r>
      </text>
    </comment>
    <comment ref="BZ169" authorId="5">
      <text>
        <r>
          <rPr>
            <b/>
            <sz val="8"/>
            <color indexed="81"/>
            <rFont val="Tahoma"/>
            <family val="2"/>
          </rPr>
          <t>Justin Van Vleck:</t>
        </r>
        <r>
          <rPr>
            <sz val="8"/>
            <color indexed="81"/>
            <rFont val="Tahoma"/>
            <family val="2"/>
          </rPr>
          <t xml:space="preserve">
front-end product mix, including LIFO, Non-Retail businesses, and CCR markdowns all negatively impacted gross margins</t>
        </r>
      </text>
    </comment>
    <comment ref="CA169" authorId="5">
      <text>
        <r>
          <rPr>
            <b/>
            <sz val="8"/>
            <color indexed="81"/>
            <rFont val="Tahoma"/>
            <family val="2"/>
          </rPr>
          <t>Justin Van Vleck:</t>
        </r>
        <r>
          <rPr>
            <sz val="8"/>
            <color indexed="81"/>
            <rFont val="Tahoma"/>
            <family val="2"/>
          </rPr>
          <t xml:space="preserve">
Gross margin was up 10 basis points compared with the year ago quarter to 27.7%. This includes a LIFO provision of $48 million in this
year’s quarter versus a provision of $24 million in last year’s fourth quarter.  Negatively impacting margin were non-retail businesses, front-end product mix, a higher LIFO provision and CCR markdowns. </t>
        </r>
      </text>
    </comment>
    <comment ref="CC169" authorId="5">
      <text>
        <r>
          <rPr>
            <b/>
            <sz val="8"/>
            <color indexed="81"/>
            <rFont val="Tahoma"/>
            <family val="2"/>
          </rPr>
          <t>Justin Van Vleck:</t>
        </r>
        <r>
          <rPr>
            <sz val="8"/>
            <color indexed="81"/>
            <rFont val="Tahoma"/>
            <family val="2"/>
          </rPr>
          <t xml:space="preserve">
Gross margin decreased 10 basis points compared with the year-ago quarter to 27.7%. Negatively impacting margins were front-end product mix, non-retail businesses, and CCR markdowns. </t>
        </r>
        <r>
          <rPr>
            <b/>
            <sz val="8"/>
            <color indexed="81"/>
            <rFont val="Tahoma"/>
            <family val="2"/>
          </rPr>
          <t>Also helping margins was a lower LIFO provision compared with the year-ago quarter.</t>
        </r>
      </text>
    </comment>
    <comment ref="CD169" authorId="5">
      <text>
        <r>
          <rPr>
            <b/>
            <sz val="8"/>
            <color indexed="81"/>
            <rFont val="Tahoma"/>
            <family val="2"/>
          </rPr>
          <t>Justin Van Vleck:</t>
        </r>
        <r>
          <rPr>
            <sz val="8"/>
            <color indexed="81"/>
            <rFont val="Tahoma"/>
            <family val="2"/>
          </rPr>
          <t xml:space="preserve">
Helping overall margins were improved seasonal margins due to decreased markdown activity year over year, a lower provision for LIFO and lower ‘Rewiring for Growth’ expenses.</t>
        </r>
      </text>
    </comment>
    <comment ref="CE169" authorId="5">
      <text>
        <r>
          <rPr>
            <b/>
            <sz val="8"/>
            <color indexed="81"/>
            <rFont val="Tahoma"/>
            <family val="2"/>
          </rPr>
          <t>Justin Van Vleck:</t>
        </r>
        <r>
          <rPr>
            <sz val="8"/>
            <color indexed="81"/>
            <rFont val="Tahoma"/>
            <family val="2"/>
          </rPr>
          <t xml:space="preserve">
Turning to gross profit, the margin improved 10 basis points in the quarter. </t>
        </r>
        <r>
          <rPr>
            <b/>
            <sz val="8"/>
            <color indexed="81"/>
            <rFont val="Tahoma"/>
            <family val="2"/>
          </rPr>
          <t>And the primary driver was an increase in front end margin</t>
        </r>
        <r>
          <rPr>
            <sz val="8"/>
            <color indexed="81"/>
            <rFont val="Tahoma"/>
            <family val="2"/>
          </rPr>
          <t>, which more than offset the negative impact of lower margins in the pharmacy.
Most of this improvement is likely from lapping last year's 65M CCR restructuring costs</t>
        </r>
      </text>
    </comment>
    <comment ref="CF169" authorId="5">
      <text>
        <r>
          <rPr>
            <b/>
            <sz val="8"/>
            <color indexed="81"/>
            <rFont val="Tahoma"/>
            <family val="2"/>
          </rPr>
          <t>Justin Van Vleck:</t>
        </r>
        <r>
          <rPr>
            <sz val="8"/>
            <color indexed="81"/>
            <rFont val="Tahoma"/>
            <family val="2"/>
          </rPr>
          <t xml:space="preserve">
Less aggressive markdowns helped them</t>
        </r>
      </text>
    </comment>
    <comment ref="CK169" authorId="5">
      <text>
        <r>
          <rPr>
            <b/>
            <sz val="8"/>
            <color indexed="81"/>
            <rFont val="Tahoma"/>
            <family val="2"/>
          </rPr>
          <t>Justin Van Vleck:</t>
        </r>
        <r>
          <rPr>
            <sz val="8"/>
            <color indexed="81"/>
            <rFont val="Tahoma"/>
            <family val="2"/>
          </rPr>
          <t xml:space="preserve">
down because of tougher comparison quarter last year</t>
        </r>
      </text>
    </comment>
    <comment ref="CM171" authorId="4">
      <text>
        <r>
          <rPr>
            <b/>
            <sz val="8"/>
            <color indexed="81"/>
            <rFont val="Tahoma"/>
            <family val="2"/>
          </rPr>
          <t>steshin:</t>
        </r>
        <r>
          <rPr>
            <sz val="8"/>
            <color indexed="81"/>
            <rFont val="Tahoma"/>
            <family val="2"/>
          </rPr>
          <t xml:space="preserve">
Basket: 2.6%
Traffic: -0.2%</t>
        </r>
      </text>
    </comment>
    <comment ref="CR171" authorId="4">
      <text>
        <r>
          <rPr>
            <b/>
            <sz val="8"/>
            <color indexed="81"/>
            <rFont val="Tahoma"/>
            <family val="2"/>
          </rPr>
          <t>steshin:</t>
        </r>
        <r>
          <rPr>
            <sz val="8"/>
            <color indexed="81"/>
            <rFont val="Tahoma"/>
            <family val="2"/>
          </rPr>
          <t xml:space="preserve">
12/21/12: Traffic -4.2%
Basket +2.2%</t>
        </r>
      </text>
    </comment>
    <comment ref="CS171" authorId="4">
      <text>
        <r>
          <rPr>
            <b/>
            <sz val="8"/>
            <color indexed="81"/>
            <rFont val="Tahoma"/>
            <family val="2"/>
          </rPr>
          <t>steshin:</t>
        </r>
        <r>
          <rPr>
            <sz val="8"/>
            <color indexed="81"/>
            <rFont val="Tahoma"/>
            <family val="2"/>
          </rPr>
          <t xml:space="preserve">
3/19/2013:
traffic: -5.2%
basket: +2.8%
includes lapping extra day in Feb from 2012</t>
        </r>
      </text>
    </comment>
    <comment ref="CT171" authorId="0">
      <text>
        <r>
          <rPr>
            <b/>
            <sz val="8"/>
            <color indexed="81"/>
            <rFont val="Tahoma"/>
            <family val="2"/>
          </rPr>
          <t>saursing:</t>
        </r>
        <r>
          <rPr>
            <sz val="8"/>
            <color indexed="81"/>
            <rFont val="Tahoma"/>
            <family val="2"/>
          </rPr>
          <t xml:space="preserve">
Traffic -3.9%, Basket +4.4%</t>
        </r>
      </text>
    </comment>
    <comment ref="CX171" authorId="1">
      <text>
        <r>
          <rPr>
            <b/>
            <sz val="9"/>
            <color indexed="81"/>
            <rFont val="Tahoma"/>
            <family val="2"/>
          </rPr>
          <t>Singh, Saurabh (Research):</t>
        </r>
        <r>
          <rPr>
            <sz val="9"/>
            <color indexed="81"/>
            <rFont val="Tahoma"/>
            <family val="2"/>
          </rPr>
          <t xml:space="preserve">
We had assumed 2.6% vs. actual 2.0%
Severe weather impact was estimated at -0.6%</t>
        </r>
      </text>
    </comment>
    <comment ref="DC171" authorId="1">
      <text>
        <r>
          <rPr>
            <b/>
            <sz val="9"/>
            <color indexed="81"/>
            <rFont val="Tahoma"/>
            <family val="2"/>
          </rPr>
          <t>Singh, Saurabh (Research):</t>
        </r>
        <r>
          <rPr>
            <sz val="9"/>
            <color indexed="81"/>
            <rFont val="Tahoma"/>
            <family val="2"/>
          </rPr>
          <t xml:space="preserve">
We had assumed 1.75% vs. actual 2.5%</t>
        </r>
      </text>
    </comment>
    <comment ref="CX173" authorId="1">
      <text>
        <r>
          <rPr>
            <b/>
            <sz val="9"/>
            <color indexed="81"/>
            <rFont val="Tahoma"/>
            <family val="2"/>
          </rPr>
          <t>Singh, Saurabh (Research):</t>
        </r>
        <r>
          <rPr>
            <sz val="9"/>
            <color indexed="81"/>
            <rFont val="Tahoma"/>
            <family val="2"/>
          </rPr>
          <t xml:space="preserve">
Need square footage for qtr to be sure of actual productivity</t>
        </r>
      </text>
    </comment>
    <comment ref="CY173" authorId="1">
      <text>
        <r>
          <rPr>
            <b/>
            <sz val="9"/>
            <color indexed="81"/>
            <rFont val="Tahoma"/>
            <family val="2"/>
          </rPr>
          <t>Singh, Saurabh (Research):</t>
        </r>
        <r>
          <rPr>
            <sz val="9"/>
            <color indexed="81"/>
            <rFont val="Tahoma"/>
            <family val="2"/>
          </rPr>
          <t xml:space="preserve">
Need square footage for qtr to be sure of actual productivity</t>
        </r>
      </text>
    </comment>
    <comment ref="CZ173" authorId="1">
      <text>
        <r>
          <rPr>
            <b/>
            <sz val="9"/>
            <color indexed="81"/>
            <rFont val="Tahoma"/>
            <family val="2"/>
          </rPr>
          <t>Singh, Saurabh (Research):</t>
        </r>
        <r>
          <rPr>
            <sz val="9"/>
            <color indexed="81"/>
            <rFont val="Tahoma"/>
            <family val="2"/>
          </rPr>
          <t xml:space="preserve">
Store closures;
Need square footage for qtr to be sure of actual productivity</t>
        </r>
      </text>
    </comment>
    <comment ref="DB173" authorId="1">
      <text>
        <r>
          <rPr>
            <b/>
            <sz val="9"/>
            <color indexed="81"/>
            <rFont val="Tahoma"/>
            <family val="2"/>
          </rPr>
          <t>Singh, Saurabh (Research):</t>
        </r>
        <r>
          <rPr>
            <sz val="9"/>
            <color indexed="81"/>
            <rFont val="Tahoma"/>
            <family val="2"/>
          </rPr>
          <t xml:space="preserve">
Store closures;
Need square footage for qtr to be sure of actual productivity</t>
        </r>
      </text>
    </comment>
    <comment ref="CZ174" authorId="1">
      <text>
        <r>
          <rPr>
            <b/>
            <sz val="9"/>
            <color indexed="81"/>
            <rFont val="Tahoma"/>
            <family val="2"/>
          </rPr>
          <t>Singh, Saurabh (Research):</t>
        </r>
        <r>
          <rPr>
            <sz val="9"/>
            <color indexed="81"/>
            <rFont val="Tahoma"/>
            <family val="2"/>
          </rPr>
          <t xml:space="preserve">
Store closures</t>
        </r>
      </text>
    </comment>
    <comment ref="DZ174" authorId="6">
      <text>
        <r>
          <rPr>
            <b/>
            <sz val="9"/>
            <color indexed="81"/>
            <rFont val="Tahoma"/>
            <family val="2"/>
          </rPr>
          <t>Rosenblum, Mark (Research):</t>
        </r>
        <r>
          <rPr>
            <sz val="9"/>
            <color indexed="81"/>
            <rFont val="Tahoma"/>
            <family val="2"/>
          </rPr>
          <t xml:space="preserve">
Impact from RAD store closures</t>
        </r>
      </text>
    </comment>
    <comment ref="DR181" authorId="6">
      <text>
        <r>
          <rPr>
            <b/>
            <sz val="9"/>
            <color indexed="81"/>
            <rFont val="Tahoma"/>
            <family val="2"/>
          </rPr>
          <t>Rosenblum, Mark (Research):</t>
        </r>
        <r>
          <rPr>
            <sz val="9"/>
            <color indexed="81"/>
            <rFont val="Tahoma"/>
            <family val="2"/>
          </rPr>
          <t xml:space="preserve">
2 months of FEP Specialty</t>
        </r>
      </text>
    </comment>
    <comment ref="BX183" authorId="5">
      <text>
        <r>
          <rPr>
            <b/>
            <sz val="8"/>
            <color indexed="81"/>
            <rFont val="Tahoma"/>
            <family val="2"/>
          </rPr>
          <t>Justin Van Vleck:</t>
        </r>
        <r>
          <rPr>
            <sz val="8"/>
            <color indexed="81"/>
            <rFont val="Tahoma"/>
            <family val="2"/>
          </rPr>
          <t xml:space="preserve">
non-retail businesses negatively impacted gross margin</t>
        </r>
      </text>
    </comment>
    <comment ref="BZ183" authorId="5">
      <text>
        <r>
          <rPr>
            <b/>
            <sz val="8"/>
            <color indexed="81"/>
            <rFont val="Tahoma"/>
            <family val="2"/>
          </rPr>
          <t>Justin Van Vleck:</t>
        </r>
        <r>
          <rPr>
            <sz val="8"/>
            <color indexed="81"/>
            <rFont val="Tahoma"/>
            <family val="2"/>
          </rPr>
          <t xml:space="preserve">
Non-retail businesses negatively impacted gross margins this quarter</t>
        </r>
      </text>
    </comment>
    <comment ref="CC183" authorId="3">
      <text>
        <r>
          <rPr>
            <b/>
            <sz val="8"/>
            <color indexed="81"/>
            <rFont val="Tahoma"/>
            <family val="2"/>
          </rPr>
          <t>justinv:</t>
        </r>
        <r>
          <rPr>
            <sz val="8"/>
            <color indexed="81"/>
            <rFont val="Tahoma"/>
            <family val="2"/>
          </rPr>
          <t xml:space="preserve">
non-retail business negatively impacted gross margin this quarter.</t>
        </r>
      </text>
    </comment>
    <comment ref="DC199" authorId="1">
      <text>
        <r>
          <rPr>
            <b/>
            <sz val="9"/>
            <color indexed="81"/>
            <rFont val="Tahoma"/>
            <family val="2"/>
          </rPr>
          <t>Singh, Saurabh (Research):</t>
        </r>
        <r>
          <rPr>
            <sz val="9"/>
            <color indexed="81"/>
            <rFont val="Tahoma"/>
            <family val="2"/>
          </rPr>
          <t xml:space="preserve">
Excludes AB equity earnings</t>
        </r>
      </text>
    </comment>
    <comment ref="DC200" authorId="1">
      <text>
        <r>
          <rPr>
            <b/>
            <sz val="9"/>
            <color indexed="81"/>
            <rFont val="Tahoma"/>
            <family val="2"/>
          </rPr>
          <t>Singh, Saurabh (Research):</t>
        </r>
        <r>
          <rPr>
            <sz val="9"/>
            <color indexed="81"/>
            <rFont val="Tahoma"/>
            <family val="2"/>
          </rPr>
          <t xml:space="preserve">
Excludes AB equity earnings</t>
        </r>
      </text>
    </comment>
    <comment ref="BX215" authorId="5">
      <text>
        <r>
          <rPr>
            <b/>
            <sz val="8"/>
            <color indexed="81"/>
            <rFont val="Tahoma"/>
            <family val="2"/>
          </rPr>
          <t>Justin Van Vleck:</t>
        </r>
        <r>
          <rPr>
            <sz val="8"/>
            <color indexed="81"/>
            <rFont val="Tahoma"/>
            <family val="2"/>
          </rPr>
          <t xml:space="preserve">
Retail pharmacy margins were up</t>
        </r>
      </text>
    </comment>
    <comment ref="BY215" authorId="5">
      <text>
        <r>
          <rPr>
            <b/>
            <sz val="8"/>
            <color indexed="81"/>
            <rFont val="Tahoma"/>
            <family val="2"/>
          </rPr>
          <t>Justin Van Vleck:</t>
        </r>
        <r>
          <rPr>
            <sz val="8"/>
            <color indexed="81"/>
            <rFont val="Tahoma"/>
            <family val="2"/>
          </rPr>
          <t xml:space="preserve">
Gross margin was down 60 basis points in the quarter compared
with the prior year. Negatively impacting margins were lower front-end margins due to promotional
pricing and product mix, non-retail businesses and a higher LIFO provision. </t>
        </r>
        <r>
          <rPr>
            <b/>
            <sz val="8"/>
            <color indexed="81"/>
            <rFont val="Tahoma"/>
            <family val="2"/>
          </rPr>
          <t>Helping overall
margins was an increase in pharmacy margins as a result of the impact of generic drug sales.</t>
        </r>
      </text>
    </comment>
    <comment ref="BZ215" authorId="5">
      <text>
        <r>
          <rPr>
            <b/>
            <sz val="8"/>
            <color indexed="81"/>
            <rFont val="Tahoma"/>
            <family val="2"/>
          </rPr>
          <t>Justin Van Vleck:</t>
        </r>
        <r>
          <rPr>
            <sz val="8"/>
            <color indexed="81"/>
            <rFont val="Tahoma"/>
            <family val="2"/>
          </rPr>
          <t xml:space="preserve">
Gross margin was down 80 basis points in the quarter compared with prior year. Negatively impacting margins were front end product mix including LIFO, non-retail businesses and CCR markdowns.
</t>
        </r>
        <r>
          <rPr>
            <b/>
            <sz val="8"/>
            <color indexed="81"/>
            <rFont val="Tahoma"/>
            <family val="2"/>
          </rPr>
          <t>Partially offsetting the overall margin decline was an increase in pharmacy margins resulting from
generic drug sales.</t>
        </r>
      </text>
    </comment>
    <comment ref="CA215" authorId="5">
      <text>
        <r>
          <rPr>
            <b/>
            <sz val="8"/>
            <color indexed="81"/>
            <rFont val="Tahoma"/>
            <family val="2"/>
          </rPr>
          <t>Justin Van Vleck:</t>
        </r>
        <r>
          <rPr>
            <sz val="8"/>
            <color indexed="81"/>
            <rFont val="Tahoma"/>
            <family val="2"/>
          </rPr>
          <t xml:space="preserve">
Gross margin was up 10 basis points compared with the year ago quarter to 27.7%. This includes a LIFO provision of $48 million in this
year’s quarter versus a provision of $24 million in last year’s fourth quarter, </t>
        </r>
        <r>
          <rPr>
            <b/>
            <sz val="8"/>
            <color indexed="81"/>
            <rFont val="Tahoma"/>
            <family val="2"/>
          </rPr>
          <t>helping overall margins was an increase in retail pharmacy margins for the generics.</t>
        </r>
        <r>
          <rPr>
            <sz val="8"/>
            <color indexed="81"/>
            <rFont val="Tahoma"/>
            <family val="2"/>
          </rPr>
          <t xml:space="preserve">  Negatively impacting margin were non-retail businesses, front-end product mix, a higher LIFO provision and CCR markdowns. </t>
        </r>
      </text>
    </comment>
    <comment ref="CB215" authorId="5">
      <text>
        <r>
          <rPr>
            <b/>
            <sz val="8"/>
            <color indexed="81"/>
            <rFont val="Tahoma"/>
            <family val="2"/>
          </rPr>
          <t>Justin Van Vleck:</t>
        </r>
        <r>
          <rPr>
            <sz val="8"/>
            <color indexed="81"/>
            <rFont val="Tahoma"/>
            <family val="2"/>
          </rPr>
          <t xml:space="preserve">
Gross margin was up 10 basis points compared with the year ago quarter to 27.7%. This includes a LIFO provision of $48 million in this
year’s quarter versus a provision of $24 million in last year’s fourth quarter, </t>
        </r>
        <r>
          <rPr>
            <b/>
            <sz val="8"/>
            <color indexed="81"/>
            <rFont val="Tahoma"/>
            <family val="2"/>
          </rPr>
          <t>helping overall margins was an increase in retail pharmacy margins for the generics.</t>
        </r>
        <r>
          <rPr>
            <sz val="8"/>
            <color indexed="81"/>
            <rFont val="Tahoma"/>
            <family val="2"/>
          </rPr>
          <t xml:space="preserve">  Negatively impacting margin were non-retail businesses, front-end product mix, a higher LIFO provision and CCR markdowns.</t>
        </r>
        <r>
          <rPr>
            <b/>
            <sz val="8"/>
            <color indexed="81"/>
            <rFont val="Tahoma"/>
            <family val="2"/>
          </rPr>
          <t xml:space="preserve"> For the full fiscal year, our gross profit declined 40 basis points while the same factors were at play, the increases in retail pharmacy margins didn’t completely
offset the negative factors.
</t>
        </r>
        <r>
          <rPr>
            <sz val="8"/>
            <color indexed="81"/>
            <rFont val="Tahoma"/>
            <family val="2"/>
          </rPr>
          <t>This likely means pharmacy margins were up Y/Y</t>
        </r>
      </text>
    </comment>
    <comment ref="CC215" authorId="5">
      <text>
        <r>
          <rPr>
            <b/>
            <sz val="8"/>
            <color indexed="81"/>
            <rFont val="Tahoma"/>
            <family val="2"/>
          </rPr>
          <t>Justin Van Vleck:</t>
        </r>
        <r>
          <rPr>
            <sz val="8"/>
            <color indexed="81"/>
            <rFont val="Tahoma"/>
            <family val="2"/>
          </rPr>
          <t xml:space="preserve">
Helping overall margins was an increase in retail pharmacy margins due to the impact of generics
and flu shots, although those gains were partially offset by third-party reimbursement pressure
including the impact of AWP changes on Medicaid prescriptions. </t>
        </r>
      </text>
    </comment>
    <comment ref="AP218" authorId="7">
      <text>
        <r>
          <rPr>
            <b/>
            <sz val="8"/>
            <color indexed="81"/>
            <rFont val="Tahoma"/>
            <family val="2"/>
          </rPr>
          <t>fariborz:</t>
        </r>
        <r>
          <rPr>
            <sz val="8"/>
            <color indexed="81"/>
            <rFont val="Tahoma"/>
            <family val="2"/>
          </rPr>
          <t xml:space="preserve">
new store openings accounted for 9.8% of the quarterly sales  increase</t>
        </r>
      </text>
    </comment>
    <comment ref="AK219" authorId="7">
      <text>
        <r>
          <rPr>
            <b/>
            <sz val="8"/>
            <color indexed="81"/>
            <rFont val="Tahoma"/>
            <family val="2"/>
          </rPr>
          <t>fariborz:</t>
        </r>
        <r>
          <rPr>
            <sz val="8"/>
            <color indexed="81"/>
            <rFont val="Tahoma"/>
            <family val="2"/>
          </rPr>
          <t xml:space="preserve">
on apples to apples basis (w/o 29 day in Feb): 18.1%</t>
        </r>
      </text>
    </comment>
    <comment ref="AK220" authorId="7">
      <text>
        <r>
          <rPr>
            <b/>
            <sz val="8"/>
            <color indexed="81"/>
            <rFont val="Tahoma"/>
            <family val="2"/>
          </rPr>
          <t>fariborz:</t>
        </r>
        <r>
          <rPr>
            <sz val="8"/>
            <color indexed="81"/>
            <rFont val="Tahoma"/>
            <family val="2"/>
          </rPr>
          <t xml:space="preserve">
on apples to apples basis (w/o 29 day in Feb): 1.4%</t>
        </r>
      </text>
    </comment>
    <comment ref="CN220" authorId="4">
      <text>
        <r>
          <rPr>
            <b/>
            <sz val="8"/>
            <color indexed="81"/>
            <rFont val="Tahoma"/>
            <family val="2"/>
          </rPr>
          <t>steshin:</t>
        </r>
        <r>
          <rPr>
            <sz val="8"/>
            <color indexed="81"/>
            <rFont val="Tahoma"/>
            <family val="2"/>
          </rPr>
          <t xml:space="preserve">
+1.2% ex Leap Day
+0.9 from Leap day</t>
        </r>
      </text>
    </comment>
    <comment ref="CQ220" authorId="4">
      <text>
        <r>
          <rPr>
            <b/>
            <sz val="8"/>
            <color indexed="81"/>
            <rFont val="Tahoma"/>
            <family val="2"/>
          </rPr>
          <t>steshin:</t>
        </r>
        <r>
          <rPr>
            <sz val="8"/>
            <color indexed="81"/>
            <rFont val="Tahoma"/>
            <family val="2"/>
          </rPr>
          <t xml:space="preserve">
+from beer, wine, OTC, beauty
-household products</t>
        </r>
      </text>
    </comment>
    <comment ref="CN222" authorId="4">
      <text>
        <r>
          <rPr>
            <b/>
            <sz val="8"/>
            <color indexed="81"/>
            <rFont val="Tahoma"/>
            <family val="2"/>
          </rPr>
          <t>steshin:</t>
        </r>
        <r>
          <rPr>
            <sz val="8"/>
            <color indexed="81"/>
            <rFont val="Tahoma"/>
            <family val="2"/>
          </rPr>
          <t xml:space="preserve">
3/27/11: reported as 61%; used 60.8% to get to reported overall SSS</t>
        </r>
      </text>
    </comment>
    <comment ref="CQ222" authorId="4">
      <text>
        <r>
          <rPr>
            <b/>
            <sz val="8"/>
            <color indexed="81"/>
            <rFont val="Tahoma"/>
            <family val="2"/>
          </rPr>
          <t>steshin:</t>
        </r>
        <r>
          <rPr>
            <sz val="8"/>
            <color indexed="81"/>
            <rFont val="Tahoma"/>
            <family val="2"/>
          </rPr>
          <t xml:space="preserve">
should be 63.2%</t>
        </r>
      </text>
    </comment>
    <comment ref="CT222" authorId="0">
      <text>
        <r>
          <rPr>
            <b/>
            <sz val="8"/>
            <color indexed="81"/>
            <rFont val="Tahoma"/>
            <family val="2"/>
          </rPr>
          <t>saursing:</t>
        </r>
        <r>
          <rPr>
            <sz val="8"/>
            <color indexed="81"/>
            <rFont val="Tahoma"/>
            <family val="2"/>
          </rPr>
          <t xml:space="preserve">
Per 3QFY13 PR</t>
        </r>
      </text>
    </comment>
    <comment ref="CW222" authorId="1">
      <text>
        <r>
          <rPr>
            <b/>
            <sz val="9"/>
            <color indexed="81"/>
            <rFont val="Tahoma"/>
            <family val="2"/>
          </rPr>
          <t>Singh, Saurabh (Research):</t>
        </r>
        <r>
          <rPr>
            <sz val="9"/>
            <color indexed="81"/>
            <rFont val="Tahoma"/>
            <family val="2"/>
          </rPr>
          <t xml:space="preserve">
Not given in Nov '13 PR will be available in 1QFY14 PR but calculated from monthly sales disclosures</t>
        </r>
      </text>
    </comment>
    <comment ref="CQ223" authorId="4">
      <text>
        <r>
          <rPr>
            <b/>
            <sz val="8"/>
            <color indexed="81"/>
            <rFont val="Tahoma"/>
            <family val="2"/>
          </rPr>
          <t>steshin:</t>
        </r>
        <r>
          <rPr>
            <sz val="8"/>
            <color indexed="81"/>
            <rFont val="Tahoma"/>
            <family val="2"/>
          </rPr>
          <t xml:space="preserve">
25% gen merch
12% non-prescription drugs</t>
        </r>
      </text>
    </comment>
  </commentList>
</comments>
</file>

<file path=xl/comments3.xml><?xml version="1.0" encoding="utf-8"?>
<comments xmlns="http://schemas.openxmlformats.org/spreadsheetml/2006/main">
  <authors>
    <author>Rosenblum, Mark (Research)</author>
  </authors>
  <commentList>
    <comment ref="DC13" authorId="0">
      <text>
        <r>
          <rPr>
            <b/>
            <sz val="9"/>
            <color indexed="81"/>
            <rFont val="Tahoma"/>
            <family val="2"/>
          </rPr>
          <t>Rosenblum, Mark (Research):</t>
        </r>
        <r>
          <rPr>
            <sz val="9"/>
            <color indexed="81"/>
            <rFont val="Tahoma"/>
            <family val="2"/>
          </rPr>
          <t xml:space="preserve">
January and February Only.  Company reported January and February Only</t>
        </r>
      </text>
    </comment>
  </commentList>
</comments>
</file>

<file path=xl/comments4.xml><?xml version="1.0" encoding="utf-8"?>
<comments xmlns="http://schemas.openxmlformats.org/spreadsheetml/2006/main">
  <authors>
    <author>Rosenblum, Mark (Research)</author>
  </authors>
  <commentList>
    <comment ref="DC12" authorId="0">
      <text>
        <r>
          <rPr>
            <b/>
            <sz val="9"/>
            <color indexed="81"/>
            <rFont val="Tahoma"/>
            <family val="2"/>
          </rPr>
          <t>Rosenblum, Mark (Research):</t>
        </r>
        <r>
          <rPr>
            <sz val="9"/>
            <color indexed="81"/>
            <rFont val="Tahoma"/>
            <family val="2"/>
          </rPr>
          <t xml:space="preserve">
Run rate for 3 months.  Company reported January and February Only</t>
        </r>
      </text>
    </comment>
    <comment ref="DG12" authorId="0">
      <text>
        <r>
          <rPr>
            <b/>
            <sz val="9"/>
            <color indexed="81"/>
            <rFont val="Tahoma"/>
            <family val="2"/>
          </rPr>
          <t>Rosenblum, Mark (Research):</t>
        </r>
        <r>
          <rPr>
            <sz val="9"/>
            <color indexed="81"/>
            <rFont val="Tahoma"/>
            <family val="2"/>
          </rPr>
          <t xml:space="preserve">
Using q/q comp due to lack of historical data</t>
        </r>
      </text>
    </comment>
    <comment ref="DH12" authorId="0">
      <text>
        <r>
          <rPr>
            <b/>
            <sz val="9"/>
            <color indexed="81"/>
            <rFont val="Tahoma"/>
            <family val="2"/>
          </rPr>
          <t>Rosenblum, Mark (Research):</t>
        </r>
        <r>
          <rPr>
            <sz val="9"/>
            <color indexed="81"/>
            <rFont val="Tahoma"/>
            <family val="2"/>
          </rPr>
          <t xml:space="preserve">
Using q/q comp due to lack of historical data</t>
        </r>
      </text>
    </comment>
    <comment ref="DL32" authorId="0">
      <text>
        <r>
          <rPr>
            <b/>
            <sz val="9"/>
            <color indexed="81"/>
            <rFont val="Tahoma"/>
            <family val="2"/>
          </rPr>
          <t>Rosenblum, Mark (Research):</t>
        </r>
        <r>
          <rPr>
            <sz val="9"/>
            <color indexed="81"/>
            <rFont val="Tahoma"/>
            <family val="2"/>
          </rPr>
          <t xml:space="preserve">
Comp down from sale of Russian distribution business.</t>
        </r>
      </text>
    </comment>
  </commentList>
</comments>
</file>

<file path=xl/comments5.xml><?xml version="1.0" encoding="utf-8"?>
<comments xmlns="http://schemas.openxmlformats.org/spreadsheetml/2006/main">
  <authors>
    <author>Rosenblum, Mark (Research)</author>
  </authors>
  <commentList>
    <comment ref="B39" authorId="0">
      <text>
        <r>
          <rPr>
            <b/>
            <sz val="9"/>
            <color indexed="81"/>
            <rFont val="Tahoma"/>
            <family val="2"/>
          </rPr>
          <t>Rosenblum, Mark (Research):</t>
        </r>
        <r>
          <rPr>
            <sz val="9"/>
            <color indexed="81"/>
            <rFont val="Tahoma"/>
            <family val="2"/>
          </rPr>
          <t xml:space="preserve">
3 Month LIBOR plus 45 bps</t>
        </r>
      </text>
    </comment>
  </commentList>
</comments>
</file>

<file path=xl/comments6.xml><?xml version="1.0" encoding="utf-8"?>
<comments xmlns="http://schemas.openxmlformats.org/spreadsheetml/2006/main">
  <authors>
    <author>Singh, Saurabh (Research)</author>
    <author>Justin Van Vleck</author>
    <author>saursing</author>
  </authors>
  <commentList>
    <comment ref="V27" authorId="0">
      <text>
        <r>
          <rPr>
            <b/>
            <sz val="9"/>
            <color indexed="81"/>
            <rFont val="Tahoma"/>
            <family val="2"/>
          </rPr>
          <t>Singh, Saurabh (Research):</t>
        </r>
        <r>
          <rPr>
            <sz val="9"/>
            <color indexed="81"/>
            <rFont val="Tahoma"/>
            <family val="2"/>
          </rPr>
          <t xml:space="preserve">
We had assumed 3.3% vs. actual 2.4%</t>
        </r>
      </text>
    </comment>
    <comment ref="V78" authorId="0">
      <text>
        <r>
          <rPr>
            <b/>
            <sz val="9"/>
            <color indexed="81"/>
            <rFont val="Tahoma"/>
            <family val="2"/>
          </rPr>
          <t>Singh, Saurabh (Research):</t>
        </r>
        <r>
          <rPr>
            <sz val="9"/>
            <color indexed="81"/>
            <rFont val="Tahoma"/>
            <family val="2"/>
          </rPr>
          <t xml:space="preserve">
We had assumed 3.3% vs. actual 2.4%, in qtr was revised down to 2.2%; weather impact of 0.8%</t>
        </r>
      </text>
    </comment>
    <comment ref="W78" authorId="0">
      <text>
        <r>
          <rPr>
            <b/>
            <sz val="9"/>
            <color indexed="81"/>
            <rFont val="Tahoma"/>
            <family val="2"/>
          </rPr>
          <t>Singh, Saurabh (Research):</t>
        </r>
        <r>
          <rPr>
            <sz val="9"/>
            <color indexed="81"/>
            <rFont val="Tahoma"/>
            <family val="2"/>
          </rPr>
          <t xml:space="preserve">
Per May SSS PR, we were at 3.7%</t>
        </r>
      </text>
    </comment>
    <comment ref="X78" authorId="0">
      <text>
        <r>
          <rPr>
            <b/>
            <sz val="9"/>
            <color indexed="81"/>
            <rFont val="Tahoma"/>
            <family val="2"/>
          </rPr>
          <t>Singh, Saurabh (Research):</t>
        </r>
        <r>
          <rPr>
            <sz val="9"/>
            <color indexed="81"/>
            <rFont val="Tahoma"/>
            <family val="2"/>
          </rPr>
          <t xml:space="preserve">
Per Aug SSS PR, we SSS up 3.9% y/y vs. MS est. of +3.8%</t>
        </r>
      </text>
    </comment>
    <comment ref="L79" authorId="1">
      <text>
        <r>
          <rPr>
            <b/>
            <sz val="8"/>
            <color indexed="81"/>
            <rFont val="Tahoma"/>
            <family val="2"/>
          </rPr>
          <t>Justin Van Vleck:</t>
        </r>
        <r>
          <rPr>
            <sz val="8"/>
            <color indexed="81"/>
            <rFont val="Tahoma"/>
            <family val="2"/>
          </rPr>
          <t xml:space="preserve">
See WAG with No ESRX, MHS Script model for more details on how we got to these estimates</t>
        </r>
      </text>
    </comment>
    <comment ref="L87" authorId="1">
      <text>
        <r>
          <rPr>
            <b/>
            <sz val="8"/>
            <color indexed="81"/>
            <rFont val="Tahoma"/>
            <family val="2"/>
          </rPr>
          <t>Justin Van Vleck:</t>
        </r>
        <r>
          <rPr>
            <sz val="8"/>
            <color indexed="81"/>
            <rFont val="Tahoma"/>
            <family val="2"/>
          </rPr>
          <t xml:space="preserve">
Goes up because lower profitable ESRX scripts are gone from the portfolio</t>
        </r>
      </text>
    </comment>
    <comment ref="M87" authorId="1">
      <text>
        <r>
          <rPr>
            <b/>
            <sz val="8"/>
            <color indexed="81"/>
            <rFont val="Tahoma"/>
            <family val="2"/>
          </rPr>
          <t>Justin Van Vleck:</t>
        </r>
        <r>
          <rPr>
            <sz val="8"/>
            <color indexed="81"/>
            <rFont val="Tahoma"/>
            <family val="2"/>
          </rPr>
          <t xml:space="preserve">
Goes up because lower profitable ESRX scripts are gone from the portfolio</t>
        </r>
      </text>
    </comment>
    <comment ref="N87" authorId="1">
      <text>
        <r>
          <rPr>
            <b/>
            <sz val="8"/>
            <color indexed="81"/>
            <rFont val="Tahoma"/>
            <family val="2"/>
          </rPr>
          <t>Justin Van Vleck:</t>
        </r>
        <r>
          <rPr>
            <sz val="8"/>
            <color indexed="81"/>
            <rFont val="Tahoma"/>
            <family val="2"/>
          </rPr>
          <t xml:space="preserve">
Goes up because lower profitable ESRX scripts are gone from the portfolio</t>
        </r>
      </text>
    </comment>
    <comment ref="L88" authorId="1">
      <text>
        <r>
          <rPr>
            <b/>
            <sz val="8"/>
            <color indexed="81"/>
            <rFont val="Tahoma"/>
            <family val="2"/>
          </rPr>
          <t>Justin Van Vleck:</t>
        </r>
        <r>
          <rPr>
            <sz val="8"/>
            <color indexed="81"/>
            <rFont val="Tahoma"/>
            <family val="2"/>
          </rPr>
          <t xml:space="preserve">
Goes up because lower profitable ESRX scripts are gone from the portfolio</t>
        </r>
      </text>
    </comment>
    <comment ref="M88" authorId="1">
      <text>
        <r>
          <rPr>
            <b/>
            <sz val="8"/>
            <color indexed="81"/>
            <rFont val="Tahoma"/>
            <family val="2"/>
          </rPr>
          <t>Justin Van Vleck:</t>
        </r>
        <r>
          <rPr>
            <sz val="8"/>
            <color indexed="81"/>
            <rFont val="Tahoma"/>
            <family val="2"/>
          </rPr>
          <t xml:space="preserve">
Goes up because lower profitable ESRX scripts are gone from the portfolio</t>
        </r>
      </text>
    </comment>
    <comment ref="N88" authorId="1">
      <text>
        <r>
          <rPr>
            <b/>
            <sz val="8"/>
            <color indexed="81"/>
            <rFont val="Tahoma"/>
            <family val="2"/>
          </rPr>
          <t>Justin Van Vleck:</t>
        </r>
        <r>
          <rPr>
            <sz val="8"/>
            <color indexed="81"/>
            <rFont val="Tahoma"/>
            <family val="2"/>
          </rPr>
          <t xml:space="preserve">
Goes up because lower profitable ESRX scripts are gone from the portfolio</t>
        </r>
      </text>
    </comment>
    <comment ref="K109" authorId="1">
      <text>
        <r>
          <rPr>
            <b/>
            <sz val="8"/>
            <color indexed="81"/>
            <rFont val="Tahoma"/>
            <family val="2"/>
          </rPr>
          <t>Justin Van Vleck:</t>
        </r>
        <r>
          <rPr>
            <sz val="8"/>
            <color indexed="81"/>
            <rFont val="Tahoma"/>
            <family val="2"/>
          </rPr>
          <t xml:space="preserve">
lower because Wade said on the 1Q call that they were lapping a strong front-end margin year last year.  This is a bit of a guess as the 2 year stacked has been quite volatile</t>
        </r>
      </text>
    </comment>
    <comment ref="L109" authorId="1">
      <text>
        <r>
          <rPr>
            <b/>
            <sz val="8"/>
            <color indexed="81"/>
            <rFont val="Tahoma"/>
            <family val="2"/>
          </rPr>
          <t>Justin Van Vleck:</t>
        </r>
        <r>
          <rPr>
            <sz val="8"/>
            <color indexed="81"/>
            <rFont val="Tahoma"/>
            <family val="2"/>
          </rPr>
          <t xml:space="preserve">
lower because Wade said on the 1Q call that they were lapping a strong front-end margin year last year.  This is a bit of a guess as the 2 year stacked has been quite volatile</t>
        </r>
      </text>
    </comment>
    <comment ref="P132" authorId="2">
      <text>
        <r>
          <rPr>
            <b/>
            <sz val="8"/>
            <color indexed="81"/>
            <rFont val="Tahoma"/>
            <family val="2"/>
          </rPr>
          <t xml:space="preserve">saursing:
</t>
        </r>
        <r>
          <rPr>
            <sz val="8"/>
            <color indexed="81"/>
            <rFont val="Tahoma"/>
            <family val="2"/>
          </rPr>
          <t>AB share of pre-tax synergies would have been same as WAG, i.e. $3M, but contribution to WAG would be after AB taxes (20%) and WAG ownership (45%)</t>
        </r>
      </text>
    </comment>
    <comment ref="Q132" authorId="2">
      <text>
        <r>
          <rPr>
            <b/>
            <sz val="8"/>
            <color indexed="81"/>
            <rFont val="Tahoma"/>
            <family val="2"/>
          </rPr>
          <t xml:space="preserve">saursing:
</t>
        </r>
        <r>
          <rPr>
            <sz val="8"/>
            <color indexed="81"/>
            <rFont val="Tahoma"/>
            <family val="2"/>
          </rPr>
          <t>AB share of pre-tax synergies would have been same as WAG, i.e. $34M, but contribution to WAG would be after AB taxes (20%) and WAG ownership (45%)</t>
        </r>
      </text>
    </comment>
    <comment ref="R132" authorId="2">
      <text>
        <r>
          <rPr>
            <b/>
            <sz val="8"/>
            <color indexed="81"/>
            <rFont val="Tahoma"/>
            <family val="2"/>
          </rPr>
          <t xml:space="preserve">saursing:
</t>
        </r>
        <r>
          <rPr>
            <sz val="8"/>
            <color indexed="81"/>
            <rFont val="Tahoma"/>
            <family val="2"/>
          </rPr>
          <t>AB share of pre-tax synergies would have been same as WAG, i.e. $39M, but contribution to WAG would be after AB taxes (20%) and WAG ownership (45%)</t>
        </r>
      </text>
    </comment>
    <comment ref="S132" authorId="2">
      <text>
        <r>
          <rPr>
            <b/>
            <sz val="8"/>
            <color indexed="81"/>
            <rFont val="Tahoma"/>
            <family val="2"/>
          </rPr>
          <t xml:space="preserve">saursing:
</t>
        </r>
        <r>
          <rPr>
            <sz val="8"/>
            <color indexed="81"/>
            <rFont val="Tahoma"/>
            <family val="2"/>
          </rPr>
          <t>AB share of pre-tax synergies would have been same as WAG, i.e. $78M, but contribution to WAG would be after AB taxes (20%) and WAG ownership (45%)</t>
        </r>
      </text>
    </comment>
    <comment ref="U132" authorId="2">
      <text>
        <r>
          <rPr>
            <b/>
            <sz val="8"/>
            <color indexed="81"/>
            <rFont val="Tahoma"/>
            <family val="2"/>
          </rPr>
          <t xml:space="preserve">saursing:
</t>
        </r>
        <r>
          <rPr>
            <sz val="8"/>
            <color indexed="81"/>
            <rFont val="Tahoma"/>
            <family val="2"/>
          </rPr>
          <t>AB share of pre-tax synergies would have been same as WAG, i.e. half of $107M, but contribution to WAG would be after AB taxes (20%) and WAG ownership (45%)</t>
        </r>
      </text>
    </comment>
    <comment ref="V132" authorId="2">
      <text>
        <r>
          <rPr>
            <b/>
            <sz val="8"/>
            <color indexed="81"/>
            <rFont val="Tahoma"/>
            <family val="2"/>
          </rPr>
          <t xml:space="preserve">saursing:
</t>
        </r>
        <r>
          <rPr>
            <sz val="8"/>
            <color indexed="81"/>
            <rFont val="Tahoma"/>
            <family val="2"/>
          </rPr>
          <t>AB share of pre-tax synergies would have been same as WAG, i.e. half of $129M, but contribution to WAG would be after AB taxes (20%) and WAG ownership (45%)</t>
        </r>
      </text>
    </comment>
    <comment ref="W132" authorId="2">
      <text>
        <r>
          <rPr>
            <b/>
            <sz val="8"/>
            <color indexed="81"/>
            <rFont val="Tahoma"/>
            <family val="2"/>
          </rPr>
          <t xml:space="preserve">saursing:
</t>
        </r>
        <r>
          <rPr>
            <sz val="8"/>
            <color indexed="81"/>
            <rFont val="Tahoma"/>
            <family val="2"/>
          </rPr>
          <t>AB share of pre-tax synergies would have been same as WAG, i.e. half of $129M, but contribution to WAG would be after AB taxes (20%) and WAG ownership (45%)</t>
        </r>
      </text>
    </comment>
    <comment ref="X132" authorId="2">
      <text>
        <r>
          <rPr>
            <b/>
            <sz val="8"/>
            <color indexed="81"/>
            <rFont val="Tahoma"/>
            <family val="2"/>
          </rPr>
          <t xml:space="preserve">saursing:
</t>
        </r>
        <r>
          <rPr>
            <sz val="8"/>
            <color indexed="81"/>
            <rFont val="Tahoma"/>
            <family val="2"/>
          </rPr>
          <t>AB share of pre-tax synergies would have been same as WAG, i.e. half of $124M, but contribution to WAG would be after AB taxes (20%) and WAG ownership (45%)</t>
        </r>
      </text>
    </comment>
    <comment ref="Z132" authorId="2">
      <text>
        <r>
          <rPr>
            <b/>
            <sz val="8"/>
            <color indexed="81"/>
            <rFont val="Tahoma"/>
            <family val="2"/>
          </rPr>
          <t xml:space="preserve">saursing:
</t>
        </r>
        <r>
          <rPr>
            <sz val="8"/>
            <color indexed="81"/>
            <rFont val="Tahoma"/>
            <family val="2"/>
          </rPr>
          <t>AB share of pre-tax synergies would have been same as WAG, i.e. half of $124M, but contribution to WAG would be after AB taxes (20%) and WAG ownership (45%)</t>
        </r>
      </text>
    </comment>
    <comment ref="AA132" authorId="2">
      <text>
        <r>
          <rPr>
            <b/>
            <sz val="8"/>
            <color indexed="81"/>
            <rFont val="Tahoma"/>
            <family val="2"/>
          </rPr>
          <t xml:space="preserve">saursing:
</t>
        </r>
        <r>
          <rPr>
            <sz val="8"/>
            <color indexed="81"/>
            <rFont val="Tahoma"/>
            <family val="2"/>
          </rPr>
          <t>AB share of pre-tax synergies would have been same as WAG, i.e. half of $124M, but contribution to WAG would be after AB taxes (20%) and WAG ownership (45%)</t>
        </r>
      </text>
    </comment>
    <comment ref="AB132" authorId="2">
      <text>
        <r>
          <rPr>
            <b/>
            <sz val="8"/>
            <color indexed="81"/>
            <rFont val="Tahoma"/>
            <family val="2"/>
          </rPr>
          <t xml:space="preserve">saursing:
</t>
        </r>
        <r>
          <rPr>
            <sz val="8"/>
            <color indexed="81"/>
            <rFont val="Tahoma"/>
            <family val="2"/>
          </rPr>
          <t>AB share of pre-tax synergies would have been same as WAG, i.e. half of $124M, but contribution to WAG would be after AB taxes (20%) and WAG ownership (45%)</t>
        </r>
      </text>
    </comment>
    <comment ref="AC132" authorId="2">
      <text>
        <r>
          <rPr>
            <b/>
            <sz val="8"/>
            <color indexed="81"/>
            <rFont val="Tahoma"/>
            <family val="2"/>
          </rPr>
          <t xml:space="preserve">saursing:
</t>
        </r>
        <r>
          <rPr>
            <sz val="8"/>
            <color indexed="81"/>
            <rFont val="Tahoma"/>
            <family val="2"/>
          </rPr>
          <t>AB share of pre-tax synergies would have been same as WAG, i.e. half of $124M, but contribution to WAG would be after AB taxes (20%) and WAG ownership (45%)</t>
        </r>
      </text>
    </comment>
    <comment ref="AE132" authorId="2">
      <text>
        <r>
          <rPr>
            <b/>
            <sz val="8"/>
            <color indexed="81"/>
            <rFont val="Tahoma"/>
            <family val="2"/>
          </rPr>
          <t xml:space="preserve">saursing:
</t>
        </r>
        <r>
          <rPr>
            <sz val="8"/>
            <color indexed="81"/>
            <rFont val="Tahoma"/>
            <family val="2"/>
          </rPr>
          <t>AB share of pre-tax synergies would have been same as WAG, i.e. half of $124M, but contribution to WAG would be after AB taxes (20%) and WAG ownership (45%)</t>
        </r>
      </text>
    </comment>
    <comment ref="AF132" authorId="2">
      <text>
        <r>
          <rPr>
            <b/>
            <sz val="8"/>
            <color indexed="81"/>
            <rFont val="Tahoma"/>
            <family val="2"/>
          </rPr>
          <t xml:space="preserve">saursing:
</t>
        </r>
        <r>
          <rPr>
            <sz val="8"/>
            <color indexed="81"/>
            <rFont val="Tahoma"/>
            <family val="2"/>
          </rPr>
          <t>AB share of pre-tax synergies would have been same as WAG, i.e. half of $124M, but contribution to WAG would be after AB taxes (20%) and WAG ownership (45%)</t>
        </r>
      </text>
    </comment>
    <comment ref="AG132" authorId="2">
      <text>
        <r>
          <rPr>
            <b/>
            <sz val="8"/>
            <color indexed="81"/>
            <rFont val="Tahoma"/>
            <family val="2"/>
          </rPr>
          <t xml:space="preserve">saursing:
</t>
        </r>
        <r>
          <rPr>
            <sz val="8"/>
            <color indexed="81"/>
            <rFont val="Tahoma"/>
            <family val="2"/>
          </rPr>
          <t>AB share of pre-tax synergies would have been same as WAG, i.e. half of $124M, but contribution to WAG would be after AB taxes (20%) and WAG ownership (45%)</t>
        </r>
      </text>
    </comment>
    <comment ref="U137" authorId="2">
      <text>
        <r>
          <rPr>
            <b/>
            <sz val="8"/>
            <color indexed="81"/>
            <rFont val="Tahoma"/>
            <family val="2"/>
          </rPr>
          <t>saursing:</t>
        </r>
        <r>
          <rPr>
            <sz val="8"/>
            <color indexed="81"/>
            <rFont val="Tahoma"/>
            <family val="2"/>
          </rPr>
          <t xml:space="preserve">
WAG net income benefits from 45% of Alliance Boot's after-tax synergies (taxed at AB rate of 20%)</t>
        </r>
      </text>
    </comment>
    <comment ref="V137" authorId="2">
      <text>
        <r>
          <rPr>
            <b/>
            <sz val="8"/>
            <color indexed="81"/>
            <rFont val="Tahoma"/>
            <family val="2"/>
          </rPr>
          <t>saursing:</t>
        </r>
        <r>
          <rPr>
            <sz val="8"/>
            <color indexed="81"/>
            <rFont val="Tahoma"/>
            <family val="2"/>
          </rPr>
          <t xml:space="preserve">
WAG net income benefits from 45% of Alliance Boot's after-tax synergies (taxed at AB rate of 20%)</t>
        </r>
      </text>
    </comment>
    <comment ref="W137" authorId="2">
      <text>
        <r>
          <rPr>
            <b/>
            <sz val="8"/>
            <color indexed="81"/>
            <rFont val="Tahoma"/>
            <family val="2"/>
          </rPr>
          <t>saursing:</t>
        </r>
        <r>
          <rPr>
            <sz val="8"/>
            <color indexed="81"/>
            <rFont val="Tahoma"/>
            <family val="2"/>
          </rPr>
          <t xml:space="preserve">
WAG net income benefits from 45% of Alliance Boot's after-tax synergies (taxed at AB rate of 20%)</t>
        </r>
      </text>
    </comment>
    <comment ref="X137" authorId="2">
      <text>
        <r>
          <rPr>
            <b/>
            <sz val="8"/>
            <color indexed="81"/>
            <rFont val="Tahoma"/>
            <family val="2"/>
          </rPr>
          <t>saursing:</t>
        </r>
        <r>
          <rPr>
            <sz val="8"/>
            <color indexed="81"/>
            <rFont val="Tahoma"/>
            <family val="2"/>
          </rPr>
          <t xml:space="preserve">
WAG net income benefits from 45% of Alliance Boot's after-tax synergies (taxed at AB rate of 20%)</t>
        </r>
      </text>
    </comment>
    <comment ref="Z137" authorId="2">
      <text>
        <r>
          <rPr>
            <b/>
            <sz val="8"/>
            <color indexed="81"/>
            <rFont val="Tahoma"/>
            <family val="2"/>
          </rPr>
          <t>saursing:</t>
        </r>
        <r>
          <rPr>
            <sz val="8"/>
            <color indexed="81"/>
            <rFont val="Tahoma"/>
            <family val="2"/>
          </rPr>
          <t xml:space="preserve">
WAG net income benefits from 45% of Alliance Boot's after-tax synergies (taxed at AB rate of 20%)</t>
        </r>
      </text>
    </comment>
  </commentList>
</comments>
</file>

<file path=xl/comments7.xml><?xml version="1.0" encoding="utf-8"?>
<comments xmlns="http://schemas.openxmlformats.org/spreadsheetml/2006/main">
  <authors>
    <author>Justin Van Vleck</author>
  </authors>
  <commentList>
    <comment ref="A1" authorId="0">
      <text>
        <r>
          <rPr>
            <b/>
            <sz val="8"/>
            <color indexed="81"/>
            <rFont val="Tahoma"/>
            <family val="2"/>
          </rPr>
          <t>卟䙄_x0001_＀＀坐亽_x001C_䵃啔ㅓ夰䘭卄䙞彇䥙䱅⡄㜳㘸⤴_x0018_＀＀_x0018_＀＀_x0008_＀＀_x0001_＀＀_x0001_＀＀쳍쳌쳌䀑坐亽_x001C_䵃啔ㅓ夰䘭卄䙞彇䥙䱅⡄㠳㤵⤴_x0018_＀＀_x0018_＀＀_x0008_＀＀_x0001_＀＀_x0001_＀＀炤਽ꏗ䀐坐亽_x001C_䵃啔ㅓ夰䘭卄䙞彇䥙䱅⡄㠳㔹⤹_x0018_＀＀_x0018_＀＀_x0008_＀＀_x0001_＀＀_x0001_＀＀휊炣਽䀓坐亽_x001C_䵃啔ㅓ夰䘭卄䙞彇䥙䱅⡄〴㠷⤴_x0018_＀＀_x0018_＀＀_x0008_＀＀_x0001_＀＀_x0001_＀＀਽ꏗ㵰䀂坐亽_x001C_䵃啔ㅓ夰䘭卄䙞彇䥙䱅⡄㜳㤴⤹_x0018_＀＀_x0018_＀＀_x0008_＀＀_x0001_＀＀_x0001_＀＀슏⣵轜䀐坐亽_x001C_䵃啔ㅓ夰䘭卄䙞彇䥙䱅⡄㤳㈳⤴_x0018_＀＀_x0018_＀＀_x0008_＀＀_x0001_＀＀_x0001_＀＀휊炣਽䀒坐亽_x001C_䵃啔ㅓ夰䘭卄䙞彇䥙䱅⡄㤳㠶⤹_x0018_＀＀_x0018_＀＀_x0008_＀＀_x0001_＀＀_x0001_＀＀炤਽ꏗ䀎囮亽_x0018_䵃啔ㅓ夰䘭卄䙞彇䥙䱅⡄⤰_x0018_＀＀_x0018_＀＀_x0008_＀＀_x0001_＀＀_x0001_＀＀롒蔞凫䀀嗉亽_x0015_䵃啔ㅓ夰䘭卄䙞彇䥙䱅채_x0018_＀＀_x0018_＀＀_x0008_＀＀_x0001_＀＀_x0001_＀＀豀碵꼝쐕坐亽_x001C_䵃啔ㅓ夰䘭卄䙞彇䥙䱅⡄㠳㈲⤹_x0018_＀＀_x0018_＀＀_x0008_＀＀_x0001_＀＀_x0001_＀＀尨슏䀐坐亽_x001C_䵃啔ㅓ夰䘭卄䙞彇䥙䱅⡄〴㔰⤴_x0018_＀＀_x0018_＀＀_x0008_＀＀_x0001_＀＀_x0001_＀＀䞮竡긔䀋坐亽_x001C_䵃啔ㅓ夰䘭卄䙞彇䥙䱅⡄〴ㄴ⤹_x0018_＀＀_x0018_＀＀_x0008_＀＀_x0001_＀＀_x0001_＀＀ᑺ䞮䀅</t>
        </r>
      </text>
    </comment>
    <comment ref="B1" authorId="0">
      <text>
        <r>
          <rPr>
            <b/>
            <sz val="8"/>
            <color indexed="81"/>
            <rFont val="Tahoma"/>
            <family val="2"/>
          </rPr>
          <t>432</t>
        </r>
      </text>
    </comment>
  </commentList>
</comments>
</file>

<file path=xl/sharedStrings.xml><?xml version="1.0" encoding="utf-8"?>
<sst xmlns="http://schemas.openxmlformats.org/spreadsheetml/2006/main" count="2528" uniqueCount="1007">
  <si>
    <t>BTN1Y44</t>
  </si>
  <si>
    <t>Retained Earnings</t>
  </si>
  <si>
    <t>% Rx Sales</t>
  </si>
  <si>
    <t>Rx Sales</t>
  </si>
  <si>
    <t>WAG.N,mstag:bearCaseValueEstimatePerShare</t>
  </si>
  <si>
    <t>WAG.N,mscalc:closePriceCurrencyCalc</t>
  </si>
  <si>
    <t>Short-term Borrowings</t>
  </si>
  <si>
    <t xml:space="preserve">  + Net Modelware adjustments to Equity</t>
  </si>
  <si>
    <t>Cash from Operations</t>
  </si>
  <si>
    <t xml:space="preserve">           LIFO Reserve</t>
  </si>
  <si>
    <t xml:space="preserve"> ($ in Millions, Except Per Square Foot Data)</t>
  </si>
  <si>
    <t>Total Stores</t>
  </si>
  <si>
    <t>Number Weeks Per Year</t>
  </si>
  <si>
    <t>Stores Acquired</t>
  </si>
  <si>
    <t>Stores Closed</t>
  </si>
  <si>
    <t>Major Remodels (Estimated)</t>
  </si>
  <si>
    <t>Assets</t>
  </si>
  <si>
    <t>Sep ' 14</t>
  </si>
  <si>
    <t>Oct ' 14</t>
  </si>
  <si>
    <t>Nov ' 14</t>
  </si>
  <si>
    <t>% Change</t>
  </si>
  <si>
    <t>Average Stores</t>
  </si>
  <si>
    <t>Asset Turnover</t>
  </si>
  <si>
    <t>Drugstore Units</t>
  </si>
  <si>
    <t>EBIT</t>
  </si>
  <si>
    <t>Sales</t>
  </si>
  <si>
    <t>Y/Y Increase</t>
  </si>
  <si>
    <t>Pharmacy Margin</t>
  </si>
  <si>
    <t>Front-End Margin</t>
  </si>
  <si>
    <t>Adj. EBITDA</t>
  </si>
  <si>
    <t>After-Tax Synergies</t>
  </si>
  <si>
    <t xml:space="preserve">OTHER HEALTH CARE </t>
  </si>
  <si>
    <t>Revenue per Script (Total Pharmacy)</t>
  </si>
  <si>
    <t>Brand</t>
  </si>
  <si>
    <t>Y/Y Chg. In Revenue per Script</t>
  </si>
  <si>
    <t>Total Current Liabilities</t>
  </si>
  <si>
    <t>Deferred Income Taxes</t>
  </si>
  <si>
    <t>Other Noncurrent Liabilities</t>
  </si>
  <si>
    <t>Shareholders' Equity</t>
  </si>
  <si>
    <t>Other</t>
  </si>
  <si>
    <t>Year over Year Growth</t>
  </si>
  <si>
    <t>Sequential Growth</t>
  </si>
  <si>
    <t xml:space="preserve">     Present Value of Operating Leases</t>
  </si>
  <si>
    <t>Total Debt</t>
  </si>
  <si>
    <t>Cash and Equivalents</t>
  </si>
  <si>
    <t>WAG.N,mscalc:targetPrice,,,,USD</t>
  </si>
  <si>
    <t>45</t>
  </si>
  <si>
    <t>54</t>
  </si>
  <si>
    <t>35</t>
  </si>
  <si>
    <t>% of Total</t>
  </si>
  <si>
    <t>Adj. D&amp;A</t>
  </si>
  <si>
    <t>Ticker: WBA</t>
  </si>
  <si>
    <t>WBA</t>
  </si>
  <si>
    <t>WBA.O</t>
  </si>
  <si>
    <t>Walgreens Boots Alliance Inc</t>
  </si>
  <si>
    <t>WBA.O,mscalc:sedolCodeCalc</t>
  </si>
  <si>
    <t>WBA.O,mscalc:targetPrice,,,,USD</t>
  </si>
  <si>
    <t>WBA.O,mscalc:closePriceCurrencyCalc</t>
  </si>
  <si>
    <t>$AT$2</t>
  </si>
  <si>
    <t>TGT-US,mscalc:lastActualYearCalc</t>
  </si>
  <si>
    <t>TGT-US,mscalc:closePriceCurrencyCalc</t>
  </si>
  <si>
    <t>TGT-US,mscalc:firstEstimatedYearCalc</t>
  </si>
  <si>
    <t>TGT-US,mscalc:firstEstimatedYearfiscalAlignedCalc</t>
  </si>
  <si>
    <t>TGT-US,mscalc:targetPrice</t>
  </si>
  <si>
    <t>Net Inc / Dec in Shares Outstanding</t>
  </si>
  <si>
    <t>UnitOverride</t>
  </si>
  <si>
    <t>WAG.N,mscalc:sedolCodeCalc</t>
  </si>
  <si>
    <t>2934839</t>
  </si>
  <si>
    <t>Per Avg. Store Per Day</t>
  </si>
  <si>
    <t>LTM Gross Margin</t>
  </si>
  <si>
    <t>Selling to Gross Conversion</t>
  </si>
  <si>
    <t>Total Drugstore Sq. Footage</t>
  </si>
  <si>
    <t>Reported Dilutive Impact From Stock Options</t>
  </si>
  <si>
    <t>NO</t>
  </si>
  <si>
    <t>Debt Obligations</t>
  </si>
  <si>
    <t xml:space="preserve">     Net Debt</t>
  </si>
  <si>
    <t xml:space="preserve">      Property and Equipment</t>
  </si>
  <si>
    <t xml:space="preserve">      Accumulated Depreciation</t>
  </si>
  <si>
    <t xml:space="preserve">Liabilities </t>
  </si>
  <si>
    <t>Other Noncurrent Assets</t>
  </si>
  <si>
    <t>Total Assets</t>
  </si>
  <si>
    <t>Shares Outstanding for Dividends</t>
  </si>
  <si>
    <t>Interest</t>
  </si>
  <si>
    <t>Treasury Cost</t>
  </si>
  <si>
    <t>Employee Stock Loan Receivable</t>
  </si>
  <si>
    <t>Sinking Fund Debentures</t>
  </si>
  <si>
    <t>Income Taxes</t>
  </si>
  <si>
    <t>Net Debt (adj) / EBITDAR</t>
  </si>
  <si>
    <t>Free Cash Flow to Equity Holders</t>
  </si>
  <si>
    <t>Ending Shares Outstanding</t>
  </si>
  <si>
    <t>Period Ends</t>
  </si>
  <si>
    <t>WAG.N,mstag:met_12monthIntrinsicValueEstimate</t>
  </si>
  <si>
    <t>,mscalc:targetPrice,,,,USD</t>
  </si>
  <si>
    <t>Continuing Net Income</t>
  </si>
  <si>
    <t>CFO / Continuing Net Income Ratio</t>
  </si>
  <si>
    <t>BALANCE SHEET</t>
  </si>
  <si>
    <t xml:space="preserve">  + Working Capital Change</t>
  </si>
  <si>
    <t>Generic</t>
  </si>
  <si>
    <t>Generic (Est.)</t>
  </si>
  <si>
    <t>Adj. SG&amp;A</t>
  </si>
  <si>
    <t>Adj. (FIFO) Gross Margin</t>
  </si>
  <si>
    <t>Adjusted Net Margin</t>
  </si>
  <si>
    <t>90 Day Fills (Est.)</t>
  </si>
  <si>
    <t>Adjusted SG&amp;A Ratio</t>
  </si>
  <si>
    <t xml:space="preserve">           Implied Cap Op Lease Assets </t>
  </si>
  <si>
    <t>Brands (Est.)</t>
  </si>
  <si>
    <t>Comp Store Sales Growth</t>
  </si>
  <si>
    <t>Comp Store Script Growth</t>
  </si>
  <si>
    <t>GDR</t>
  </si>
  <si>
    <t>YoY Change</t>
  </si>
  <si>
    <t>1 - Bull</t>
  </si>
  <si>
    <t>2 - Base</t>
  </si>
  <si>
    <t>3 - Bear</t>
  </si>
  <si>
    <t>Scenarios</t>
  </si>
  <si>
    <t>Ricky Goldwasser</t>
  </si>
  <si>
    <t>Senior Analyst</t>
  </si>
  <si>
    <t>(212) 761-4097</t>
  </si>
  <si>
    <t>Ricky.Goldwasser@morganstanley.com</t>
  </si>
  <si>
    <t>Go to Income Statement</t>
  </si>
  <si>
    <t>Go to Scenarios</t>
  </si>
  <si>
    <t>Go to Balance Sheet</t>
  </si>
  <si>
    <t>Go to Cash Flow Statement</t>
  </si>
  <si>
    <t>Accumulated Other Comprehensive Income</t>
  </si>
  <si>
    <t>WAG.N,mstag:extremeBearCaseValueEstimatePerShare</t>
  </si>
  <si>
    <t>WAG.N,mstag:extremeBullCaseValueEstimatePerShare</t>
  </si>
  <si>
    <t xml:space="preserve">           Implied Cap Op Lease Obligations</t>
  </si>
  <si>
    <t xml:space="preserve">           Deferred tax adjustment (operating)</t>
  </si>
  <si>
    <t>Issuance of Common Stock</t>
  </si>
  <si>
    <t>BOP Debt</t>
  </si>
  <si>
    <t>Interest Rate (Annualized)</t>
  </si>
  <si>
    <t>BOP Cash &amp; Equivalents</t>
  </si>
  <si>
    <t>WAG.N,mstag:bullCaseValueEstimatePerShare</t>
  </si>
  <si>
    <t>Share Repurchase</t>
  </si>
  <si>
    <t>(+) Deal Amortization</t>
  </si>
  <si>
    <t>Front-End % of Total</t>
  </si>
  <si>
    <t>USD</t>
  </si>
  <si>
    <t>--</t>
  </si>
  <si>
    <t>Currency</t>
  </si>
  <si>
    <t>FY17</t>
  </si>
  <si>
    <t>Acquisition-Related Amortization</t>
  </si>
  <si>
    <t>AB Tax Add-Back</t>
  </si>
  <si>
    <t>EPS (GAAP)</t>
  </si>
  <si>
    <t>Adjusted SG&amp;A Growth</t>
  </si>
  <si>
    <t>Fiscal Year End, August 31</t>
  </si>
  <si>
    <t>1QA</t>
  </si>
  <si>
    <t>2QA</t>
  </si>
  <si>
    <t>3QA</t>
  </si>
  <si>
    <t>4QA</t>
  </si>
  <si>
    <t>2QE</t>
  </si>
  <si>
    <t>3QE</t>
  </si>
  <si>
    <t>4QE</t>
  </si>
  <si>
    <t>Y/Y Chg.</t>
  </si>
  <si>
    <t>Employee Stock Purch &amp; Options</t>
  </si>
  <si>
    <t>Equity Method Investment</t>
  </si>
  <si>
    <t>Drugstore Selling Square Footage (MM)</t>
  </si>
  <si>
    <t>STORE MODEL</t>
  </si>
  <si>
    <t>% YoY Change in Selling Square Footage</t>
  </si>
  <si>
    <t>PHARMACY</t>
  </si>
  <si>
    <t>Total Prescriptions Filled</t>
  </si>
  <si>
    <t>Total Adjusted Scripts Filled</t>
  </si>
  <si>
    <t>90 Day Fills as % of Total Scripts</t>
  </si>
  <si>
    <t>Generics</t>
  </si>
  <si>
    <t>Brands</t>
  </si>
  <si>
    <t>Comparable Store Prescriptions</t>
  </si>
  <si>
    <t>Dividend Per Share</t>
  </si>
  <si>
    <t>Total Dividend Payments</t>
  </si>
  <si>
    <t>Payout Ratio</t>
  </si>
  <si>
    <t>Incr/(Decr) in Accr. Exp. and Oth. Liab</t>
  </si>
  <si>
    <t>COGS / Day</t>
  </si>
  <si>
    <t>x Est. Expansion Productivity for Front End</t>
  </si>
  <si>
    <t>% Change in Identical Store Sales</t>
  </si>
  <si>
    <t xml:space="preserve">Pharmacy </t>
  </si>
  <si>
    <t xml:space="preserve">Front-End </t>
  </si>
  <si>
    <t>Scripts per Store per Week - Total (Unadjusted)</t>
  </si>
  <si>
    <t>WAG standalone y/y growth</t>
  </si>
  <si>
    <t>New and Acquired Stores</t>
  </si>
  <si>
    <t>ROAE</t>
  </si>
  <si>
    <t>ROAA</t>
  </si>
  <si>
    <t>Book Value Per Share</t>
  </si>
  <si>
    <t>Receivables Turnover</t>
  </si>
  <si>
    <t>Inventory Turnover</t>
  </si>
  <si>
    <t>Payable Turnover</t>
  </si>
  <si>
    <t xml:space="preserve">   Days Sales Outstanding</t>
  </si>
  <si>
    <t>ReverseSign</t>
  </si>
  <si>
    <t>IsDrivingAssumption</t>
  </si>
  <si>
    <t>Adjusted EPS</t>
  </si>
  <si>
    <t>Adjusted Shareholders' Equity</t>
  </si>
  <si>
    <t>Front Store Revenues (ex-Synergies)</t>
  </si>
  <si>
    <t>WAG.N,mscalc:targetPrice</t>
  </si>
  <si>
    <t>FREE CASH FLOW</t>
  </si>
  <si>
    <t>Seq. Chg. - Total Pharmacy (pre-Synergies)</t>
  </si>
  <si>
    <t>Margins (Pre-Synergies)</t>
  </si>
  <si>
    <t>Operating Margin</t>
  </si>
  <si>
    <t>E = Morgan Stanley Research Estimate</t>
  </si>
  <si>
    <t>Liabilities and Shareholders' Equity</t>
  </si>
  <si>
    <t>Accounts Payable</t>
  </si>
  <si>
    <t>Accrued Expenses and Other Liabilities</t>
  </si>
  <si>
    <t>New / Closed Stores Y/Y</t>
  </si>
  <si>
    <t>Gross Margin % excluding LIFO effects</t>
  </si>
  <si>
    <t>Long Term Debt</t>
  </si>
  <si>
    <t>Current Stock Price</t>
  </si>
  <si>
    <t>LTM Operating Margin</t>
  </si>
  <si>
    <t xml:space="preserve"> = Total Free Cash Flow After Dividends</t>
  </si>
  <si>
    <t>Difference</t>
  </si>
  <si>
    <t>Scripts per Store per Week - Total</t>
  </si>
  <si>
    <t>Pharmacy Revenues - Total</t>
  </si>
  <si>
    <t>Synergies</t>
  </si>
  <si>
    <t>Low</t>
  </si>
  <si>
    <t>High</t>
  </si>
  <si>
    <t>Gross Profit (GAAP)</t>
  </si>
  <si>
    <t>LIFO Provision</t>
  </si>
  <si>
    <t>Adjusted Operating Income</t>
  </si>
  <si>
    <t>Non-GAAP Reconciliation</t>
  </si>
  <si>
    <t>Adjusted Net Income</t>
  </si>
  <si>
    <t>Adjusted (FIFO) Gross Profit</t>
  </si>
  <si>
    <t>Adjusted (FIFO) Gross Margin</t>
  </si>
  <si>
    <t>(+) LIFO Provision</t>
  </si>
  <si>
    <t>(-) Acquisition-related Amortization</t>
  </si>
  <si>
    <t>(-) Acquisition-related Costs</t>
  </si>
  <si>
    <t>(-) Other Adjustments</t>
  </si>
  <si>
    <t>Net Interest Expense (Income)</t>
  </si>
  <si>
    <t>Operating Working Capital</t>
  </si>
  <si>
    <t>Working Capital</t>
  </si>
  <si>
    <t>Current Ratio</t>
  </si>
  <si>
    <t>Quick Ratio</t>
  </si>
  <si>
    <t>Change in Cash and Equivalents</t>
  </si>
  <si>
    <t>Cap Ex per New Store *</t>
  </si>
  <si>
    <t>Statutory Tax Rate</t>
  </si>
  <si>
    <t>Gross Profits (WAG + AB)</t>
  </si>
  <si>
    <t>77</t>
  </si>
  <si>
    <t>Adjusted SG&amp;A - WAG standalone</t>
  </si>
  <si>
    <t>Cost of Goods Sold</t>
  </si>
  <si>
    <t>Gross Profit</t>
  </si>
  <si>
    <t>SG&amp;A</t>
  </si>
  <si>
    <t>Operating Income</t>
  </si>
  <si>
    <t>Adj Net Income</t>
  </si>
  <si>
    <t>Net Income</t>
  </si>
  <si>
    <t>EBITDA</t>
  </si>
  <si>
    <t>Avg. Diluted Shares Outstanding During Period</t>
  </si>
  <si>
    <t>Increase / (Decrease) in Outstanding Shares</t>
  </si>
  <si>
    <t>+ Days Inventory On Hand</t>
  </si>
  <si>
    <t>-  Days Payable</t>
  </si>
  <si>
    <t>Days Tied Up/(Excess) Cash</t>
  </si>
  <si>
    <t>Payables/Sales</t>
  </si>
  <si>
    <t>Pre-Synergy Net Income</t>
  </si>
  <si>
    <t>Quarterly Income Statement</t>
  </si>
  <si>
    <t>INCOME STATEMENT</t>
  </si>
  <si>
    <t>Stores Opened</t>
  </si>
  <si>
    <t>Front-Store Gross Margin</t>
  </si>
  <si>
    <t>Total Pharmacy (pre-Synergies)</t>
  </si>
  <si>
    <t>Y/Y Chg. - Total Pharmacy (pre-Synergies)</t>
  </si>
  <si>
    <t>GDR - Industry Model</t>
  </si>
  <si>
    <t>Sequential Change</t>
  </si>
  <si>
    <t>Front-End Revenues</t>
  </si>
  <si>
    <t>Generic Rx COGS</t>
  </si>
  <si>
    <t>Branded Rx COGS</t>
  </si>
  <si>
    <t>Front-End COGS</t>
  </si>
  <si>
    <t>Y/Y Chg. - Total Pharmacy</t>
  </si>
  <si>
    <t>Y/Y Chg. - Generics</t>
  </si>
  <si>
    <t>Y/Y Chg. - Brands</t>
  </si>
  <si>
    <t>Seq. Chg. - Total Pharmacy</t>
  </si>
  <si>
    <t>Seq. Chg. - Generics</t>
  </si>
  <si>
    <t>Seq. Chg. - Brands</t>
  </si>
  <si>
    <t>Pharmacy Gross Profits (Ests.) - Pre-Synergies</t>
  </si>
  <si>
    <t>Pharmacy COGS Synergies</t>
  </si>
  <si>
    <t>Per Script Figures - Pre-Synergies</t>
  </si>
  <si>
    <t>Quarterly Balance Sheet</t>
  </si>
  <si>
    <t>Quarterly Cash Flow Statement</t>
  </si>
  <si>
    <t>E=Morgan Stanley Research Estimate</t>
  </si>
  <si>
    <t>Cash Flows from Investing Activities</t>
  </si>
  <si>
    <t>Operating Income (GAAP)</t>
  </si>
  <si>
    <t>Net Income (GAAP)</t>
  </si>
  <si>
    <t>Adjusted Gross Profit</t>
  </si>
  <si>
    <t>ST Investments Available for Sale</t>
  </si>
  <si>
    <t>Net Issuances/(repurchases) of common stock</t>
  </si>
  <si>
    <t>Sale of Property and Equipment</t>
  </si>
  <si>
    <t>Other Investments</t>
  </si>
  <si>
    <t>Cash Flows from Financing Activities</t>
  </si>
  <si>
    <t>(Payment)/Proceeds LT Debt</t>
  </si>
  <si>
    <t>Cost inflation:</t>
  </si>
  <si>
    <t>Estimated Capital Cost per Unit  ($ millions)</t>
  </si>
  <si>
    <t>Rate</t>
  </si>
  <si>
    <t>Adj. Net Income</t>
  </si>
  <si>
    <t>Common Stock</t>
  </si>
  <si>
    <t xml:space="preserve">  + Depreciation and Amortization</t>
  </si>
  <si>
    <t xml:space="preserve">  -  Capital Expenditures</t>
  </si>
  <si>
    <t xml:space="preserve">  -  Dividends</t>
  </si>
  <si>
    <t xml:space="preserve">Operating Margin </t>
  </si>
  <si>
    <t>COGS</t>
  </si>
  <si>
    <t>Interest Income &amp; Other</t>
  </si>
  <si>
    <t>Equity Earnings</t>
  </si>
  <si>
    <t>Adj. Gross Profit</t>
  </si>
  <si>
    <t>As a % of Sales</t>
  </si>
  <si>
    <t>Year over Year Change</t>
  </si>
  <si>
    <t>Rating: Overweight</t>
  </si>
  <si>
    <t>New Distribution Centers and Misc Real Estate</t>
  </si>
  <si>
    <t>Adjusted (FIFO) Gross Profit (WAG + AB)</t>
  </si>
  <si>
    <t>Cover Page</t>
  </si>
  <si>
    <t>Gross Margin</t>
  </si>
  <si>
    <t>Inventory/COGS</t>
  </si>
  <si>
    <t>Inventory Growth</t>
  </si>
  <si>
    <t>Total Sales Growth (pre-Synergies)</t>
  </si>
  <si>
    <t>Front-End Gross Margin YoY Chg.</t>
  </si>
  <si>
    <t>Scenario</t>
  </si>
  <si>
    <t>EPS (diluted, excl. xor)</t>
  </si>
  <si>
    <t>Diluted EPS (GAAP)</t>
  </si>
  <si>
    <t>LIFO Reserve</t>
  </si>
  <si>
    <t>Technology and Other</t>
  </si>
  <si>
    <t>Total Capital Expenditures - Predicted</t>
  </si>
  <si>
    <t>Income Statement Link</t>
  </si>
  <si>
    <t>Sales / Day</t>
  </si>
  <si>
    <t>Days Receivables</t>
  </si>
  <si>
    <t>Days of Inventory on Hand</t>
  </si>
  <si>
    <t>Days Payable</t>
  </si>
  <si>
    <t>Current Assets % of Sales</t>
  </si>
  <si>
    <t>Accrued Expenses as % of SG&amp;A</t>
  </si>
  <si>
    <t>CapEx</t>
  </si>
  <si>
    <t>D&amp;A</t>
  </si>
  <si>
    <t>CapEx / D&amp;A</t>
  </si>
  <si>
    <t>CapEx as % of Sales</t>
  </si>
  <si>
    <t>Paid-in Capital</t>
  </si>
  <si>
    <t>ElementName</t>
  </si>
  <si>
    <t>ScaleOverride</t>
  </si>
  <si>
    <t>Debt</t>
  </si>
  <si>
    <t>EPS</t>
  </si>
  <si>
    <t>Estimated Capital Expenditures ($ millions)</t>
  </si>
  <si>
    <t>Beginning Cash and Equivalents</t>
  </si>
  <si>
    <t>Pharmacy COGS (Ests)</t>
  </si>
  <si>
    <t>Pharmacy Gross Profits (Ests.)</t>
  </si>
  <si>
    <t>Total Pharmacy</t>
  </si>
  <si>
    <t>Cash From Operations</t>
  </si>
  <si>
    <t>Gross Profit excluding LIFO effects</t>
  </si>
  <si>
    <t>Cost of Emp. Stock Purch. and Option Plans</t>
  </si>
  <si>
    <t>Cash Flow Statement</t>
  </si>
  <si>
    <t>% Sales</t>
  </si>
  <si>
    <t>Other Expense/(Income)</t>
  </si>
  <si>
    <t>Acquisition-Related  Costs</t>
  </si>
  <si>
    <t>FRONT STORE</t>
  </si>
  <si>
    <t>This sheet contains Factset binary data for use with this workbook's =FDS codes.  Modifying the worksheet's contents may damage the workbook's =FDS functionality.</t>
  </si>
  <si>
    <t>Earnings in equity method investments</t>
  </si>
  <si>
    <t>Revenue per Script (Comp Store Sales)</t>
  </si>
  <si>
    <t>COGS per Script</t>
  </si>
  <si>
    <t>Gross Profit per Script</t>
  </si>
  <si>
    <t>Y/Y Chg. In Profit per Script</t>
  </si>
  <si>
    <t>Scripts from New / Closed Stores</t>
  </si>
  <si>
    <t>Scripts per New / Closed Store per Week</t>
  </si>
  <si>
    <t>Comp Store Rx Script</t>
  </si>
  <si>
    <t xml:space="preserve">     % Increase</t>
  </si>
  <si>
    <t>Balance</t>
  </si>
  <si>
    <t>LTM FIGURES</t>
  </si>
  <si>
    <t>Dollar Value of Share Repurchases</t>
  </si>
  <si>
    <t>CAPITAL ALLOCATION MODEL</t>
  </si>
  <si>
    <t>Shares Repurchased</t>
  </si>
  <si>
    <t>Avg. Basic Shares Outstanding During Period</t>
  </si>
  <si>
    <t>Walgreen's Capital Expenditure Model</t>
  </si>
  <si>
    <t>Net Debt / EBITDA stated</t>
  </si>
  <si>
    <t>Accounts and Notes Receivable</t>
  </si>
  <si>
    <t>Inventories</t>
  </si>
  <si>
    <t>Other Current Assets</t>
  </si>
  <si>
    <t>Total Current Assets</t>
  </si>
  <si>
    <t>(Incr)/decr. in AR</t>
  </si>
  <si>
    <t>(Incr)/Decr in Inventories</t>
  </si>
  <si>
    <t>Incr/(Decr) in Accounts Payable</t>
  </si>
  <si>
    <t>(Incr)/Decr in Other Current Assets</t>
  </si>
  <si>
    <t>(Incr)/Decr in Income Taxes</t>
  </si>
  <si>
    <t>LIFO Charge / (Credit)</t>
  </si>
  <si>
    <t>Payables/Inventory</t>
  </si>
  <si>
    <t>Payables/COGS</t>
  </si>
  <si>
    <t>Free Cash Flow Summary (Simplified)</t>
  </si>
  <si>
    <t>Beg Net PPE</t>
  </si>
  <si>
    <t>D&amp;A as % of Beg Net PPE</t>
  </si>
  <si>
    <t>Other Non-Current Assets % of Sales</t>
  </si>
  <si>
    <t>Accumulated Amortization of Goodwill</t>
  </si>
  <si>
    <t>TGT-US,mscalc:stockRating</t>
  </si>
  <si>
    <t>Employee Stock Purchase &amp; Option Plan</t>
  </si>
  <si>
    <t>Stock Price (avg)</t>
  </si>
  <si>
    <t>Adjusted Operating Margin</t>
  </si>
  <si>
    <t>Adjusted Net Income Margin</t>
  </si>
  <si>
    <t>SG&amp;A (GAAP)</t>
  </si>
  <si>
    <t>Total Liabilities</t>
  </si>
  <si>
    <t>Adj EPS</t>
  </si>
  <si>
    <t>*  Note: New stores typically cost $5-6 million if owned, and $500,000 if leased.  Walgreen's leases approxmately 80%.</t>
  </si>
  <si>
    <t>Other Cap Ex per Existing Store Base</t>
  </si>
  <si>
    <t>Walgreens -- Productivity Model</t>
  </si>
  <si>
    <t>Goodwill &amp; Intangibles</t>
  </si>
  <si>
    <t>Other Current Liabilities % of COGS</t>
  </si>
  <si>
    <t>+ Extraordinary Gains/(charges)</t>
  </si>
  <si>
    <t>Reported Operating Efficiency</t>
  </si>
  <si>
    <t>Adjusted Taxes</t>
  </si>
  <si>
    <t>Front-Store Gross Margin (ex-Synergies)</t>
  </si>
  <si>
    <t>Gain on Sale</t>
  </si>
  <si>
    <t>Operating Profit</t>
  </si>
  <si>
    <t>Total</t>
  </si>
  <si>
    <t>Net Property and Equipment</t>
  </si>
  <si>
    <t>Y/Y Changes</t>
  </si>
  <si>
    <t>Prescriptions Filled @ Store Level</t>
  </si>
  <si>
    <t>Per Avg. Store Per Year</t>
  </si>
  <si>
    <t>Per Avg. Store Per Week</t>
  </si>
  <si>
    <t xml:space="preserve">   Adjustments for Op. Lease</t>
  </si>
  <si>
    <t xml:space="preserve">           Common Equity</t>
  </si>
  <si>
    <t>Interest Expense</t>
  </si>
  <si>
    <t>Interest Income</t>
  </si>
  <si>
    <t>* Maintenance capex for F2009 is $100-$200 million</t>
  </si>
  <si>
    <t>Changes in Working Capital</t>
  </si>
  <si>
    <t>Business Acquisition, net of cash received</t>
  </si>
  <si>
    <t>Margins</t>
  </si>
  <si>
    <t>(In millions, except per share)</t>
  </si>
  <si>
    <t>Total Sales Growth</t>
  </si>
  <si>
    <t>Growth from New Stores</t>
  </si>
  <si>
    <t>Front Store Comps</t>
  </si>
  <si>
    <t>Front Store Revenues</t>
  </si>
  <si>
    <t>Gross Profits</t>
  </si>
  <si>
    <t>Additions to Property and Equipment</t>
  </si>
  <si>
    <t>Earnings Before Taxes</t>
  </si>
  <si>
    <t xml:space="preserve"> </t>
  </si>
  <si>
    <t>Tax Rate</t>
  </si>
  <si>
    <t>Taxes</t>
  </si>
  <si>
    <t>Pharmacy Revenues - Comp Sales (Ests)</t>
  </si>
  <si>
    <t>Rent expense</t>
  </si>
  <si>
    <t>Unrecorded Pooling due to Goodwill</t>
  </si>
  <si>
    <t>Revenue</t>
  </si>
  <si>
    <t>Description</t>
  </si>
  <si>
    <t>,mscalc:closePriceCurrencyCalc</t>
  </si>
  <si>
    <t>,mscalc:sedolCodeCalc</t>
  </si>
  <si>
    <t>NA</t>
  </si>
  <si>
    <t>Average Diluted Shares</t>
  </si>
  <si>
    <t>Gross Profits (ex-Synergies)</t>
  </si>
  <si>
    <t>Front End COGS Synergies</t>
  </si>
  <si>
    <t>Stock Compensation Expense</t>
  </si>
  <si>
    <t>Amortization</t>
  </si>
  <si>
    <t>Front-End Comp</t>
  </si>
  <si>
    <t>Pharmacy Comp</t>
  </si>
  <si>
    <t>Y</t>
  </si>
  <si>
    <t>Debt/Total Cap (adj for leases)</t>
  </si>
  <si>
    <t>Gross Profit Per Rx YoY Chg.</t>
  </si>
  <si>
    <t>NCI</t>
  </si>
  <si>
    <t>,mscalc:lastActualYearCalc</t>
  </si>
  <si>
    <t>TGT-US,mscalc:msIndustryView</t>
  </si>
  <si>
    <t>EBITDAR/Interest Coverage (assumes leased properties are owned)</t>
  </si>
  <si>
    <t>Quarterly Sales</t>
  </si>
  <si>
    <t>QUARTERLY SALES</t>
  </si>
  <si>
    <t>Growth</t>
  </si>
  <si>
    <t>Total Synergies</t>
  </si>
  <si>
    <t>NCI (Equity Earnings from AB)</t>
  </si>
  <si>
    <t>FIFO Inventory</t>
  </si>
  <si>
    <t>Adjusted SG&amp;A</t>
  </si>
  <si>
    <t>Acquisition Related Amortization</t>
  </si>
  <si>
    <t>Attributable to Non-controlling interests / Other</t>
  </si>
  <si>
    <t>(-) AB Warrant Income</t>
  </si>
  <si>
    <t>Investment/Proceeds in ST Investments, net</t>
  </si>
  <si>
    <t>Store Growth</t>
  </si>
  <si>
    <t>Avg. Store Size</t>
  </si>
  <si>
    <t>Reported</t>
  </si>
  <si>
    <t>SegmentID</t>
  </si>
  <si>
    <t>Payment of Cash Dividends</t>
  </si>
  <si>
    <t>Total Sales</t>
  </si>
  <si>
    <t>Front-End Comps</t>
  </si>
  <si>
    <t>Front-End Gross Margin</t>
  </si>
  <si>
    <t>INPUTS REFLECTED IN MODEL</t>
  </si>
  <si>
    <t xml:space="preserve">EBITDAR </t>
  </si>
  <si>
    <t>Pre-tax LIFO Charge/(Credit)</t>
  </si>
  <si>
    <t>Count</t>
  </si>
  <si>
    <t>Total Pharmacy Sales Growth</t>
  </si>
  <si>
    <t>Ending Cash and Equivalents</t>
  </si>
  <si>
    <t>Adj. Tax Rate</t>
  </si>
  <si>
    <t>Check</t>
  </si>
  <si>
    <t>% Margin</t>
  </si>
  <si>
    <t>Y/Y Chg. - Adj. Gross Margin (FIFO)</t>
  </si>
  <si>
    <t>Seq. Chg. - Adj. Gross Margin (FIFO)</t>
  </si>
  <si>
    <t>Adj. Operating Income (WAG + AB)</t>
  </si>
  <si>
    <t>Total Revenues (WAG + AB)</t>
  </si>
  <si>
    <t>GAAP SG&amp;A</t>
  </si>
  <si>
    <t>GAAP Operating Income (ex-Equity Earnings)</t>
  </si>
  <si>
    <t>Adj. Operating Income (ex-Equity Earnings)</t>
  </si>
  <si>
    <t>Adjusted Equity Earnings</t>
  </si>
  <si>
    <t>Tickers</t>
  </si>
  <si>
    <t>Associate</t>
  </si>
  <si>
    <t>Effect of Exchange Rate Changes on Cash</t>
  </si>
  <si>
    <t>Delta</t>
  </si>
  <si>
    <t>GAAP SG&amp;A Margin</t>
  </si>
  <si>
    <t>Adj SG&amp;A Margin</t>
  </si>
  <si>
    <t>Y/Y Growth - Adj SG&amp;A Margin</t>
  </si>
  <si>
    <t>1QE</t>
  </si>
  <si>
    <t>Beg. Balance</t>
  </si>
  <si>
    <t>Borrowings/(Repayments)</t>
  </si>
  <si>
    <t>Ending Balance</t>
  </si>
  <si>
    <t>Beginning Cash Balance</t>
  </si>
  <si>
    <t>Ending Cash Balance</t>
  </si>
  <si>
    <t>Estimated Interest income</t>
  </si>
  <si>
    <t>Actual (reported) interest income</t>
  </si>
  <si>
    <t>Estimated Total Interest Expense</t>
  </si>
  <si>
    <t>Actual (reported) interest expense</t>
  </si>
  <si>
    <t>Totals</t>
  </si>
  <si>
    <t>Total debt</t>
  </si>
  <si>
    <t>Current portion of LT debt</t>
  </si>
  <si>
    <t>LT debt - calculated</t>
  </si>
  <si>
    <t>LT - as reported</t>
  </si>
  <si>
    <t>LIBOR</t>
  </si>
  <si>
    <t>Interest Rate</t>
  </si>
  <si>
    <t>Unsecured Pound Sterling variable rate term loan due 2019</t>
  </si>
  <si>
    <t>1.800% unsecured notes due 2017</t>
  </si>
  <si>
    <t>1.750% unsecured notes due 2017</t>
  </si>
  <si>
    <t>5.250% unsecured notes due 2019</t>
  </si>
  <si>
    <t>2.700% unsecured notes due 2019</t>
  </si>
  <si>
    <t>2.875% unsecured Pound Sterling notes due 2020</t>
  </si>
  <si>
    <t>3.300% unsecured notes due 2021</t>
  </si>
  <si>
    <t>3.100% unsecured notes due 2022</t>
  </si>
  <si>
    <t>3.800% unsecured notes due 2024</t>
  </si>
  <si>
    <t>3.600% unsecured Pound Sterling notes due 2025</t>
  </si>
  <si>
    <t>2.125% unsecured Euro notes due 2026</t>
  </si>
  <si>
    <t>4.500% unsecured notes due 2034</t>
  </si>
  <si>
    <t>4.400% unsecured notes due 2042</t>
  </si>
  <si>
    <t>4.800% unsecured notes due 2044</t>
  </si>
  <si>
    <t>Unsecured variable rate notes due 2016</t>
  </si>
  <si>
    <t>Borrowings / Repayments</t>
  </si>
  <si>
    <t>TOTAL RETAIL INTERNATIONAL</t>
  </si>
  <si>
    <t xml:space="preserve">Adjusted Operating Income </t>
  </si>
  <si>
    <t>Adjustments</t>
  </si>
  <si>
    <t>Sales per Store</t>
  </si>
  <si>
    <t>Ending Stores</t>
  </si>
  <si>
    <t>Beginning Stores</t>
  </si>
  <si>
    <t>GROWTH AND MARGINS</t>
  </si>
  <si>
    <t>YoY Growth</t>
  </si>
  <si>
    <t>Mark Rosenblum</t>
  </si>
  <si>
    <t>(212) 761-6235</t>
  </si>
  <si>
    <t>Mark.Rosenblum@morganstanley.com</t>
  </si>
  <si>
    <t>Pharmacy</t>
  </si>
  <si>
    <t>Front End</t>
  </si>
  <si>
    <t>GROSS PROFIT</t>
  </si>
  <si>
    <t>% of Revenue Pharmacy</t>
  </si>
  <si>
    <t>% of Revenue Front End</t>
  </si>
  <si>
    <t>Gross Margin Pharmacy</t>
  </si>
  <si>
    <t>Gross Margin Front End</t>
  </si>
  <si>
    <t>Gross Profit Pharmacy</t>
  </si>
  <si>
    <t>Gross Profit Front End</t>
  </si>
  <si>
    <t>Cost Transformation</t>
  </si>
  <si>
    <t>Adjustments:</t>
  </si>
  <si>
    <t>Synergies - US Retail</t>
  </si>
  <si>
    <t>Gross Profit: Post Synergies</t>
  </si>
  <si>
    <t>Gross Profit: Post-Synergies</t>
  </si>
  <si>
    <t>Gross Profit: Pre-Synergies</t>
  </si>
  <si>
    <t>Gross Profit: Pre Synergies</t>
  </si>
  <si>
    <t>Total Rev</t>
  </si>
  <si>
    <t>Total SG&amp;A</t>
  </si>
  <si>
    <t>SG&amp;A Margin</t>
  </si>
  <si>
    <t>Operatinf Margin</t>
  </si>
  <si>
    <t>Net Borrowings / Repayments</t>
  </si>
  <si>
    <t>Net New Stores</t>
  </si>
  <si>
    <t>Circ</t>
  </si>
  <si>
    <t>Guidance Period</t>
  </si>
  <si>
    <t>MS</t>
  </si>
  <si>
    <t>y/y</t>
  </si>
  <si>
    <t>Cons</t>
  </si>
  <si>
    <t>Timing</t>
  </si>
  <si>
    <t>n/a</t>
  </si>
  <si>
    <t>SG&amp;A Savings</t>
  </si>
  <si>
    <t>MS vs Consensus</t>
  </si>
  <si>
    <t xml:space="preserve">MS </t>
  </si>
  <si>
    <t>INTERNATIONAL WHOLESALE</t>
  </si>
  <si>
    <t xml:space="preserve">TOTAL US RETAIL  </t>
  </si>
  <si>
    <t>Total US Revenues</t>
  </si>
  <si>
    <t xml:space="preserve">Number of Drug stores </t>
  </si>
  <si>
    <t>FY18</t>
  </si>
  <si>
    <t>Pharmacy - % of Total</t>
  </si>
  <si>
    <t>Capital/Financial Lease Interest</t>
  </si>
  <si>
    <t>Total US Gross Profits</t>
  </si>
  <si>
    <t>US Retail</t>
  </si>
  <si>
    <t>Comps</t>
  </si>
  <si>
    <t>Same Store Sales</t>
  </si>
  <si>
    <t>Pharmacy Sales</t>
  </si>
  <si>
    <t>Scripts</t>
  </si>
  <si>
    <t>Total Company</t>
  </si>
  <si>
    <t>Net Interest Expense</t>
  </si>
  <si>
    <t>Front End Sales</t>
  </si>
  <si>
    <t>US Retail Sales</t>
  </si>
  <si>
    <t>Pharmacy Gross Profit</t>
  </si>
  <si>
    <t>Front End Gross Profit</t>
  </si>
  <si>
    <t>US Retail Gross Profit</t>
  </si>
  <si>
    <t>FIFO Adjustment</t>
  </si>
  <si>
    <t>Adjusted Operating Profit</t>
  </si>
  <si>
    <t>International Retail</t>
  </si>
  <si>
    <t>International Wholesale</t>
  </si>
  <si>
    <t>Adjusted Pretax Income</t>
  </si>
  <si>
    <t>Adjusted Scripts</t>
  </si>
  <si>
    <t>Adj. Operating Profit</t>
  </si>
  <si>
    <t>Adj. EPS</t>
  </si>
  <si>
    <t>Adj. US Retail Gross Profit</t>
  </si>
  <si>
    <t>Net Income attributable to WBA (GAAP)</t>
  </si>
  <si>
    <t>FINANCIAL SUMMARY</t>
  </si>
  <si>
    <t xml:space="preserve">Same Store Sales </t>
  </si>
  <si>
    <t>FY19</t>
  </si>
  <si>
    <t>Tax Adjustments</t>
  </si>
  <si>
    <t>Model</t>
  </si>
  <si>
    <t>Liza Garcia</t>
  </si>
  <si>
    <t>Liza.Garcia@morganstanley.com</t>
  </si>
  <si>
    <t>(212) 761-7827</t>
  </si>
  <si>
    <t>Nov 30</t>
  </si>
  <si>
    <t>Feb 28</t>
  </si>
  <si>
    <t>May 31</t>
  </si>
  <si>
    <t>Aug 31</t>
  </si>
  <si>
    <t>Other Sales</t>
  </si>
  <si>
    <t>Other Gross Profits</t>
  </si>
  <si>
    <t>Other Gross Margin</t>
  </si>
  <si>
    <t>Other Growth</t>
  </si>
  <si>
    <t>D&amp;A as % of Revenue</t>
  </si>
  <si>
    <t>4.650% unsecured notes due 2046</t>
  </si>
  <si>
    <t>Rose V. Lauricella</t>
  </si>
  <si>
    <t>(212) 761-8118</t>
  </si>
  <si>
    <t>Rose.Lauricella@morganstanley.com</t>
  </si>
  <si>
    <t>New Stores</t>
  </si>
  <si>
    <t>Closed Stores</t>
  </si>
  <si>
    <t>3.450% unsecured notes due 2026</t>
  </si>
  <si>
    <t>(+) Other</t>
  </si>
  <si>
    <t>FY20</t>
  </si>
  <si>
    <t>Front Store Revenue From RAD Closures</t>
  </si>
  <si>
    <t>1FQ18</t>
  </si>
  <si>
    <t>85</t>
  </si>
  <si>
    <t>Adjusted Tax</t>
  </si>
  <si>
    <t>Adjusted EBT</t>
  </si>
  <si>
    <t>Tax Contribution</t>
  </si>
  <si>
    <t>Growth with Tax Benefit</t>
  </si>
  <si>
    <t>2FQ18</t>
  </si>
  <si>
    <t xml:space="preserve">Tax Benefit </t>
  </si>
  <si>
    <t>y/y growth</t>
  </si>
  <si>
    <t>Mean</t>
  </si>
  <si>
    <t>Diluted Shares Outstanding</t>
  </si>
  <si>
    <t>Tax Savings in Dollars</t>
  </si>
  <si>
    <t>2017 Pretax income</t>
  </si>
  <si>
    <t>Tax Analysis</t>
  </si>
  <si>
    <t>Stated Effective Tax rate</t>
  </si>
  <si>
    <t>New Tax Rate</t>
  </si>
  <si>
    <t>Guidance excluding Tax Benefit</t>
  </si>
  <si>
    <t>Guidance including Tax Benefit</t>
  </si>
  <si>
    <t>MSA12825</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</si>
  <si>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</si>
  <si>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</si>
  <si>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</si>
  <si>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</si>
  <si>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</si>
  <si>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</si>
  <si>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</si>
  <si>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</si>
  <si>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Ricky Goldwasser</t>
  </si>
  <si>
    <t>Date: 27 Mar 2018</t>
  </si>
  <si>
    <t>Ticker: WBA.O</t>
  </si>
  <si>
    <t>Stock Rating: Equal-Weight</t>
  </si>
  <si>
    <t>Industry: Healthcare Services &amp; Distribution</t>
  </si>
  <si>
    <t>Industry View: In-Line</t>
  </si>
  <si>
    <t>Price as of 27 Mar 2018: 66.99</t>
  </si>
  <si>
    <t>Target Price: 85</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</si>
  <si>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</si>
  <si>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</si>
  <si>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</si>
  <si>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</si>
  <si>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Walgreens Boots Alliance Inc.</t>
  </si>
  <si>
    <t>STOCK RATINGS</t>
  </si>
  <si>
    <t>Global Stock Ratings Distribution</t>
  </si>
  <si>
    <t>(as of February 28,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</si>
  <si>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</si>
  <si>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</si>
  <si>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</si>
  <si>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</si>
  <si>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</si>
  <si>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</si>
  <si>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</si>
  <si>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</si>
  <si>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</si>
  <si>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</si>
  <si>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</si>
  <si>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</si>
  <si>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</si>
  <si>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</si>
  <si>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</si>
  <si>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</si>
  <si>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</si>
  <si>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</si>
  <si>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</si>
  <si>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</si>
  <si>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</si>
  <si>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</si>
  <si>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</si>
  <si>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</si>
  <si>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</si>
  <si>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</si>
  <si>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</si>
  <si>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</si>
  <si>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</si>
  <si>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</si>
  <si>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</si>
  <si>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</si>
  <si>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</si>
  <si>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</si>
  <si>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</si>
  <si>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</si>
  <si>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</si>
  <si>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</si>
  <si>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</si>
  <si>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</si>
  <si>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</si>
  <si>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</si>
  <si>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</si>
  <si>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</si>
  <si>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</si>
  <si>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</si>
  <si>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</si>
  <si>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</si>
  <si>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</si>
  <si>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</si>
  <si>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</si>
  <si>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</si>
  <si>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</si>
  <si>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</si>
  <si>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</si>
  <si>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</si>
  <si>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</si>
  <si>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</si>
  <si>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</si>
  <si>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</si>
  <si>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</si>
  <si>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</si>
  <si>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</si>
  <si>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</si>
  <si>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</si>
  <si>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</si>
  <si>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</si>
  <si>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</si>
  <si>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</si>
  <si>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</si>
  <si>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</si>
  <si>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</si>
  <si>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</si>
  <si>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</si>
  <si>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</si>
  <si>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</si>
  <si>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</si>
  <si>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</si>
  <si>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</si>
  <si>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</si>
  <si>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</si>
  <si>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</si>
  <si>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</si>
  <si>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</si>
  <si>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</si>
  <si>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</si>
  <si>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</si>
  <si>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</si>
  <si>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</si>
  <si>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</si>
  <si>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</si>
  <si>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</si>
  <si>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</si>
  <si>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</si>
  <si>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</si>
  <si>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</si>
  <si>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</si>
  <si>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</si>
  <si>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</si>
  <si>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</si>
  <si>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</si>
  <si>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</si>
  <si>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</si>
  <si>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</si>
  <si>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</si>
  <si>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</si>
  <si>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</si>
  <si>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</si>
  <si>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</si>
  <si>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</si>
  <si>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</si>
  <si>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</si>
  <si>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</si>
  <si>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</si>
  <si>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</si>
  <si>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</si>
  <si>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</si>
  <si>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</si>
  <si>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</si>
  <si>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</si>
  <si>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</si>
  <si>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</si>
  <si>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</si>
  <si>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</si>
  <si>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</si>
  <si>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</si>
  <si>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</si>
  <si>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</si>
  <si>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</si>
  <si>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</si>
  <si>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</si>
  <si>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</si>
  <si>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</si>
  <si>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</si>
  <si>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</si>
  <si>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</si>
  <si>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</si>
  <si>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</si>
  <si>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</si>
  <si>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</si>
  <si>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</si>
  <si>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</si>
  <si>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</si>
  <si>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</si>
  <si>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</si>
  <si>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</si>
  <si>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</si>
  <si>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</si>
  <si>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</si>
  <si>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</si>
  <si>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</si>
  <si>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</si>
  <si>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</si>
  <si>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</si>
  <si>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</si>
  <si>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</si>
  <si>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</si>
  <si>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</si>
  <si>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</si>
  <si>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</si>
  <si>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</si>
  <si>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</si>
  <si>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</si>
  <si>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</si>
  <si>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</si>
  <si>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</si>
  <si>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</si>
  <si>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</si>
  <si>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</si>
  <si>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</si>
  <si>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</si>
  <si>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</si>
  <si>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Walgreens Boots Alliance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</si>
  <si>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</si>
  <si>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</si>
  <si>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</si>
  <si>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</si>
  <si>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</si>
  <si>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</si>
  <si>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</si>
  <si>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</si>
  <si>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</si>
  <si>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</si>
  <si>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</si>
  <si>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</si>
  <si>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</si>
  <si>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</si>
  <si>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</si>
  <si>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</si>
  <si>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</si>
  <si>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</si>
  <si>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</si>
  <si>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</si>
  <si>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</si>
  <si>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</si>
  <si>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</si>
  <si>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</si>
  <si>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</si>
  <si>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</si>
  <si>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</si>
  <si>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</si>
  <si>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</si>
  <si>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</si>
  <si>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</si>
  <si>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</si>
  <si>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</si>
  <si>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</si>
  <si>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</si>
  <si>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</si>
  <si>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</si>
  <si>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</si>
  <si>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</si>
  <si>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</si>
  <si>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</si>
  <si>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</si>
  <si>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</si>
  <si>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</si>
  <si>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</si>
  <si>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</si>
  <si>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</si>
  <si>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</si>
  <si>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</si>
  <si>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</si>
  <si>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</si>
  <si>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</si>
  <si>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</si>
  <si>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</si>
  <si>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</si>
  <si>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</si>
  <si>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</si>
  <si>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</si>
  <si>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</si>
  <si>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</si>
  <si>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</si>
  <si>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</si>
  <si>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</si>
  <si>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</si>
  <si>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</si>
  <si>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</si>
  <si>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</si>
  <si>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</si>
  <si>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Walgreens Boots Alliance Inc.</t>
  </si>
  <si>
    <t>Within the last 12 months, Morgan Stanley has provided or is providing investment banking services to,</t>
  </si>
  <si>
    <t>or has an investment banking client relationship with, the following company: Walgreens Boots Alliance</t>
  </si>
  <si>
    <t>Inc.</t>
  </si>
  <si>
    <t>Within the last 12 months, Morgan Stanley has received compensation for products and services other than</t>
  </si>
  <si>
    <t>investment banking services from Walgreens Boots Alliance Inc.</t>
  </si>
  <si>
    <t>In the next 3 months, Morgan Stanley expects to receive or intends to seek compensation for investment</t>
  </si>
  <si>
    <t>banking services from Walgreens Boots Alliance Inc.</t>
  </si>
  <si>
    <t>Within the last 12 months, Morgan Stanley has received compensation for investment banking services from</t>
  </si>
  <si>
    <t>Walgreens Boots Alliance Inc.</t>
  </si>
  <si>
    <t>As of February 28, 2018, Morgan Stanley beneficially owned 1% or more of a class of common equity</t>
  </si>
  <si>
    <t>securities of the following companies covered in Morgan Stanley Research: Walgreens Boots Alliance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</si>
  <si>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</si>
  <si>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</si>
  <si>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</si>
  <si>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</si>
  <si>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</si>
  <si>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Ricky R Goldwasser.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</si>
  <si>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</si>
  <si>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</si>
  <si>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</si>
  <si>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</si>
  <si>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</si>
  <si>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</si>
  <si>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</si>
  <si>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</si>
  <si>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</si>
  <si>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</si>
  <si>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</si>
  <si>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</si>
  <si>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</si>
  <si>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</si>
  <si>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</si>
  <si>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</si>
  <si>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</si>
  <si>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</si>
  <si>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</si>
  <si>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</si>
  <si>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</si>
  <si>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</si>
  <si>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</si>
  <si>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</si>
  <si>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</si>
  <si>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</si>
  <si>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</si>
  <si>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</si>
  <si>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</si>
  <si>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</si>
  <si>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</si>
  <si>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</si>
  <si>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</si>
  <si>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</si>
  <si>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</si>
  <si>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</si>
  <si>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</si>
  <si>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</si>
  <si>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</si>
  <si>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CUSIP</t>
  </si>
  <si>
    <t>RIC</t>
  </si>
  <si>
    <t>SEDOL</t>
  </si>
  <si>
    <t>PathName</t>
  </si>
  <si>
    <t>Distribution</t>
  </si>
  <si>
    <t>Deleted</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</si>
  <si>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</si>
  <si>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</si>
  <si>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</si>
  <si>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</si>
  <si>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</si>
  <si>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</si>
  <si>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</si>
  <si>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</si>
  <si>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</si>
  <si>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</si>
  <si>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</si>
  <si>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</si>
  <si>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</si>
  <si>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</si>
  <si>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</si>
  <si>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</si>
  <si>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</si>
  <si>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</si>
  <si>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</si>
  <si>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</si>
  <si>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Regular Update</t>
  </si>
  <si>
    <t>NorthAmerica</t>
  </si>
  <si>
    <t>marrosen</t>
  </si>
  <si>
    <t>L:\HEALTH\Goldwasser\Models\Clients\Rlink\WBA 03 26 18.xlsm</t>
  </si>
  <si>
    <t>[BRO MSA]</t>
  </si>
  <si>
    <t>[PRODUCT MODEL]</t>
  </si>
  <si>
    <t>[EMAIL_ALERT YES]</t>
  </si>
  <si>
    <t>[DISCIPLINE Company]</t>
  </si>
  <si>
    <t>[SUPPRESSED NO]</t>
  </si>
  <si>
    <t>[DOCDAT 2018-03-27]</t>
  </si>
  <si>
    <t>[DOCTIME 09:53]</t>
  </si>
  <si>
    <t>[PSYM WBA.O(S&amp;P) (None)]</t>
  </si>
  <si>
    <t>[COU 1]</t>
  </si>
  <si>
    <t>[ANA ]</t>
  </si>
  <si>
    <t>[HL WBA.O Model]</t>
  </si>
  <si>
    <t>[IND ]</t>
  </si>
  <si>
    <t>[PANA MSA12825]</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</si>
  <si>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</si>
  <si>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</si>
  <si>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</si>
  <si>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</si>
  <si>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</si>
  <si>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</si>
  <si>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</si>
  <si>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Price Target: $85</t>
  </si>
</sst>
</file>

<file path=xl/styles.xml><?xml version="1.0" encoding="utf-8"?>
<styleSheet xmlns="http://schemas.openxmlformats.org/spreadsheetml/2006/main" xmlns:mc="http://schemas.openxmlformats.org/markup-compatibility/2006" xmlns:x14ac="http://schemas.microsoft.com/office/spreadsheetml/2009/9/ac" mc:Ignorable="x14ac">
  <numFmts count="64">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quot;$&quot;#,##0.0_);\(&quot;$&quot;#,##0.0\)"/>
    <numFmt numFmtId="165" formatCode="#,##0.0_);\(#,##0.0\)"/>
    <numFmt numFmtId="166" formatCode="0.0_)"/>
    <numFmt numFmtId="167" formatCode="0.0%"/>
    <numFmt numFmtId="168" formatCode="0_)"/>
    <numFmt numFmtId="169" formatCode="0.0"/>
    <numFmt numFmtId="170" formatCode="#,##0.000_);\(#,##0.000\)"/>
    <numFmt numFmtId="171" formatCode="General_)"/>
    <numFmt numFmtId="172" formatCode="0.000"/>
    <numFmt numFmtId="173" formatCode="&quot;$&quot;#,##0"/>
    <numFmt numFmtId="174" formatCode="&quot;$&quot;#,##0.00"/>
    <numFmt numFmtId="175" formatCode="#,##0.0_);[Red]\(#,##0.0\)"/>
    <numFmt numFmtId="176" formatCode="#,##0.000_);[Red]\(#,##0.000\)"/>
    <numFmt numFmtId="177" formatCode="0_);\(0\)"/>
    <numFmt numFmtId="178" formatCode="#,##0.0"/>
    <numFmt numFmtId="179" formatCode="&quot;$&quot;#,##0.0"/>
    <numFmt numFmtId="180" formatCode="&quot;$&quot;#,##0.000_);[Red]\(&quot;$&quot;#,##0.000\)"/>
    <numFmt numFmtId="181" formatCode="0.0000%"/>
    <numFmt numFmtId="182" formatCode="0.0_);\(0.0\)"/>
    <numFmt numFmtId="183" formatCode="0.000%"/>
    <numFmt numFmtId="184" formatCode="[$-409]mmm\-yy;@"/>
    <numFmt numFmtId="185" formatCode="0.00_);\(0.00\)"/>
    <numFmt numFmtId="186" formatCode="#,##0.0000000_);\(#,##0.0000000\)"/>
    <numFmt numFmtId="187" formatCode="0&quot;QE&quot;"/>
    <numFmt numFmtId="188" formatCode="0&quot;QA&quot;"/>
    <numFmt numFmtId="189" formatCode="0&quot;E&quot;"/>
    <numFmt numFmtId="190" formatCode="0&quot;A&quot;"/>
    <numFmt numFmtId="191" formatCode="#,##0.0\x_);\(#,##0.0\x\)"/>
    <numFmt numFmtId="192" formatCode="&quot;$&quot;#,##0.0000_);[Red]\(&quot;$&quot;#,##0.0000\)"/>
    <numFmt numFmtId="193" formatCode="&quot;$&quot;#,##0.00000_);[Red]\(&quot;$&quot;#,##0.00000\)"/>
    <numFmt numFmtId="194" formatCode="m/d/yy;@"/>
    <numFmt numFmtId="195" formatCode="#,##0.0_);\(#,##0.0\);\–_);&quot;–&quot;_)"/>
    <numFmt numFmtId="196" formatCode="0.0%_);\(0.0%\);&quot;–&quot;_)"/>
    <numFmt numFmtId="197" formatCode="_(* #,##0.000_);_(* \(#,##0.000\);_(* &quot;-&quot;???_);_(@_)"/>
    <numFmt numFmtId="198" formatCode="0.00%_);\(0.00%\);&quot;–&quot;_)"/>
    <numFmt numFmtId="199" formatCode="&quot;$&quot;#,##0.00_);\(&quot;$&quot;#,##0.00\);\–_);&quot;–&quot;_)"/>
    <numFmt numFmtId="200" formatCode="#,##0_);\(#,##0\);\–_);&quot;–&quot;_)"/>
    <numFmt numFmtId="201" formatCode="0.0\x_);\(0.0\x\);&quot;–&quot;_)"/>
    <numFmt numFmtId="202" formatCode="#,##0.000_);\(#,##0.000\);\–_);&quot;–&quot;_)"/>
    <numFmt numFmtId="203" formatCode="_(* #,##0.0_);_(* \(#,##0.0\);_(* &quot;-&quot;???_);_(@_)"/>
    <numFmt numFmtId="204" formatCode="#,##0.00_);\(#,##0.00\);\–_);&quot;–&quot;_)"/>
    <numFmt numFmtId="205" formatCode="_(* #,##0.0000_);_(* \(#,##0.0000\);_(* &quot;-&quot;???_);_(@_)"/>
    <numFmt numFmtId="206" formatCode="General&quot;A&quot;"/>
    <numFmt numFmtId="207" formatCode="General&quot;E&quot;"/>
    <numFmt numFmtId="208" formatCode="&quot;$&quot;#,##0_);\(&quot;$&quot;#,##0\);\–_);&quot;–&quot;_)"/>
    <numFmt numFmtId="209" formatCode="&quot;$&quot;#,##0.000_);\(&quot;$&quot;#,##0.000\)"/>
    <numFmt numFmtId="210" formatCode="#,##0.00;[Red]#,##0.00"/>
    <numFmt numFmtId="211" formatCode="0.00_);\(0.00\);0.00"/>
    <numFmt numFmtId="212" formatCode="0.00\%;\-0.00\%;0.00\%"/>
    <numFmt numFmtId="213" formatCode="0.000_)"/>
    <numFmt numFmtId="214" formatCode="_-* #,##0.00_-;\-* #,##0.00_-;_-* &quot;-&quot;??_-;_-@_-"/>
    <numFmt numFmtId="215" formatCode="&quot;$&quot;\ #,##0_);\(&quot;$&quot;\ #,##0\)"/>
    <numFmt numFmtId="216" formatCode="#,##0.0\ ;\(#,##0.0\)"/>
    <numFmt numFmtId="217" formatCode="0.00_)"/>
    <numFmt numFmtId="218" formatCode="&quot;$&quot;#\-?/?"/>
    <numFmt numFmtId="219" formatCode="0.00\x;\-0.00\x;0.00\x"/>
    <numFmt numFmtId="220" formatCode="mm/dd/yy\ hh:mm"/>
  </numFmts>
  <fonts count="160">
    <font>
      <sz val="8"/>
      <name val="Arial"/>
      <family val="2"/>
    </font>
    <font>
      <sz val="11"/>
      <color theme="1"/>
      <name val="Calibri"/>
      <family val="2"/>
      <scheme val="minor"/>
    </font>
    <font>
      <sz val="8"/>
      <name val="Times New Roman"/>
      <family val="1"/>
    </font>
    <font>
      <sz val="10"/>
      <name val="Times New Roman"/>
      <family val="1"/>
    </font>
    <font>
      <sz val="10"/>
      <name val="Arial"/>
      <family val="2"/>
    </font>
    <font>
      <sz val="10"/>
      <name val="Arial"/>
      <family val="2"/>
    </font>
    <font>
      <sz val="8"/>
      <name val="Arial"/>
      <family val="2"/>
    </font>
    <font>
      <sz val="8"/>
      <color indexed="81"/>
      <name val="Tahoma"/>
      <family val="2"/>
    </font>
    <font>
      <b/>
      <sz val="8"/>
      <color indexed="81"/>
      <name val="Tahoma"/>
      <family val="2"/>
    </font>
    <font>
      <u/>
      <sz val="10"/>
      <color indexed="12"/>
      <name val="Arial"/>
      <family val="2"/>
    </font>
    <font>
      <b/>
      <sz val="10"/>
      <name val="Arial"/>
      <family val="2"/>
    </font>
    <font>
      <b/>
      <sz val="8"/>
      <name val="Arial"/>
      <family val="2"/>
    </font>
    <font>
      <b/>
      <sz val="8"/>
      <color indexed="9"/>
      <name val="Arial"/>
      <family val="2"/>
    </font>
    <font>
      <i/>
      <sz val="8"/>
      <name val="Arial"/>
      <family val="2"/>
    </font>
    <font>
      <sz val="8"/>
      <color indexed="12"/>
      <name val="Arial"/>
      <family val="2"/>
    </font>
    <font>
      <b/>
      <i/>
      <sz val="8"/>
      <name val="Arial"/>
      <family val="2"/>
    </font>
    <font>
      <sz val="8"/>
      <name val="Helv"/>
    </font>
    <font>
      <sz val="8"/>
      <name val="Arial"/>
      <family val="2"/>
    </font>
    <font>
      <i/>
      <sz val="8"/>
      <name val="Times New Roman"/>
      <family val="1"/>
    </font>
    <font>
      <b/>
      <sz val="12"/>
      <name val="Arial"/>
      <family val="2"/>
    </font>
    <font>
      <sz val="10"/>
      <name val="MS Sans Serif"/>
      <family val="2"/>
    </font>
    <font>
      <sz val="8"/>
      <name val="Times New Roman"/>
      <family val="1"/>
    </font>
    <font>
      <b/>
      <sz val="10"/>
      <color indexed="8"/>
      <name val="Times New Roman"/>
      <family val="1"/>
    </font>
    <font>
      <sz val="9"/>
      <name val="Times New Roman"/>
      <family val="1"/>
    </font>
    <font>
      <sz val="10"/>
      <color indexed="8"/>
      <name val="Times New Roman"/>
      <family val="1"/>
    </font>
    <font>
      <u/>
      <sz val="8"/>
      <name val="Arial"/>
      <family val="2"/>
    </font>
    <font>
      <sz val="8"/>
      <name val="Arial"/>
      <family val="2"/>
    </font>
    <font>
      <sz val="11"/>
      <name val="Arial"/>
      <family val="2"/>
    </font>
    <font>
      <sz val="11"/>
      <color indexed="8"/>
      <name val="Calibri"/>
      <family val="2"/>
    </font>
    <font>
      <sz val="11"/>
      <color indexed="9"/>
      <name val="Calibri"/>
      <family val="2"/>
    </font>
    <font>
      <i/>
      <sz val="11"/>
      <color indexed="23"/>
      <name val="Calibri"/>
      <family val="2"/>
    </font>
    <font>
      <b/>
      <sz val="15"/>
      <color indexed="62"/>
      <name val="Calibri"/>
      <family val="2"/>
    </font>
    <font>
      <b/>
      <sz val="11"/>
      <color indexed="62"/>
      <name val="Calibri"/>
      <family val="2"/>
    </font>
    <font>
      <b/>
      <sz val="18"/>
      <color indexed="62"/>
      <name val="Cambria"/>
      <family val="2"/>
    </font>
    <font>
      <b/>
      <sz val="11"/>
      <color indexed="8"/>
      <name val="Calibri"/>
      <family val="2"/>
    </font>
    <font>
      <sz val="8"/>
      <color indexed="12"/>
      <name val="Times New Roman"/>
      <family val="1"/>
    </font>
    <font>
      <sz val="8"/>
      <color indexed="9"/>
      <name val="Times New Roman"/>
      <family val="1"/>
    </font>
    <font>
      <b/>
      <sz val="8"/>
      <name val="Times New Roman"/>
      <family val="1"/>
    </font>
    <font>
      <sz val="8"/>
      <color indexed="8"/>
      <name val="Times New Roman"/>
      <family val="1"/>
    </font>
    <font>
      <sz val="8"/>
      <color indexed="17"/>
      <name val="Times New Roman"/>
      <family val="1"/>
    </font>
    <font>
      <i/>
      <sz val="8"/>
      <color indexed="12"/>
      <name val="Times New Roman"/>
      <family val="1"/>
    </font>
    <font>
      <b/>
      <sz val="8"/>
      <color indexed="12"/>
      <name val="Times New Roman"/>
      <family val="1"/>
    </font>
    <font>
      <i/>
      <sz val="8"/>
      <color indexed="17"/>
      <name val="Times New Roman"/>
      <family val="1"/>
    </font>
    <font>
      <b/>
      <u/>
      <sz val="8"/>
      <name val="Times New Roman"/>
      <family val="1"/>
    </font>
    <font>
      <b/>
      <u/>
      <sz val="8"/>
      <color indexed="12"/>
      <name val="Times New Roman"/>
      <family val="1"/>
    </font>
    <font>
      <u/>
      <sz val="8"/>
      <name val="Times New Roman"/>
      <family val="1"/>
    </font>
    <font>
      <u/>
      <sz val="8"/>
      <color indexed="8"/>
      <name val="Times New Roman"/>
      <family val="1"/>
    </font>
    <font>
      <i/>
      <sz val="8"/>
      <color indexed="8"/>
      <name val="Times New Roman"/>
      <family val="1"/>
    </font>
    <font>
      <b/>
      <i/>
      <sz val="8"/>
      <name val="Times New Roman"/>
      <family val="1"/>
    </font>
    <font>
      <sz val="8"/>
      <color indexed="14"/>
      <name val="Times New Roman"/>
      <family val="1"/>
    </font>
    <font>
      <sz val="8"/>
      <color indexed="10"/>
      <name val="Times New Roman"/>
      <family val="1"/>
    </font>
    <font>
      <b/>
      <sz val="8"/>
      <color indexed="8"/>
      <name val="Times New Roman"/>
      <family val="1"/>
    </font>
    <font>
      <i/>
      <sz val="8"/>
      <color indexed="23"/>
      <name val="Times New Roman"/>
      <family val="1"/>
    </font>
    <font>
      <b/>
      <sz val="14"/>
      <color indexed="9"/>
      <name val="Times New Roman"/>
      <family val="1"/>
    </font>
    <font>
      <sz val="14"/>
      <color indexed="9"/>
      <name val="Times New Roman"/>
      <family val="1"/>
    </font>
    <font>
      <sz val="8"/>
      <name val="Arial"/>
      <family val="2"/>
    </font>
    <font>
      <b/>
      <sz val="8"/>
      <color indexed="9"/>
      <name val="Times New Roman"/>
      <family val="1"/>
    </font>
    <font>
      <b/>
      <sz val="10"/>
      <name val="Times New Roman"/>
      <family val="1"/>
    </font>
    <font>
      <u/>
      <sz val="10"/>
      <color indexed="12"/>
      <name val="Arial"/>
      <family val="2"/>
    </font>
    <font>
      <sz val="10"/>
      <color indexed="8"/>
      <name val="Arial Narrow"/>
      <family val="2"/>
    </font>
    <font>
      <sz val="10"/>
      <name val="Arial Narrow"/>
      <family val="2"/>
    </font>
    <font>
      <b/>
      <sz val="18"/>
      <color indexed="9"/>
      <name val="Arial Narrow"/>
      <family val="2"/>
    </font>
    <font>
      <sz val="20"/>
      <color indexed="9"/>
      <name val="Arial Narrow"/>
      <family val="2"/>
    </font>
    <font>
      <b/>
      <sz val="14"/>
      <color indexed="9"/>
      <name val="Arial Narrow"/>
      <family val="2"/>
    </font>
    <font>
      <sz val="20"/>
      <name val="Arial Narrow"/>
      <family val="2"/>
    </font>
    <font>
      <sz val="10"/>
      <color indexed="9"/>
      <name val="Arial Narrow"/>
      <family val="2"/>
    </font>
    <font>
      <b/>
      <sz val="12"/>
      <name val="Arial Narrow"/>
      <family val="2"/>
    </font>
    <font>
      <sz val="12"/>
      <name val="Arial Narrow"/>
      <family val="2"/>
    </font>
    <font>
      <sz val="10"/>
      <color indexed="12"/>
      <name val="Arial Narrow"/>
      <family val="2"/>
    </font>
    <font>
      <u/>
      <sz val="10"/>
      <color indexed="12"/>
      <name val="Arial Narrow"/>
      <family val="2"/>
    </font>
    <font>
      <u/>
      <sz val="9"/>
      <color indexed="12"/>
      <name val="Arial Narrow"/>
      <family val="2"/>
    </font>
    <font>
      <sz val="10"/>
      <name val="Tahoma"/>
      <family val="2"/>
    </font>
    <font>
      <sz val="10"/>
      <color indexed="2"/>
      <name val="Tahoma"/>
      <family val="2"/>
    </font>
    <font>
      <b/>
      <sz val="10"/>
      <color indexed="0"/>
      <name val="Tahoma"/>
      <family val="2"/>
    </font>
    <font>
      <b/>
      <i/>
      <sz val="10"/>
      <color indexed="4"/>
      <name val="Tahoma"/>
      <family val="2"/>
    </font>
    <font>
      <sz val="10"/>
      <color indexed="4"/>
      <name val="Tahoma"/>
      <family val="2"/>
    </font>
    <font>
      <sz val="8"/>
      <color indexed="20"/>
      <name val="Times New Roman"/>
      <family val="1"/>
    </font>
    <font>
      <b/>
      <u/>
      <sz val="10"/>
      <name val="Times New Roman"/>
      <family val="1"/>
    </font>
    <font>
      <sz val="9"/>
      <name val="Arial"/>
      <family val="2"/>
    </font>
    <font>
      <i/>
      <sz val="10"/>
      <name val="Arial"/>
      <family val="2"/>
    </font>
    <font>
      <i/>
      <sz val="8"/>
      <color indexed="12"/>
      <name val="Arial"/>
      <family val="2"/>
    </font>
    <font>
      <sz val="9"/>
      <color indexed="81"/>
      <name val="Tahoma"/>
      <family val="2"/>
    </font>
    <font>
      <b/>
      <sz val="9"/>
      <color indexed="81"/>
      <name val="Tahoma"/>
      <family val="2"/>
    </font>
    <font>
      <i/>
      <sz val="8"/>
      <color indexed="9"/>
      <name val="Times New Roman"/>
      <family val="1"/>
    </font>
    <font>
      <sz val="8"/>
      <color indexed="12"/>
      <name val="Arial"/>
      <family val="2"/>
    </font>
    <font>
      <sz val="8"/>
      <color indexed="12"/>
      <name val="Arial"/>
      <family val="2"/>
    </font>
    <font>
      <sz val="8"/>
      <color indexed="30"/>
      <name val="Times New Roman"/>
      <family val="1"/>
    </font>
    <font>
      <sz val="8"/>
      <color indexed="12"/>
      <name val="Arial"/>
      <family val="2"/>
    </font>
    <font>
      <sz val="8"/>
      <color indexed="12"/>
      <name val="Arial"/>
      <family val="2"/>
    </font>
    <font>
      <sz val="8"/>
      <color indexed="12"/>
      <name val="Times New Roman"/>
      <family val="1"/>
    </font>
    <font>
      <sz val="8"/>
      <color indexed="12"/>
      <name val="Times New Roman"/>
      <family val="1"/>
    </font>
    <font>
      <sz val="10"/>
      <color indexed="8"/>
      <name val="Arial"/>
      <family val="2"/>
    </font>
    <font>
      <i/>
      <sz val="8"/>
      <color indexed="12"/>
      <name val="Times New Roman"/>
      <family val="1"/>
    </font>
    <font>
      <sz val="8"/>
      <color indexed="12"/>
      <name val="Arial"/>
      <family val="2"/>
    </font>
    <font>
      <sz val="8"/>
      <color indexed="12"/>
      <name val="Times New Roman"/>
      <family val="1"/>
    </font>
    <font>
      <sz val="10"/>
      <name val="Arial"/>
      <family val="2"/>
    </font>
    <font>
      <sz val="10"/>
      <name val="Arial"/>
      <family val="2"/>
    </font>
    <font>
      <sz val="10"/>
      <color indexed="8"/>
      <name val="Arial"/>
      <family val="2"/>
    </font>
    <font>
      <sz val="8"/>
      <color indexed="12"/>
      <name val="Times New Roman"/>
      <family val="1"/>
    </font>
    <font>
      <b/>
      <sz val="8"/>
      <color indexed="12"/>
      <name val="Times New Roman"/>
      <family val="1"/>
    </font>
    <font>
      <sz val="8"/>
      <color indexed="12"/>
      <name val="Times New Roman"/>
      <family val="1"/>
    </font>
    <font>
      <i/>
      <sz val="8"/>
      <color indexed="12"/>
      <name val="Times New Roman"/>
      <family val="1"/>
    </font>
    <font>
      <sz val="24"/>
      <name val="MS Sans Serif"/>
      <family val="2"/>
    </font>
    <font>
      <sz val="8"/>
      <color indexed="12"/>
      <name val="Arial"/>
      <family val="2"/>
    </font>
    <font>
      <b/>
      <sz val="10"/>
      <name val="Arial Narrow"/>
      <family val="2"/>
    </font>
    <font>
      <sz val="8"/>
      <color indexed="12"/>
      <name val="Times New Roman"/>
      <family val="1"/>
    </font>
    <font>
      <b/>
      <sz val="8"/>
      <color indexed="12"/>
      <name val="Times New Roman"/>
      <family val="1"/>
    </font>
    <font>
      <b/>
      <sz val="10"/>
      <color indexed="9"/>
      <name val="Calibri"/>
      <family val="2"/>
    </font>
    <font>
      <sz val="10"/>
      <name val="Calibri"/>
      <family val="2"/>
    </font>
    <font>
      <b/>
      <sz val="10"/>
      <name val="Calibri"/>
      <family val="2"/>
    </font>
    <font>
      <sz val="10"/>
      <name val="Arial"/>
      <family val="2"/>
    </font>
    <font>
      <sz val="10"/>
      <color theme="1"/>
      <name val="Arial"/>
      <family val="2"/>
    </font>
    <font>
      <sz val="11"/>
      <color theme="1"/>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sz val="8"/>
      <color rgb="FF0000FF"/>
      <name val="Arial"/>
      <family val="2"/>
    </font>
    <font>
      <b/>
      <sz val="8"/>
      <color rgb="FF0000FF"/>
      <name val="Times New Roman"/>
      <family val="1"/>
    </font>
    <font>
      <sz val="8"/>
      <color rgb="FF0000FF"/>
      <name val="Times New Roman"/>
      <family val="1"/>
    </font>
    <font>
      <b/>
      <sz val="10"/>
      <name val="Helv"/>
    </font>
    <font>
      <sz val="12"/>
      <name val="Arial MT"/>
    </font>
    <font>
      <sz val="8"/>
      <name val="Arial MT"/>
    </font>
    <font>
      <sz val="10"/>
      <color indexed="18"/>
      <name val="Times New Roman"/>
      <family val="1"/>
    </font>
    <font>
      <b/>
      <sz val="8"/>
      <name val="GillSans"/>
    </font>
    <font>
      <b/>
      <sz val="7"/>
      <name val="GillSans"/>
    </font>
    <font>
      <sz val="11"/>
      <name val="Tms Rmn"/>
      <family val="1"/>
    </font>
    <font>
      <sz val="9"/>
      <color indexed="12"/>
      <name val="Times New Roman"/>
      <family val="1"/>
    </font>
    <font>
      <sz val="9"/>
      <name val="GillSans Light"/>
    </font>
    <font>
      <b/>
      <sz val="10"/>
      <color indexed="9"/>
      <name val="GillSans"/>
    </font>
    <font>
      <b/>
      <sz val="10"/>
      <color indexed="8"/>
      <name val="GillSans"/>
    </font>
    <font>
      <b/>
      <i/>
      <sz val="12"/>
      <color indexed="12"/>
      <name val="Palatino"/>
    </font>
    <font>
      <sz val="10"/>
      <name val="GillSans Light"/>
    </font>
    <font>
      <b/>
      <i/>
      <sz val="16"/>
      <name val="Helv"/>
    </font>
    <font>
      <sz val="9"/>
      <name val="Helv"/>
    </font>
    <font>
      <b/>
      <sz val="9"/>
      <name val="helv"/>
    </font>
    <font>
      <b/>
      <sz val="13.5"/>
      <name val="MS Sans Serif"/>
      <family val="2"/>
    </font>
    <font>
      <i/>
      <sz val="9"/>
      <name val="Helv"/>
    </font>
    <font>
      <sz val="10"/>
      <color indexed="8"/>
      <name val="Helvetica"/>
      <family val="2"/>
    </font>
    <font>
      <sz val="10"/>
      <name val="GillSans"/>
    </font>
    <font>
      <b/>
      <sz val="10"/>
      <name val="GillSans"/>
    </font>
    <font>
      <b/>
      <u/>
      <sz val="9"/>
      <name val="Helv"/>
    </font>
    <font>
      <b/>
      <sz val="11"/>
      <color indexed="9"/>
      <name val="GillSans"/>
    </font>
    <font>
      <b/>
      <sz val="11"/>
      <name val="GillSans"/>
    </font>
    <font>
      <sz val="8"/>
      <color indexed="16"/>
      <name val="Helv"/>
    </font>
    <font>
      <sz val="8"/>
      <color rgb="FFFF0000"/>
      <name val="Arial"/>
      <family val="2"/>
    </font>
    <font>
      <b/>
      <sz val="8"/>
      <color rgb="FFFF0000"/>
      <name val="Times New Roman"/>
      <family val="1"/>
    </font>
    <font>
      <sz val="8"/>
      <color rgb="FFFF0000"/>
      <name val="Times New Roman"/>
      <family val="1"/>
    </font>
    <font>
      <sz val="10"/>
      <name val="Courier"/>
      <family val="3"/>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s>
  <fills count="36">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8"/>
        <bgColor indexed="64"/>
      </patternFill>
    </fill>
    <fill>
      <patternFill patternType="lightGray">
        <fgColor indexed="12"/>
      </patternFill>
    </fill>
    <fill>
      <patternFill patternType="solid">
        <fgColor indexed="48"/>
      </patternFill>
    </fill>
    <fill>
      <patternFill patternType="solid">
        <fgColor indexed="43"/>
        <bgColor indexed="64"/>
      </patternFill>
    </fill>
    <fill>
      <patternFill patternType="solid">
        <fgColor indexed="13"/>
        <bgColor indexed="64"/>
      </patternFill>
    </fill>
    <fill>
      <patternFill patternType="solid">
        <fgColor indexed="9"/>
        <bgColor indexed="64"/>
      </patternFill>
    </fill>
    <fill>
      <patternFill patternType="solid">
        <fgColor indexed="22"/>
        <bgColor indexed="64"/>
      </patternFill>
    </fill>
    <fill>
      <patternFill patternType="solid">
        <fgColor indexed="47"/>
        <bgColor indexed="64"/>
      </patternFill>
    </fill>
    <fill>
      <patternFill patternType="solid">
        <fgColor indexed="42"/>
        <bgColor indexed="64"/>
      </patternFill>
    </fill>
    <fill>
      <patternFill patternType="solid">
        <fgColor indexed="56"/>
        <bgColor indexed="64"/>
      </patternFill>
    </fill>
    <fill>
      <patternFill patternType="solid">
        <fgColor indexed="65"/>
        <bgColor indexed="64"/>
      </patternFill>
    </fill>
    <fill>
      <patternFill patternType="solid">
        <fgColor indexed="62"/>
        <bgColor indexed="64"/>
      </patternFill>
    </fill>
    <fill>
      <patternFill patternType="solid">
        <fgColor theme="0" tint="-0.1499374370555742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59996337778862885"/>
        <bgColor indexed="64"/>
      </patternFill>
    </fill>
    <fill>
      <patternFill patternType="solid">
        <fgColor theme="0"/>
        <bgColor indexed="64"/>
      </patternFill>
    </fill>
    <fill>
      <patternFill patternType="mediumGray"/>
    </fill>
    <fill>
      <patternFill patternType="solid">
        <fgColor rgb="FFFFFF00"/>
        <bgColor indexed="64"/>
      </patternFill>
    </fill>
    <fill>
      <patternFill patternType="solid">
        <fgColor rgb="FFFF0000"/>
        <bgColor indexed="64"/>
      </patternFill>
    </fill>
  </fills>
  <borders count="97">
    <border>
      <left/>
      <right/>
      <top/>
      <bottom/>
      <diagonal/>
    </border>
    <border>
      <left/>
      <right/>
      <top/>
      <bottom style="thick">
        <color indexed="49"/>
      </bottom>
      <diagonal/>
    </border>
    <border>
      <left/>
      <right/>
      <top/>
      <bottom style="medium">
        <color indexed="49"/>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right/>
      <top/>
      <bottom style="thin">
        <color indexed="8"/>
      </bottom>
      <diagonal/>
    </border>
    <border>
      <left/>
      <right/>
      <top style="thin">
        <color indexed="49"/>
      </top>
      <bottom style="double">
        <color indexed="49"/>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8"/>
      </left>
      <right/>
      <top/>
      <bottom/>
      <diagonal/>
    </border>
    <border>
      <left/>
      <right style="thin">
        <color indexed="8"/>
      </right>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thin">
        <color indexed="64"/>
      </left>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8"/>
      </right>
      <top style="thin">
        <color indexed="64"/>
      </top>
      <bottom style="thin">
        <color indexed="64"/>
      </bottom>
      <diagonal/>
    </border>
    <border>
      <left style="thin">
        <color indexed="8"/>
      </left>
      <right/>
      <top style="medium">
        <color indexed="64"/>
      </top>
      <bottom/>
      <diagonal/>
    </border>
    <border>
      <left/>
      <right style="thin">
        <color indexed="8"/>
      </right>
      <top style="medium">
        <color indexed="64"/>
      </top>
      <bottom/>
      <diagonal/>
    </border>
    <border>
      <left style="thin">
        <color indexed="8"/>
      </left>
      <right/>
      <top style="thin">
        <color indexed="64"/>
      </top>
      <bottom style="medium">
        <color indexed="64"/>
      </bottom>
      <diagonal/>
    </border>
    <border>
      <left/>
      <right style="thin">
        <color indexed="8"/>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medium">
        <color auto="1"/>
      </right>
      <top/>
      <bottom/>
      <diagonal/>
    </border>
    <border>
      <left/>
      <right style="thin">
        <color indexed="8"/>
      </right>
      <top style="thin">
        <color indexed="64"/>
      </top>
      <bottom/>
      <diagonal/>
    </border>
    <border>
      <left style="medium">
        <color indexed="64"/>
      </left>
      <right style="thin">
        <color indexed="64"/>
      </right>
      <top style="thin">
        <color indexed="64"/>
      </top>
      <bottom/>
      <diagonal/>
    </border>
    <border>
      <left/>
      <right style="thin">
        <color indexed="8"/>
      </right>
      <top/>
      <bottom style="thin">
        <color indexed="64"/>
      </bottom>
      <diagonal/>
    </border>
    <border>
      <left style="medium">
        <color indexed="64"/>
      </left>
      <right style="thin">
        <color indexed="64"/>
      </right>
      <top/>
      <bottom style="thin">
        <color indexed="64"/>
      </bottom>
      <diagonal/>
    </border>
    <border>
      <left/>
      <right style="thin">
        <color theme="0" tint="-0.34998626667073579"/>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229">
    <xf numFmtId="37" fontId="0" fillId="0" borderId="0" applyFont="0" applyFill="0" applyBorder="0" applyProtection="0"/>
    <xf numFmtId="0" fontId="5" fillId="0" borderId="0"/>
    <xf numFmtId="0" fontId="5" fillId="0" borderId="0"/>
    <xf numFmtId="0" fontId="4" fillId="0" borderId="0"/>
    <xf numFmtId="0" fontId="5" fillId="0" borderId="0"/>
    <xf numFmtId="0" fontId="20" fillId="0" borderId="0"/>
    <xf numFmtId="0" fontId="20" fillId="0" borderId="0"/>
    <xf numFmtId="0" fontId="20" fillId="0" borderId="0"/>
    <xf numFmtId="0" fontId="28" fillId="2" borderId="0" applyNumberFormat="0" applyBorder="0" applyAlignment="0" applyProtection="0"/>
    <xf numFmtId="0" fontId="28" fillId="3" borderId="0" applyNumberFormat="0" applyBorder="0" applyAlignment="0" applyProtection="0"/>
    <xf numFmtId="0" fontId="28" fillId="4" borderId="0" applyNumberFormat="0" applyBorder="0" applyAlignment="0" applyProtection="0"/>
    <xf numFmtId="0" fontId="28" fillId="2" borderId="0" applyNumberFormat="0" applyBorder="0" applyAlignment="0" applyProtection="0"/>
    <xf numFmtId="0" fontId="28" fillId="5" borderId="0" applyNumberFormat="0" applyBorder="0" applyAlignment="0" applyProtection="0"/>
    <xf numFmtId="0" fontId="28" fillId="4" borderId="0" applyNumberFormat="0" applyBorder="0" applyAlignment="0" applyProtection="0"/>
    <xf numFmtId="0" fontId="28" fillId="6" borderId="0" applyNumberFormat="0" applyBorder="0" applyAlignment="0" applyProtection="0"/>
    <xf numFmtId="0" fontId="28" fillId="3" borderId="0" applyNumberFormat="0" applyBorder="0" applyAlignment="0" applyProtection="0"/>
    <xf numFmtId="0" fontId="28" fillId="4" borderId="0" applyNumberFormat="0" applyBorder="0" applyAlignment="0" applyProtection="0"/>
    <xf numFmtId="0" fontId="28" fillId="6" borderId="0" applyNumberFormat="0" applyBorder="0" applyAlignment="0" applyProtection="0"/>
    <xf numFmtId="0" fontId="28" fillId="7" borderId="0" applyNumberFormat="0" applyBorder="0" applyAlignment="0" applyProtection="0"/>
    <xf numFmtId="0" fontId="28" fillId="4" borderId="0" applyNumberFormat="0" applyBorder="0" applyAlignment="0" applyProtection="0"/>
    <xf numFmtId="0" fontId="29" fillId="8" borderId="0" applyNumberFormat="0" applyBorder="0" applyAlignment="0" applyProtection="0"/>
    <xf numFmtId="0" fontId="29" fillId="3" borderId="0" applyNumberFormat="0" applyBorder="0" applyAlignment="0" applyProtection="0"/>
    <xf numFmtId="0" fontId="29" fillId="9" borderId="0" applyNumberFormat="0" applyBorder="0" applyAlignment="0" applyProtection="0"/>
    <xf numFmtId="0" fontId="29" fillId="6" borderId="0" applyNumberFormat="0" applyBorder="0" applyAlignment="0" applyProtection="0"/>
    <xf numFmtId="0" fontId="29" fillId="8" borderId="0" applyNumberFormat="0" applyBorder="0" applyAlignment="0" applyProtection="0"/>
    <xf numFmtId="0" fontId="29" fillId="4" borderId="0" applyNumberFormat="0" applyBorder="0" applyAlignment="0" applyProtection="0"/>
    <xf numFmtId="0" fontId="29" fillId="8" borderId="0" applyNumberFormat="0" applyBorder="0" applyAlignment="0" applyProtection="0"/>
    <xf numFmtId="0" fontId="29" fillId="3" borderId="0" applyNumberFormat="0" applyBorder="0" applyAlignment="0" applyProtection="0"/>
    <xf numFmtId="0" fontId="29" fillId="9" borderId="0" applyNumberFormat="0" applyBorder="0" applyAlignment="0" applyProtection="0"/>
    <xf numFmtId="0" fontId="29" fillId="10" borderId="0" applyNumberFormat="0" applyBorder="0" applyAlignment="0" applyProtection="0"/>
    <xf numFmtId="0" fontId="29" fillId="8" borderId="0" applyNumberFormat="0" applyBorder="0" applyAlignment="0" applyProtection="0"/>
    <xf numFmtId="0" fontId="29" fillId="3" borderId="0" applyNumberFormat="0" applyBorder="0" applyAlignment="0" applyProtection="0"/>
    <xf numFmtId="0" fontId="12" fillId="11" borderId="0" applyNumberFormat="0" applyBorder="0" applyAlignment="0" applyProtection="0"/>
    <xf numFmtId="0" fontId="14" fillId="0" borderId="0" applyNumberFormat="0" applyFill="0" applyBorder="0" applyAlignment="0" applyProtection="0"/>
    <xf numFmtId="0" fontId="22" fillId="0" borderId="0"/>
    <xf numFmtId="0" fontId="22" fillId="0" borderId="0"/>
    <xf numFmtId="0" fontId="22" fillId="0" borderId="0"/>
    <xf numFmtId="0" fontId="20" fillId="0" borderId="0">
      <alignment horizontal="center" wrapText="1"/>
      <protection hidden="1"/>
    </xf>
    <xf numFmtId="40" fontId="2" fillId="0" borderId="0" applyFont="0" applyFill="0" applyBorder="0" applyAlignment="0" applyProtection="0"/>
    <xf numFmtId="43" fontId="4" fillId="0" borderId="0" applyFont="0" applyFill="0" applyBorder="0" applyAlignment="0" applyProtection="0"/>
    <xf numFmtId="43" fontId="3" fillId="0" borderId="0" applyFont="0" applyFill="0" applyBorder="0" applyAlignment="0" applyProtection="0"/>
    <xf numFmtId="0" fontId="102" fillId="12" borderId="0">
      <alignment horizontal="center" vertical="center" wrapText="1"/>
    </xf>
    <xf numFmtId="211" fontId="4" fillId="0" borderId="0" applyFill="0" applyBorder="0">
      <alignment horizontal="right"/>
      <protection locked="0"/>
    </xf>
    <xf numFmtId="8" fontId="2" fillId="0" borderId="0" applyFont="0" applyFill="0" applyBorder="0" applyAlignment="0" applyProtection="0"/>
    <xf numFmtId="44" fontId="110" fillId="0" borderId="0" applyFont="0" applyFill="0" applyBorder="0" applyAlignment="0" applyProtection="0"/>
    <xf numFmtId="44" fontId="96" fillId="0" borderId="0" applyFont="0" applyFill="0" applyBorder="0" applyAlignment="0" applyProtection="0"/>
    <xf numFmtId="184" fontId="6" fillId="0" borderId="0" applyFont="0" applyFill="0" applyBorder="0" applyAlignment="0" applyProtection="0"/>
    <xf numFmtId="0" fontId="30" fillId="0" borderId="0" applyNumberFormat="0" applyFill="0" applyBorder="0" applyAlignment="0" applyProtection="0"/>
    <xf numFmtId="0" fontId="72" fillId="0" borderId="0"/>
    <xf numFmtId="0" fontId="73" fillId="13" borderId="0"/>
    <xf numFmtId="0" fontId="31" fillId="0" borderId="1" applyNumberFormat="0" applyFill="0" applyAlignment="0" applyProtection="0"/>
    <xf numFmtId="0" fontId="32" fillId="0" borderId="2" applyNumberFormat="0" applyFill="0" applyAlignment="0" applyProtection="0"/>
    <xf numFmtId="0" fontId="32" fillId="0" borderId="0" applyNumberFormat="0" applyFill="0" applyBorder="0" applyAlignment="0" applyProtection="0"/>
    <xf numFmtId="0" fontId="71" fillId="0" borderId="0">
      <alignment wrapText="1"/>
    </xf>
    <xf numFmtId="0" fontId="9"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14" fillId="14" borderId="3" applyNumberFormat="0" applyAlignment="0" applyProtection="0">
      <protection locked="0"/>
    </xf>
    <xf numFmtId="0" fontId="4" fillId="0" borderId="0" applyFill="0" applyBorder="0">
      <alignment horizontal="right"/>
      <protection locked="0"/>
    </xf>
    <xf numFmtId="185" fontId="4" fillId="0" borderId="0" applyFill="0" applyBorder="0">
      <alignment horizontal="right"/>
      <protection locked="0"/>
    </xf>
    <xf numFmtId="0" fontId="10" fillId="15" borderId="4">
      <alignment horizontal="left" vertical="center" wrapText="1"/>
    </xf>
    <xf numFmtId="0" fontId="73" fillId="0" borderId="0"/>
    <xf numFmtId="0" fontId="74" fillId="0" borderId="0"/>
    <xf numFmtId="0" fontId="75" fillId="0" borderId="0"/>
    <xf numFmtId="191" fontId="6" fillId="16" borderId="0" applyFill="0" applyBorder="0" applyAlignment="0"/>
    <xf numFmtId="0" fontId="95" fillId="0" borderId="0"/>
    <xf numFmtId="0" fontId="111" fillId="0" borderId="0"/>
    <xf numFmtId="0" fontId="96" fillId="0" borderId="0"/>
    <xf numFmtId="0" fontId="112" fillId="0" borderId="0"/>
    <xf numFmtId="0" fontId="4" fillId="0" borderId="0"/>
    <xf numFmtId="0" fontId="3" fillId="0" borderId="0" applyNumberFormat="0" applyFont="0" applyFill="0" applyBorder="0" applyAlignment="0" applyProtection="0"/>
    <xf numFmtId="0" fontId="110" fillId="0" borderId="0"/>
    <xf numFmtId="0" fontId="4" fillId="0" borderId="0"/>
    <xf numFmtId="0" fontId="5" fillId="0" borderId="0"/>
    <xf numFmtId="0" fontId="5" fillId="0" borderId="0"/>
    <xf numFmtId="0" fontId="5" fillId="0" borderId="0"/>
    <xf numFmtId="182" fontId="6" fillId="0" borderId="0"/>
    <xf numFmtId="0" fontId="23" fillId="0" borderId="0">
      <alignment vertical="center"/>
    </xf>
    <xf numFmtId="0" fontId="75" fillId="0" borderId="0"/>
    <xf numFmtId="9" fontId="2" fillId="0" borderId="0" applyFont="0" applyFill="0" applyBorder="0" applyAlignment="0" applyProtection="0"/>
    <xf numFmtId="9" fontId="97" fillId="0" borderId="0" applyFont="0" applyFill="0" applyBorder="0" applyAlignment="0" applyProtection="0"/>
    <xf numFmtId="9" fontId="3" fillId="0" borderId="0" applyFont="0" applyFill="0" applyBorder="0" applyAlignment="0" applyProtection="0"/>
    <xf numFmtId="212" fontId="4" fillId="0" borderId="0" applyFill="0" applyBorder="0">
      <alignment horizontal="right"/>
      <protection locked="0"/>
    </xf>
    <xf numFmtId="188" fontId="6" fillId="0" borderId="0" applyFont="0" applyFill="0" applyBorder="0" applyAlignment="0" applyProtection="0"/>
    <xf numFmtId="190" fontId="12" fillId="11" borderId="0" applyFont="0" applyFill="0" applyBorder="0" applyAlignment="0" applyProtection="0">
      <alignment horizontal="centerContinuous"/>
    </xf>
    <xf numFmtId="187" fontId="6" fillId="0" borderId="0" applyFont="0" applyFill="0" applyBorder="0" applyAlignment="0" applyProtection="0"/>
    <xf numFmtId="0" fontId="4" fillId="14" borderId="0" applyNumberFormat="0" applyFont="0" applyBorder="0" applyAlignment="0" applyProtection="0"/>
    <xf numFmtId="0" fontId="24" fillId="0" borderId="0"/>
    <xf numFmtId="0" fontId="24" fillId="0" borderId="0"/>
    <xf numFmtId="0" fontId="24" fillId="0" borderId="5">
      <alignment horizontal="centerContinuous"/>
    </xf>
    <xf numFmtId="0" fontId="18" fillId="0" borderId="5"/>
    <xf numFmtId="0" fontId="33" fillId="0" borderId="0" applyNumberFormat="0" applyFill="0" applyBorder="0" applyAlignment="0" applyProtection="0"/>
    <xf numFmtId="0" fontId="34" fillId="0" borderId="6" applyNumberFormat="0" applyFill="0" applyAlignment="0" applyProtection="0"/>
    <xf numFmtId="0" fontId="113" fillId="0" borderId="76" applyNumberFormat="0" applyFill="0" applyAlignment="0" applyProtection="0"/>
    <xf numFmtId="0" fontId="114" fillId="24" borderId="0" applyNumberFormat="0" applyBorder="0" applyAlignment="0" applyProtection="0"/>
    <xf numFmtId="0" fontId="115" fillId="25" borderId="0" applyNumberFormat="0" applyBorder="0" applyAlignment="0" applyProtection="0"/>
    <xf numFmtId="0" fontId="116" fillId="26" borderId="0" applyNumberFormat="0" applyBorder="0" applyAlignment="0" applyProtection="0"/>
    <xf numFmtId="0" fontId="117" fillId="27" borderId="77" applyNumberFormat="0" applyAlignment="0" applyProtection="0"/>
    <xf numFmtId="0" fontId="118" fillId="28" borderId="78" applyNumberFormat="0" applyAlignment="0" applyProtection="0"/>
    <xf numFmtId="0" fontId="119" fillId="28" borderId="77" applyNumberFormat="0" applyAlignment="0" applyProtection="0"/>
    <xf numFmtId="0" fontId="120" fillId="0" borderId="79" applyNumberFormat="0" applyFill="0" applyAlignment="0" applyProtection="0"/>
    <xf numFmtId="0" fontId="121" fillId="29" borderId="80" applyNumberFormat="0" applyAlignment="0" applyProtection="0"/>
    <xf numFmtId="0" fontId="122" fillId="0" borderId="0" applyNumberFormat="0" applyFill="0" applyBorder="0" applyAlignment="0" applyProtection="0"/>
    <xf numFmtId="0" fontId="6" fillId="30" borderId="81" applyNumberFormat="0" applyFont="0" applyAlignment="0" applyProtection="0"/>
    <xf numFmtId="0" fontId="1" fillId="0" borderId="0"/>
    <xf numFmtId="44" fontId="28" fillId="0" borderId="0" applyFont="0" applyFill="0" applyBorder="0" applyAlignment="0" applyProtection="0"/>
    <xf numFmtId="43" fontId="28" fillId="0" borderId="0" applyFont="0" applyFill="0" applyBorder="0" applyAlignment="0" applyProtection="0"/>
    <xf numFmtId="37" fontId="4" fillId="0" borderId="0" applyFont="0" applyFill="0" applyBorder="0" applyProtection="0"/>
    <xf numFmtId="37" fontId="6" fillId="0" borderId="0" applyFont="0" applyFill="0" applyBorder="0" applyProtection="0"/>
    <xf numFmtId="0" fontId="4" fillId="0" borderId="0"/>
    <xf numFmtId="0" fontId="3" fillId="0" borderId="0"/>
    <xf numFmtId="0" fontId="4" fillId="0" borderId="0"/>
    <xf numFmtId="0" fontId="4" fillId="0" borderId="0" applyNumberFormat="0" applyFill="0" applyBorder="0" applyAlignment="0" applyProtection="0"/>
    <xf numFmtId="0" fontId="4" fillId="0" borderId="0"/>
    <xf numFmtId="0" fontId="4" fillId="0" borderId="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0" fillId="0" borderId="0"/>
    <xf numFmtId="9" fontId="4" fillId="0" borderId="0"/>
    <xf numFmtId="0" fontId="20" fillId="0" borderId="0"/>
    <xf numFmtId="0" fontId="20" fillId="0" borderId="0"/>
    <xf numFmtId="0" fontId="20" fillId="0" borderId="0"/>
    <xf numFmtId="2" fontId="20" fillId="0" borderId="0"/>
    <xf numFmtId="10" fontId="20" fillId="0" borderId="0"/>
    <xf numFmtId="2"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78" fontId="126" fillId="0" borderId="0" applyFont="0" applyAlignment="0"/>
    <xf numFmtId="37" fontId="127" fillId="0" borderId="0">
      <alignment horizontal="center"/>
    </xf>
    <xf numFmtId="171" fontId="128" fillId="0" borderId="0">
      <alignment horizontal="left"/>
    </xf>
    <xf numFmtId="37" fontId="13" fillId="16" borderId="0">
      <alignment horizontal="left" indent="2"/>
    </xf>
    <xf numFmtId="1" fontId="6" fillId="16" borderId="0">
      <alignment horizontal="left"/>
    </xf>
    <xf numFmtId="167" fontId="13" fillId="16" borderId="0">
      <alignment horizontal="center"/>
    </xf>
    <xf numFmtId="37" fontId="6" fillId="16" borderId="0">
      <alignment horizontal="center"/>
    </xf>
    <xf numFmtId="0" fontId="12" fillId="20" borderId="0" applyAlignment="0">
      <alignment horizontal="center"/>
    </xf>
    <xf numFmtId="1" fontId="129" fillId="0" borderId="0"/>
    <xf numFmtId="0" fontId="130" fillId="0" borderId="7" applyNumberFormat="0" applyFill="0" applyProtection="0">
      <alignment horizontal="left" vertical="center"/>
    </xf>
    <xf numFmtId="0" fontId="131" fillId="0" borderId="7" applyNumberFormat="0" applyFill="0" applyBorder="0" applyProtection="0">
      <alignment horizontal="left" vertical="center"/>
    </xf>
    <xf numFmtId="0" fontId="131" fillId="0" borderId="7" applyNumberFormat="0" applyFill="0" applyBorder="0" applyProtection="0">
      <alignment horizontal="right" vertical="center"/>
    </xf>
    <xf numFmtId="213" fontId="132" fillId="0" borderId="0"/>
    <xf numFmtId="213" fontId="132" fillId="0" borderId="0"/>
    <xf numFmtId="213" fontId="132" fillId="0" borderId="0"/>
    <xf numFmtId="213" fontId="132" fillId="0" borderId="0"/>
    <xf numFmtId="213" fontId="132" fillId="0" borderId="0"/>
    <xf numFmtId="213" fontId="132" fillId="0" borderId="0"/>
    <xf numFmtId="213" fontId="132" fillId="0" borderId="0"/>
    <xf numFmtId="213" fontId="132" fillId="0" borderId="0"/>
    <xf numFmtId="38" fontId="3" fillId="0" borderId="0"/>
    <xf numFmtId="43" fontId="28" fillId="0" borderId="0" applyFont="0" applyFill="0" applyBorder="0" applyAlignment="0" applyProtection="0"/>
    <xf numFmtId="214" fontId="4" fillId="0" borderId="0" applyFont="0" applyFill="0" applyBorder="0" applyAlignment="0" applyProtection="0"/>
    <xf numFmtId="43" fontId="3"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3" fillId="0" borderId="0" applyFont="0" applyFill="0" applyBorder="0" applyAlignment="0" applyProtection="0"/>
    <xf numFmtId="215" fontId="4" fillId="0" borderId="0" applyFont="0" applyFill="0" applyBorder="0" applyAlignment="0" applyProtection="0"/>
    <xf numFmtId="14" fontId="10" fillId="0" borderId="8" applyFont="0">
      <alignment horizontal="right"/>
    </xf>
    <xf numFmtId="0" fontId="3" fillId="0" borderId="0"/>
    <xf numFmtId="5" fontId="91" fillId="0" borderId="0" applyFont="0" applyFill="0" applyBorder="0" applyAlignment="0" applyProtection="0">
      <protection locked="0"/>
    </xf>
    <xf numFmtId="216" fontId="133" fillId="0" borderId="9" applyNumberFormat="0" applyBorder="0"/>
    <xf numFmtId="0" fontId="134" fillId="0" borderId="0" applyNumberFormat="0" applyFill="0" applyBorder="0" applyProtection="0">
      <alignment horizontal="left" vertical="center"/>
    </xf>
    <xf numFmtId="0" fontId="135" fillId="33" borderId="0" applyNumberFormat="0" applyBorder="0" applyProtection="0">
      <alignment horizontal="left" vertical="center"/>
    </xf>
    <xf numFmtId="0" fontId="136" fillId="1" borderId="0" applyNumberFormat="0" applyBorder="0" applyProtection="0">
      <alignment horizontal="left" vertical="center"/>
    </xf>
    <xf numFmtId="0" fontId="19" fillId="0" borderId="19" applyNumberFormat="0" applyAlignment="0" applyProtection="0">
      <alignment horizontal="left" vertical="center"/>
    </xf>
    <xf numFmtId="0" fontId="19" fillId="0" borderId="8">
      <alignment horizontal="left" vertical="center"/>
    </xf>
    <xf numFmtId="178" fontId="137" fillId="0" borderId="0"/>
    <xf numFmtId="0" fontId="138" fillId="0" borderId="0" applyNumberFormat="0" applyFill="0" applyBorder="0" applyProtection="0">
      <alignment horizontal="left" vertical="center"/>
    </xf>
    <xf numFmtId="217" fontId="139" fillId="0" borderId="0"/>
    <xf numFmtId="0" fontId="4" fillId="0" borderId="0"/>
    <xf numFmtId="216" fontId="140" fillId="0" borderId="62" applyBorder="0"/>
    <xf numFmtId="216" fontId="141" fillId="0" borderId="62" applyBorder="0"/>
    <xf numFmtId="43" fontId="3" fillId="0" borderId="0" applyFont="0" applyFill="0" applyBorder="0" applyAlignment="0" applyProtection="0"/>
    <xf numFmtId="41" fontId="3" fillId="0" borderId="0" applyFont="0" applyFill="0" applyBorder="0" applyAlignment="0" applyProtection="0"/>
    <xf numFmtId="0" fontId="142" fillId="0" borderId="0">
      <alignment horizontal="left"/>
    </xf>
    <xf numFmtId="167" fontId="143" fillId="0" borderId="62" applyBorder="0"/>
    <xf numFmtId="167" fontId="144" fillId="0" borderId="0" applyBorder="0"/>
    <xf numFmtId="9" fontId="2" fillId="0" borderId="0" applyFont="0" applyFill="0" applyBorder="0" applyAlignment="0" applyProtection="0"/>
    <xf numFmtId="218" fontId="145" fillId="0" borderId="0">
      <alignment horizontal="right"/>
    </xf>
    <xf numFmtId="219" fontId="4" fillId="0" borderId="0">
      <alignment horizontal="right"/>
      <protection locked="0"/>
    </xf>
    <xf numFmtId="0" fontId="138" fillId="0" borderId="0" applyNumberFormat="0" applyFill="0" applyBorder="0" applyProtection="0">
      <alignment horizontal="right" vertical="center"/>
    </xf>
    <xf numFmtId="0" fontId="4" fillId="14" borderId="0" applyNumberFormat="0" applyFont="0" applyBorder="0" applyAlignment="0" applyProtection="0"/>
    <xf numFmtId="0" fontId="24" fillId="0" borderId="0"/>
    <xf numFmtId="0" fontId="24" fillId="0" borderId="5">
      <alignment horizontal="centerContinuous"/>
    </xf>
    <xf numFmtId="0" fontId="24" fillId="0" borderId="5">
      <alignment horizontal="centerContinuous"/>
    </xf>
    <xf numFmtId="0" fontId="19" fillId="12" borderId="3">
      <alignment horizontal="center" vertical="center" wrapText="1"/>
      <protection hidden="1"/>
    </xf>
    <xf numFmtId="0" fontId="4" fillId="0" borderId="0">
      <alignment vertical="top"/>
    </xf>
    <xf numFmtId="0" fontId="4" fillId="0" borderId="0">
      <alignment vertical="top"/>
    </xf>
    <xf numFmtId="0" fontId="6" fillId="0" borderId="0" applyNumberFormat="0" applyFill="0" applyBorder="0" applyProtection="0">
      <alignment vertical="center"/>
    </xf>
    <xf numFmtId="0" fontId="11" fillId="0" borderId="0" applyNumberFormat="0" applyFill="0" applyBorder="0" applyProtection="0">
      <alignment vertical="center"/>
    </xf>
    <xf numFmtId="0" fontId="146" fillId="0" borderId="0" applyNumberFormat="0" applyFill="0" applyBorder="0" applyProtection="0">
      <alignment horizontal="left" vertical="center"/>
    </xf>
    <xf numFmtId="178" fontId="147" fillId="0" borderId="62" applyBorder="0"/>
    <xf numFmtId="0" fontId="146" fillId="0" borderId="8" applyNumberFormat="0" applyFill="0" applyProtection="0">
      <alignment horizontal="left" vertical="center"/>
    </xf>
    <xf numFmtId="0" fontId="148" fillId="33" borderId="0" applyNumberFormat="0" applyBorder="0" applyProtection="0">
      <alignment horizontal="left" vertical="center"/>
    </xf>
    <xf numFmtId="0" fontId="149" fillId="1" borderId="0" applyNumberFormat="0" applyBorder="0" applyProtection="0">
      <alignment horizontal="left" vertical="center"/>
    </xf>
    <xf numFmtId="0" fontId="4" fillId="0" borderId="0" applyBorder="0"/>
    <xf numFmtId="38" fontId="78" fillId="0" borderId="9" applyNumberFormat="0" applyFont="0" applyFill="0" applyAlignment="0" applyProtection="0"/>
    <xf numFmtId="0" fontId="150" fillId="0" borderId="0" applyNumberFormat="0"/>
    <xf numFmtId="0" fontId="154" fillId="0" borderId="0"/>
  </cellStyleXfs>
  <cellXfs count="2429">
    <xf numFmtId="37" fontId="0" fillId="0" borderId="0" xfId="0"/>
    <xf numFmtId="37" fontId="11" fillId="0" borderId="0" xfId="0" applyFont="1"/>
    <xf numFmtId="37" fontId="6" fillId="0" borderId="0" xfId="0" applyFont="1"/>
    <xf numFmtId="39" fontId="6" fillId="0" borderId="0" xfId="0" applyNumberFormat="1" applyFont="1"/>
    <xf numFmtId="37" fontId="13" fillId="0" borderId="0" xfId="0" applyFont="1"/>
    <xf numFmtId="37" fontId="6" fillId="0" borderId="0" xfId="0" applyFont="1" applyAlignment="1">
      <alignment horizontal="right"/>
    </xf>
    <xf numFmtId="37" fontId="6" fillId="0" borderId="0" xfId="0" quotePrefix="1" applyFont="1" applyAlignment="1">
      <alignment horizontal="right"/>
    </xf>
    <xf numFmtId="37" fontId="6" fillId="0" borderId="0" xfId="0" applyFont="1" applyFill="1"/>
    <xf numFmtId="37" fontId="6" fillId="0" borderId="0" xfId="0" applyFont="1" applyBorder="1"/>
    <xf numFmtId="37" fontId="14" fillId="0" borderId="0" xfId="0" applyFont="1"/>
    <xf numFmtId="165" fontId="6" fillId="0" borderId="0" xfId="0" applyNumberFormat="1" applyFont="1"/>
    <xf numFmtId="37" fontId="6" fillId="0" borderId="0" xfId="0" applyFont="1" applyBorder="1" applyAlignment="1">
      <alignment horizontal="right"/>
    </xf>
    <xf numFmtId="39" fontId="6" fillId="0" borderId="0" xfId="0" applyNumberFormat="1" applyFont="1" applyAlignment="1">
      <alignment horizontal="right"/>
    </xf>
    <xf numFmtId="37" fontId="15" fillId="0" borderId="0" xfId="0" applyFont="1"/>
    <xf numFmtId="37" fontId="11" fillId="0" borderId="0" xfId="0" applyFont="1" applyBorder="1"/>
    <xf numFmtId="167" fontId="11" fillId="0" borderId="0" xfId="0" applyNumberFormat="1" applyFont="1"/>
    <xf numFmtId="167" fontId="6" fillId="0" borderId="0" xfId="78" applyNumberFormat="1" applyFont="1" applyFill="1" applyBorder="1"/>
    <xf numFmtId="37" fontId="11" fillId="0" borderId="0" xfId="0" applyFont="1" applyFill="1" applyBorder="1"/>
    <xf numFmtId="37" fontId="11" fillId="0" borderId="0" xfId="0" applyFont="1" applyFill="1"/>
    <xf numFmtId="37" fontId="14" fillId="0" borderId="0" xfId="0" applyFont="1" applyFill="1"/>
    <xf numFmtId="9" fontId="6" fillId="0" borderId="0" xfId="78" applyFont="1" applyFill="1" applyBorder="1"/>
    <xf numFmtId="37" fontId="10" fillId="0" borderId="0" xfId="0" applyFont="1"/>
    <xf numFmtId="37" fontId="11" fillId="0" borderId="0" xfId="0" applyFont="1" applyBorder="1" applyAlignment="1">
      <alignment horizontal="right"/>
    </xf>
    <xf numFmtId="37" fontId="11" fillId="0" borderId="0" xfId="0" applyFont="1" applyAlignment="1">
      <alignment horizontal="center"/>
    </xf>
    <xf numFmtId="167" fontId="14" fillId="0" borderId="0" xfId="78" applyNumberFormat="1" applyFont="1" applyBorder="1"/>
    <xf numFmtId="10" fontId="11" fillId="0" borderId="0" xfId="0" applyNumberFormat="1" applyFont="1"/>
    <xf numFmtId="10" fontId="6" fillId="0" borderId="0" xfId="0" applyNumberFormat="1" applyFont="1" applyFill="1"/>
    <xf numFmtId="37" fontId="6" fillId="0" borderId="0" xfId="0" applyFont="1" applyFill="1" applyBorder="1" applyAlignment="1">
      <alignment horizontal="right"/>
    </xf>
    <xf numFmtId="37" fontId="14" fillId="0" borderId="0" xfId="0" applyFont="1" applyFill="1" applyBorder="1"/>
    <xf numFmtId="37" fontId="14" fillId="0" borderId="0" xfId="0" applyFont="1" applyBorder="1"/>
    <xf numFmtId="37" fontId="13" fillId="0" borderId="0" xfId="0" applyFont="1" applyBorder="1"/>
    <xf numFmtId="164" fontId="6" fillId="0" borderId="0" xfId="0" applyNumberFormat="1" applyFont="1" applyBorder="1" applyProtection="1"/>
    <xf numFmtId="37" fontId="11" fillId="0" borderId="0" xfId="0" applyFont="1" applyFill="1" applyBorder="1" applyAlignment="1">
      <alignment horizontal="right"/>
    </xf>
    <xf numFmtId="37" fontId="0" fillId="0" borderId="0" xfId="0" applyFont="1" applyFill="1"/>
    <xf numFmtId="49" fontId="0" fillId="0" borderId="0" xfId="0" applyNumberFormat="1" applyFont="1"/>
    <xf numFmtId="164" fontId="6" fillId="0" borderId="0" xfId="0" applyNumberFormat="1" applyFont="1" applyBorder="1" applyAlignment="1" applyProtection="1">
      <alignment horizontal="right"/>
    </xf>
    <xf numFmtId="39" fontId="6" fillId="0" borderId="0" xfId="0" applyNumberFormat="1" applyFont="1" applyBorder="1" applyAlignment="1" applyProtection="1">
      <alignment horizontal="right"/>
    </xf>
    <xf numFmtId="37" fontId="6" fillId="0" borderId="0" xfId="0" applyFont="1" applyBorder="1" applyAlignment="1">
      <alignment horizontal="left"/>
    </xf>
    <xf numFmtId="37" fontId="0" fillId="0" borderId="0" xfId="0" applyFont="1" applyBorder="1"/>
    <xf numFmtId="37" fontId="0" fillId="0" borderId="0" xfId="0" applyFont="1" applyFill="1" applyBorder="1"/>
    <xf numFmtId="37" fontId="26" fillId="0" borderId="0" xfId="0" applyFont="1"/>
    <xf numFmtId="167" fontId="0" fillId="0" borderId="0" xfId="0" applyNumberFormat="1" applyFont="1" applyBorder="1"/>
    <xf numFmtId="167" fontId="0" fillId="0" borderId="0" xfId="0" applyNumberFormat="1" applyFont="1"/>
    <xf numFmtId="10" fontId="0" fillId="0" borderId="0" xfId="0" applyNumberFormat="1" applyFont="1" applyBorder="1"/>
    <xf numFmtId="10" fontId="0" fillId="0" borderId="0" xfId="0" applyNumberFormat="1" applyFont="1"/>
    <xf numFmtId="37" fontId="26" fillId="0" borderId="0" xfId="0" applyFont="1" applyFill="1"/>
    <xf numFmtId="10" fontId="11" fillId="0" borderId="0" xfId="0" applyNumberFormat="1" applyFont="1" applyFill="1"/>
    <xf numFmtId="10" fontId="25" fillId="0" borderId="0" xfId="0" applyNumberFormat="1" applyFont="1"/>
    <xf numFmtId="10" fontId="25" fillId="0" borderId="0" xfId="0" applyNumberFormat="1" applyFont="1" applyBorder="1"/>
    <xf numFmtId="37" fontId="25" fillId="0" borderId="0" xfId="0" applyFont="1"/>
    <xf numFmtId="194" fontId="6" fillId="0" borderId="0" xfId="0" applyNumberFormat="1" applyFont="1"/>
    <xf numFmtId="10" fontId="0" fillId="0" borderId="0" xfId="0" applyNumberFormat="1" applyFont="1" applyFill="1" applyBorder="1"/>
    <xf numFmtId="196" fontId="6" fillId="0" borderId="0" xfId="0" applyNumberFormat="1" applyFont="1"/>
    <xf numFmtId="37" fontId="26" fillId="0" borderId="0" xfId="0" applyFont="1" applyBorder="1"/>
    <xf numFmtId="37" fontId="21" fillId="0" borderId="0" xfId="0" applyFont="1"/>
    <xf numFmtId="37" fontId="18" fillId="0" borderId="0" xfId="0" applyFont="1"/>
    <xf numFmtId="37" fontId="35" fillId="0" borderId="0" xfId="0" applyFont="1"/>
    <xf numFmtId="9" fontId="21" fillId="0" borderId="0" xfId="0" applyNumberFormat="1" applyFont="1"/>
    <xf numFmtId="8" fontId="21" fillId="0" borderId="0" xfId="0" applyNumberFormat="1" applyFont="1"/>
    <xf numFmtId="39" fontId="21" fillId="0" borderId="0" xfId="0" applyNumberFormat="1" applyFont="1"/>
    <xf numFmtId="40" fontId="21" fillId="0" borderId="0" xfId="38" applyFont="1" applyBorder="1" applyProtection="1"/>
    <xf numFmtId="199" fontId="21" fillId="0" borderId="0" xfId="0" applyNumberFormat="1" applyFont="1" applyFill="1" applyBorder="1"/>
    <xf numFmtId="37" fontId="21" fillId="0" borderId="0" xfId="0" applyFont="1" applyFill="1" applyBorder="1"/>
    <xf numFmtId="7" fontId="21" fillId="0" borderId="0" xfId="0" applyNumberFormat="1" applyFont="1"/>
    <xf numFmtId="37" fontId="21" fillId="0" borderId="0" xfId="0" applyFont="1" applyBorder="1"/>
    <xf numFmtId="37" fontId="36" fillId="20" borderId="15" xfId="0" applyFont="1" applyFill="1" applyBorder="1"/>
    <xf numFmtId="37" fontId="36" fillId="20" borderId="16" xfId="0" applyFont="1" applyFill="1" applyBorder="1"/>
    <xf numFmtId="37" fontId="36" fillId="20" borderId="16" xfId="0" applyFont="1" applyFill="1" applyBorder="1" applyAlignment="1"/>
    <xf numFmtId="37" fontId="37" fillId="0" borderId="0" xfId="0" applyFont="1"/>
    <xf numFmtId="37" fontId="37" fillId="0" borderId="0" xfId="0" applyFont="1" applyFill="1"/>
    <xf numFmtId="37" fontId="37" fillId="0" borderId="0" xfId="0" applyFont="1" applyFill="1" applyBorder="1"/>
    <xf numFmtId="37" fontId="37" fillId="0" borderId="0" xfId="0" applyFont="1" applyFill="1" applyBorder="1" applyAlignment="1">
      <alignment horizontal="right"/>
    </xf>
    <xf numFmtId="37" fontId="18" fillId="0" borderId="0" xfId="0" applyFont="1" applyBorder="1"/>
    <xf numFmtId="37" fontId="21" fillId="0" borderId="0" xfId="0" applyFont="1" applyBorder="1" applyAlignment="1">
      <alignment horizontal="right"/>
    </xf>
    <xf numFmtId="37" fontId="21" fillId="0" borderId="0" xfId="0" quotePrefix="1" applyFont="1" applyBorder="1" applyAlignment="1">
      <alignment horizontal="right"/>
    </xf>
    <xf numFmtId="37" fontId="21" fillId="0" borderId="26" xfId="0" applyFont="1" applyBorder="1" applyAlignment="1">
      <alignment horizontal="right"/>
    </xf>
    <xf numFmtId="37" fontId="21" fillId="0" borderId="0" xfId="0" applyFont="1" applyFill="1" applyBorder="1" applyAlignment="1">
      <alignment horizontal="right"/>
    </xf>
    <xf numFmtId="39" fontId="21" fillId="0" borderId="0" xfId="0" applyNumberFormat="1" applyFont="1" applyBorder="1"/>
    <xf numFmtId="10" fontId="21" fillId="0" borderId="0" xfId="0" applyNumberFormat="1" applyFont="1" applyBorder="1" applyAlignment="1">
      <alignment horizontal="right"/>
    </xf>
    <xf numFmtId="37" fontId="21" fillId="0" borderId="26" xfId="0" applyFont="1" applyBorder="1"/>
    <xf numFmtId="167" fontId="21" fillId="0" borderId="0" xfId="0" applyNumberFormat="1" applyFont="1" applyBorder="1"/>
    <xf numFmtId="37" fontId="21" fillId="0" borderId="9" xfId="0" applyFont="1" applyBorder="1" applyAlignment="1">
      <alignment horizontal="right"/>
    </xf>
    <xf numFmtId="167" fontId="21" fillId="0" borderId="0" xfId="0" applyNumberFormat="1" applyFont="1"/>
    <xf numFmtId="37" fontId="37" fillId="17" borderId="0" xfId="0" applyFont="1" applyFill="1" applyBorder="1"/>
    <xf numFmtId="39" fontId="37" fillId="17" borderId="0" xfId="0" applyNumberFormat="1" applyFont="1" applyFill="1" applyBorder="1"/>
    <xf numFmtId="37" fontId="37" fillId="17" borderId="27" xfId="0" applyFont="1" applyFill="1" applyBorder="1" applyAlignment="1">
      <alignment horizontal="right"/>
    </xf>
    <xf numFmtId="37" fontId="37" fillId="17" borderId="0" xfId="0" applyFont="1" applyFill="1" applyBorder="1" applyAlignment="1">
      <alignment horizontal="right"/>
    </xf>
    <xf numFmtId="37" fontId="37" fillId="17" borderId="26" xfId="0" applyFont="1" applyFill="1" applyBorder="1" applyAlignment="1">
      <alignment horizontal="right"/>
    </xf>
    <xf numFmtId="37" fontId="37" fillId="0" borderId="0" xfId="0" applyFont="1" applyBorder="1" applyAlignment="1">
      <alignment horizontal="right"/>
    </xf>
    <xf numFmtId="39" fontId="37" fillId="0" borderId="0" xfId="0" applyNumberFormat="1" applyFont="1" applyFill="1" applyBorder="1"/>
    <xf numFmtId="37" fontId="37" fillId="0" borderId="27" xfId="0" applyFont="1" applyFill="1" applyBorder="1" applyAlignment="1">
      <alignment horizontal="right"/>
    </xf>
    <xf numFmtId="37" fontId="37" fillId="0" borderId="26" xfId="0" applyFont="1" applyFill="1" applyBorder="1" applyAlignment="1">
      <alignment horizontal="right"/>
    </xf>
    <xf numFmtId="37" fontId="37" fillId="0" borderId="26" xfId="0" applyFont="1" applyFill="1" applyBorder="1"/>
    <xf numFmtId="167" fontId="37" fillId="0" borderId="0" xfId="0" applyNumberFormat="1" applyFont="1" applyFill="1"/>
    <xf numFmtId="3" fontId="21" fillId="0" borderId="0" xfId="0" applyNumberFormat="1" applyFont="1"/>
    <xf numFmtId="3" fontId="21" fillId="0" borderId="0" xfId="0" applyNumberFormat="1" applyFont="1" applyBorder="1"/>
    <xf numFmtId="37" fontId="21" fillId="0" borderId="0" xfId="0" applyNumberFormat="1" applyFont="1" applyBorder="1" applyProtection="1"/>
    <xf numFmtId="3" fontId="21" fillId="0" borderId="27" xfId="0" applyNumberFormat="1" applyFont="1" applyBorder="1" applyProtection="1"/>
    <xf numFmtId="3" fontId="21" fillId="0" borderId="0" xfId="0" applyNumberFormat="1" applyFont="1" applyFill="1" applyBorder="1" applyProtection="1"/>
    <xf numFmtId="3" fontId="21" fillId="0" borderId="26" xfId="0" applyNumberFormat="1" applyFont="1" applyFill="1" applyBorder="1" applyProtection="1"/>
    <xf numFmtId="3" fontId="21" fillId="0" borderId="0" xfId="0" applyNumberFormat="1" applyFont="1" applyBorder="1" applyProtection="1"/>
    <xf numFmtId="167" fontId="18" fillId="0" borderId="0" xfId="0" applyNumberFormat="1" applyFont="1"/>
    <xf numFmtId="167" fontId="18" fillId="0" borderId="0" xfId="0" applyNumberFormat="1" applyFont="1" applyBorder="1"/>
    <xf numFmtId="167" fontId="18" fillId="0" borderId="0" xfId="0" applyNumberFormat="1" applyFont="1" applyBorder="1" applyProtection="1"/>
    <xf numFmtId="167" fontId="18" fillId="0" borderId="27" xfId="0" applyNumberFormat="1" applyFont="1" applyBorder="1" applyProtection="1"/>
    <xf numFmtId="167" fontId="18" fillId="0" borderId="26" xfId="0" applyNumberFormat="1" applyFont="1" applyBorder="1" applyProtection="1"/>
    <xf numFmtId="167" fontId="18" fillId="0" borderId="26" xfId="0" applyNumberFormat="1" applyFont="1" applyBorder="1"/>
    <xf numFmtId="167" fontId="18" fillId="0" borderId="0" xfId="0" applyNumberFormat="1" applyFont="1" applyFill="1" applyBorder="1"/>
    <xf numFmtId="195" fontId="18" fillId="0" borderId="0" xfId="0" applyNumberFormat="1" applyFont="1" applyBorder="1" applyProtection="1"/>
    <xf numFmtId="3" fontId="35" fillId="0" borderId="0" xfId="0" applyNumberFormat="1" applyFont="1" applyBorder="1" applyProtection="1"/>
    <xf numFmtId="37" fontId="21" fillId="0" borderId="27" xfId="0" applyNumberFormat="1" applyFont="1" applyBorder="1" applyAlignment="1">
      <alignment horizontal="right"/>
    </xf>
    <xf numFmtId="37" fontId="21" fillId="0" borderId="0" xfId="0" applyNumberFormat="1" applyFont="1" applyBorder="1" applyAlignment="1">
      <alignment horizontal="right"/>
    </xf>
    <xf numFmtId="37" fontId="21" fillId="0" borderId="26" xfId="0" applyNumberFormat="1" applyFont="1" applyBorder="1" applyAlignment="1">
      <alignment horizontal="right"/>
    </xf>
    <xf numFmtId="9" fontId="18" fillId="0" borderId="0" xfId="0" applyNumberFormat="1" applyFont="1" applyBorder="1"/>
    <xf numFmtId="9" fontId="18" fillId="0" borderId="27" xfId="0" applyNumberFormat="1" applyFont="1" applyBorder="1" applyAlignment="1">
      <alignment horizontal="right"/>
    </xf>
    <xf numFmtId="9" fontId="18" fillId="0" borderId="0" xfId="0" applyNumberFormat="1" applyFont="1" applyBorder="1" applyAlignment="1">
      <alignment horizontal="right"/>
    </xf>
    <xf numFmtId="9" fontId="18" fillId="0" borderId="26" xfId="0" applyNumberFormat="1" applyFont="1" applyBorder="1" applyAlignment="1">
      <alignment horizontal="right"/>
    </xf>
    <xf numFmtId="9" fontId="40" fillId="0" borderId="0" xfId="0" applyNumberFormat="1" applyFont="1" applyBorder="1"/>
    <xf numFmtId="167" fontId="21" fillId="0" borderId="27" xfId="0" applyNumberFormat="1" applyFont="1" applyBorder="1" applyAlignment="1">
      <alignment horizontal="right"/>
    </xf>
    <xf numFmtId="167" fontId="21" fillId="0" borderId="0" xfId="0" applyNumberFormat="1" applyFont="1" applyBorder="1" applyAlignment="1">
      <alignment horizontal="right"/>
    </xf>
    <xf numFmtId="167" fontId="21" fillId="0" borderId="26" xfId="0" applyNumberFormat="1" applyFont="1" applyBorder="1" applyAlignment="1">
      <alignment horizontal="right"/>
    </xf>
    <xf numFmtId="37" fontId="21" fillId="0" borderId="27" xfId="0" applyFont="1" applyBorder="1" applyAlignment="1">
      <alignment horizontal="right"/>
    </xf>
    <xf numFmtId="167" fontId="21" fillId="0" borderId="0" xfId="78" applyNumberFormat="1" applyFont="1" applyBorder="1"/>
    <xf numFmtId="167" fontId="21" fillId="0" borderId="27" xfId="78" applyNumberFormat="1" applyFont="1" applyBorder="1" applyAlignment="1">
      <alignment horizontal="right"/>
    </xf>
    <xf numFmtId="167" fontId="21" fillId="0" borderId="0" xfId="78" applyNumberFormat="1" applyFont="1" applyBorder="1" applyAlignment="1">
      <alignment horizontal="right"/>
    </xf>
    <xf numFmtId="167" fontId="21" fillId="0" borderId="26" xfId="78" applyNumberFormat="1" applyFont="1" applyBorder="1" applyAlignment="1">
      <alignment horizontal="right"/>
    </xf>
    <xf numFmtId="167" fontId="21" fillId="0" borderId="27" xfId="78" applyNumberFormat="1" applyFont="1" applyFill="1" applyBorder="1" applyAlignment="1">
      <alignment horizontal="right"/>
    </xf>
    <xf numFmtId="167" fontId="21" fillId="0" borderId="0" xfId="78" applyNumberFormat="1" applyFont="1" applyFill="1" applyBorder="1" applyAlignment="1">
      <alignment horizontal="right"/>
    </xf>
    <xf numFmtId="167" fontId="38" fillId="0" borderId="0" xfId="0" applyNumberFormat="1" applyFont="1" applyFill="1" applyBorder="1" applyAlignment="1" applyProtection="1">
      <alignment horizontal="right"/>
    </xf>
    <xf numFmtId="167" fontId="35" fillId="0" borderId="0" xfId="0" applyNumberFormat="1" applyFont="1" applyFill="1" applyBorder="1" applyAlignment="1" applyProtection="1">
      <alignment horizontal="right"/>
    </xf>
    <xf numFmtId="167" fontId="21" fillId="0" borderId="0" xfId="0" applyNumberFormat="1" applyFont="1" applyFill="1" applyBorder="1"/>
    <xf numFmtId="167" fontId="21" fillId="0" borderId="0" xfId="78" applyNumberFormat="1" applyFont="1" applyFill="1" applyBorder="1"/>
    <xf numFmtId="167" fontId="21" fillId="0" borderId="26" xfId="78" applyNumberFormat="1" applyFont="1" applyFill="1" applyBorder="1" applyAlignment="1">
      <alignment horizontal="right"/>
    </xf>
    <xf numFmtId="167" fontId="21" fillId="0" borderId="0" xfId="0" applyNumberFormat="1" applyFont="1" applyFill="1" applyBorder="1" applyAlignment="1">
      <alignment horizontal="right"/>
    </xf>
    <xf numFmtId="9" fontId="18" fillId="0" borderId="0" xfId="0" applyNumberFormat="1" applyFont="1" applyFill="1" applyBorder="1"/>
    <xf numFmtId="9" fontId="18" fillId="0" borderId="0" xfId="78" applyNumberFormat="1" applyFont="1" applyFill="1" applyBorder="1"/>
    <xf numFmtId="9" fontId="18" fillId="0" borderId="27" xfId="78" applyNumberFormat="1" applyFont="1" applyFill="1" applyBorder="1" applyAlignment="1">
      <alignment horizontal="right"/>
    </xf>
    <xf numFmtId="9" fontId="18" fillId="0" borderId="0" xfId="78" applyNumberFormat="1" applyFont="1" applyFill="1" applyBorder="1" applyAlignment="1">
      <alignment horizontal="right"/>
    </xf>
    <xf numFmtId="9" fontId="18" fillId="0" borderId="26" xfId="78" applyNumberFormat="1" applyFont="1" applyFill="1" applyBorder="1" applyAlignment="1">
      <alignment horizontal="right"/>
    </xf>
    <xf numFmtId="9" fontId="40" fillId="0" borderId="0" xfId="0" applyNumberFormat="1" applyFont="1" applyFill="1" applyBorder="1" applyAlignment="1" applyProtection="1">
      <alignment horizontal="right"/>
    </xf>
    <xf numFmtId="37" fontId="21" fillId="0" borderId="27" xfId="0" applyFont="1" applyFill="1" applyBorder="1" applyAlignment="1">
      <alignment horizontal="right"/>
    </xf>
    <xf numFmtId="37" fontId="21" fillId="0" borderId="26" xfId="0" applyFont="1" applyFill="1" applyBorder="1" applyAlignment="1">
      <alignment horizontal="right"/>
    </xf>
    <xf numFmtId="37" fontId="21" fillId="0" borderId="26" xfId="0" applyFont="1" applyFill="1" applyBorder="1"/>
    <xf numFmtId="167" fontId="18" fillId="0" borderId="0" xfId="78" applyNumberFormat="1" applyFont="1" applyFill="1" applyBorder="1"/>
    <xf numFmtId="167" fontId="18" fillId="0" borderId="27" xfId="78" applyNumberFormat="1" applyFont="1" applyFill="1" applyBorder="1" applyAlignment="1">
      <alignment horizontal="right"/>
    </xf>
    <xf numFmtId="167" fontId="18" fillId="0" borderId="0" xfId="78" applyNumberFormat="1" applyFont="1" applyFill="1" applyBorder="1" applyAlignment="1">
      <alignment horizontal="right"/>
    </xf>
    <xf numFmtId="167" fontId="18" fillId="0" borderId="26" xfId="78" applyNumberFormat="1" applyFont="1" applyFill="1" applyBorder="1" applyAlignment="1">
      <alignment horizontal="right"/>
    </xf>
    <xf numFmtId="167" fontId="40" fillId="0" borderId="0" xfId="0" applyNumberFormat="1" applyFont="1" applyFill="1" applyBorder="1" applyAlignment="1" applyProtection="1">
      <alignment horizontal="right"/>
    </xf>
    <xf numFmtId="167" fontId="21" fillId="0" borderId="24" xfId="78" applyNumberFormat="1" applyFont="1" applyFill="1" applyBorder="1" applyAlignment="1">
      <alignment horizontal="right"/>
    </xf>
    <xf numFmtId="167" fontId="21" fillId="0" borderId="7" xfId="78" applyNumberFormat="1" applyFont="1" applyFill="1" applyBorder="1" applyAlignment="1">
      <alignment horizontal="right"/>
    </xf>
    <xf numFmtId="167" fontId="21" fillId="0" borderId="0" xfId="0" applyNumberFormat="1" applyFont="1" applyFill="1"/>
    <xf numFmtId="167" fontId="37" fillId="17" borderId="0" xfId="0" applyNumberFormat="1" applyFont="1" applyFill="1" applyBorder="1"/>
    <xf numFmtId="167" fontId="37" fillId="17" borderId="0" xfId="78" applyNumberFormat="1" applyFont="1" applyFill="1" applyBorder="1"/>
    <xf numFmtId="167" fontId="37" fillId="17" borderId="27" xfId="78" applyNumberFormat="1" applyFont="1" applyFill="1" applyBorder="1" applyAlignment="1">
      <alignment horizontal="right"/>
    </xf>
    <xf numFmtId="167" fontId="37" fillId="17" borderId="0" xfId="78" applyNumberFormat="1" applyFont="1" applyFill="1" applyBorder="1" applyAlignment="1">
      <alignment horizontal="right"/>
    </xf>
    <xf numFmtId="167" fontId="37" fillId="17" borderId="26" xfId="78" applyNumberFormat="1" applyFont="1" applyFill="1" applyBorder="1" applyAlignment="1">
      <alignment horizontal="right"/>
    </xf>
    <xf numFmtId="4" fontId="37" fillId="17" borderId="0" xfId="78" applyNumberFormat="1" applyFont="1" applyFill="1" applyBorder="1" applyAlignment="1">
      <alignment horizontal="right"/>
    </xf>
    <xf numFmtId="4" fontId="41" fillId="17" borderId="0" xfId="0" applyNumberFormat="1" applyFont="1" applyFill="1" applyBorder="1" applyAlignment="1" applyProtection="1">
      <alignment horizontal="right"/>
    </xf>
    <xf numFmtId="167" fontId="41" fillId="17" borderId="0" xfId="0" applyNumberFormat="1" applyFont="1" applyFill="1" applyBorder="1" applyAlignment="1" applyProtection="1">
      <alignment horizontal="right"/>
    </xf>
    <xf numFmtId="167" fontId="37" fillId="0" borderId="0" xfId="0" applyNumberFormat="1" applyFont="1" applyFill="1" applyBorder="1"/>
    <xf numFmtId="167" fontId="37" fillId="0" borderId="0" xfId="78" applyNumberFormat="1" applyFont="1" applyFill="1" applyBorder="1" applyAlignment="1">
      <alignment horizontal="right"/>
    </xf>
    <xf numFmtId="37" fontId="21" fillId="0" borderId="0" xfId="0" applyFont="1" applyFill="1"/>
    <xf numFmtId="37" fontId="21" fillId="0" borderId="0" xfId="0" applyFont="1" applyBorder="1" applyAlignment="1">
      <alignment horizontal="left"/>
    </xf>
    <xf numFmtId="37" fontId="21" fillId="0" borderId="0" xfId="0" quotePrefix="1" applyFont="1" applyBorder="1" applyAlignment="1" applyProtection="1">
      <alignment horizontal="right"/>
    </xf>
    <xf numFmtId="37" fontId="21" fillId="0" borderId="0" xfId="0" applyFont="1" applyBorder="1" applyProtection="1"/>
    <xf numFmtId="37" fontId="21" fillId="0" borderId="27" xfId="0" applyFont="1" applyBorder="1"/>
    <xf numFmtId="37" fontId="18" fillId="0" borderId="0" xfId="0" applyFont="1" applyBorder="1" applyAlignment="1">
      <alignment horizontal="left"/>
    </xf>
    <xf numFmtId="167" fontId="18" fillId="0" borderId="0" xfId="0" quotePrefix="1" applyNumberFormat="1" applyFont="1" applyBorder="1" applyAlignment="1" applyProtection="1">
      <alignment horizontal="right"/>
    </xf>
    <xf numFmtId="39" fontId="18" fillId="0" borderId="0" xfId="0" applyNumberFormat="1" applyFont="1" applyBorder="1" applyProtection="1"/>
    <xf numFmtId="167" fontId="18" fillId="0" borderId="27" xfId="0" applyNumberFormat="1" applyFont="1" applyBorder="1"/>
    <xf numFmtId="37" fontId="21" fillId="0" borderId="0" xfId="0" applyNumberFormat="1" applyFont="1" applyBorder="1"/>
    <xf numFmtId="37" fontId="21" fillId="0" borderId="27" xfId="0" applyFont="1" applyFill="1" applyBorder="1"/>
    <xf numFmtId="37" fontId="38" fillId="0" borderId="0" xfId="0" applyFont="1" applyBorder="1"/>
    <xf numFmtId="167" fontId="21" fillId="0" borderId="27" xfId="0" applyNumberFormat="1" applyFont="1" applyFill="1" applyBorder="1"/>
    <xf numFmtId="167" fontId="21" fillId="0" borderId="26" xfId="0" applyNumberFormat="1" applyFont="1" applyFill="1" applyBorder="1"/>
    <xf numFmtId="167" fontId="35" fillId="0" borderId="27" xfId="0" applyNumberFormat="1" applyFont="1" applyFill="1" applyBorder="1"/>
    <xf numFmtId="167" fontId="35" fillId="0" borderId="0" xfId="0" applyNumberFormat="1" applyFont="1" applyFill="1" applyBorder="1"/>
    <xf numFmtId="167" fontId="35" fillId="0" borderId="26" xfId="0" applyNumberFormat="1" applyFont="1" applyFill="1" applyBorder="1"/>
    <xf numFmtId="37" fontId="21" fillId="0" borderId="0" xfId="0" applyFont="1" applyBorder="1" applyAlignment="1"/>
    <xf numFmtId="167" fontId="40" fillId="0" borderId="27" xfId="78" applyNumberFormat="1" applyFont="1" applyFill="1" applyBorder="1" applyAlignment="1">
      <alignment horizontal="right"/>
    </xf>
    <xf numFmtId="167" fontId="40" fillId="0" borderId="0" xfId="78" applyNumberFormat="1" applyFont="1" applyFill="1" applyBorder="1" applyAlignment="1">
      <alignment horizontal="right"/>
    </xf>
    <xf numFmtId="167" fontId="42" fillId="0" borderId="0" xfId="78" applyNumberFormat="1" applyFont="1" applyFill="1" applyBorder="1" applyAlignment="1">
      <alignment horizontal="right"/>
    </xf>
    <xf numFmtId="167" fontId="18" fillId="0" borderId="0" xfId="0" applyNumberFormat="1" applyFont="1" applyFill="1"/>
    <xf numFmtId="167" fontId="18" fillId="16" borderId="27" xfId="0" applyNumberFormat="1" applyFont="1" applyFill="1" applyBorder="1" applyAlignment="1">
      <alignment horizontal="right"/>
    </xf>
    <xf numFmtId="167" fontId="18" fillId="16" borderId="0" xfId="0" applyNumberFormat="1" applyFont="1" applyFill="1" applyBorder="1" applyAlignment="1">
      <alignment horizontal="right"/>
    </xf>
    <xf numFmtId="167" fontId="18" fillId="16" borderId="26" xfId="0" applyNumberFormat="1" applyFont="1" applyFill="1" applyBorder="1" applyAlignment="1">
      <alignment horizontal="right"/>
    </xf>
    <xf numFmtId="167" fontId="18" fillId="16" borderId="0" xfId="0" applyNumberFormat="1" applyFont="1" applyFill="1" applyBorder="1"/>
    <xf numFmtId="167" fontId="38" fillId="0" borderId="27" xfId="0" applyNumberFormat="1" applyFont="1" applyFill="1" applyBorder="1" applyAlignment="1" applyProtection="1">
      <alignment horizontal="right"/>
    </xf>
    <xf numFmtId="167" fontId="21" fillId="0" borderId="0" xfId="0" applyNumberFormat="1" applyFont="1" applyFill="1" applyBorder="1" applyAlignment="1" applyProtection="1">
      <alignment horizontal="right"/>
    </xf>
    <xf numFmtId="37" fontId="38" fillId="0" borderId="0" xfId="0" applyFont="1" applyFill="1" applyBorder="1" applyAlignment="1">
      <alignment horizontal="right"/>
    </xf>
    <xf numFmtId="37" fontId="38" fillId="0" borderId="26" xfId="0" applyFont="1" applyFill="1" applyBorder="1" applyAlignment="1">
      <alignment horizontal="right"/>
    </xf>
    <xf numFmtId="37" fontId="35" fillId="0" borderId="27" xfId="0" applyFont="1" applyFill="1" applyBorder="1" applyAlignment="1">
      <alignment horizontal="right"/>
    </xf>
    <xf numFmtId="37" fontId="35" fillId="0" borderId="0" xfId="0" applyFont="1" applyFill="1" applyBorder="1" applyAlignment="1">
      <alignment horizontal="right"/>
    </xf>
    <xf numFmtId="37" fontId="35" fillId="0" borderId="26" xfId="0" applyFont="1" applyFill="1" applyBorder="1" applyAlignment="1">
      <alignment horizontal="right"/>
    </xf>
    <xf numFmtId="167" fontId="43" fillId="0" borderId="0" xfId="0" applyNumberFormat="1" applyFont="1" applyFill="1" applyBorder="1"/>
    <xf numFmtId="167" fontId="43" fillId="0" borderId="0" xfId="78" applyNumberFormat="1" applyFont="1" applyFill="1" applyBorder="1"/>
    <xf numFmtId="167" fontId="43" fillId="0" borderId="27" xfId="78" applyNumberFormat="1" applyFont="1" applyFill="1" applyBorder="1" applyAlignment="1">
      <alignment horizontal="right"/>
    </xf>
    <xf numFmtId="167" fontId="43" fillId="0" borderId="0" xfId="78" applyNumberFormat="1" applyFont="1" applyFill="1" applyBorder="1" applyAlignment="1">
      <alignment horizontal="right"/>
    </xf>
    <xf numFmtId="167" fontId="43" fillId="0" borderId="26" xfId="78" applyNumberFormat="1" applyFont="1" applyFill="1" applyBorder="1" applyAlignment="1">
      <alignment horizontal="right"/>
    </xf>
    <xf numFmtId="167" fontId="44" fillId="0" borderId="0" xfId="0" applyNumberFormat="1" applyFont="1" applyFill="1" applyBorder="1" applyAlignment="1" applyProtection="1">
      <alignment horizontal="right"/>
    </xf>
    <xf numFmtId="167" fontId="43" fillId="0" borderId="0" xfId="0" applyNumberFormat="1" applyFont="1" applyFill="1"/>
    <xf numFmtId="37" fontId="45" fillId="0" borderId="0" xfId="0" applyFont="1" applyFill="1"/>
    <xf numFmtId="167" fontId="18" fillId="0" borderId="0" xfId="78" applyNumberFormat="1" applyFont="1" applyBorder="1"/>
    <xf numFmtId="167" fontId="18" fillId="0" borderId="0" xfId="0" applyNumberFormat="1" applyFont="1" applyFill="1" applyBorder="1" applyAlignment="1" applyProtection="1">
      <alignment horizontal="right"/>
    </xf>
    <xf numFmtId="167" fontId="37" fillId="0" borderId="0" xfId="78" applyNumberFormat="1" applyFont="1" applyFill="1" applyBorder="1"/>
    <xf numFmtId="167" fontId="37" fillId="0" borderId="27" xfId="78" applyNumberFormat="1" applyFont="1" applyFill="1" applyBorder="1" applyAlignment="1">
      <alignment horizontal="right"/>
    </xf>
    <xf numFmtId="167" fontId="37" fillId="0" borderId="26" xfId="78" applyNumberFormat="1" applyFont="1" applyFill="1" applyBorder="1" applyAlignment="1">
      <alignment horizontal="right"/>
    </xf>
    <xf numFmtId="167" fontId="41" fillId="0" borderId="0" xfId="0" applyNumberFormat="1" applyFont="1" applyFill="1" applyBorder="1" applyAlignment="1" applyProtection="1">
      <alignment horizontal="right"/>
    </xf>
    <xf numFmtId="10" fontId="21" fillId="0" borderId="0" xfId="0" applyNumberFormat="1" applyFont="1" applyFill="1" applyBorder="1"/>
    <xf numFmtId="10" fontId="21" fillId="0" borderId="0" xfId="78" applyNumberFormat="1" applyFont="1" applyFill="1" applyBorder="1"/>
    <xf numFmtId="10" fontId="21" fillId="0" borderId="27" xfId="78" applyNumberFormat="1" applyFont="1" applyFill="1" applyBorder="1" applyAlignment="1">
      <alignment horizontal="right"/>
    </xf>
    <xf numFmtId="10" fontId="21" fillId="0" borderId="0" xfId="78" applyNumberFormat="1" applyFont="1" applyFill="1" applyBorder="1" applyAlignment="1">
      <alignment horizontal="right"/>
    </xf>
    <xf numFmtId="10" fontId="21" fillId="0" borderId="26" xfId="78" applyNumberFormat="1" applyFont="1" applyFill="1" applyBorder="1" applyAlignment="1">
      <alignment horizontal="right"/>
    </xf>
    <xf numFmtId="10" fontId="21" fillId="0" borderId="0" xfId="0" applyNumberFormat="1" applyFont="1" applyFill="1" applyBorder="1" applyAlignment="1" applyProtection="1">
      <alignment horizontal="right"/>
    </xf>
    <xf numFmtId="10" fontId="21" fillId="0" borderId="0" xfId="0" applyNumberFormat="1" applyFont="1" applyFill="1"/>
    <xf numFmtId="10" fontId="45" fillId="0" borderId="0" xfId="0" applyNumberFormat="1" applyFont="1" applyFill="1"/>
    <xf numFmtId="10" fontId="21" fillId="0" borderId="27" xfId="78" applyNumberFormat="1" applyFont="1" applyBorder="1" applyAlignment="1">
      <alignment horizontal="right"/>
    </xf>
    <xf numFmtId="10" fontId="21" fillId="0" borderId="0" xfId="78" applyNumberFormat="1" applyFont="1" applyBorder="1" applyAlignment="1">
      <alignment horizontal="right"/>
    </xf>
    <xf numFmtId="10" fontId="21" fillId="0" borderId="26" xfId="78" applyNumberFormat="1" applyFont="1" applyBorder="1" applyAlignment="1">
      <alignment horizontal="right"/>
    </xf>
    <xf numFmtId="10" fontId="18" fillId="0" borderId="0" xfId="0" applyNumberFormat="1" applyFont="1" applyFill="1" applyBorder="1"/>
    <xf numFmtId="10" fontId="18" fillId="0" borderId="0" xfId="78" applyNumberFormat="1" applyFont="1" applyFill="1" applyBorder="1"/>
    <xf numFmtId="10" fontId="18" fillId="0" borderId="27" xfId="78" applyNumberFormat="1" applyFont="1" applyFill="1" applyBorder="1" applyAlignment="1">
      <alignment horizontal="right"/>
    </xf>
    <xf numFmtId="10" fontId="18" fillId="0" borderId="0" xfId="78" applyNumberFormat="1" applyFont="1" applyFill="1" applyBorder="1" applyAlignment="1">
      <alignment horizontal="right"/>
    </xf>
    <xf numFmtId="10" fontId="18" fillId="0" borderId="26" xfId="78" applyNumberFormat="1" applyFont="1" applyFill="1" applyBorder="1" applyAlignment="1">
      <alignment horizontal="right"/>
    </xf>
    <xf numFmtId="10" fontId="18" fillId="0" borderId="27" xfId="78" applyNumberFormat="1" applyFont="1" applyBorder="1" applyAlignment="1">
      <alignment horizontal="right"/>
    </xf>
    <xf numFmtId="10" fontId="18" fillId="0" borderId="0" xfId="78" applyNumberFormat="1" applyFont="1" applyBorder="1" applyAlignment="1">
      <alignment horizontal="right"/>
    </xf>
    <xf numFmtId="10" fontId="18" fillId="0" borderId="26" xfId="78" applyNumberFormat="1" applyFont="1" applyBorder="1" applyAlignment="1">
      <alignment horizontal="right"/>
    </xf>
    <xf numFmtId="10" fontId="18" fillId="0" borderId="0" xfId="0" applyNumberFormat="1" applyFont="1" applyFill="1" applyBorder="1" applyAlignment="1" applyProtection="1">
      <alignment horizontal="right"/>
    </xf>
    <xf numFmtId="10" fontId="18" fillId="0" borderId="0" xfId="0" applyNumberFormat="1" applyFont="1" applyFill="1"/>
    <xf numFmtId="8" fontId="21" fillId="0" borderId="0" xfId="0" applyNumberFormat="1" applyFont="1" applyFill="1" applyBorder="1"/>
    <xf numFmtId="8" fontId="21" fillId="0" borderId="0" xfId="78" applyNumberFormat="1" applyFont="1" applyFill="1" applyBorder="1"/>
    <xf numFmtId="8" fontId="35" fillId="0" borderId="27" xfId="78" applyNumberFormat="1" applyFont="1" applyFill="1" applyBorder="1" applyAlignment="1">
      <alignment horizontal="right"/>
    </xf>
    <xf numFmtId="8" fontId="35" fillId="0" borderId="0" xfId="78" applyNumberFormat="1" applyFont="1" applyFill="1" applyBorder="1" applyAlignment="1">
      <alignment horizontal="right"/>
    </xf>
    <xf numFmtId="8" fontId="35" fillId="0" borderId="26" xfId="78" applyNumberFormat="1" applyFont="1" applyFill="1" applyBorder="1" applyAlignment="1">
      <alignment horizontal="right"/>
    </xf>
    <xf numFmtId="8" fontId="35" fillId="0" borderId="0" xfId="0" applyNumberFormat="1" applyFont="1" applyFill="1" applyBorder="1" applyAlignment="1" applyProtection="1">
      <alignment horizontal="right"/>
    </xf>
    <xf numFmtId="8" fontId="21" fillId="0" borderId="0" xfId="0" applyNumberFormat="1" applyFont="1" applyFill="1" applyBorder="1" applyAlignment="1" applyProtection="1">
      <alignment horizontal="right"/>
    </xf>
    <xf numFmtId="8" fontId="21" fillId="0" borderId="0" xfId="0" applyNumberFormat="1" applyFont="1" applyFill="1"/>
    <xf numFmtId="8" fontId="21" fillId="0" borderId="0" xfId="78" applyNumberFormat="1" applyFont="1" applyFill="1" applyBorder="1" applyAlignment="1">
      <alignment horizontal="right"/>
    </xf>
    <xf numFmtId="8" fontId="45" fillId="0" borderId="0" xfId="0" applyNumberFormat="1" applyFont="1" applyFill="1"/>
    <xf numFmtId="8" fontId="21" fillId="0" borderId="27" xfId="78" applyNumberFormat="1" applyFont="1" applyFill="1" applyBorder="1" applyAlignment="1">
      <alignment horizontal="right"/>
    </xf>
    <xf numFmtId="8" fontId="21" fillId="0" borderId="26" xfId="78" applyNumberFormat="1" applyFont="1" applyFill="1" applyBorder="1" applyAlignment="1">
      <alignment horizontal="right"/>
    </xf>
    <xf numFmtId="167" fontId="38" fillId="0" borderId="0" xfId="78" applyNumberFormat="1" applyFont="1" applyFill="1" applyBorder="1" applyAlignment="1">
      <alignment horizontal="right"/>
    </xf>
    <xf numFmtId="167" fontId="39" fillId="0" borderId="0" xfId="78" applyNumberFormat="1" applyFont="1" applyFill="1" applyBorder="1" applyAlignment="1">
      <alignment horizontal="right"/>
    </xf>
    <xf numFmtId="167" fontId="35" fillId="0" borderId="27" xfId="78" applyNumberFormat="1" applyFont="1" applyFill="1" applyBorder="1" applyAlignment="1">
      <alignment horizontal="right"/>
    </xf>
    <xf numFmtId="167" fontId="35" fillId="0" borderId="0" xfId="78" applyNumberFormat="1" applyFont="1" applyFill="1" applyBorder="1" applyAlignment="1">
      <alignment horizontal="right"/>
    </xf>
    <xf numFmtId="167" fontId="35" fillId="0" borderId="26" xfId="78" applyNumberFormat="1" applyFont="1" applyFill="1" applyBorder="1" applyAlignment="1">
      <alignment horizontal="right"/>
    </xf>
    <xf numFmtId="167" fontId="21" fillId="0" borderId="7" xfId="0" applyNumberFormat="1" applyFont="1" applyFill="1" applyBorder="1"/>
    <xf numFmtId="167" fontId="21" fillId="0" borderId="7" xfId="78" applyNumberFormat="1" applyFont="1" applyFill="1" applyBorder="1"/>
    <xf numFmtId="37" fontId="38" fillId="0" borderId="27" xfId="0" applyFont="1" applyFill="1" applyBorder="1" applyAlignment="1">
      <alignment horizontal="right"/>
    </xf>
    <xf numFmtId="10" fontId="21" fillId="0" borderId="0" xfId="0" applyNumberFormat="1" applyFont="1" applyBorder="1"/>
    <xf numFmtId="10" fontId="21" fillId="0" borderId="27" xfId="0" applyNumberFormat="1" applyFont="1" applyBorder="1" applyAlignment="1">
      <alignment horizontal="right"/>
    </xf>
    <xf numFmtId="10" fontId="21" fillId="0" borderId="26" xfId="0" applyNumberFormat="1" applyFont="1" applyBorder="1" applyAlignment="1">
      <alignment horizontal="right"/>
    </xf>
    <xf numFmtId="10" fontId="21" fillId="0" borderId="0" xfId="0" applyNumberFormat="1" applyFont="1"/>
    <xf numFmtId="10" fontId="18" fillId="0" borderId="0" xfId="0" applyNumberFormat="1" applyFont="1" applyBorder="1"/>
    <xf numFmtId="10" fontId="18" fillId="0" borderId="27" xfId="0" applyNumberFormat="1" applyFont="1" applyBorder="1" applyAlignment="1">
      <alignment horizontal="right"/>
    </xf>
    <xf numFmtId="10" fontId="18" fillId="0" borderId="0" xfId="0" applyNumberFormat="1" applyFont="1" applyBorder="1" applyAlignment="1">
      <alignment horizontal="right"/>
    </xf>
    <xf numFmtId="10" fontId="18" fillId="0" borderId="26" xfId="0" applyNumberFormat="1" applyFont="1" applyBorder="1" applyAlignment="1">
      <alignment horizontal="right"/>
    </xf>
    <xf numFmtId="10" fontId="47" fillId="0" borderId="0" xfId="0" applyNumberFormat="1" applyFont="1" applyBorder="1" applyAlignment="1">
      <alignment horizontal="right"/>
    </xf>
    <xf numFmtId="10" fontId="42" fillId="0" borderId="0" xfId="0" applyNumberFormat="1" applyFont="1" applyBorder="1" applyAlignment="1">
      <alignment horizontal="right"/>
    </xf>
    <xf numFmtId="10" fontId="18" fillId="0" borderId="0" xfId="0" applyNumberFormat="1" applyFont="1"/>
    <xf numFmtId="198" fontId="21" fillId="0" borderId="0" xfId="0" applyNumberFormat="1" applyFont="1" applyFill="1" applyBorder="1" applyAlignment="1">
      <alignment horizontal="right"/>
    </xf>
    <xf numFmtId="167" fontId="35" fillId="0" borderId="27" xfId="78" applyNumberFormat="1" applyFont="1" applyBorder="1" applyAlignment="1">
      <alignment horizontal="right"/>
    </xf>
    <xf numFmtId="167" fontId="35" fillId="0" borderId="0" xfId="78" applyNumberFormat="1" applyFont="1" applyBorder="1" applyAlignment="1">
      <alignment horizontal="right"/>
    </xf>
    <xf numFmtId="167" fontId="39" fillId="0" borderId="0" xfId="78" applyNumberFormat="1" applyFont="1" applyBorder="1" applyAlignment="1">
      <alignment horizontal="right"/>
    </xf>
    <xf numFmtId="9" fontId="21" fillId="0" borderId="0" xfId="78" applyFont="1" applyBorder="1"/>
    <xf numFmtId="9" fontId="21" fillId="0" borderId="27" xfId="0" applyNumberFormat="1" applyFont="1" applyBorder="1" applyAlignment="1">
      <alignment horizontal="right"/>
    </xf>
    <xf numFmtId="9" fontId="21" fillId="0" borderId="0" xfId="0" applyNumberFormat="1" applyFont="1" applyBorder="1" applyAlignment="1">
      <alignment horizontal="right"/>
    </xf>
    <xf numFmtId="9" fontId="21" fillId="0" borderId="26" xfId="0" applyNumberFormat="1" applyFont="1" applyBorder="1" applyAlignment="1">
      <alignment horizontal="right"/>
    </xf>
    <xf numFmtId="9" fontId="21" fillId="0" borderId="0" xfId="0" applyNumberFormat="1" applyFont="1" applyBorder="1"/>
    <xf numFmtId="37" fontId="21" fillId="0" borderId="7" xfId="0" applyFont="1" applyBorder="1" applyAlignment="1">
      <alignment horizontal="right"/>
    </xf>
    <xf numFmtId="37" fontId="21" fillId="0" borderId="7" xfId="0" applyFont="1" applyBorder="1"/>
    <xf numFmtId="37" fontId="21" fillId="0" borderId="25" xfId="0" applyFont="1" applyBorder="1"/>
    <xf numFmtId="10" fontId="18" fillId="0" borderId="0" xfId="78" applyNumberFormat="1" applyFont="1" applyBorder="1"/>
    <xf numFmtId="10" fontId="40" fillId="0" borderId="27" xfId="78" applyNumberFormat="1" applyFont="1" applyBorder="1" applyAlignment="1">
      <alignment horizontal="right"/>
    </xf>
    <xf numFmtId="10" fontId="40" fillId="0" borderId="0" xfId="78" applyNumberFormat="1" applyFont="1" applyBorder="1" applyAlignment="1">
      <alignment horizontal="right"/>
    </xf>
    <xf numFmtId="10" fontId="40" fillId="0" borderId="26" xfId="78" applyNumberFormat="1" applyFont="1" applyBorder="1" applyAlignment="1">
      <alignment horizontal="right"/>
    </xf>
    <xf numFmtId="167" fontId="21" fillId="0" borderId="25" xfId="78" applyNumberFormat="1" applyFont="1" applyFill="1" applyBorder="1" applyAlignment="1">
      <alignment horizontal="right"/>
    </xf>
    <xf numFmtId="167" fontId="37" fillId="0" borderId="0" xfId="78" applyNumberFormat="1" applyFont="1" applyBorder="1"/>
    <xf numFmtId="167" fontId="37" fillId="0" borderId="0" xfId="78" applyNumberFormat="1" applyFont="1" applyBorder="1" applyAlignment="1">
      <alignment horizontal="right"/>
    </xf>
    <xf numFmtId="39" fontId="21" fillId="0" borderId="0" xfId="0" applyNumberFormat="1" applyFont="1" applyBorder="1" applyAlignment="1">
      <alignment horizontal="right"/>
    </xf>
    <xf numFmtId="167" fontId="21" fillId="0" borderId="0" xfId="78" quotePrefix="1" applyNumberFormat="1" applyFont="1" applyBorder="1" applyAlignment="1">
      <alignment horizontal="right"/>
    </xf>
    <xf numFmtId="167" fontId="21" fillId="0" borderId="0" xfId="78" applyNumberFormat="1" applyFont="1" applyBorder="1" applyProtection="1"/>
    <xf numFmtId="167" fontId="21" fillId="0" borderId="0" xfId="78" quotePrefix="1" applyNumberFormat="1" applyFont="1" applyFill="1" applyBorder="1" applyAlignment="1">
      <alignment horizontal="right"/>
    </xf>
    <xf numFmtId="37" fontId="21" fillId="0" borderId="7" xfId="0" applyFont="1" applyFill="1" applyBorder="1" applyAlignment="1">
      <alignment horizontal="right"/>
    </xf>
    <xf numFmtId="167" fontId="18" fillId="0" borderId="9" xfId="78" applyNumberFormat="1" applyFont="1" applyBorder="1" applyAlignment="1">
      <alignment horizontal="right"/>
    </xf>
    <xf numFmtId="167" fontId="48" fillId="0" borderId="7" xfId="0" applyNumberFormat="1" applyFont="1" applyBorder="1"/>
    <xf numFmtId="179" fontId="48" fillId="0" borderId="0" xfId="0" applyNumberFormat="1" applyFont="1" applyBorder="1"/>
    <xf numFmtId="179" fontId="48" fillId="0" borderId="9" xfId="0" applyNumberFormat="1" applyFont="1" applyBorder="1"/>
    <xf numFmtId="3" fontId="18" fillId="0" borderId="22" xfId="78" applyNumberFormat="1" applyFont="1" applyBorder="1" applyAlignment="1">
      <alignment horizontal="right"/>
    </xf>
    <xf numFmtId="3" fontId="18" fillId="0" borderId="9" xfId="78" applyNumberFormat="1" applyFont="1" applyBorder="1" applyAlignment="1">
      <alignment horizontal="right"/>
    </xf>
    <xf numFmtId="3" fontId="18" fillId="0" borderId="23" xfId="78" applyNumberFormat="1" applyFont="1" applyBorder="1" applyAlignment="1">
      <alignment horizontal="right"/>
    </xf>
    <xf numFmtId="167" fontId="48" fillId="0" borderId="9" xfId="78" applyNumberFormat="1" applyFont="1" applyBorder="1"/>
    <xf numFmtId="9" fontId="48" fillId="0" borderId="9" xfId="78" applyFont="1" applyBorder="1"/>
    <xf numFmtId="183" fontId="48" fillId="0" borderId="9" xfId="78" applyNumberFormat="1" applyFont="1" applyBorder="1"/>
    <xf numFmtId="4" fontId="18" fillId="0" borderId="22" xfId="78" applyNumberFormat="1" applyFont="1" applyBorder="1" applyAlignment="1">
      <alignment horizontal="right"/>
    </xf>
    <xf numFmtId="178" fontId="18" fillId="0" borderId="9" xfId="78" applyNumberFormat="1" applyFont="1" applyBorder="1" applyAlignment="1">
      <alignment horizontal="right"/>
    </xf>
    <xf numFmtId="167" fontId="18" fillId="0" borderId="9" xfId="78" applyNumberFormat="1" applyFont="1" applyFill="1" applyBorder="1" applyAlignment="1">
      <alignment horizontal="right"/>
    </xf>
    <xf numFmtId="37" fontId="37" fillId="0" borderId="0" xfId="0" applyFont="1" applyFill="1" applyBorder="1" applyProtection="1"/>
    <xf numFmtId="37" fontId="37" fillId="0" borderId="27" xfId="0" applyFont="1" applyFill="1" applyBorder="1"/>
    <xf numFmtId="200" fontId="37" fillId="0" borderId="0" xfId="0" applyNumberFormat="1" applyFont="1" applyFill="1" applyBorder="1" applyProtection="1"/>
    <xf numFmtId="200" fontId="37" fillId="0" borderId="0" xfId="0" applyNumberFormat="1" applyFont="1" applyFill="1" applyBorder="1"/>
    <xf numFmtId="37" fontId="45" fillId="0" borderId="27" xfId="0" applyFont="1" applyBorder="1"/>
    <xf numFmtId="37" fontId="45" fillId="0" borderId="0" xfId="0" applyFont="1" applyBorder="1"/>
    <xf numFmtId="37" fontId="45" fillId="0" borderId="26" xfId="0" applyFont="1" applyBorder="1"/>
    <xf numFmtId="200" fontId="21" fillId="0" borderId="0" xfId="0" applyNumberFormat="1" applyFont="1" applyBorder="1"/>
    <xf numFmtId="165" fontId="21" fillId="0" borderId="0" xfId="0" applyNumberFormat="1" applyFont="1" applyBorder="1"/>
    <xf numFmtId="37" fontId="37" fillId="0" borderId="0" xfId="0" applyFont="1" applyBorder="1"/>
    <xf numFmtId="37" fontId="18" fillId="0" borderId="27" xfId="0" applyFont="1" applyBorder="1"/>
    <xf numFmtId="37" fontId="18" fillId="0" borderId="26" xfId="0" applyFont="1" applyBorder="1"/>
    <xf numFmtId="200" fontId="18" fillId="0" borderId="0" xfId="0" applyNumberFormat="1" applyFont="1" applyBorder="1"/>
    <xf numFmtId="10" fontId="21" fillId="0" borderId="26" xfId="78" applyNumberFormat="1" applyFont="1" applyBorder="1"/>
    <xf numFmtId="10" fontId="21" fillId="0" borderId="0" xfId="78" applyNumberFormat="1" applyFont="1" applyBorder="1"/>
    <xf numFmtId="165" fontId="35" fillId="0" borderId="0" xfId="78" applyNumberFormat="1" applyFont="1" applyBorder="1"/>
    <xf numFmtId="37" fontId="38" fillId="0" borderId="0" xfId="78" applyNumberFormat="1" applyFont="1" applyBorder="1"/>
    <xf numFmtId="37" fontId="46" fillId="0" borderId="0" xfId="0" applyFont="1" applyBorder="1"/>
    <xf numFmtId="37" fontId="45" fillId="0" borderId="0" xfId="0" applyFont="1"/>
    <xf numFmtId="37" fontId="38" fillId="0" borderId="0" xfId="0" applyFont="1" applyBorder="1" applyAlignment="1">
      <alignment horizontal="right"/>
    </xf>
    <xf numFmtId="37" fontId="35" fillId="0" borderId="0" xfId="0" applyFont="1" applyFill="1" applyBorder="1"/>
    <xf numFmtId="37" fontId="37" fillId="0" borderId="27" xfId="0" applyFont="1" applyBorder="1"/>
    <xf numFmtId="37" fontId="37" fillId="0" borderId="26" xfId="0" applyFont="1" applyBorder="1"/>
    <xf numFmtId="167" fontId="21" fillId="0" borderId="0" xfId="0" applyNumberFormat="1" applyFont="1" applyBorder="1" applyProtection="1"/>
    <xf numFmtId="37" fontId="38" fillId="0" borderId="27" xfId="0" applyFont="1" applyFill="1" applyBorder="1"/>
    <xf numFmtId="37" fontId="38" fillId="0" borderId="0" xfId="0" applyFont="1" applyFill="1" applyBorder="1"/>
    <xf numFmtId="37" fontId="38" fillId="0" borderId="26" xfId="0" applyFont="1" applyBorder="1"/>
    <xf numFmtId="37" fontId="42" fillId="0" borderId="0" xfId="0" applyFont="1"/>
    <xf numFmtId="167" fontId="35" fillId="0" borderId="0" xfId="78" applyNumberFormat="1" applyFont="1" applyBorder="1"/>
    <xf numFmtId="37" fontId="21" fillId="0" borderId="0" xfId="0" applyNumberFormat="1" applyFont="1" applyFill="1" applyBorder="1"/>
    <xf numFmtId="37" fontId="35" fillId="0" borderId="27" xfId="0" applyFont="1" applyBorder="1"/>
    <xf numFmtId="37" fontId="35" fillId="0" borderId="0" xfId="0" applyFont="1" applyBorder="1"/>
    <xf numFmtId="200" fontId="38" fillId="0" borderId="0" xfId="0" applyNumberFormat="1" applyFont="1" applyFill="1" applyBorder="1"/>
    <xf numFmtId="200" fontId="38" fillId="0" borderId="0" xfId="0" applyNumberFormat="1" applyFont="1" applyBorder="1"/>
    <xf numFmtId="37" fontId="35" fillId="0" borderId="0" xfId="0" applyNumberFormat="1" applyFont="1" applyBorder="1"/>
    <xf numFmtId="195" fontId="35" fillId="0" borderId="0" xfId="0" applyNumberFormat="1" applyFont="1" applyFill="1" applyBorder="1"/>
    <xf numFmtId="199" fontId="21" fillId="0" borderId="0" xfId="0" applyNumberFormat="1" applyFont="1" applyBorder="1"/>
    <xf numFmtId="39" fontId="21" fillId="0" borderId="0" xfId="0" applyNumberFormat="1" applyFont="1" applyFill="1" applyBorder="1"/>
    <xf numFmtId="8" fontId="21" fillId="0" borderId="0" xfId="43" applyFont="1" applyBorder="1"/>
    <xf numFmtId="7" fontId="21" fillId="0" borderId="0" xfId="0" applyNumberFormat="1" applyFont="1" applyBorder="1" applyProtection="1"/>
    <xf numFmtId="7" fontId="21" fillId="0" borderId="0" xfId="0" applyNumberFormat="1" applyFont="1" applyBorder="1" applyAlignment="1">
      <alignment horizontal="left"/>
    </xf>
    <xf numFmtId="39" fontId="21" fillId="0" borderId="0" xfId="0" applyNumberFormat="1" applyFont="1" applyBorder="1" applyProtection="1"/>
    <xf numFmtId="7" fontId="37" fillId="0" borderId="0" xfId="38" applyNumberFormat="1" applyFont="1"/>
    <xf numFmtId="174" fontId="37" fillId="0" borderId="0" xfId="38" applyNumberFormat="1" applyFont="1" applyBorder="1" applyAlignment="1">
      <alignment horizontal="left"/>
    </xf>
    <xf numFmtId="174" fontId="37" fillId="0" borderId="0" xfId="38" applyNumberFormat="1" applyFont="1" applyBorder="1" applyProtection="1"/>
    <xf numFmtId="8" fontId="37" fillId="0" borderId="0" xfId="38" applyNumberFormat="1" applyFont="1" applyBorder="1" applyProtection="1"/>
    <xf numFmtId="174" fontId="37" fillId="0" borderId="0" xfId="0" applyNumberFormat="1" applyFont="1" applyBorder="1"/>
    <xf numFmtId="174" fontId="37" fillId="0" borderId="0" xfId="43" applyNumberFormat="1" applyFont="1" applyBorder="1"/>
    <xf numFmtId="8" fontId="37" fillId="0" borderId="0" xfId="43" applyFont="1" applyBorder="1"/>
    <xf numFmtId="174" fontId="37" fillId="0" borderId="0" xfId="38" applyNumberFormat="1" applyFont="1" applyFill="1" applyBorder="1" applyProtection="1"/>
    <xf numFmtId="40" fontId="21" fillId="0" borderId="0" xfId="38" applyFont="1" applyBorder="1"/>
    <xf numFmtId="174" fontId="37" fillId="0" borderId="0" xfId="38" applyNumberFormat="1" applyFont="1" applyBorder="1"/>
    <xf numFmtId="167" fontId="21" fillId="0" borderId="0" xfId="78" quotePrefix="1" applyNumberFormat="1" applyFont="1" applyBorder="1"/>
    <xf numFmtId="174" fontId="21" fillId="0" borderId="0" xfId="78" applyNumberFormat="1" applyFont="1" applyBorder="1"/>
    <xf numFmtId="40" fontId="21" fillId="0" borderId="0" xfId="38" applyNumberFormat="1" applyFont="1" applyBorder="1" applyProtection="1"/>
    <xf numFmtId="8" fontId="21" fillId="0" borderId="0" xfId="43" applyFont="1" applyFill="1" applyBorder="1"/>
    <xf numFmtId="166" fontId="21" fillId="0" borderId="0" xfId="0" applyNumberFormat="1" applyFont="1" applyBorder="1" applyProtection="1"/>
    <xf numFmtId="165" fontId="21" fillId="0" borderId="0" xfId="0" applyNumberFormat="1" applyFont="1" applyBorder="1" applyProtection="1"/>
    <xf numFmtId="10" fontId="21" fillId="0" borderId="0" xfId="78" applyNumberFormat="1" applyFont="1" applyBorder="1" applyProtection="1"/>
    <xf numFmtId="181" fontId="21" fillId="0" borderId="0" xfId="78" applyNumberFormat="1" applyFont="1" applyBorder="1" applyProtection="1"/>
    <xf numFmtId="38" fontId="21" fillId="0" borderId="0" xfId="38" applyNumberFormat="1" applyFont="1" applyBorder="1" applyAlignment="1">
      <alignment horizontal="left"/>
    </xf>
    <xf numFmtId="38" fontId="21" fillId="0" borderId="0" xfId="38" applyNumberFormat="1" applyFont="1" applyBorder="1" applyProtection="1"/>
    <xf numFmtId="38" fontId="21" fillId="0" borderId="0" xfId="38" applyNumberFormat="1" applyFont="1" applyBorder="1"/>
    <xf numFmtId="38" fontId="21" fillId="0" borderId="0" xfId="38" applyNumberFormat="1" applyFont="1"/>
    <xf numFmtId="175" fontId="21" fillId="0" borderId="0" xfId="38" applyNumberFormat="1" applyFont="1" applyBorder="1" applyAlignment="1">
      <alignment horizontal="left"/>
    </xf>
    <xf numFmtId="175" fontId="21" fillId="0" borderId="0" xfId="38" applyNumberFormat="1" applyFont="1" applyBorder="1" applyProtection="1"/>
    <xf numFmtId="175" fontId="21" fillId="0" borderId="27" xfId="38" applyNumberFormat="1" applyFont="1" applyBorder="1"/>
    <xf numFmtId="175" fontId="21" fillId="0" borderId="0" xfId="38" applyNumberFormat="1" applyFont="1" applyBorder="1"/>
    <xf numFmtId="175" fontId="21" fillId="0" borderId="26" xfId="38" applyNumberFormat="1" applyFont="1" applyBorder="1"/>
    <xf numFmtId="175" fontId="35" fillId="0" borderId="0" xfId="38" applyNumberFormat="1" applyFont="1" applyBorder="1"/>
    <xf numFmtId="175" fontId="35" fillId="0" borderId="26" xfId="38" applyNumberFormat="1" applyFont="1" applyBorder="1"/>
    <xf numFmtId="175" fontId="35" fillId="0" borderId="27" xfId="38" applyNumberFormat="1" applyFont="1" applyBorder="1"/>
    <xf numFmtId="175" fontId="21" fillId="0" borderId="0" xfId="38" applyNumberFormat="1" applyFont="1"/>
    <xf numFmtId="175" fontId="21" fillId="0" borderId="0" xfId="38" applyNumberFormat="1" applyFont="1" applyFill="1" applyBorder="1"/>
    <xf numFmtId="10" fontId="21" fillId="0" borderId="0" xfId="78" applyNumberFormat="1" applyFont="1" applyBorder="1" applyAlignment="1">
      <alignment horizontal="left"/>
    </xf>
    <xf numFmtId="10" fontId="21" fillId="0" borderId="0" xfId="78" applyNumberFormat="1" applyFont="1"/>
    <xf numFmtId="167" fontId="21" fillId="0" borderId="0" xfId="0" applyNumberFormat="1" applyFont="1" applyFill="1" applyBorder="1" applyProtection="1"/>
    <xf numFmtId="167" fontId="21" fillId="0" borderId="0" xfId="0" applyNumberFormat="1" applyFont="1" applyProtection="1"/>
    <xf numFmtId="10" fontId="21" fillId="0" borderId="0" xfId="0" applyNumberFormat="1" applyFont="1" applyBorder="1" applyProtection="1"/>
    <xf numFmtId="10" fontId="21" fillId="0" borderId="27" xfId="0" applyNumberFormat="1" applyFont="1" applyBorder="1" applyProtection="1"/>
    <xf numFmtId="10" fontId="21" fillId="0" borderId="26" xfId="0" applyNumberFormat="1" applyFont="1" applyBorder="1" applyProtection="1"/>
    <xf numFmtId="199" fontId="21" fillId="0" borderId="0" xfId="0" applyNumberFormat="1" applyFont="1" applyBorder="1" applyProtection="1"/>
    <xf numFmtId="180" fontId="21" fillId="0" borderId="0" xfId="0" applyNumberFormat="1" applyFont="1"/>
    <xf numFmtId="180" fontId="21" fillId="0" borderId="0" xfId="43" applyNumberFormat="1" applyFont="1"/>
    <xf numFmtId="196" fontId="21" fillId="0" borderId="0" xfId="0" applyNumberFormat="1" applyFont="1"/>
    <xf numFmtId="175" fontId="21" fillId="0" borderId="0" xfId="38" applyNumberFormat="1" applyFont="1" applyProtection="1"/>
    <xf numFmtId="37" fontId="21" fillId="0" borderId="0" xfId="0" applyFont="1" applyAlignment="1">
      <alignment horizontal="left"/>
    </xf>
    <xf numFmtId="37" fontId="38" fillId="0" borderId="0" xfId="0" applyFont="1"/>
    <xf numFmtId="10" fontId="21" fillId="0" borderId="0" xfId="78" applyNumberFormat="1" applyFont="1" applyAlignment="1">
      <alignment horizontal="left"/>
    </xf>
    <xf numFmtId="10" fontId="21" fillId="0" borderId="0" xfId="78" applyNumberFormat="1" applyFont="1" applyFill="1"/>
    <xf numFmtId="10" fontId="18" fillId="0" borderId="0" xfId="78" applyNumberFormat="1" applyFont="1" applyAlignment="1">
      <alignment horizontal="left" indent="2"/>
    </xf>
    <xf numFmtId="166" fontId="21" fillId="0" borderId="0" xfId="0" applyNumberFormat="1" applyFont="1" applyProtection="1"/>
    <xf numFmtId="165" fontId="21" fillId="0" borderId="0" xfId="0" applyNumberFormat="1" applyFont="1" applyProtection="1"/>
    <xf numFmtId="165" fontId="21" fillId="0" borderId="0" xfId="0" applyNumberFormat="1" applyFont="1"/>
    <xf numFmtId="37" fontId="21" fillId="0" borderId="0" xfId="0" applyNumberFormat="1" applyFont="1"/>
    <xf numFmtId="1" fontId="21" fillId="0" borderId="0" xfId="0" applyNumberFormat="1" applyFont="1"/>
    <xf numFmtId="37" fontId="21" fillId="0" borderId="0" xfId="0" applyNumberFormat="1" applyFont="1" applyFill="1"/>
    <xf numFmtId="37" fontId="50" fillId="0" borderId="0" xfId="0" applyNumberFormat="1" applyFont="1"/>
    <xf numFmtId="8" fontId="21" fillId="0" borderId="0" xfId="43" applyFont="1"/>
    <xf numFmtId="8" fontId="21" fillId="0" borderId="0" xfId="43" applyFont="1" applyFill="1"/>
    <xf numFmtId="175" fontId="21" fillId="0" borderId="0" xfId="38" applyNumberFormat="1" applyFont="1" applyFill="1"/>
    <xf numFmtId="37" fontId="35" fillId="0" borderId="0" xfId="0" applyFont="1" applyFill="1"/>
    <xf numFmtId="200" fontId="21" fillId="0" borderId="0" xfId="0" applyNumberFormat="1" applyFont="1" applyBorder="1" applyAlignment="1" applyProtection="1">
      <alignment horizontal="right"/>
    </xf>
    <xf numFmtId="37" fontId="21" fillId="0" borderId="27" xfId="0" applyFont="1" applyBorder="1" applyAlignment="1" applyProtection="1">
      <alignment horizontal="right"/>
    </xf>
    <xf numFmtId="37" fontId="21" fillId="0" borderId="0" xfId="0" applyFont="1" applyBorder="1" applyAlignment="1" applyProtection="1">
      <alignment horizontal="right"/>
    </xf>
    <xf numFmtId="37" fontId="21" fillId="0" borderId="26" xfId="0" applyFont="1" applyBorder="1" applyAlignment="1" applyProtection="1">
      <alignment horizontal="right"/>
    </xf>
    <xf numFmtId="37" fontId="21" fillId="0" borderId="27" xfId="0" applyFont="1" applyFill="1" applyBorder="1" applyAlignment="1" applyProtection="1">
      <alignment horizontal="right"/>
    </xf>
    <xf numFmtId="37" fontId="21" fillId="0" borderId="0" xfId="0" applyFont="1" applyFill="1" applyBorder="1" applyAlignment="1" applyProtection="1">
      <alignment horizontal="right"/>
    </xf>
    <xf numFmtId="37" fontId="21" fillId="0" borderId="26" xfId="0" applyFont="1" applyFill="1" applyBorder="1" applyAlignment="1" applyProtection="1">
      <alignment horizontal="right"/>
    </xf>
    <xf numFmtId="200" fontId="21" fillId="0" borderId="0" xfId="0" applyNumberFormat="1" applyFont="1" applyBorder="1" applyAlignment="1">
      <alignment horizontal="right"/>
    </xf>
    <xf numFmtId="37" fontId="37" fillId="0" borderId="0" xfId="0" applyFont="1" applyBorder="1" applyProtection="1"/>
    <xf numFmtId="200" fontId="37" fillId="0" borderId="0" xfId="0" applyNumberFormat="1" applyFont="1" applyBorder="1" applyAlignment="1" applyProtection="1">
      <alignment horizontal="right"/>
    </xf>
    <xf numFmtId="37" fontId="37" fillId="0" borderId="27" xfId="0" applyFont="1" applyBorder="1" applyAlignment="1" applyProtection="1">
      <alignment horizontal="right"/>
    </xf>
    <xf numFmtId="37" fontId="37" fillId="0" borderId="0" xfId="0" applyFont="1" applyBorder="1" applyAlignment="1" applyProtection="1">
      <alignment horizontal="right"/>
    </xf>
    <xf numFmtId="37" fontId="37" fillId="0" borderId="26" xfId="0" applyFont="1" applyBorder="1" applyAlignment="1" applyProtection="1">
      <alignment horizontal="right"/>
    </xf>
    <xf numFmtId="37" fontId="37" fillId="0" borderId="0" xfId="0" applyFont="1" applyFill="1" applyBorder="1" applyAlignment="1" applyProtection="1">
      <alignment horizontal="right"/>
    </xf>
    <xf numFmtId="164" fontId="21" fillId="0" borderId="0" xfId="0" applyNumberFormat="1" applyFont="1" applyBorder="1" applyProtection="1"/>
    <xf numFmtId="200" fontId="35" fillId="0" borderId="0" xfId="0" applyNumberFormat="1" applyFont="1" applyBorder="1" applyAlignment="1">
      <alignment horizontal="right"/>
    </xf>
    <xf numFmtId="37" fontId="38" fillId="0" borderId="26" xfId="0" applyFont="1" applyBorder="1" applyAlignment="1">
      <alignment horizontal="right"/>
    </xf>
    <xf numFmtId="195" fontId="38" fillId="0" borderId="0" xfId="78" applyNumberFormat="1" applyFont="1" applyBorder="1" applyAlignment="1">
      <alignment horizontal="right"/>
    </xf>
    <xf numFmtId="195" fontId="38" fillId="0" borderId="0" xfId="0" applyNumberFormat="1" applyFont="1" applyBorder="1" applyAlignment="1">
      <alignment horizontal="right"/>
    </xf>
    <xf numFmtId="37" fontId="38" fillId="0" borderId="27" xfId="0" applyFont="1" applyBorder="1" applyAlignment="1">
      <alignment horizontal="right"/>
    </xf>
    <xf numFmtId="37" fontId="39" fillId="0" borderId="0" xfId="0" applyFont="1"/>
    <xf numFmtId="178" fontId="21" fillId="0" borderId="0" xfId="0" applyNumberFormat="1" applyFont="1" applyBorder="1" applyAlignment="1">
      <alignment horizontal="right"/>
    </xf>
    <xf numFmtId="167" fontId="21" fillId="0" borderId="9" xfId="0" applyNumberFormat="1" applyFont="1" applyBorder="1" applyAlignment="1">
      <alignment horizontal="right"/>
    </xf>
    <xf numFmtId="167" fontId="21" fillId="0" borderId="23" xfId="0" applyNumberFormat="1" applyFont="1" applyBorder="1" applyAlignment="1">
      <alignment horizontal="right"/>
    </xf>
    <xf numFmtId="167" fontId="21" fillId="0" borderId="27" xfId="0" applyNumberFormat="1" applyFont="1" applyFill="1" applyBorder="1" applyAlignment="1">
      <alignment horizontal="right"/>
    </xf>
    <xf numFmtId="167" fontId="21" fillId="0" borderId="26" xfId="0" applyNumberFormat="1" applyFont="1" applyFill="1" applyBorder="1" applyAlignment="1">
      <alignment horizontal="right"/>
    </xf>
    <xf numFmtId="200" fontId="21" fillId="0" borderId="0" xfId="0" quotePrefix="1" applyNumberFormat="1" applyFont="1" applyBorder="1" applyAlignment="1">
      <alignment horizontal="right"/>
    </xf>
    <xf numFmtId="37" fontId="21" fillId="0" borderId="0" xfId="0" applyFont="1" applyAlignment="1">
      <alignment horizontal="right"/>
    </xf>
    <xf numFmtId="200" fontId="38" fillId="0" borderId="0" xfId="0" quotePrefix="1" applyNumberFormat="1" applyFont="1" applyBorder="1" applyAlignment="1">
      <alignment horizontal="right"/>
    </xf>
    <xf numFmtId="37" fontId="21" fillId="0" borderId="27" xfId="0" quotePrefix="1" applyFont="1" applyBorder="1" applyAlignment="1">
      <alignment horizontal="right"/>
    </xf>
    <xf numFmtId="37" fontId="21" fillId="0" borderId="26" xfId="0" quotePrefix="1" applyFont="1" applyBorder="1" applyAlignment="1">
      <alignment horizontal="right"/>
    </xf>
    <xf numFmtId="37" fontId="21" fillId="0" borderId="27" xfId="0" quotePrefix="1" applyFont="1" applyFill="1" applyBorder="1" applyAlignment="1">
      <alignment horizontal="right"/>
    </xf>
    <xf numFmtId="37" fontId="21" fillId="0" borderId="0" xfId="0" quotePrefix="1" applyFont="1" applyFill="1" applyBorder="1" applyAlignment="1">
      <alignment horizontal="right"/>
    </xf>
    <xf numFmtId="37" fontId="21" fillId="0" borderId="26" xfId="0" quotePrefix="1" applyFont="1" applyFill="1" applyBorder="1" applyAlignment="1">
      <alignment horizontal="right"/>
    </xf>
    <xf numFmtId="37" fontId="38" fillId="0" borderId="26" xfId="0" applyFont="1" applyBorder="1" applyAlignment="1" applyProtection="1">
      <alignment horizontal="right"/>
    </xf>
    <xf numFmtId="37" fontId="38" fillId="0" borderId="27" xfId="0" applyFont="1" applyFill="1" applyBorder="1" applyAlignment="1" applyProtection="1">
      <alignment horizontal="right"/>
    </xf>
    <xf numFmtId="37" fontId="38" fillId="0" borderId="0" xfId="0" applyFont="1" applyFill="1" applyBorder="1" applyAlignment="1" applyProtection="1">
      <alignment horizontal="right"/>
    </xf>
    <xf numFmtId="37" fontId="21" fillId="0" borderId="24" xfId="0" applyFont="1" applyBorder="1" applyAlignment="1">
      <alignment horizontal="right"/>
    </xf>
    <xf numFmtId="37" fontId="21" fillId="0" borderId="25" xfId="0" applyFont="1" applyBorder="1" applyAlignment="1">
      <alignment horizontal="right"/>
    </xf>
    <xf numFmtId="37" fontId="21" fillId="16" borderId="0" xfId="0" applyFont="1" applyFill="1" applyBorder="1"/>
    <xf numFmtId="200" fontId="21" fillId="16" borderId="0" xfId="0" applyNumberFormat="1" applyFont="1" applyFill="1" applyBorder="1" applyAlignment="1">
      <alignment horizontal="right"/>
    </xf>
    <xf numFmtId="37" fontId="21" fillId="16" borderId="27" xfId="0" applyFont="1" applyFill="1" applyBorder="1" applyAlignment="1">
      <alignment horizontal="right"/>
    </xf>
    <xf numFmtId="37" fontId="21" fillId="16" borderId="0" xfId="0" applyFont="1" applyFill="1" applyBorder="1" applyAlignment="1">
      <alignment horizontal="right"/>
    </xf>
    <xf numFmtId="37" fontId="21" fillId="16" borderId="26" xfId="0" applyFont="1" applyFill="1" applyBorder="1" applyAlignment="1">
      <alignment horizontal="right"/>
    </xf>
    <xf numFmtId="37" fontId="39" fillId="0" borderId="0" xfId="0" applyFont="1" applyAlignment="1">
      <alignment horizontal="left"/>
    </xf>
    <xf numFmtId="164" fontId="39" fillId="0" borderId="0" xfId="0" applyNumberFormat="1" applyFont="1" applyProtection="1"/>
    <xf numFmtId="200" fontId="39" fillId="0" borderId="0" xfId="0" applyNumberFormat="1" applyFont="1" applyAlignment="1" applyProtection="1">
      <alignment horizontal="right"/>
    </xf>
    <xf numFmtId="200" fontId="39" fillId="0" borderId="0" xfId="0" quotePrefix="1" applyNumberFormat="1" applyFont="1" applyAlignment="1" applyProtection="1">
      <alignment horizontal="right"/>
    </xf>
    <xf numFmtId="200" fontId="49" fillId="0" borderId="0" xfId="0" quotePrefix="1" applyNumberFormat="1" applyFont="1" applyAlignment="1" applyProtection="1">
      <alignment horizontal="right"/>
    </xf>
    <xf numFmtId="164" fontId="49" fillId="0" borderId="0" xfId="0" quotePrefix="1" applyNumberFormat="1" applyFont="1" applyAlignment="1" applyProtection="1">
      <alignment horizontal="right"/>
    </xf>
    <xf numFmtId="39" fontId="37" fillId="0" borderId="0" xfId="0" applyNumberFormat="1" applyFont="1"/>
    <xf numFmtId="39" fontId="37" fillId="0" borderId="0" xfId="0" applyNumberFormat="1" applyFont="1" applyProtection="1"/>
    <xf numFmtId="200" fontId="37" fillId="0" borderId="0" xfId="0" applyNumberFormat="1" applyFont="1" applyAlignment="1" applyProtection="1">
      <alignment horizontal="right"/>
    </xf>
    <xf numFmtId="202" fontId="37" fillId="0" borderId="0" xfId="0" applyNumberFormat="1" applyFont="1" applyAlignment="1" applyProtection="1">
      <alignment horizontal="right"/>
    </xf>
    <xf numFmtId="197" fontId="37" fillId="0" borderId="0" xfId="0" applyNumberFormat="1" applyFont="1" applyAlignment="1" applyProtection="1">
      <alignment horizontal="right"/>
    </xf>
    <xf numFmtId="205" fontId="37" fillId="0" borderId="0" xfId="0" applyNumberFormat="1" applyFont="1" applyAlignment="1" applyProtection="1">
      <alignment horizontal="right"/>
    </xf>
    <xf numFmtId="203" fontId="37" fillId="0" borderId="0" xfId="0" applyNumberFormat="1" applyFont="1" applyAlignment="1" applyProtection="1">
      <alignment horizontal="right"/>
    </xf>
    <xf numFmtId="39" fontId="21" fillId="0" borderId="0" xfId="0" applyNumberFormat="1" applyFont="1" applyAlignment="1">
      <alignment horizontal="right"/>
    </xf>
    <xf numFmtId="37" fontId="39" fillId="0" borderId="0" xfId="0" applyFont="1" applyAlignment="1">
      <alignment horizontal="right"/>
    </xf>
    <xf numFmtId="186" fontId="21" fillId="0" borderId="0" xfId="0" applyNumberFormat="1" applyFont="1" applyAlignment="1">
      <alignment horizontal="right"/>
    </xf>
    <xf numFmtId="186" fontId="21" fillId="0" borderId="0" xfId="0" applyNumberFormat="1" applyFont="1" applyBorder="1" applyAlignment="1">
      <alignment horizontal="right"/>
    </xf>
    <xf numFmtId="170" fontId="21" fillId="0" borderId="0" xfId="0" applyNumberFormat="1" applyFont="1" applyAlignment="1">
      <alignment horizontal="right"/>
    </xf>
    <xf numFmtId="37" fontId="21" fillId="0" borderId="0" xfId="0" applyFont="1" applyFill="1" applyAlignment="1">
      <alignment horizontal="right"/>
    </xf>
    <xf numFmtId="39" fontId="21" fillId="0" borderId="0" xfId="0" applyNumberFormat="1" applyFont="1" applyFill="1" applyAlignment="1">
      <alignment horizontal="right"/>
    </xf>
    <xf numFmtId="39" fontId="21" fillId="0" borderId="0" xfId="0" applyNumberFormat="1" applyFont="1" applyFill="1" applyBorder="1" applyAlignment="1">
      <alignment horizontal="right"/>
    </xf>
    <xf numFmtId="165" fontId="21" fillId="0" borderId="0" xfId="0" applyNumberFormat="1" applyFont="1" applyAlignment="1">
      <alignment horizontal="right"/>
    </xf>
    <xf numFmtId="195" fontId="21" fillId="0" borderId="0" xfId="0" applyNumberFormat="1" applyFont="1" applyAlignment="1">
      <alignment horizontal="right"/>
    </xf>
    <xf numFmtId="195" fontId="21" fillId="0" borderId="0" xfId="0" applyNumberFormat="1" applyFont="1" applyFill="1" applyBorder="1" applyAlignment="1">
      <alignment horizontal="right"/>
    </xf>
    <xf numFmtId="37" fontId="21" fillId="0" borderId="9" xfId="0" applyFont="1" applyBorder="1"/>
    <xf numFmtId="39" fontId="21" fillId="0" borderId="9" xfId="0" applyNumberFormat="1" applyFont="1" applyBorder="1" applyAlignment="1">
      <alignment horizontal="right"/>
    </xf>
    <xf numFmtId="195" fontId="21" fillId="0" borderId="9" xfId="0" applyNumberFormat="1" applyFont="1" applyBorder="1" applyAlignment="1">
      <alignment horizontal="right"/>
    </xf>
    <xf numFmtId="195" fontId="21" fillId="0" borderId="9" xfId="0" applyNumberFormat="1" applyFont="1" applyFill="1" applyBorder="1" applyAlignment="1">
      <alignment horizontal="right"/>
    </xf>
    <xf numFmtId="195" fontId="21" fillId="0" borderId="0" xfId="0" applyNumberFormat="1" applyFont="1" applyBorder="1" applyAlignment="1">
      <alignment horizontal="right"/>
    </xf>
    <xf numFmtId="167" fontId="21" fillId="0" borderId="9" xfId="78" applyNumberFormat="1" applyFont="1" applyBorder="1" applyAlignment="1">
      <alignment horizontal="right"/>
    </xf>
    <xf numFmtId="40" fontId="21" fillId="0" borderId="0" xfId="38" applyFont="1" applyBorder="1" applyAlignment="1">
      <alignment horizontal="right"/>
    </xf>
    <xf numFmtId="191" fontId="21" fillId="0" borderId="0" xfId="63" applyFont="1" applyFill="1" applyBorder="1" applyAlignment="1">
      <alignment horizontal="right"/>
    </xf>
    <xf numFmtId="40" fontId="21" fillId="0" borderId="0" xfId="38" applyFont="1"/>
    <xf numFmtId="201" fontId="21" fillId="0" borderId="0" xfId="38" applyNumberFormat="1" applyFont="1" applyBorder="1" applyAlignment="1">
      <alignment horizontal="right"/>
    </xf>
    <xf numFmtId="37" fontId="21" fillId="0" borderId="11" xfId="0" applyFont="1" applyBorder="1"/>
    <xf numFmtId="37" fontId="21" fillId="0" borderId="11" xfId="0" applyFont="1" applyBorder="1" applyAlignment="1">
      <alignment horizontal="right"/>
    </xf>
    <xf numFmtId="195" fontId="21" fillId="0" borderId="11" xfId="0" applyNumberFormat="1" applyFont="1" applyBorder="1" applyAlignment="1">
      <alignment horizontal="right"/>
    </xf>
    <xf numFmtId="37" fontId="48" fillId="16" borderId="0" xfId="0" applyFont="1" applyFill="1" applyBorder="1"/>
    <xf numFmtId="201" fontId="21" fillId="0" borderId="0" xfId="63" applyNumberFormat="1" applyFont="1" applyFill="1" applyAlignment="1">
      <alignment horizontal="right"/>
    </xf>
    <xf numFmtId="201" fontId="21" fillId="0" borderId="0" xfId="63" applyNumberFormat="1" applyFont="1" applyFill="1" applyBorder="1" applyAlignment="1">
      <alignment horizontal="right"/>
    </xf>
    <xf numFmtId="8" fontId="21" fillId="0" borderId="0" xfId="43" applyFont="1" applyAlignment="1">
      <alignment horizontal="right"/>
    </xf>
    <xf numFmtId="37" fontId="35" fillId="0" borderId="0" xfId="0" applyFont="1" applyBorder="1" applyAlignment="1">
      <alignment horizontal="right"/>
    </xf>
    <xf numFmtId="8" fontId="21" fillId="0" borderId="0" xfId="0" applyNumberFormat="1" applyFont="1" applyBorder="1" applyAlignment="1">
      <alignment horizontal="right"/>
    </xf>
    <xf numFmtId="8" fontId="35" fillId="0" borderId="0" xfId="0" applyNumberFormat="1" applyFont="1" applyBorder="1" applyAlignment="1">
      <alignment horizontal="right"/>
    </xf>
    <xf numFmtId="9" fontId="18" fillId="0" borderId="0" xfId="0" applyNumberFormat="1" applyFont="1"/>
    <xf numFmtId="200" fontId="38" fillId="0" borderId="0" xfId="0" applyNumberFormat="1" applyFont="1" applyBorder="1" applyAlignment="1">
      <alignment horizontal="right"/>
    </xf>
    <xf numFmtId="167" fontId="35" fillId="0" borderId="0" xfId="0" applyNumberFormat="1" applyFont="1" applyFill="1" applyBorder="1" applyAlignment="1">
      <alignment horizontal="right"/>
    </xf>
    <xf numFmtId="37" fontId="18" fillId="0" borderId="24" xfId="0" applyFont="1" applyBorder="1"/>
    <xf numFmtId="200" fontId="21" fillId="0" borderId="30" xfId="0" applyNumberFormat="1" applyFont="1" applyBorder="1" applyAlignment="1" applyProtection="1">
      <alignment horizontal="right"/>
    </xf>
    <xf numFmtId="200" fontId="21" fillId="0" borderId="31" xfId="0" applyNumberFormat="1" applyFont="1" applyBorder="1" applyAlignment="1" applyProtection="1">
      <alignment horizontal="right"/>
    </xf>
    <xf numFmtId="37" fontId="21" fillId="0" borderId="31" xfId="0" applyFont="1" applyBorder="1" applyAlignment="1" applyProtection="1">
      <alignment horizontal="right"/>
    </xf>
    <xf numFmtId="165" fontId="21" fillId="0" borderId="26" xfId="0" applyNumberFormat="1" applyFont="1" applyBorder="1" applyAlignment="1" applyProtection="1">
      <alignment horizontal="right"/>
    </xf>
    <xf numFmtId="200" fontId="21" fillId="0" borderId="30" xfId="0" applyNumberFormat="1" applyFont="1" applyFill="1" applyBorder="1" applyAlignment="1">
      <alignment horizontal="right"/>
    </xf>
    <xf numFmtId="200" fontId="21" fillId="0" borderId="0" xfId="0" applyNumberFormat="1" applyFont="1" applyFill="1" applyBorder="1" applyAlignment="1">
      <alignment horizontal="right"/>
    </xf>
    <xf numFmtId="200" fontId="21" fillId="0" borderId="31" xfId="0" applyNumberFormat="1" applyFont="1" applyFill="1" applyBorder="1" applyAlignment="1">
      <alignment horizontal="right"/>
    </xf>
    <xf numFmtId="37" fontId="21" fillId="0" borderId="31" xfId="0" applyFont="1" applyFill="1" applyBorder="1" applyAlignment="1">
      <alignment horizontal="right"/>
    </xf>
    <xf numFmtId="200" fontId="38" fillId="0" borderId="30" xfId="0" applyNumberFormat="1" applyFont="1" applyFill="1" applyBorder="1" applyAlignment="1">
      <alignment horizontal="right"/>
    </xf>
    <xf numFmtId="200" fontId="38" fillId="0" borderId="0" xfId="0" applyNumberFormat="1" applyFont="1" applyFill="1" applyBorder="1" applyAlignment="1">
      <alignment horizontal="right"/>
    </xf>
    <xf numFmtId="200" fontId="37" fillId="0" borderId="0" xfId="0" applyNumberFormat="1" applyFont="1" applyFill="1" applyBorder="1" applyAlignment="1" applyProtection="1">
      <alignment horizontal="right"/>
    </xf>
    <xf numFmtId="37" fontId="37" fillId="0" borderId="31" xfId="0" applyFont="1" applyFill="1" applyBorder="1" applyAlignment="1" applyProtection="1">
      <alignment horizontal="right"/>
    </xf>
    <xf numFmtId="37" fontId="21" fillId="0" borderId="31" xfId="0" applyFont="1" applyFill="1" applyBorder="1" applyAlignment="1" applyProtection="1">
      <alignment horizontal="right"/>
    </xf>
    <xf numFmtId="200" fontId="21" fillId="0" borderId="0" xfId="78" applyNumberFormat="1" applyFont="1" applyBorder="1" applyAlignment="1">
      <alignment horizontal="right"/>
    </xf>
    <xf numFmtId="200" fontId="21" fillId="0" borderId="31" xfId="0" applyNumberFormat="1" applyFont="1" applyBorder="1" applyAlignment="1">
      <alignment horizontal="right"/>
    </xf>
    <xf numFmtId="37" fontId="21" fillId="0" borderId="31" xfId="0" applyFont="1" applyBorder="1" applyAlignment="1">
      <alignment horizontal="right"/>
    </xf>
    <xf numFmtId="200" fontId="37" fillId="0" borderId="0" xfId="0" applyNumberFormat="1" applyFont="1" applyBorder="1" applyAlignment="1">
      <alignment horizontal="right"/>
    </xf>
    <xf numFmtId="37" fontId="53" fillId="20" borderId="10" xfId="0" applyFont="1" applyFill="1" applyBorder="1"/>
    <xf numFmtId="37" fontId="54" fillId="20" borderId="11" xfId="0" applyFont="1" applyFill="1" applyBorder="1"/>
    <xf numFmtId="193" fontId="54" fillId="20" borderId="11" xfId="0" applyNumberFormat="1" applyFont="1" applyFill="1" applyBorder="1"/>
    <xf numFmtId="192" fontId="54" fillId="20" borderId="11" xfId="0" applyNumberFormat="1" applyFont="1" applyFill="1" applyBorder="1"/>
    <xf numFmtId="9" fontId="54" fillId="20" borderId="11" xfId="0" applyNumberFormat="1" applyFont="1" applyFill="1" applyBorder="1"/>
    <xf numFmtId="8" fontId="54" fillId="20" borderId="11" xfId="0" applyNumberFormat="1" applyFont="1" applyFill="1" applyBorder="1"/>
    <xf numFmtId="39" fontId="54" fillId="20" borderId="11" xfId="0" applyNumberFormat="1" applyFont="1" applyFill="1" applyBorder="1"/>
    <xf numFmtId="40" fontId="54" fillId="20" borderId="11" xfId="38" applyFont="1" applyFill="1" applyBorder="1" applyProtection="1"/>
    <xf numFmtId="199" fontId="54" fillId="20" borderId="11" xfId="0" applyNumberFormat="1" applyFont="1" applyFill="1" applyBorder="1"/>
    <xf numFmtId="37" fontId="54" fillId="20" borderId="11" xfId="0" applyFont="1" applyFill="1" applyBorder="1" applyAlignment="1"/>
    <xf numFmtId="204" fontId="54" fillId="20" borderId="11" xfId="0" applyNumberFormat="1" applyFont="1" applyFill="1" applyBorder="1" applyAlignment="1"/>
    <xf numFmtId="7" fontId="54" fillId="20" borderId="11" xfId="0" applyNumberFormat="1" applyFont="1" applyFill="1" applyBorder="1"/>
    <xf numFmtId="37" fontId="37" fillId="17" borderId="10" xfId="0" applyFont="1" applyFill="1" applyBorder="1"/>
    <xf numFmtId="37" fontId="37" fillId="17" borderId="11" xfId="0" applyFont="1" applyFill="1" applyBorder="1"/>
    <xf numFmtId="190" fontId="37" fillId="17" borderId="11" xfId="0" applyNumberFormat="1" applyFont="1" applyFill="1" applyBorder="1" applyAlignment="1">
      <alignment horizontal="right"/>
    </xf>
    <xf numFmtId="37" fontId="37" fillId="17" borderId="15" xfId="0" applyFont="1" applyFill="1" applyBorder="1"/>
    <xf numFmtId="37" fontId="37" fillId="17" borderId="16" xfId="0" applyFont="1" applyFill="1" applyBorder="1"/>
    <xf numFmtId="190" fontId="37" fillId="17" borderId="16" xfId="0" applyNumberFormat="1" applyFont="1" applyFill="1" applyBorder="1" applyAlignment="1">
      <alignment horizontal="right"/>
    </xf>
    <xf numFmtId="190" fontId="37" fillId="17" borderId="32" xfId="0" applyNumberFormat="1" applyFont="1" applyFill="1" applyBorder="1" applyAlignment="1">
      <alignment horizontal="right"/>
    </xf>
    <xf numFmtId="37" fontId="51" fillId="17" borderId="18" xfId="0" applyFont="1" applyFill="1" applyBorder="1" applyAlignment="1">
      <alignment horizontal="centerContinuous"/>
    </xf>
    <xf numFmtId="37" fontId="51" fillId="17" borderId="19" xfId="0" applyFont="1" applyFill="1" applyBorder="1" applyAlignment="1">
      <alignment horizontal="centerContinuous"/>
    </xf>
    <xf numFmtId="37" fontId="38" fillId="17" borderId="33" xfId="0" applyFont="1" applyFill="1" applyBorder="1"/>
    <xf numFmtId="37" fontId="51" fillId="17" borderId="0" xfId="0" quotePrefix="1" applyFont="1" applyFill="1" applyBorder="1" applyAlignment="1">
      <alignment horizontal="center"/>
    </xf>
    <xf numFmtId="37" fontId="51" fillId="17" borderId="18" xfId="0" quotePrefix="1" applyFont="1" applyFill="1" applyBorder="1" applyAlignment="1">
      <alignment horizontal="center"/>
    </xf>
    <xf numFmtId="37" fontId="51" fillId="17" borderId="19" xfId="0" quotePrefix="1" applyFont="1" applyFill="1" applyBorder="1" applyAlignment="1">
      <alignment horizontal="center"/>
    </xf>
    <xf numFmtId="37" fontId="51" fillId="17" borderId="20" xfId="0" quotePrefix="1" applyFont="1" applyFill="1" applyBorder="1" applyAlignment="1">
      <alignment horizontal="center"/>
    </xf>
    <xf numFmtId="206" fontId="51" fillId="17" borderId="34" xfId="0" applyNumberFormat="1" applyFont="1" applyFill="1" applyBorder="1" applyAlignment="1">
      <alignment horizontal="center"/>
    </xf>
    <xf numFmtId="184" fontId="21" fillId="0" borderId="35" xfId="0" applyNumberFormat="1" applyFont="1" applyBorder="1" applyAlignment="1">
      <alignment horizontal="center"/>
    </xf>
    <xf numFmtId="184" fontId="21" fillId="0" borderId="36" xfId="0" applyNumberFormat="1" applyFont="1" applyBorder="1" applyAlignment="1">
      <alignment horizontal="center"/>
    </xf>
    <xf numFmtId="184" fontId="21" fillId="0" borderId="37" xfId="0" applyNumberFormat="1" applyFont="1" applyBorder="1" applyAlignment="1">
      <alignment horizontal="center"/>
    </xf>
    <xf numFmtId="37" fontId="21" fillId="0" borderId="13" xfId="0" applyFont="1" applyBorder="1"/>
    <xf numFmtId="37" fontId="21" fillId="0" borderId="14" xfId="0" applyFont="1" applyBorder="1"/>
    <xf numFmtId="37" fontId="37" fillId="17" borderId="13" xfId="0" applyFont="1" applyFill="1" applyBorder="1"/>
    <xf numFmtId="37" fontId="37" fillId="0" borderId="13" xfId="0" applyFont="1" applyFill="1" applyBorder="1"/>
    <xf numFmtId="37" fontId="37" fillId="0" borderId="14" xfId="0" applyFont="1" applyFill="1" applyBorder="1"/>
    <xf numFmtId="3" fontId="21" fillId="0" borderId="13" xfId="0" applyNumberFormat="1" applyFont="1" applyBorder="1"/>
    <xf numFmtId="167" fontId="18" fillId="0" borderId="13" xfId="0" applyNumberFormat="1" applyFont="1" applyBorder="1" applyAlignment="1">
      <alignment horizontal="left" indent="1"/>
    </xf>
    <xf numFmtId="37" fontId="18" fillId="0" borderId="13" xfId="0" applyFont="1" applyBorder="1"/>
    <xf numFmtId="167" fontId="21" fillId="0" borderId="13" xfId="0" applyNumberFormat="1" applyFont="1" applyBorder="1"/>
    <xf numFmtId="167" fontId="21" fillId="0" borderId="13" xfId="0" applyNumberFormat="1" applyFont="1" applyFill="1" applyBorder="1"/>
    <xf numFmtId="9" fontId="18" fillId="0" borderId="13" xfId="0" applyNumberFormat="1" applyFont="1" applyFill="1" applyBorder="1"/>
    <xf numFmtId="37" fontId="21" fillId="0" borderId="13" xfId="0" applyFont="1" applyFill="1" applyBorder="1"/>
    <xf numFmtId="37" fontId="21" fillId="0" borderId="14" xfId="0" applyFont="1" applyFill="1" applyBorder="1"/>
    <xf numFmtId="167" fontId="18" fillId="0" borderId="13" xfId="0" applyNumberFormat="1" applyFont="1" applyFill="1" applyBorder="1"/>
    <xf numFmtId="167" fontId="37" fillId="17" borderId="13" xfId="0" applyNumberFormat="1" applyFont="1" applyFill="1" applyBorder="1"/>
    <xf numFmtId="37" fontId="21" fillId="0" borderId="13" xfId="0" applyFont="1" applyBorder="1" applyAlignment="1">
      <alignment horizontal="left"/>
    </xf>
    <xf numFmtId="37" fontId="18" fillId="0" borderId="13" xfId="0" applyFont="1" applyBorder="1" applyAlignment="1">
      <alignment horizontal="left"/>
    </xf>
    <xf numFmtId="37" fontId="21" fillId="0" borderId="13" xfId="0" applyFont="1" applyBorder="1" applyAlignment="1"/>
    <xf numFmtId="167" fontId="18" fillId="0" borderId="13" xfId="0" applyNumberFormat="1" applyFont="1" applyBorder="1" applyAlignment="1"/>
    <xf numFmtId="167" fontId="21" fillId="0" borderId="13" xfId="0" applyNumberFormat="1" applyFont="1" applyBorder="1" applyAlignment="1"/>
    <xf numFmtId="37" fontId="37" fillId="0" borderId="13" xfId="0" applyFont="1" applyBorder="1" applyAlignment="1"/>
    <xf numFmtId="37" fontId="18" fillId="0" borderId="13" xfId="0" applyFont="1" applyBorder="1" applyAlignment="1"/>
    <xf numFmtId="37" fontId="43" fillId="0" borderId="13" xfId="0" applyFont="1" applyBorder="1" applyAlignment="1"/>
    <xf numFmtId="37" fontId="21" fillId="0" borderId="13" xfId="0" applyFont="1" applyBorder="1" applyAlignment="1">
      <alignment horizontal="left" indent="1"/>
    </xf>
    <xf numFmtId="10" fontId="21" fillId="0" borderId="13" xfId="0" applyNumberFormat="1" applyFont="1" applyBorder="1" applyAlignment="1">
      <alignment horizontal="left"/>
    </xf>
    <xf numFmtId="10" fontId="21" fillId="0" borderId="13" xfId="0" applyNumberFormat="1" applyFont="1" applyBorder="1" applyAlignment="1">
      <alignment horizontal="left" indent="1"/>
    </xf>
    <xf numFmtId="10" fontId="18" fillId="0" borderId="13" xfId="0" applyNumberFormat="1" applyFont="1" applyBorder="1" applyAlignment="1">
      <alignment horizontal="left"/>
    </xf>
    <xf numFmtId="8" fontId="21" fillId="0" borderId="13" xfId="0" applyNumberFormat="1" applyFont="1" applyBorder="1" applyAlignment="1">
      <alignment horizontal="left" indent="1"/>
    </xf>
    <xf numFmtId="8" fontId="21" fillId="0" borderId="13" xfId="0" applyNumberFormat="1" applyFont="1" applyBorder="1" applyAlignment="1"/>
    <xf numFmtId="167" fontId="21" fillId="0" borderId="13" xfId="0" applyNumberFormat="1" applyFont="1" applyBorder="1" applyAlignment="1">
      <alignment horizontal="left" indent="1"/>
    </xf>
    <xf numFmtId="10" fontId="18" fillId="0" borderId="13" xfId="0" applyNumberFormat="1" applyFont="1" applyBorder="1" applyAlignment="1">
      <alignment horizontal="left" indent="1"/>
    </xf>
    <xf numFmtId="167" fontId="21" fillId="0" borderId="13" xfId="0" applyNumberFormat="1" applyFont="1" applyBorder="1" applyAlignment="1">
      <alignment horizontal="left"/>
    </xf>
    <xf numFmtId="9" fontId="21" fillId="0" borderId="13" xfId="0" applyNumberFormat="1" applyFont="1" applyBorder="1" applyAlignment="1">
      <alignment horizontal="left"/>
    </xf>
    <xf numFmtId="37" fontId="21" fillId="0" borderId="38" xfId="0" applyFont="1" applyBorder="1"/>
    <xf numFmtId="167" fontId="37" fillId="0" borderId="13" xfId="78" applyNumberFormat="1" applyFont="1" applyBorder="1"/>
    <xf numFmtId="37" fontId="21" fillId="0" borderId="39" xfId="0" applyFont="1" applyBorder="1"/>
    <xf numFmtId="37" fontId="21" fillId="0" borderId="13" xfId="0" applyFont="1" applyBorder="1" applyAlignment="1">
      <alignment horizontal="left" indent="2"/>
    </xf>
    <xf numFmtId="164" fontId="21" fillId="0" borderId="13" xfId="0" applyNumberFormat="1" applyFont="1" applyBorder="1" applyAlignment="1">
      <alignment horizontal="left" indent="3"/>
    </xf>
    <xf numFmtId="37" fontId="37" fillId="0" borderId="13" xfId="0" applyFont="1" applyBorder="1" applyAlignment="1">
      <alignment horizontal="left"/>
    </xf>
    <xf numFmtId="37" fontId="21" fillId="0" borderId="13" xfId="0" applyFont="1" applyBorder="1" applyAlignment="1">
      <alignment horizontal="left" indent="3"/>
    </xf>
    <xf numFmtId="37" fontId="37" fillId="0" borderId="15" xfId="0" applyFont="1" applyBorder="1" applyAlignment="1">
      <alignment horizontal="left"/>
    </xf>
    <xf numFmtId="37" fontId="21" fillId="0" borderId="16" xfId="0" applyFont="1" applyBorder="1" applyAlignment="1">
      <alignment horizontal="left"/>
    </xf>
    <xf numFmtId="37" fontId="21" fillId="0" borderId="40" xfId="0" applyFont="1" applyBorder="1"/>
    <xf numFmtId="37" fontId="21" fillId="0" borderId="16" xfId="0" applyFont="1" applyBorder="1"/>
    <xf numFmtId="7" fontId="37" fillId="19" borderId="10" xfId="38" applyNumberFormat="1" applyFont="1" applyFill="1" applyBorder="1" applyAlignment="1">
      <alignment horizontal="left"/>
    </xf>
    <xf numFmtId="7" fontId="37" fillId="19" borderId="11" xfId="38" applyNumberFormat="1" applyFont="1" applyFill="1" applyBorder="1" applyAlignment="1">
      <alignment horizontal="left"/>
    </xf>
    <xf numFmtId="7" fontId="37" fillId="19" borderId="11" xfId="38" applyNumberFormat="1" applyFont="1" applyFill="1" applyBorder="1" applyProtection="1"/>
    <xf numFmtId="7" fontId="37" fillId="19" borderId="41" xfId="38" applyNumberFormat="1" applyFont="1" applyFill="1" applyBorder="1" applyProtection="1"/>
    <xf numFmtId="7" fontId="37" fillId="19" borderId="42" xfId="38" applyNumberFormat="1" applyFont="1" applyFill="1" applyBorder="1" applyProtection="1"/>
    <xf numFmtId="7" fontId="37" fillId="19" borderId="11" xfId="0" applyNumberFormat="1" applyFont="1" applyFill="1" applyBorder="1"/>
    <xf numFmtId="7" fontId="37" fillId="19" borderId="11" xfId="43" applyNumberFormat="1" applyFont="1" applyFill="1" applyBorder="1"/>
    <xf numFmtId="7" fontId="37" fillId="19" borderId="15" xfId="38" applyNumberFormat="1" applyFont="1" applyFill="1" applyBorder="1" applyAlignment="1">
      <alignment horizontal="left"/>
    </xf>
    <xf numFmtId="7" fontId="37" fillId="19" borderId="16" xfId="38" applyNumberFormat="1" applyFont="1" applyFill="1" applyBorder="1" applyAlignment="1">
      <alignment horizontal="left"/>
    </xf>
    <xf numFmtId="7" fontId="37" fillId="19" borderId="16" xfId="43" applyNumberFormat="1" applyFont="1" applyFill="1" applyBorder="1"/>
    <xf numFmtId="7" fontId="37" fillId="19" borderId="40" xfId="38" applyNumberFormat="1" applyFont="1" applyFill="1" applyBorder="1" applyProtection="1"/>
    <xf numFmtId="7" fontId="37" fillId="19" borderId="16" xfId="38" applyNumberFormat="1" applyFont="1" applyFill="1" applyBorder="1" applyProtection="1"/>
    <xf numFmtId="7" fontId="37" fillId="19" borderId="32" xfId="38" applyNumberFormat="1" applyFont="1" applyFill="1" applyBorder="1" applyProtection="1"/>
    <xf numFmtId="39" fontId="21" fillId="0" borderId="11" xfId="0" applyNumberFormat="1" applyFont="1" applyBorder="1"/>
    <xf numFmtId="7" fontId="21" fillId="0" borderId="16" xfId="0" applyNumberFormat="1" applyFont="1" applyBorder="1" applyAlignment="1">
      <alignment horizontal="left"/>
    </xf>
    <xf numFmtId="39" fontId="21" fillId="0" borderId="16" xfId="0" applyNumberFormat="1" applyFont="1" applyBorder="1"/>
    <xf numFmtId="167" fontId="37" fillId="0" borderId="13" xfId="78" applyNumberFormat="1" applyFont="1" applyBorder="1" applyAlignment="1">
      <alignment horizontal="right"/>
    </xf>
    <xf numFmtId="167" fontId="37" fillId="0" borderId="14" xfId="78" applyNumberFormat="1" applyFont="1" applyBorder="1" applyAlignment="1">
      <alignment horizontal="right"/>
    </xf>
    <xf numFmtId="167" fontId="21" fillId="0" borderId="13" xfId="78" quotePrefix="1" applyNumberFormat="1" applyFont="1" applyBorder="1" applyAlignment="1">
      <alignment horizontal="right"/>
    </xf>
    <xf numFmtId="167" fontId="21" fillId="0" borderId="14" xfId="78" quotePrefix="1" applyNumberFormat="1" applyFont="1" applyBorder="1" applyAlignment="1">
      <alignment horizontal="right"/>
    </xf>
    <xf numFmtId="37" fontId="21" fillId="0" borderId="38" xfId="0" applyFont="1" applyBorder="1" applyAlignment="1">
      <alignment horizontal="right"/>
    </xf>
    <xf numFmtId="3" fontId="18" fillId="0" borderId="43" xfId="78" applyNumberFormat="1" applyFont="1" applyBorder="1" applyAlignment="1">
      <alignment horizontal="right"/>
    </xf>
    <xf numFmtId="3" fontId="18" fillId="0" borderId="44" xfId="78" applyNumberFormat="1" applyFont="1" applyBorder="1" applyAlignment="1">
      <alignment horizontal="right"/>
    </xf>
    <xf numFmtId="37" fontId="45" fillId="0" borderId="13" xfId="0" applyFont="1" applyBorder="1"/>
    <xf numFmtId="37" fontId="45" fillId="0" borderId="14" xfId="0" applyFont="1" applyBorder="1"/>
    <xf numFmtId="37" fontId="18" fillId="0" borderId="14" xfId="0" applyFont="1" applyBorder="1"/>
    <xf numFmtId="37" fontId="37" fillId="0" borderId="13" xfId="0" applyFont="1" applyBorder="1"/>
    <xf numFmtId="37" fontId="37" fillId="0" borderId="14" xfId="0" applyFont="1" applyBorder="1"/>
    <xf numFmtId="37" fontId="38" fillId="0" borderId="13" xfId="0" applyFont="1" applyFill="1" applyBorder="1"/>
    <xf numFmtId="37" fontId="38" fillId="0" borderId="14" xfId="0" applyFont="1" applyBorder="1"/>
    <xf numFmtId="37" fontId="21" fillId="0" borderId="15" xfId="0" applyFont="1" applyBorder="1"/>
    <xf numFmtId="167" fontId="21" fillId="0" borderId="45" xfId="78" applyNumberFormat="1" applyFont="1" applyFill="1" applyBorder="1"/>
    <xf numFmtId="167" fontId="37" fillId="0" borderId="45" xfId="78" applyNumberFormat="1" applyFont="1" applyBorder="1"/>
    <xf numFmtId="167" fontId="21" fillId="0" borderId="45" xfId="78" applyNumberFormat="1" applyFont="1" applyBorder="1" applyAlignment="1">
      <alignment horizontal="right"/>
    </xf>
    <xf numFmtId="37" fontId="21" fillId="0" borderId="46" xfId="0" applyFont="1" applyBorder="1"/>
    <xf numFmtId="179" fontId="48" fillId="0" borderId="47" xfId="0" applyNumberFormat="1" applyFont="1" applyBorder="1"/>
    <xf numFmtId="37" fontId="37" fillId="0" borderId="45" xfId="0" applyFont="1" applyFill="1" applyBorder="1" applyProtection="1"/>
    <xf numFmtId="37" fontId="21" fillId="0" borderId="45" xfId="0" applyFont="1" applyBorder="1"/>
    <xf numFmtId="10" fontId="18" fillId="0" borderId="45" xfId="0" applyNumberFormat="1" applyFont="1" applyBorder="1"/>
    <xf numFmtId="37" fontId="37" fillId="0" borderId="45" xfId="0" applyFont="1" applyBorder="1"/>
    <xf numFmtId="200" fontId="37" fillId="0" borderId="0" xfId="0" applyNumberFormat="1" applyFont="1" applyBorder="1"/>
    <xf numFmtId="37" fontId="21" fillId="0" borderId="39" xfId="0" applyFont="1" applyBorder="1" applyAlignment="1">
      <alignment horizontal="left" indent="1"/>
    </xf>
    <xf numFmtId="37" fontId="21" fillId="0" borderId="39" xfId="0" applyFont="1" applyBorder="1" applyAlignment="1">
      <alignment horizontal="right"/>
    </xf>
    <xf numFmtId="195" fontId="21" fillId="0" borderId="24" xfId="0" applyNumberFormat="1" applyFont="1" applyBorder="1"/>
    <xf numFmtId="195" fontId="21" fillId="0" borderId="7" xfId="0" applyNumberFormat="1" applyFont="1" applyBorder="1"/>
    <xf numFmtId="195" fontId="21" fillId="0" borderId="7" xfId="0" applyNumberFormat="1" applyFont="1" applyFill="1" applyBorder="1"/>
    <xf numFmtId="195" fontId="21" fillId="0" borderId="25" xfId="0" applyNumberFormat="1" applyFont="1" applyFill="1" applyBorder="1"/>
    <xf numFmtId="200" fontId="21" fillId="0" borderId="7" xfId="0" applyNumberFormat="1" applyFont="1" applyBorder="1"/>
    <xf numFmtId="37" fontId="38" fillId="0" borderId="7" xfId="0" applyFont="1" applyBorder="1" applyAlignment="1">
      <alignment horizontal="right"/>
    </xf>
    <xf numFmtId="37" fontId="39" fillId="0" borderId="7" xfId="0" applyFont="1" applyFill="1" applyBorder="1" applyAlignment="1">
      <alignment horizontal="right"/>
    </xf>
    <xf numFmtId="200" fontId="21" fillId="0" borderId="7" xfId="0" applyNumberFormat="1" applyFont="1" applyFill="1" applyBorder="1"/>
    <xf numFmtId="37" fontId="21" fillId="0" borderId="7" xfId="0" quotePrefix="1" applyFont="1" applyBorder="1" applyAlignment="1">
      <alignment horizontal="right"/>
    </xf>
    <xf numFmtId="37" fontId="21" fillId="0" borderId="7" xfId="0" quotePrefix="1" applyFont="1" applyBorder="1" applyAlignment="1" applyProtection="1">
      <alignment horizontal="right"/>
    </xf>
    <xf numFmtId="37" fontId="21" fillId="0" borderId="7" xfId="0" applyFont="1" applyBorder="1" applyProtection="1"/>
    <xf numFmtId="200" fontId="21" fillId="0" borderId="25" xfId="0" applyNumberFormat="1" applyFont="1" applyFill="1" applyBorder="1"/>
    <xf numFmtId="37" fontId="38" fillId="0" borderId="39" xfId="0" applyFont="1" applyBorder="1" applyAlignment="1">
      <alignment horizontal="left" indent="1"/>
    </xf>
    <xf numFmtId="37" fontId="42" fillId="0" borderId="7" xfId="0" applyFont="1" applyBorder="1"/>
    <xf numFmtId="37" fontId="18" fillId="0" borderId="7" xfId="0" applyFont="1" applyBorder="1"/>
    <xf numFmtId="37" fontId="42" fillId="0" borderId="46" xfId="0" applyFont="1" applyBorder="1"/>
    <xf numFmtId="37" fontId="42" fillId="0" borderId="39" xfId="0" applyFont="1" applyBorder="1"/>
    <xf numFmtId="39" fontId="42" fillId="0" borderId="7" xfId="0" applyNumberFormat="1" applyFont="1" applyBorder="1"/>
    <xf numFmtId="37" fontId="40" fillId="0" borderId="39" xfId="0" applyFont="1" applyBorder="1"/>
    <xf numFmtId="37" fontId="40" fillId="0" borderId="7" xfId="0" applyFont="1" applyBorder="1"/>
    <xf numFmtId="37" fontId="42" fillId="0" borderId="38" xfId="0" applyFont="1" applyBorder="1"/>
    <xf numFmtId="37" fontId="42" fillId="0" borderId="25" xfId="0" applyFont="1" applyBorder="1"/>
    <xf numFmtId="37" fontId="40" fillId="0" borderId="24" xfId="0" applyFont="1" applyBorder="1"/>
    <xf numFmtId="37" fontId="18" fillId="0" borderId="7" xfId="0" applyFont="1" applyFill="1" applyBorder="1"/>
    <xf numFmtId="37" fontId="37" fillId="0" borderId="27" xfId="0" applyNumberFormat="1" applyFont="1" applyBorder="1"/>
    <xf numFmtId="37" fontId="37" fillId="0" borderId="0" xfId="0" applyNumberFormat="1" applyFont="1" applyBorder="1"/>
    <xf numFmtId="37" fontId="37" fillId="0" borderId="0" xfId="0" applyNumberFormat="1" applyFont="1" applyFill="1" applyBorder="1"/>
    <xf numFmtId="37" fontId="21" fillId="0" borderId="34" xfId="0" applyFont="1" applyBorder="1"/>
    <xf numFmtId="37" fontId="21" fillId="0" borderId="24" xfId="0" applyFont="1" applyBorder="1"/>
    <xf numFmtId="37" fontId="35" fillId="0" borderId="7" xfId="0" applyFont="1" applyBorder="1"/>
    <xf numFmtId="37" fontId="35" fillId="0" borderId="7" xfId="0" applyFont="1" applyFill="1" applyBorder="1"/>
    <xf numFmtId="200" fontId="38" fillId="0" borderId="7" xfId="0" applyNumberFormat="1" applyFont="1" applyBorder="1"/>
    <xf numFmtId="195" fontId="35" fillId="0" borderId="7" xfId="0" applyNumberFormat="1" applyFont="1" applyFill="1" applyBorder="1"/>
    <xf numFmtId="38" fontId="21" fillId="0" borderId="10" xfId="38" applyNumberFormat="1" applyFont="1" applyBorder="1" applyAlignment="1">
      <alignment horizontal="left"/>
    </xf>
    <xf numFmtId="38" fontId="21" fillId="0" borderId="11" xfId="38" applyNumberFormat="1" applyFont="1" applyBorder="1" applyAlignment="1">
      <alignment horizontal="left"/>
    </xf>
    <xf numFmtId="38" fontId="21" fillId="0" borderId="11" xfId="38" applyNumberFormat="1" applyFont="1" applyBorder="1" applyProtection="1"/>
    <xf numFmtId="38" fontId="21" fillId="0" borderId="41" xfId="38" applyNumberFormat="1" applyFont="1" applyBorder="1"/>
    <xf numFmtId="38" fontId="21" fillId="0" borderId="11" xfId="38" applyNumberFormat="1" applyFont="1" applyBorder="1"/>
    <xf numFmtId="38" fontId="21" fillId="0" borderId="42" xfId="38" applyNumberFormat="1" applyFont="1" applyBorder="1"/>
    <xf numFmtId="37" fontId="21" fillId="0" borderId="12" xfId="0" applyFont="1" applyBorder="1"/>
    <xf numFmtId="38" fontId="21" fillId="0" borderId="13" xfId="38" applyNumberFormat="1" applyFont="1" applyBorder="1" applyAlignment="1">
      <alignment horizontal="left"/>
    </xf>
    <xf numFmtId="37" fontId="21" fillId="0" borderId="17" xfId="0" applyFont="1" applyBorder="1"/>
    <xf numFmtId="196" fontId="37" fillId="0" borderId="0" xfId="38" applyNumberFormat="1" applyFont="1" applyFill="1" applyBorder="1" applyProtection="1"/>
    <xf numFmtId="37" fontId="21" fillId="0" borderId="10" xfId="0" applyFont="1" applyBorder="1" applyAlignment="1">
      <alignment horizontal="left"/>
    </xf>
    <xf numFmtId="37" fontId="21" fillId="0" borderId="11" xfId="0" applyFont="1" applyBorder="1" applyAlignment="1">
      <alignment horizontal="left"/>
    </xf>
    <xf numFmtId="37" fontId="21" fillId="0" borderId="11" xfId="0" applyFont="1" applyBorder="1" applyProtection="1"/>
    <xf numFmtId="37" fontId="21" fillId="0" borderId="41" xfId="0" applyFont="1" applyBorder="1"/>
    <xf numFmtId="37" fontId="21" fillId="0" borderId="42" xfId="0" applyFont="1" applyBorder="1"/>
    <xf numFmtId="37" fontId="21" fillId="0" borderId="15" xfId="0" applyFont="1" applyBorder="1" applyAlignment="1">
      <alignment horizontal="left"/>
    </xf>
    <xf numFmtId="37" fontId="21" fillId="0" borderId="16" xfId="0" applyFont="1" applyBorder="1" applyProtection="1"/>
    <xf numFmtId="37" fontId="21" fillId="0" borderId="32" xfId="0" applyFont="1" applyBorder="1"/>
    <xf numFmtId="37" fontId="21" fillId="0" borderId="10" xfId="0" applyFont="1" applyBorder="1"/>
    <xf numFmtId="37" fontId="21" fillId="0" borderId="41" xfId="0" applyFont="1" applyFill="1" applyBorder="1"/>
    <xf numFmtId="37" fontId="21" fillId="0" borderId="11" xfId="0" applyFont="1" applyFill="1" applyBorder="1"/>
    <xf numFmtId="10" fontId="21" fillId="0" borderId="13" xfId="78" applyNumberFormat="1" applyFont="1" applyBorder="1" applyAlignment="1">
      <alignment horizontal="left"/>
    </xf>
    <xf numFmtId="37" fontId="21" fillId="0" borderId="40" xfId="0" applyFont="1" applyBorder="1" applyProtection="1"/>
    <xf numFmtId="37" fontId="21" fillId="0" borderId="32" xfId="0" applyFont="1" applyBorder="1" applyProtection="1"/>
    <xf numFmtId="207" fontId="51" fillId="17" borderId="34" xfId="0" applyNumberFormat="1" applyFont="1" applyFill="1" applyBorder="1" applyAlignment="1">
      <alignment horizontal="center"/>
    </xf>
    <xf numFmtId="0" fontId="37" fillId="17" borderId="18" xfId="32" applyFont="1" applyFill="1" applyBorder="1"/>
    <xf numFmtId="37" fontId="37" fillId="17" borderId="19" xfId="0" applyFont="1" applyFill="1" applyBorder="1"/>
    <xf numFmtId="167" fontId="37" fillId="17" borderId="19" xfId="0" applyNumberFormat="1" applyFont="1" applyFill="1" applyBorder="1" applyProtection="1"/>
    <xf numFmtId="10" fontId="37" fillId="17" borderId="19" xfId="0" applyNumberFormat="1" applyFont="1" applyFill="1" applyBorder="1"/>
    <xf numFmtId="10" fontId="37" fillId="17" borderId="19" xfId="0" applyNumberFormat="1" applyFont="1" applyFill="1" applyBorder="1" applyProtection="1"/>
    <xf numFmtId="167" fontId="37" fillId="17" borderId="20" xfId="0" applyNumberFormat="1" applyFont="1" applyFill="1" applyBorder="1" applyProtection="1"/>
    <xf numFmtId="37" fontId="21" fillId="16" borderId="10" xfId="0" applyFont="1" applyFill="1" applyBorder="1"/>
    <xf numFmtId="10" fontId="21" fillId="0" borderId="11" xfId="0" applyNumberFormat="1" applyFont="1" applyBorder="1" applyProtection="1"/>
    <xf numFmtId="10" fontId="21" fillId="0" borderId="41" xfId="0" applyNumberFormat="1" applyFont="1" applyBorder="1" applyProtection="1"/>
    <xf numFmtId="10" fontId="21" fillId="0" borderId="42" xfId="0" applyNumberFormat="1" applyFont="1" applyBorder="1" applyProtection="1"/>
    <xf numFmtId="37" fontId="21" fillId="16" borderId="13" xfId="0" applyFont="1" applyFill="1" applyBorder="1"/>
    <xf numFmtId="37" fontId="21" fillId="16" borderId="15" xfId="0" applyFont="1" applyFill="1" applyBorder="1"/>
    <xf numFmtId="10" fontId="21" fillId="0" borderId="16" xfId="0" applyNumberFormat="1" applyFont="1" applyBorder="1" applyProtection="1"/>
    <xf numFmtId="10" fontId="21" fillId="0" borderId="33" xfId="0" applyNumberFormat="1" applyFont="1" applyBorder="1" applyProtection="1"/>
    <xf numFmtId="10" fontId="21" fillId="0" borderId="45" xfId="0" applyNumberFormat="1" applyFont="1" applyBorder="1" applyProtection="1"/>
    <xf numFmtId="10" fontId="21" fillId="0" borderId="34" xfId="0" applyNumberFormat="1" applyFont="1" applyBorder="1" applyProtection="1"/>
    <xf numFmtId="37" fontId="37" fillId="0" borderId="8" xfId="32" applyNumberFormat="1" applyFont="1" applyFill="1" applyBorder="1"/>
    <xf numFmtId="200" fontId="37" fillId="0" borderId="7" xfId="32" applyNumberFormat="1" applyFont="1" applyFill="1" applyBorder="1" applyAlignment="1">
      <alignment horizontal="right"/>
    </xf>
    <xf numFmtId="37" fontId="37" fillId="0" borderId="21" xfId="32" applyNumberFormat="1" applyFont="1" applyFill="1" applyBorder="1" applyAlignment="1">
      <alignment horizontal="right"/>
    </xf>
    <xf numFmtId="37" fontId="37" fillId="0" borderId="8" xfId="32" applyNumberFormat="1" applyFont="1" applyFill="1" applyBorder="1" applyAlignment="1">
      <alignment horizontal="right"/>
    </xf>
    <xf numFmtId="37" fontId="37" fillId="0" borderId="29" xfId="32" applyNumberFormat="1" applyFont="1" applyFill="1" applyBorder="1" applyAlignment="1">
      <alignment horizontal="right"/>
    </xf>
    <xf numFmtId="37" fontId="55" fillId="0" borderId="0" xfId="0" applyFont="1" applyFill="1"/>
    <xf numFmtId="37" fontId="37" fillId="0" borderId="7" xfId="32" applyNumberFormat="1" applyFont="1" applyFill="1" applyBorder="1"/>
    <xf numFmtId="37" fontId="37" fillId="0" borderId="24" xfId="32" applyNumberFormat="1" applyFont="1" applyFill="1" applyBorder="1" applyAlignment="1">
      <alignment horizontal="right"/>
    </xf>
    <xf numFmtId="37" fontId="37" fillId="0" borderId="7" xfId="32" applyNumberFormat="1" applyFont="1" applyFill="1" applyBorder="1" applyAlignment="1">
      <alignment horizontal="right"/>
    </xf>
    <xf numFmtId="37" fontId="37" fillId="0" borderId="25" xfId="32" applyNumberFormat="1" applyFont="1" applyFill="1" applyBorder="1" applyAlignment="1">
      <alignment horizontal="right"/>
    </xf>
    <xf numFmtId="37" fontId="38" fillId="0" borderId="7" xfId="0" applyFont="1" applyBorder="1"/>
    <xf numFmtId="195" fontId="38" fillId="0" borderId="7" xfId="78" applyNumberFormat="1" applyFont="1" applyBorder="1" applyAlignment="1">
      <alignment horizontal="right"/>
    </xf>
    <xf numFmtId="195" fontId="38" fillId="0" borderId="7" xfId="0" applyNumberFormat="1" applyFont="1" applyBorder="1" applyAlignment="1">
      <alignment horizontal="right"/>
    </xf>
    <xf numFmtId="37" fontId="38" fillId="0" borderId="24" xfId="0" applyFont="1" applyBorder="1" applyAlignment="1">
      <alignment horizontal="right"/>
    </xf>
    <xf numFmtId="37" fontId="38" fillId="0" borderId="25" xfId="0" applyFont="1" applyBorder="1" applyAlignment="1">
      <alignment horizontal="right"/>
    </xf>
    <xf numFmtId="37" fontId="38" fillId="0" borderId="24" xfId="0" applyFont="1" applyFill="1" applyBorder="1" applyAlignment="1">
      <alignment horizontal="right"/>
    </xf>
    <xf numFmtId="37" fontId="38" fillId="0" borderId="7" xfId="0" applyFont="1" applyFill="1" applyBorder="1" applyAlignment="1">
      <alignment horizontal="right"/>
    </xf>
    <xf numFmtId="37" fontId="38" fillId="0" borderId="25" xfId="0" applyFont="1" applyFill="1" applyBorder="1" applyAlignment="1">
      <alignment horizontal="right"/>
    </xf>
    <xf numFmtId="190" fontId="37" fillId="17" borderId="0" xfId="0" applyNumberFormat="1" applyFont="1" applyFill="1" applyBorder="1" applyAlignment="1">
      <alignment horizontal="right"/>
    </xf>
    <xf numFmtId="190" fontId="37" fillId="17" borderId="26" xfId="0" applyNumberFormat="1" applyFont="1" applyFill="1" applyBorder="1" applyAlignment="1">
      <alignment horizontal="right"/>
    </xf>
    <xf numFmtId="37" fontId="51" fillId="17" borderId="10" xfId="0" quotePrefix="1" applyFont="1" applyFill="1" applyBorder="1" applyAlignment="1">
      <alignment horizontal="center"/>
    </xf>
    <xf numFmtId="37" fontId="51" fillId="17" borderId="11" xfId="0" quotePrefix="1" applyFont="1" applyFill="1" applyBorder="1" applyAlignment="1">
      <alignment horizontal="center"/>
    </xf>
    <xf numFmtId="37" fontId="51" fillId="17" borderId="12" xfId="0" quotePrefix="1" applyFont="1" applyFill="1" applyBorder="1" applyAlignment="1">
      <alignment horizontal="center"/>
    </xf>
    <xf numFmtId="206" fontId="51" fillId="17" borderId="45" xfId="0" applyNumberFormat="1" applyFont="1" applyFill="1" applyBorder="1" applyAlignment="1">
      <alignment horizontal="center"/>
    </xf>
    <xf numFmtId="37" fontId="51" fillId="0" borderId="10" xfId="0" applyFont="1" applyBorder="1" applyAlignment="1">
      <alignment horizontal="left"/>
    </xf>
    <xf numFmtId="37" fontId="38" fillId="0" borderId="11" xfId="0" applyFont="1" applyBorder="1"/>
    <xf numFmtId="37" fontId="38" fillId="0" borderId="11" xfId="0" applyFont="1" applyBorder="1" applyAlignment="1">
      <alignment horizontal="right"/>
    </xf>
    <xf numFmtId="39" fontId="38" fillId="0" borderId="11" xfId="0" applyNumberFormat="1" applyFont="1" applyBorder="1" applyAlignment="1">
      <alignment horizontal="right"/>
    </xf>
    <xf numFmtId="164" fontId="38" fillId="0" borderId="11" xfId="78" applyNumberFormat="1" applyFont="1" applyBorder="1" applyAlignment="1">
      <alignment horizontal="right"/>
    </xf>
    <xf numFmtId="9" fontId="38" fillId="0" borderId="11" xfId="78" applyFont="1" applyBorder="1" applyAlignment="1">
      <alignment horizontal="right"/>
    </xf>
    <xf numFmtId="9" fontId="38" fillId="0" borderId="41" xfId="78" applyFont="1" applyBorder="1" applyAlignment="1">
      <alignment horizontal="right"/>
    </xf>
    <xf numFmtId="9" fontId="38" fillId="0" borderId="42" xfId="78" applyFont="1" applyBorder="1" applyAlignment="1">
      <alignment horizontal="right"/>
    </xf>
    <xf numFmtId="9" fontId="38" fillId="0" borderId="41" xfId="78" applyFont="1" applyFill="1" applyBorder="1" applyAlignment="1">
      <alignment horizontal="right"/>
    </xf>
    <xf numFmtId="9" fontId="38" fillId="0" borderId="11" xfId="78" applyFont="1" applyFill="1" applyBorder="1" applyAlignment="1">
      <alignment horizontal="right"/>
    </xf>
    <xf numFmtId="9" fontId="38" fillId="0" borderId="42" xfId="78" applyFont="1" applyFill="1" applyBorder="1" applyAlignment="1">
      <alignment horizontal="right"/>
    </xf>
    <xf numFmtId="37" fontId="47" fillId="0" borderId="13" xfId="0" applyFont="1" applyBorder="1"/>
    <xf numFmtId="37" fontId="37" fillId="0" borderId="48" xfId="32" applyNumberFormat="1" applyFont="1" applyFill="1" applyBorder="1" applyAlignment="1">
      <alignment horizontal="left"/>
    </xf>
    <xf numFmtId="37" fontId="21" fillId="0" borderId="14" xfId="0" applyFont="1" applyBorder="1" applyAlignment="1">
      <alignment horizontal="right"/>
    </xf>
    <xf numFmtId="37" fontId="21" fillId="16" borderId="13" xfId="0" applyFont="1" applyFill="1" applyBorder="1" applyAlignment="1">
      <alignment horizontal="left" indent="1"/>
    </xf>
    <xf numFmtId="37" fontId="37" fillId="0" borderId="39" xfId="32" applyNumberFormat="1" applyFont="1" applyFill="1" applyBorder="1" applyAlignment="1">
      <alignment horizontal="left"/>
    </xf>
    <xf numFmtId="200" fontId="21" fillId="0" borderId="7" xfId="0" applyNumberFormat="1" applyFont="1" applyBorder="1" applyAlignment="1">
      <alignment horizontal="right"/>
    </xf>
    <xf numFmtId="37" fontId="21" fillId="0" borderId="25" xfId="0" applyFont="1" applyFill="1" applyBorder="1" applyAlignment="1">
      <alignment horizontal="right"/>
    </xf>
    <xf numFmtId="37" fontId="21" fillId="0" borderId="24" xfId="0" applyFont="1" applyFill="1" applyBorder="1" applyAlignment="1">
      <alignment horizontal="right"/>
    </xf>
    <xf numFmtId="37" fontId="21" fillId="16" borderId="39" xfId="0" applyFont="1" applyFill="1" applyBorder="1" applyAlignment="1">
      <alignment horizontal="left" indent="1"/>
    </xf>
    <xf numFmtId="37" fontId="21" fillId="16" borderId="7" xfId="0" applyFont="1" applyFill="1" applyBorder="1"/>
    <xf numFmtId="200" fontId="21" fillId="16" borderId="7" xfId="0" applyNumberFormat="1" applyFont="1" applyFill="1" applyBorder="1" applyAlignment="1">
      <alignment horizontal="right"/>
    </xf>
    <xf numFmtId="37" fontId="21" fillId="16" borderId="24" xfId="0" applyFont="1" applyFill="1" applyBorder="1" applyAlignment="1">
      <alignment horizontal="right"/>
    </xf>
    <xf numFmtId="37" fontId="21" fillId="16" borderId="7" xfId="0" applyFont="1" applyFill="1" applyBorder="1" applyAlignment="1">
      <alignment horizontal="right"/>
    </xf>
    <xf numFmtId="37" fontId="21" fillId="16" borderId="25" xfId="0" applyFont="1" applyFill="1" applyBorder="1" applyAlignment="1">
      <alignment horizontal="right"/>
    </xf>
    <xf numFmtId="37" fontId="37" fillId="0" borderId="49" xfId="32" applyNumberFormat="1" applyFont="1" applyFill="1" applyBorder="1" applyAlignment="1">
      <alignment horizontal="left"/>
    </xf>
    <xf numFmtId="37" fontId="37" fillId="0" borderId="50" xfId="32" applyNumberFormat="1" applyFont="1" applyFill="1" applyBorder="1"/>
    <xf numFmtId="200" fontId="37" fillId="0" borderId="50" xfId="32" applyNumberFormat="1" applyFont="1" applyFill="1" applyBorder="1" applyAlignment="1">
      <alignment horizontal="right"/>
    </xf>
    <xf numFmtId="37" fontId="37" fillId="0" borderId="51" xfId="32" applyNumberFormat="1" applyFont="1" applyFill="1" applyBorder="1" applyAlignment="1">
      <alignment horizontal="right"/>
    </xf>
    <xf numFmtId="37" fontId="37" fillId="0" borderId="50" xfId="32" applyNumberFormat="1" applyFont="1" applyFill="1" applyBorder="1" applyAlignment="1">
      <alignment horizontal="right"/>
    </xf>
    <xf numFmtId="37" fontId="37" fillId="0" borderId="52" xfId="32" applyNumberFormat="1" applyFont="1" applyFill="1" applyBorder="1" applyAlignment="1">
      <alignment horizontal="right"/>
    </xf>
    <xf numFmtId="37" fontId="37" fillId="17" borderId="18" xfId="0" applyFont="1" applyFill="1" applyBorder="1"/>
    <xf numFmtId="37" fontId="37" fillId="17" borderId="19" xfId="0" applyFont="1" applyFill="1" applyBorder="1" applyAlignment="1">
      <alignment horizontal="right"/>
    </xf>
    <xf numFmtId="39" fontId="37" fillId="17" borderId="19" xfId="0" applyNumberFormat="1" applyFont="1" applyFill="1" applyBorder="1" applyAlignment="1">
      <alignment horizontal="right"/>
    </xf>
    <xf numFmtId="37" fontId="37" fillId="17" borderId="19" xfId="0" quotePrefix="1" applyFont="1" applyFill="1" applyBorder="1" applyAlignment="1">
      <alignment horizontal="right"/>
    </xf>
    <xf numFmtId="37" fontId="37" fillId="17" borderId="20" xfId="0" applyFont="1" applyFill="1" applyBorder="1" applyAlignment="1">
      <alignment horizontal="right"/>
    </xf>
    <xf numFmtId="37" fontId="21" fillId="0" borderId="10" xfId="0" applyFont="1" applyFill="1" applyBorder="1" applyAlignment="1">
      <alignment horizontal="left"/>
    </xf>
    <xf numFmtId="39" fontId="21" fillId="0" borderId="11" xfId="0" applyNumberFormat="1" applyFont="1" applyBorder="1" applyAlignment="1">
      <alignment horizontal="right"/>
    </xf>
    <xf numFmtId="37" fontId="21" fillId="0" borderId="11" xfId="0" applyFont="1" applyFill="1" applyBorder="1" applyAlignment="1">
      <alignment horizontal="right"/>
    </xf>
    <xf numFmtId="37" fontId="21" fillId="0" borderId="13" xfId="0" applyFont="1" applyFill="1" applyBorder="1" applyAlignment="1">
      <alignment horizontal="left"/>
    </xf>
    <xf numFmtId="178" fontId="21" fillId="0" borderId="13" xfId="0" applyNumberFormat="1" applyFont="1" applyFill="1" applyBorder="1" applyAlignment="1">
      <alignment horizontal="left"/>
    </xf>
    <xf numFmtId="37" fontId="21" fillId="0" borderId="43" xfId="0" applyFont="1" applyFill="1" applyBorder="1" applyAlignment="1">
      <alignment horizontal="left"/>
    </xf>
    <xf numFmtId="175" fontId="21" fillId="0" borderId="13" xfId="0" applyNumberFormat="1" applyFont="1" applyFill="1" applyBorder="1" applyAlignment="1">
      <alignment horizontal="left"/>
    </xf>
    <xf numFmtId="178" fontId="21" fillId="0" borderId="43" xfId="0" applyNumberFormat="1" applyFont="1" applyFill="1" applyBorder="1" applyAlignment="1">
      <alignment horizontal="left"/>
    </xf>
    <xf numFmtId="178" fontId="21" fillId="0" borderId="13" xfId="0" applyNumberFormat="1" applyFont="1" applyFill="1" applyBorder="1" applyAlignment="1">
      <alignment horizontal="left" indent="1"/>
    </xf>
    <xf numFmtId="40" fontId="21" fillId="0" borderId="13" xfId="38" applyFont="1" applyBorder="1"/>
    <xf numFmtId="40" fontId="21" fillId="0" borderId="15" xfId="38" applyFont="1" applyBorder="1"/>
    <xf numFmtId="40" fontId="21" fillId="0" borderId="16" xfId="38" applyFont="1" applyBorder="1"/>
    <xf numFmtId="40" fontId="21" fillId="0" borderId="16" xfId="38" applyFont="1" applyBorder="1" applyAlignment="1">
      <alignment horizontal="right"/>
    </xf>
    <xf numFmtId="191" fontId="21" fillId="0" borderId="16" xfId="63" applyFont="1" applyFill="1" applyBorder="1" applyAlignment="1">
      <alignment horizontal="right"/>
    </xf>
    <xf numFmtId="37" fontId="21" fillId="0" borderId="33" xfId="0" applyFont="1" applyFill="1" applyBorder="1" applyAlignment="1">
      <alignment horizontal="right"/>
    </xf>
    <xf numFmtId="195" fontId="21" fillId="0" borderId="45" xfId="0" applyNumberFormat="1" applyFont="1" applyFill="1" applyBorder="1" applyAlignment="1">
      <alignment horizontal="right"/>
    </xf>
    <xf numFmtId="195" fontId="21" fillId="0" borderId="47" xfId="0" applyNumberFormat="1" applyFont="1" applyFill="1" applyBorder="1" applyAlignment="1">
      <alignment horizontal="right"/>
    </xf>
    <xf numFmtId="195" fontId="21" fillId="0" borderId="45" xfId="0" applyNumberFormat="1" applyFont="1" applyBorder="1" applyAlignment="1">
      <alignment horizontal="right"/>
    </xf>
    <xf numFmtId="37" fontId="21" fillId="0" borderId="45" xfId="0" applyFont="1" applyBorder="1" applyAlignment="1">
      <alignment horizontal="right"/>
    </xf>
    <xf numFmtId="167" fontId="21" fillId="0" borderId="47" xfId="78" applyNumberFormat="1" applyFont="1" applyBorder="1" applyAlignment="1">
      <alignment horizontal="right"/>
    </xf>
    <xf numFmtId="191" fontId="21" fillId="0" borderId="45" xfId="63" applyFont="1" applyFill="1" applyBorder="1" applyAlignment="1">
      <alignment horizontal="right"/>
    </xf>
    <xf numFmtId="191" fontId="21" fillId="0" borderId="34" xfId="63" applyFont="1" applyFill="1" applyBorder="1" applyAlignment="1">
      <alignment horizontal="right"/>
    </xf>
    <xf numFmtId="167" fontId="38" fillId="0" borderId="33" xfId="78" applyNumberFormat="1" applyFont="1" applyBorder="1" applyAlignment="1">
      <alignment horizontal="right"/>
    </xf>
    <xf numFmtId="200" fontId="21" fillId="0" borderId="45" xfId="0" applyNumberFormat="1" applyFont="1" applyBorder="1" applyAlignment="1" applyProtection="1">
      <alignment horizontal="right"/>
    </xf>
    <xf numFmtId="200" fontId="21" fillId="0" borderId="45" xfId="0" applyNumberFormat="1" applyFont="1" applyBorder="1" applyAlignment="1">
      <alignment horizontal="right"/>
    </xf>
    <xf numFmtId="200" fontId="37" fillId="0" borderId="45" xfId="0" applyNumberFormat="1" applyFont="1" applyBorder="1" applyAlignment="1" applyProtection="1">
      <alignment horizontal="right"/>
    </xf>
    <xf numFmtId="195" fontId="38" fillId="0" borderId="45" xfId="0" applyNumberFormat="1" applyFont="1" applyBorder="1" applyAlignment="1">
      <alignment horizontal="right"/>
    </xf>
    <xf numFmtId="195" fontId="38" fillId="0" borderId="46" xfId="0" applyNumberFormat="1" applyFont="1" applyBorder="1" applyAlignment="1">
      <alignment horizontal="right"/>
    </xf>
    <xf numFmtId="200" fontId="37" fillId="0" borderId="46" xfId="32" applyNumberFormat="1" applyFont="1" applyFill="1" applyBorder="1" applyAlignment="1">
      <alignment horizontal="right"/>
    </xf>
    <xf numFmtId="4" fontId="21" fillId="0" borderId="45" xfId="0" applyNumberFormat="1" applyFont="1" applyBorder="1" applyAlignment="1">
      <alignment horizontal="right"/>
    </xf>
    <xf numFmtId="200" fontId="21" fillId="0" borderId="45" xfId="0" quotePrefix="1" applyNumberFormat="1" applyFont="1" applyBorder="1" applyAlignment="1">
      <alignment horizontal="right"/>
    </xf>
    <xf numFmtId="200" fontId="21" fillId="0" borderId="46" xfId="0" applyNumberFormat="1" applyFont="1" applyBorder="1" applyAlignment="1">
      <alignment horizontal="right"/>
    </xf>
    <xf numFmtId="200" fontId="21" fillId="16" borderId="45" xfId="0" applyNumberFormat="1" applyFont="1" applyFill="1" applyBorder="1" applyAlignment="1">
      <alignment horizontal="right"/>
    </xf>
    <xf numFmtId="200" fontId="21" fillId="16" borderId="46" xfId="0" applyNumberFormat="1" applyFont="1" applyFill="1" applyBorder="1" applyAlignment="1">
      <alignment horizontal="right"/>
    </xf>
    <xf numFmtId="200" fontId="37" fillId="0" borderId="53" xfId="32" applyNumberFormat="1" applyFont="1" applyFill="1" applyBorder="1" applyAlignment="1">
      <alignment horizontal="right"/>
    </xf>
    <xf numFmtId="10" fontId="37" fillId="0" borderId="0" xfId="0" applyNumberFormat="1" applyFont="1" applyFill="1" applyBorder="1" applyAlignment="1">
      <alignment horizontal="right"/>
    </xf>
    <xf numFmtId="37" fontId="37" fillId="17" borderId="45" xfId="0" applyFont="1" applyFill="1" applyBorder="1"/>
    <xf numFmtId="37" fontId="37" fillId="0" borderId="45" xfId="0" applyFont="1" applyFill="1" applyBorder="1"/>
    <xf numFmtId="3" fontId="21" fillId="0" borderId="45" xfId="0" applyNumberFormat="1" applyFont="1" applyBorder="1"/>
    <xf numFmtId="167" fontId="18" fillId="0" borderId="45" xfId="0" applyNumberFormat="1" applyFont="1" applyBorder="1"/>
    <xf numFmtId="9" fontId="40" fillId="0" borderId="45" xfId="0" applyNumberFormat="1" applyFont="1" applyBorder="1"/>
    <xf numFmtId="167" fontId="21" fillId="0" borderId="45" xfId="78" applyNumberFormat="1" applyFont="1" applyBorder="1"/>
    <xf numFmtId="9" fontId="18" fillId="0" borderId="45" xfId="78" applyNumberFormat="1" applyFont="1" applyFill="1" applyBorder="1"/>
    <xf numFmtId="37" fontId="21" fillId="0" borderId="45" xfId="0" applyFont="1" applyFill="1" applyBorder="1"/>
    <xf numFmtId="167" fontId="18" fillId="0" borderId="45" xfId="78" applyNumberFormat="1" applyFont="1" applyFill="1" applyBorder="1"/>
    <xf numFmtId="167" fontId="37" fillId="17" borderId="45" xfId="78" applyNumberFormat="1" applyFont="1" applyFill="1" applyBorder="1"/>
    <xf numFmtId="37" fontId="21" fillId="0" borderId="45" xfId="0" applyNumberFormat="1" applyFont="1" applyBorder="1"/>
    <xf numFmtId="167" fontId="21" fillId="0" borderId="45" xfId="0" applyNumberFormat="1" applyFont="1" applyFill="1" applyBorder="1"/>
    <xf numFmtId="37" fontId="21" fillId="0" borderId="45" xfId="0" applyFont="1" applyFill="1" applyBorder="1" applyAlignment="1">
      <alignment horizontal="right"/>
    </xf>
    <xf numFmtId="167" fontId="43" fillId="0" borderId="45" xfId="78" applyNumberFormat="1" applyFont="1" applyFill="1" applyBorder="1"/>
    <xf numFmtId="167" fontId="37" fillId="0" borderId="45" xfId="78" applyNumberFormat="1" applyFont="1" applyFill="1" applyBorder="1"/>
    <xf numFmtId="10" fontId="21" fillId="0" borderId="45" xfId="78" applyNumberFormat="1" applyFont="1" applyFill="1" applyBorder="1"/>
    <xf numFmtId="10" fontId="18" fillId="0" borderId="45" xfId="78" applyNumberFormat="1" applyFont="1" applyBorder="1" applyAlignment="1">
      <alignment horizontal="right"/>
    </xf>
    <xf numFmtId="8" fontId="21" fillId="0" borderId="45" xfId="78" applyNumberFormat="1" applyFont="1" applyFill="1" applyBorder="1"/>
    <xf numFmtId="167" fontId="21" fillId="0" borderId="46" xfId="78" applyNumberFormat="1" applyFont="1" applyFill="1" applyBorder="1"/>
    <xf numFmtId="10" fontId="21" fillId="0" borderId="45" xfId="0" applyNumberFormat="1" applyFont="1" applyBorder="1"/>
    <xf numFmtId="10" fontId="18" fillId="0" borderId="45" xfId="78" applyNumberFormat="1" applyFont="1" applyFill="1" applyBorder="1" applyAlignment="1">
      <alignment horizontal="right"/>
    </xf>
    <xf numFmtId="9" fontId="21" fillId="0" borderId="45" xfId="78" applyFont="1" applyBorder="1"/>
    <xf numFmtId="10" fontId="18" fillId="0" borderId="45" xfId="78" applyNumberFormat="1" applyFont="1" applyBorder="1"/>
    <xf numFmtId="183" fontId="48" fillId="0" borderId="47" xfId="78" applyNumberFormat="1" applyFont="1" applyBorder="1"/>
    <xf numFmtId="200" fontId="37" fillId="0" borderId="45" xfId="0" applyNumberFormat="1" applyFont="1" applyFill="1" applyBorder="1"/>
    <xf numFmtId="200" fontId="21" fillId="0" borderId="45" xfId="0" applyNumberFormat="1" applyFont="1" applyBorder="1"/>
    <xf numFmtId="200" fontId="37" fillId="0" borderId="45" xfId="0" applyNumberFormat="1" applyFont="1" applyBorder="1"/>
    <xf numFmtId="200" fontId="18" fillId="0" borderId="45" xfId="0" applyNumberFormat="1" applyFont="1" applyBorder="1"/>
    <xf numFmtId="200" fontId="21" fillId="0" borderId="46" xfId="0" applyNumberFormat="1" applyFont="1" applyBorder="1"/>
    <xf numFmtId="200" fontId="21" fillId="0" borderId="0" xfId="0" applyNumberFormat="1" applyFont="1" applyFill="1" applyBorder="1" applyAlignment="1" applyProtection="1">
      <alignment horizontal="right"/>
    </xf>
    <xf numFmtId="37" fontId="21" fillId="0" borderId="45" xfId="0" applyFont="1" applyBorder="1" applyProtection="1"/>
    <xf numFmtId="167" fontId="18" fillId="0" borderId="45" xfId="0" applyNumberFormat="1" applyFont="1" applyBorder="1" applyProtection="1"/>
    <xf numFmtId="195" fontId="21" fillId="0" borderId="0" xfId="0" applyNumberFormat="1" applyFont="1" applyFill="1" applyBorder="1"/>
    <xf numFmtId="200" fontId="38" fillId="0" borderId="7" xfId="0" applyNumberFormat="1" applyFont="1" applyFill="1" applyBorder="1"/>
    <xf numFmtId="37" fontId="21" fillId="0" borderId="0" xfId="0" applyNumberFormat="1" applyFont="1" applyFill="1" applyBorder="1" applyAlignment="1">
      <alignment horizontal="right"/>
    </xf>
    <xf numFmtId="167" fontId="21" fillId="16" borderId="0" xfId="78" applyNumberFormat="1" applyFont="1" applyFill="1" applyBorder="1" applyAlignment="1">
      <alignment horizontal="right"/>
    </xf>
    <xf numFmtId="167" fontId="35" fillId="0" borderId="45" xfId="0" applyNumberFormat="1" applyFont="1" applyFill="1" applyBorder="1" applyProtection="1"/>
    <xf numFmtId="9" fontId="40" fillId="0" borderId="45" xfId="0" applyNumberFormat="1" applyFont="1" applyFill="1" applyBorder="1" applyProtection="1"/>
    <xf numFmtId="167" fontId="40" fillId="0" borderId="45" xfId="0" applyNumberFormat="1" applyFont="1" applyFill="1" applyBorder="1" applyProtection="1"/>
    <xf numFmtId="167" fontId="41" fillId="17" borderId="45" xfId="0" applyNumberFormat="1" applyFont="1" applyFill="1" applyBorder="1" applyProtection="1"/>
    <xf numFmtId="167" fontId="44" fillId="0" borderId="45" xfId="0" applyNumberFormat="1" applyFont="1" applyFill="1" applyBorder="1" applyProtection="1"/>
    <xf numFmtId="167" fontId="41" fillId="0" borderId="45" xfId="0" applyNumberFormat="1" applyFont="1" applyFill="1" applyBorder="1" applyProtection="1"/>
    <xf numFmtId="167" fontId="21" fillId="0" borderId="45" xfId="0" applyNumberFormat="1" applyFont="1" applyFill="1" applyBorder="1" applyProtection="1"/>
    <xf numFmtId="200" fontId="38" fillId="0" borderId="45" xfId="33" applyNumberFormat="1" applyFont="1" applyBorder="1"/>
    <xf numFmtId="167" fontId="21" fillId="0" borderId="45" xfId="78" applyNumberFormat="1" applyFont="1" applyFill="1" applyBorder="1" applyAlignment="1">
      <alignment horizontal="right"/>
    </xf>
    <xf numFmtId="8" fontId="21" fillId="0" borderId="45" xfId="0" applyNumberFormat="1" applyFont="1" applyFill="1" applyBorder="1" applyProtection="1"/>
    <xf numFmtId="167" fontId="38" fillId="0" borderId="45" xfId="0" applyNumberFormat="1" applyFont="1" applyFill="1" applyBorder="1"/>
    <xf numFmtId="7" fontId="37" fillId="19" borderId="33" xfId="43" applyNumberFormat="1" applyFont="1" applyFill="1" applyBorder="1"/>
    <xf numFmtId="7" fontId="37" fillId="19" borderId="34" xfId="43" applyNumberFormat="1" applyFont="1" applyFill="1" applyBorder="1"/>
    <xf numFmtId="37" fontId="21" fillId="0" borderId="33" xfId="0" applyFont="1" applyBorder="1"/>
    <xf numFmtId="37" fontId="21" fillId="0" borderId="33" xfId="0" applyFont="1" applyFill="1" applyBorder="1"/>
    <xf numFmtId="37" fontId="21" fillId="0" borderId="34" xfId="0" applyFont="1" applyBorder="1" applyProtection="1"/>
    <xf numFmtId="10" fontId="21" fillId="0" borderId="40" xfId="0" applyNumberFormat="1" applyFont="1" applyBorder="1" applyProtection="1"/>
    <xf numFmtId="10" fontId="21" fillId="0" borderId="32" xfId="0" applyNumberFormat="1" applyFont="1" applyBorder="1" applyProtection="1"/>
    <xf numFmtId="37" fontId="35" fillId="0" borderId="11" xfId="0" applyFont="1" applyBorder="1"/>
    <xf numFmtId="10" fontId="18" fillId="0" borderId="13" xfId="78" applyNumberFormat="1" applyFont="1" applyBorder="1" applyAlignment="1">
      <alignment horizontal="left" indent="1"/>
    </xf>
    <xf numFmtId="10" fontId="18" fillId="0" borderId="15" xfId="78" applyNumberFormat="1" applyFont="1" applyBorder="1" applyAlignment="1">
      <alignment horizontal="left" indent="1"/>
    </xf>
    <xf numFmtId="10" fontId="21" fillId="0" borderId="16" xfId="78" applyNumberFormat="1" applyFont="1" applyBorder="1" applyAlignment="1">
      <alignment horizontal="left"/>
    </xf>
    <xf numFmtId="10" fontId="21" fillId="0" borderId="16" xfId="78" applyNumberFormat="1" applyFont="1" applyBorder="1"/>
    <xf numFmtId="7" fontId="21" fillId="0" borderId="15" xfId="0" applyNumberFormat="1" applyFont="1" applyBorder="1" applyAlignment="1">
      <alignment horizontal="left"/>
    </xf>
    <xf numFmtId="7" fontId="21" fillId="0" borderId="16" xfId="0" applyNumberFormat="1" applyFont="1" applyBorder="1"/>
    <xf numFmtId="7" fontId="21" fillId="0" borderId="10" xfId="0" applyNumberFormat="1" applyFont="1" applyBorder="1" applyAlignment="1">
      <alignment horizontal="left"/>
    </xf>
    <xf numFmtId="7" fontId="21" fillId="0" borderId="11" xfId="0" applyNumberFormat="1" applyFont="1" applyBorder="1" applyAlignment="1">
      <alignment horizontal="left"/>
    </xf>
    <xf numFmtId="7" fontId="21" fillId="0" borderId="13" xfId="0" applyNumberFormat="1" applyFont="1" applyBorder="1" applyAlignment="1">
      <alignment horizontal="left"/>
    </xf>
    <xf numFmtId="7" fontId="21" fillId="0" borderId="0" xfId="0" applyNumberFormat="1" applyFont="1" applyBorder="1"/>
    <xf numFmtId="196" fontId="21" fillId="0" borderId="0" xfId="0" applyNumberFormat="1" applyFont="1" applyBorder="1" applyProtection="1"/>
    <xf numFmtId="196" fontId="21" fillId="0" borderId="0" xfId="0" applyNumberFormat="1" applyFont="1" applyBorder="1"/>
    <xf numFmtId="196" fontId="21" fillId="0" borderId="16" xfId="0" applyNumberFormat="1" applyFont="1" applyBorder="1" applyProtection="1"/>
    <xf numFmtId="196" fontId="21" fillId="0" borderId="16" xfId="0" applyNumberFormat="1" applyFont="1" applyBorder="1"/>
    <xf numFmtId="196" fontId="35" fillId="0" borderId="16" xfId="0" applyNumberFormat="1" applyFont="1" applyBorder="1"/>
    <xf numFmtId="37" fontId="18" fillId="0" borderId="10" xfId="0" applyFont="1" applyBorder="1" applyAlignment="1">
      <alignment horizontal="left"/>
    </xf>
    <xf numFmtId="37" fontId="18" fillId="0" borderId="11" xfId="0" applyFont="1" applyBorder="1" applyAlignment="1">
      <alignment horizontal="left"/>
    </xf>
    <xf numFmtId="37" fontId="21" fillId="0" borderId="11" xfId="0" applyFont="1" applyBorder="1" applyAlignment="1">
      <alignment horizontal="centerContinuous"/>
    </xf>
    <xf numFmtId="190" fontId="21" fillId="0" borderId="11" xfId="0" applyNumberFormat="1" applyFont="1" applyBorder="1" applyAlignment="1">
      <alignment horizontal="centerContinuous"/>
    </xf>
    <xf numFmtId="37" fontId="21" fillId="0" borderId="11" xfId="0" applyFont="1" applyFill="1" applyBorder="1" applyAlignment="1">
      <alignment horizontal="centerContinuous"/>
    </xf>
    <xf numFmtId="189" fontId="21" fillId="0" borderId="11" xfId="0" applyNumberFormat="1" applyFont="1" applyBorder="1" applyAlignment="1">
      <alignment horizontal="centerContinuous"/>
    </xf>
    <xf numFmtId="37" fontId="21" fillId="0" borderId="0" xfId="0" applyNumberFormat="1" applyFont="1" applyFill="1" applyBorder="1" applyProtection="1"/>
    <xf numFmtId="167" fontId="21" fillId="0" borderId="0" xfId="0" quotePrefix="1" applyNumberFormat="1" applyFont="1" applyBorder="1" applyAlignment="1" applyProtection="1">
      <alignment horizontal="right"/>
    </xf>
    <xf numFmtId="195" fontId="21" fillId="0" borderId="0" xfId="0" applyNumberFormat="1" applyFont="1" applyBorder="1" applyProtection="1"/>
    <xf numFmtId="37" fontId="21" fillId="0" borderId="15" xfId="0" applyFont="1" applyBorder="1" applyAlignment="1">
      <alignment horizontal="left" indent="1"/>
    </xf>
    <xf numFmtId="37" fontId="21" fillId="0" borderId="16" xfId="0" applyNumberFormat="1" applyFont="1" applyBorder="1" applyProtection="1"/>
    <xf numFmtId="1" fontId="21" fillId="0" borderId="10" xfId="0" applyNumberFormat="1" applyFont="1" applyBorder="1" applyAlignment="1">
      <alignment horizontal="left" indent="1"/>
    </xf>
    <xf numFmtId="1" fontId="21" fillId="0" borderId="11" xfId="0" applyNumberFormat="1" applyFont="1" applyBorder="1"/>
    <xf numFmtId="37" fontId="21" fillId="0" borderId="11" xfId="0" applyNumberFormat="1" applyFont="1" applyBorder="1" applyProtection="1"/>
    <xf numFmtId="1" fontId="21" fillId="0" borderId="13" xfId="0" applyNumberFormat="1" applyFont="1" applyBorder="1" applyAlignment="1">
      <alignment horizontal="left" indent="1"/>
    </xf>
    <xf numFmtId="1" fontId="21" fillId="0" borderId="0" xfId="0" applyNumberFormat="1" applyFont="1" applyBorder="1"/>
    <xf numFmtId="10" fontId="21" fillId="0" borderId="13" xfId="78" applyNumberFormat="1" applyFont="1" applyBorder="1"/>
    <xf numFmtId="176" fontId="21" fillId="0" borderId="0" xfId="38" applyNumberFormat="1" applyFont="1" applyBorder="1"/>
    <xf numFmtId="167" fontId="21" fillId="0" borderId="14" xfId="0" applyNumberFormat="1" applyFont="1" applyBorder="1"/>
    <xf numFmtId="169" fontId="21" fillId="0" borderId="13" xfId="0" applyNumberFormat="1" applyFont="1" applyBorder="1"/>
    <xf numFmtId="169" fontId="21" fillId="0" borderId="0" xfId="0" applyNumberFormat="1" applyFont="1" applyBorder="1"/>
    <xf numFmtId="172" fontId="21" fillId="0" borderId="13" xfId="0" applyNumberFormat="1" applyFont="1" applyBorder="1"/>
    <xf numFmtId="172" fontId="21" fillId="0" borderId="0" xfId="0" applyNumberFormat="1" applyFont="1" applyBorder="1"/>
    <xf numFmtId="170" fontId="21" fillId="0" borderId="0" xfId="0" applyNumberFormat="1" applyFont="1" applyBorder="1"/>
    <xf numFmtId="9" fontId="21" fillId="0" borderId="0" xfId="78" applyNumberFormat="1" applyFont="1" applyBorder="1"/>
    <xf numFmtId="167" fontId="21" fillId="0" borderId="11" xfId="78" applyNumberFormat="1" applyFont="1" applyBorder="1" applyAlignment="1">
      <alignment horizontal="center"/>
    </xf>
    <xf numFmtId="167" fontId="21" fillId="0" borderId="0" xfId="78" applyNumberFormat="1" applyFont="1" applyBorder="1" applyAlignment="1">
      <alignment horizontal="center"/>
    </xf>
    <xf numFmtId="10" fontId="18" fillId="0" borderId="0" xfId="78" applyNumberFormat="1" applyFont="1" applyBorder="1" applyAlignment="1">
      <alignment horizontal="center"/>
    </xf>
    <xf numFmtId="37" fontId="18" fillId="0" borderId="15" xfId="0" applyFont="1" applyBorder="1" applyAlignment="1">
      <alignment horizontal="left" indent="1"/>
    </xf>
    <xf numFmtId="10" fontId="18" fillId="0" borderId="16" xfId="0" applyNumberFormat="1" applyFont="1" applyBorder="1"/>
    <xf numFmtId="167" fontId="21" fillId="0" borderId="45" xfId="0" applyNumberFormat="1" applyFont="1" applyBorder="1" applyAlignment="1">
      <alignment horizontal="right"/>
    </xf>
    <xf numFmtId="201" fontId="21" fillId="0" borderId="45" xfId="0" applyNumberFormat="1" applyFont="1" applyBorder="1" applyAlignment="1">
      <alignment horizontal="right"/>
    </xf>
    <xf numFmtId="196" fontId="21" fillId="0" borderId="16" xfId="38" applyNumberFormat="1" applyFont="1" applyBorder="1" applyAlignment="1">
      <alignment horizontal="right"/>
    </xf>
    <xf numFmtId="195" fontId="21" fillId="0" borderId="16" xfId="0" applyNumberFormat="1" applyFont="1" applyBorder="1" applyAlignment="1">
      <alignment horizontal="right"/>
    </xf>
    <xf numFmtId="37" fontId="21" fillId="0" borderId="10" xfId="0" applyFont="1" applyBorder="1" applyAlignment="1">
      <alignment horizontal="left" indent="2"/>
    </xf>
    <xf numFmtId="37" fontId="35" fillId="0" borderId="11" xfId="0" applyFont="1" applyBorder="1" applyAlignment="1">
      <alignment horizontal="right"/>
    </xf>
    <xf numFmtId="8" fontId="21" fillId="0" borderId="13" xfId="0" applyNumberFormat="1" applyFont="1" applyBorder="1" applyAlignment="1">
      <alignment horizontal="left" indent="2"/>
    </xf>
    <xf numFmtId="8" fontId="21" fillId="0" borderId="0" xfId="0" applyNumberFormat="1" applyFont="1" applyBorder="1"/>
    <xf numFmtId="165" fontId="21" fillId="0" borderId="0" xfId="0" applyNumberFormat="1" applyFont="1" applyBorder="1" applyAlignment="1">
      <alignment horizontal="right"/>
    </xf>
    <xf numFmtId="9" fontId="18" fillId="0" borderId="13" xfId="0" applyNumberFormat="1" applyFont="1" applyBorder="1" applyAlignment="1">
      <alignment horizontal="left" indent="1"/>
    </xf>
    <xf numFmtId="9" fontId="21" fillId="0" borderId="16" xfId="0" applyNumberFormat="1" applyFont="1" applyBorder="1" applyAlignment="1">
      <alignment horizontal="right"/>
    </xf>
    <xf numFmtId="37" fontId="18" fillId="16" borderId="13" xfId="0" applyFont="1" applyFill="1" applyBorder="1" applyAlignment="1">
      <alignment horizontal="left" indent="1"/>
    </xf>
    <xf numFmtId="37" fontId="21" fillId="16" borderId="39" xfId="0" applyFont="1" applyFill="1" applyBorder="1"/>
    <xf numFmtId="37" fontId="21" fillId="16" borderId="13" xfId="0" applyFont="1" applyFill="1" applyBorder="1" applyProtection="1"/>
    <xf numFmtId="171" fontId="21" fillId="16" borderId="13" xfId="0" applyNumberFormat="1" applyFont="1" applyFill="1" applyBorder="1" applyAlignment="1" applyProtection="1">
      <alignment horizontal="left"/>
    </xf>
    <xf numFmtId="10" fontId="18" fillId="16" borderId="13" xfId="0" applyNumberFormat="1" applyFont="1" applyFill="1" applyBorder="1" applyAlignment="1" applyProtection="1">
      <alignment horizontal="left"/>
    </xf>
    <xf numFmtId="10" fontId="52" fillId="16" borderId="13" xfId="0" applyNumberFormat="1" applyFont="1" applyFill="1" applyBorder="1" applyAlignment="1" applyProtection="1">
      <alignment horizontal="left"/>
    </xf>
    <xf numFmtId="167" fontId="21" fillId="0" borderId="16" xfId="78" applyNumberFormat="1" applyFont="1" applyBorder="1" applyAlignment="1">
      <alignment horizontal="right"/>
    </xf>
    <xf numFmtId="167" fontId="21" fillId="0" borderId="16" xfId="0" applyNumberFormat="1" applyFont="1" applyBorder="1" applyAlignment="1">
      <alignment horizontal="right"/>
    </xf>
    <xf numFmtId="167" fontId="35" fillId="0" borderId="16" xfId="0" applyNumberFormat="1" applyFont="1" applyFill="1" applyBorder="1" applyAlignment="1">
      <alignment horizontal="right"/>
    </xf>
    <xf numFmtId="37" fontId="51" fillId="17" borderId="16" xfId="0" quotePrefix="1" applyFont="1" applyFill="1" applyBorder="1" applyAlignment="1">
      <alignment horizontal="center"/>
    </xf>
    <xf numFmtId="37" fontId="37" fillId="0" borderId="27" xfId="0" applyFont="1" applyFill="1" applyBorder="1" applyAlignment="1" applyProtection="1">
      <alignment horizontal="right"/>
    </xf>
    <xf numFmtId="37" fontId="37" fillId="0" borderId="26" xfId="0" applyFont="1" applyFill="1" applyBorder="1" applyAlignment="1" applyProtection="1">
      <alignment horizontal="right"/>
    </xf>
    <xf numFmtId="37" fontId="37" fillId="0" borderId="8" xfId="32" applyNumberFormat="1" applyFont="1" applyFill="1" applyBorder="1" applyAlignment="1">
      <alignment horizontal="left"/>
    </xf>
    <xf numFmtId="200" fontId="37" fillId="0" borderId="8" xfId="32" applyNumberFormat="1" applyFont="1" applyFill="1" applyBorder="1" applyAlignment="1">
      <alignment horizontal="right"/>
    </xf>
    <xf numFmtId="37" fontId="37" fillId="0" borderId="54" xfId="32" applyNumberFormat="1" applyFont="1" applyFill="1" applyBorder="1" applyAlignment="1">
      <alignment horizontal="right"/>
    </xf>
    <xf numFmtId="37" fontId="11" fillId="0" borderId="0" xfId="32" applyNumberFormat="1" applyFont="1" applyFill="1"/>
    <xf numFmtId="200" fontId="37" fillId="0" borderId="54" xfId="32" applyNumberFormat="1" applyFont="1" applyFill="1" applyBorder="1" applyAlignment="1">
      <alignment horizontal="right"/>
    </xf>
    <xf numFmtId="37" fontId="37" fillId="0" borderId="18" xfId="0" applyFont="1" applyBorder="1" applyAlignment="1">
      <alignment horizontal="left"/>
    </xf>
    <xf numFmtId="164" fontId="37" fillId="0" borderId="19" xfId="0" applyNumberFormat="1" applyFont="1" applyBorder="1" applyProtection="1"/>
    <xf numFmtId="200" fontId="37" fillId="0" borderId="19" xfId="0" applyNumberFormat="1" applyFont="1" applyBorder="1" applyAlignment="1">
      <alignment horizontal="right"/>
    </xf>
    <xf numFmtId="37" fontId="37" fillId="0" borderId="19" xfId="0" applyFont="1" applyBorder="1" applyAlignment="1">
      <alignment horizontal="right"/>
    </xf>
    <xf numFmtId="37" fontId="37" fillId="0" borderId="19" xfId="0" applyFont="1" applyFill="1" applyBorder="1" applyAlignment="1">
      <alignment horizontal="right"/>
    </xf>
    <xf numFmtId="200" fontId="37" fillId="0" borderId="20" xfId="0" applyNumberFormat="1" applyFont="1" applyBorder="1" applyAlignment="1">
      <alignment horizontal="right"/>
    </xf>
    <xf numFmtId="37" fontId="36" fillId="16" borderId="41" xfId="0" applyFont="1" applyFill="1" applyBorder="1" applyAlignment="1">
      <alignment horizontal="right"/>
    </xf>
    <xf numFmtId="37" fontId="36" fillId="16" borderId="11" xfId="0" applyFont="1" applyFill="1" applyBorder="1" applyAlignment="1">
      <alignment horizontal="right"/>
    </xf>
    <xf numFmtId="37" fontId="36" fillId="16" borderId="42" xfId="0" applyFont="1" applyFill="1" applyBorder="1" applyAlignment="1">
      <alignment horizontal="right"/>
    </xf>
    <xf numFmtId="37" fontId="36" fillId="16" borderId="55" xfId="0" applyFont="1" applyFill="1" applyBorder="1" applyAlignment="1">
      <alignment horizontal="right"/>
    </xf>
    <xf numFmtId="37" fontId="36" fillId="16" borderId="56" xfId="0" applyFont="1" applyFill="1" applyBorder="1" applyAlignment="1">
      <alignment horizontal="right"/>
    </xf>
    <xf numFmtId="37" fontId="37" fillId="0" borderId="13" xfId="0" applyFont="1" applyFill="1" applyBorder="1" applyAlignment="1">
      <alignment horizontal="left"/>
    </xf>
    <xf numFmtId="37" fontId="37" fillId="0" borderId="50" xfId="32" applyNumberFormat="1" applyFont="1" applyFill="1" applyBorder="1" applyAlignment="1">
      <alignment horizontal="left"/>
    </xf>
    <xf numFmtId="37" fontId="37" fillId="0" borderId="57" xfId="32" applyNumberFormat="1" applyFont="1" applyFill="1" applyBorder="1" applyAlignment="1">
      <alignment horizontal="right"/>
    </xf>
    <xf numFmtId="37" fontId="37" fillId="0" borderId="58" xfId="32" applyNumberFormat="1" applyFont="1" applyFill="1" applyBorder="1" applyAlignment="1">
      <alignment horizontal="right"/>
    </xf>
    <xf numFmtId="37" fontId="37" fillId="17" borderId="28" xfId="0" applyFont="1" applyFill="1" applyBorder="1" applyAlignment="1">
      <alignment horizontal="right"/>
    </xf>
    <xf numFmtId="201" fontId="21" fillId="0" borderId="45" xfId="38" applyNumberFormat="1" applyFont="1" applyBorder="1" applyAlignment="1">
      <alignment horizontal="right"/>
    </xf>
    <xf numFmtId="196" fontId="21" fillId="0" borderId="34" xfId="38" applyNumberFormat="1" applyFont="1" applyBorder="1" applyAlignment="1">
      <alignment horizontal="right"/>
    </xf>
    <xf numFmtId="10" fontId="21" fillId="0" borderId="45" xfId="78" applyNumberFormat="1" applyFont="1" applyBorder="1"/>
    <xf numFmtId="10" fontId="21" fillId="0" borderId="34" xfId="78" applyNumberFormat="1" applyFont="1" applyBorder="1"/>
    <xf numFmtId="37" fontId="21" fillId="0" borderId="33" xfId="0" applyFont="1" applyBorder="1" applyProtection="1"/>
    <xf numFmtId="37" fontId="21" fillId="0" borderId="45" xfId="0" applyFont="1" applyBorder="1" applyAlignment="1" applyProtection="1">
      <alignment horizontal="right"/>
    </xf>
    <xf numFmtId="196" fontId="21" fillId="0" borderId="45" xfId="0" applyNumberFormat="1" applyFont="1" applyBorder="1" applyProtection="1"/>
    <xf numFmtId="7" fontId="21" fillId="0" borderId="45" xfId="0" applyNumberFormat="1" applyFont="1" applyBorder="1"/>
    <xf numFmtId="196" fontId="21" fillId="0" borderId="34" xfId="0" applyNumberFormat="1" applyFont="1" applyBorder="1" applyProtection="1"/>
    <xf numFmtId="37" fontId="21" fillId="0" borderId="45" xfId="0" applyNumberFormat="1" applyFont="1" applyBorder="1" applyProtection="1"/>
    <xf numFmtId="167" fontId="21" fillId="0" borderId="45" xfId="0" applyNumberFormat="1" applyFont="1" applyBorder="1" applyProtection="1"/>
    <xf numFmtId="195" fontId="21" fillId="0" borderId="45" xfId="0" applyNumberFormat="1" applyFont="1" applyBorder="1" applyProtection="1"/>
    <xf numFmtId="37" fontId="21" fillId="0" borderId="34" xfId="0" applyNumberFormat="1" applyFont="1" applyBorder="1" applyProtection="1"/>
    <xf numFmtId="37" fontId="21" fillId="0" borderId="33" xfId="0" applyNumberFormat="1" applyFont="1" applyBorder="1" applyProtection="1"/>
    <xf numFmtId="167" fontId="21" fillId="0" borderId="45" xfId="0" applyNumberFormat="1" applyFont="1" applyBorder="1"/>
    <xf numFmtId="170" fontId="21" fillId="0" borderId="45" xfId="0" applyNumberFormat="1" applyFont="1" applyBorder="1"/>
    <xf numFmtId="37" fontId="37" fillId="0" borderId="15" xfId="0" applyFont="1" applyBorder="1"/>
    <xf numFmtId="37" fontId="37" fillId="0" borderId="16" xfId="0" applyFont="1" applyBorder="1"/>
    <xf numFmtId="37" fontId="37" fillId="0" borderId="16" xfId="0" applyFont="1" applyFill="1" applyBorder="1"/>
    <xf numFmtId="37" fontId="37" fillId="0" borderId="34" xfId="0" applyFont="1" applyBorder="1"/>
    <xf numFmtId="1" fontId="21" fillId="0" borderId="39" xfId="0" applyNumberFormat="1" applyFont="1" applyBorder="1" applyAlignment="1">
      <alignment horizontal="left" indent="1"/>
    </xf>
    <xf numFmtId="1" fontId="21" fillId="0" borderId="7" xfId="0" applyNumberFormat="1" applyFont="1" applyBorder="1"/>
    <xf numFmtId="39" fontId="21" fillId="0" borderId="7" xfId="0" applyNumberFormat="1" applyFont="1" applyBorder="1"/>
    <xf numFmtId="37" fontId="21" fillId="0" borderId="7" xfId="0" applyNumberFormat="1" applyFont="1" applyBorder="1" applyProtection="1"/>
    <xf numFmtId="37" fontId="21" fillId="0" borderId="46" xfId="0" applyNumberFormat="1" applyFont="1" applyBorder="1" applyProtection="1"/>
    <xf numFmtId="37" fontId="21" fillId="0" borderId="7" xfId="0" applyFont="1" applyFill="1" applyBorder="1"/>
    <xf numFmtId="194" fontId="21" fillId="0" borderId="0" xfId="0" applyNumberFormat="1" applyFont="1"/>
    <xf numFmtId="194" fontId="21" fillId="0" borderId="10" xfId="75" applyNumberFormat="1" applyFont="1" applyBorder="1"/>
    <xf numFmtId="194" fontId="21" fillId="0" borderId="11" xfId="72" applyNumberFormat="1" applyFont="1" applyBorder="1" applyAlignment="1">
      <alignment horizontal="center"/>
    </xf>
    <xf numFmtId="182" fontId="37" fillId="0" borderId="10" xfId="75" applyFont="1" applyBorder="1"/>
    <xf numFmtId="167" fontId="37" fillId="0" borderId="11" xfId="72" applyNumberFormat="1" applyFont="1" applyBorder="1" applyAlignment="1">
      <alignment horizontal="center"/>
    </xf>
    <xf numFmtId="37" fontId="21" fillId="0" borderId="0" xfId="0" applyFont="1" applyBorder="1" applyAlignment="1">
      <alignment horizontal="center"/>
    </xf>
    <xf numFmtId="37" fontId="21" fillId="0" borderId="14" xfId="0" applyFont="1" applyBorder="1" applyAlignment="1">
      <alignment horizontal="center"/>
    </xf>
    <xf numFmtId="37" fontId="37" fillId="0" borderId="0" xfId="0" applyFont="1" applyAlignment="1">
      <alignment horizontal="center"/>
    </xf>
    <xf numFmtId="37" fontId="21" fillId="0" borderId="13" xfId="0" applyFont="1" applyBorder="1" applyAlignment="1" applyProtection="1">
      <protection locked="0"/>
    </xf>
    <xf numFmtId="8" fontId="56" fillId="0" borderId="0" xfId="72" applyNumberFormat="1" applyFont="1" applyFill="1" applyBorder="1" applyAlignment="1">
      <alignment horizontal="center"/>
    </xf>
    <xf numFmtId="8" fontId="37" fillId="0" borderId="0" xfId="75" applyNumberFormat="1" applyFont="1" applyFill="1" applyBorder="1" applyAlignment="1">
      <alignment horizontal="center"/>
    </xf>
    <xf numFmtId="8" fontId="56" fillId="0" borderId="0" xfId="75" applyNumberFormat="1" applyFont="1" applyFill="1" applyBorder="1" applyAlignment="1">
      <alignment horizontal="center"/>
    </xf>
    <xf numFmtId="196" fontId="37" fillId="0" borderId="0" xfId="75" applyNumberFormat="1" applyFont="1" applyFill="1" applyBorder="1" applyAlignment="1">
      <alignment horizontal="center"/>
    </xf>
    <xf numFmtId="10" fontId="45" fillId="0" borderId="13" xfId="0" applyNumberFormat="1" applyFont="1" applyBorder="1"/>
    <xf numFmtId="10" fontId="21" fillId="0" borderId="14" xfId="0" applyNumberFormat="1" applyFont="1" applyBorder="1"/>
    <xf numFmtId="10" fontId="21" fillId="0" borderId="13" xfId="0" applyNumberFormat="1" applyFont="1" applyBorder="1"/>
    <xf numFmtId="10" fontId="21" fillId="0" borderId="13" xfId="0" applyNumberFormat="1" applyFont="1" applyBorder="1" applyAlignment="1"/>
    <xf numFmtId="10" fontId="45" fillId="0" borderId="0" xfId="0" applyNumberFormat="1" applyFont="1"/>
    <xf numFmtId="10" fontId="45" fillId="0" borderId="0" xfId="0" applyNumberFormat="1" applyFont="1" applyBorder="1"/>
    <xf numFmtId="10" fontId="45" fillId="0" borderId="14" xfId="0" applyNumberFormat="1" applyFont="1" applyBorder="1"/>
    <xf numFmtId="10" fontId="21" fillId="0" borderId="13" xfId="0" applyNumberFormat="1" applyFont="1" applyFill="1" applyBorder="1" applyAlignment="1">
      <alignment horizontal="left" indent="1"/>
    </xf>
    <xf numFmtId="10" fontId="21" fillId="0" borderId="0" xfId="72" applyNumberFormat="1" applyFont="1" applyFill="1" applyBorder="1" applyAlignment="1">
      <alignment horizontal="center"/>
    </xf>
    <xf numFmtId="195" fontId="21" fillId="0" borderId="0" xfId="0" applyNumberFormat="1" applyFont="1" applyBorder="1"/>
    <xf numFmtId="10" fontId="21" fillId="0" borderId="13" xfId="0" applyNumberFormat="1" applyFont="1" applyFill="1" applyBorder="1" applyAlignment="1" applyProtection="1">
      <protection locked="0"/>
    </xf>
    <xf numFmtId="10" fontId="21" fillId="0" borderId="0" xfId="75" applyNumberFormat="1" applyFont="1" applyFill="1" applyBorder="1" applyAlignment="1">
      <alignment horizontal="center"/>
    </xf>
    <xf numFmtId="37" fontId="37" fillId="0" borderId="13" xfId="0" applyFont="1" applyFill="1" applyBorder="1" applyAlignment="1" applyProtection="1">
      <protection locked="0"/>
    </xf>
    <xf numFmtId="8" fontId="37" fillId="0" borderId="0" xfId="72" applyNumberFormat="1" applyFont="1" applyFill="1" applyBorder="1" applyAlignment="1">
      <alignment horizontal="center"/>
    </xf>
    <xf numFmtId="10" fontId="39" fillId="0" borderId="0" xfId="72" applyNumberFormat="1" applyFont="1" applyFill="1" applyBorder="1" applyAlignment="1">
      <alignment horizontal="center"/>
    </xf>
    <xf numFmtId="10" fontId="37" fillId="0" borderId="0" xfId="0" applyNumberFormat="1" applyFont="1" applyFill="1"/>
    <xf numFmtId="10" fontId="37" fillId="0" borderId="13" xfId="0" applyNumberFormat="1" applyFont="1" applyFill="1" applyBorder="1" applyAlignment="1" applyProtection="1">
      <protection locked="0"/>
    </xf>
    <xf numFmtId="10" fontId="37" fillId="0" borderId="0" xfId="72" applyNumberFormat="1" applyFont="1" applyFill="1" applyBorder="1" applyAlignment="1">
      <alignment horizontal="center"/>
    </xf>
    <xf numFmtId="37" fontId="21" fillId="0" borderId="15" xfId="0" applyFont="1" applyBorder="1" applyAlignment="1" applyProtection="1">
      <protection locked="0"/>
    </xf>
    <xf numFmtId="165" fontId="21" fillId="0" borderId="16" xfId="72" applyNumberFormat="1" applyFont="1" applyBorder="1"/>
    <xf numFmtId="165" fontId="21" fillId="0" borderId="16" xfId="75" applyNumberFormat="1" applyFont="1" applyBorder="1"/>
    <xf numFmtId="10" fontId="38" fillId="0" borderId="0" xfId="0" applyNumberFormat="1" applyFont="1" applyFill="1" applyBorder="1" applyProtection="1"/>
    <xf numFmtId="37" fontId="43" fillId="0" borderId="13" xfId="0" applyFont="1" applyBorder="1"/>
    <xf numFmtId="10" fontId="43" fillId="0" borderId="13" xfId="0" applyNumberFormat="1" applyFont="1" applyBorder="1"/>
    <xf numFmtId="37" fontId="57" fillId="14" borderId="28" xfId="32" applyNumberFormat="1" applyFont="1" applyFill="1" applyBorder="1" applyAlignment="1">
      <alignment horizontal="center"/>
    </xf>
    <xf numFmtId="0" fontId="59" fillId="20" borderId="10" xfId="71" applyFont="1" applyFill="1" applyBorder="1"/>
    <xf numFmtId="0" fontId="60" fillId="20" borderId="11" xfId="71" applyFont="1" applyFill="1" applyBorder="1" applyAlignment="1">
      <alignment horizontal="left"/>
    </xf>
    <xf numFmtId="0" fontId="60" fillId="20" borderId="11" xfId="71" applyFont="1" applyFill="1" applyBorder="1"/>
    <xf numFmtId="0" fontId="60" fillId="17" borderId="0" xfId="71" applyFont="1" applyFill="1"/>
    <xf numFmtId="0" fontId="61" fillId="20" borderId="0" xfId="71" applyFont="1" applyFill="1" applyBorder="1" applyAlignment="1">
      <alignment horizontal="left"/>
    </xf>
    <xf numFmtId="0" fontId="60" fillId="20" borderId="0" xfId="71" applyFont="1" applyFill="1" applyBorder="1"/>
    <xf numFmtId="0" fontId="62" fillId="20" borderId="0" xfId="71" applyFont="1" applyFill="1" applyBorder="1"/>
    <xf numFmtId="0" fontId="63" fillId="20" borderId="0" xfId="71" applyFont="1" applyFill="1" applyBorder="1" applyAlignment="1">
      <alignment horizontal="left"/>
    </xf>
    <xf numFmtId="0" fontId="63" fillId="20" borderId="13" xfId="71" applyFont="1" applyFill="1" applyBorder="1"/>
    <xf numFmtId="0" fontId="63" fillId="20" borderId="0" xfId="71" applyFont="1" applyFill="1" applyBorder="1" applyAlignment="1"/>
    <xf numFmtId="0" fontId="64" fillId="20" borderId="0" xfId="71" applyFont="1" applyFill="1" applyBorder="1"/>
    <xf numFmtId="0" fontId="65" fillId="16" borderId="13" xfId="71" applyFont="1" applyFill="1" applyBorder="1"/>
    <xf numFmtId="0" fontId="60" fillId="16" borderId="0" xfId="71" applyFont="1" applyFill="1" applyBorder="1" applyAlignment="1">
      <alignment horizontal="left"/>
    </xf>
    <xf numFmtId="0" fontId="60" fillId="16" borderId="0" xfId="71" applyFont="1" applyFill="1" applyBorder="1"/>
    <xf numFmtId="0" fontId="66" fillId="16" borderId="0" xfId="71" applyFont="1" applyFill="1" applyBorder="1" applyAlignment="1">
      <alignment horizontal="left"/>
    </xf>
    <xf numFmtId="0" fontId="66" fillId="16" borderId="13" xfId="71" applyFont="1" applyFill="1" applyBorder="1" applyAlignment="1">
      <alignment horizontal="left"/>
    </xf>
    <xf numFmtId="0" fontId="58" fillId="16" borderId="0" xfId="55" applyFill="1" applyBorder="1" applyAlignment="1" applyProtection="1">
      <alignment horizontal="left"/>
    </xf>
    <xf numFmtId="0" fontId="60" fillId="16" borderId="13" xfId="71" applyFont="1" applyFill="1" applyBorder="1"/>
    <xf numFmtId="0" fontId="67" fillId="16" borderId="0" xfId="71" applyFont="1" applyFill="1" applyBorder="1" applyAlignment="1"/>
    <xf numFmtId="0" fontId="60" fillId="16" borderId="0" xfId="71" applyFont="1" applyFill="1" applyBorder="1" applyAlignment="1">
      <alignment horizontal="left" indent="8"/>
    </xf>
    <xf numFmtId="0" fontId="58" fillId="16" borderId="0" xfId="55" applyFill="1" applyBorder="1" applyAlignment="1" applyProtection="1"/>
    <xf numFmtId="0" fontId="67" fillId="16" borderId="15" xfId="71" applyFont="1" applyFill="1" applyBorder="1"/>
    <xf numFmtId="0" fontId="68" fillId="16" borderId="16" xfId="71" applyFont="1" applyFill="1" applyBorder="1"/>
    <xf numFmtId="0" fontId="60" fillId="16" borderId="16" xfId="71" applyFont="1" applyFill="1" applyBorder="1"/>
    <xf numFmtId="0" fontId="68" fillId="17" borderId="0" xfId="71" applyFont="1" applyFill="1"/>
    <xf numFmtId="0" fontId="67" fillId="17" borderId="0" xfId="71" applyFont="1" applyFill="1"/>
    <xf numFmtId="0" fontId="60" fillId="17" borderId="0" xfId="71" applyFont="1" applyFill="1" applyAlignment="1">
      <alignment horizontal="left"/>
    </xf>
    <xf numFmtId="0" fontId="69" fillId="17" borderId="0" xfId="55" applyFont="1" applyFill="1" applyAlignment="1" applyProtection="1"/>
    <xf numFmtId="0" fontId="4" fillId="17" borderId="0" xfId="71" applyFill="1"/>
    <xf numFmtId="7" fontId="60" fillId="17" borderId="0" xfId="71" applyNumberFormat="1" applyFont="1" applyFill="1"/>
    <xf numFmtId="0" fontId="5" fillId="17" borderId="0" xfId="74" applyFill="1"/>
    <xf numFmtId="37" fontId="9" fillId="16" borderId="0" xfId="0" applyFont="1" applyFill="1" applyBorder="1" applyAlignment="1" applyProtection="1"/>
    <xf numFmtId="37" fontId="70" fillId="0" borderId="0" xfId="0" applyFont="1" applyFill="1" applyBorder="1" applyAlignment="1" applyProtection="1"/>
    <xf numFmtId="182" fontId="21" fillId="0" borderId="10" xfId="75" applyFont="1" applyBorder="1"/>
    <xf numFmtId="182" fontId="21" fillId="0" borderId="15" xfId="75" applyFont="1" applyBorder="1"/>
    <xf numFmtId="182" fontId="21" fillId="17" borderId="33" xfId="75" applyFont="1" applyFill="1" applyBorder="1"/>
    <xf numFmtId="182" fontId="21" fillId="17" borderId="34" xfId="75" applyFont="1" applyFill="1" applyBorder="1"/>
    <xf numFmtId="37" fontId="37" fillId="19" borderId="10" xfId="0" applyFont="1" applyFill="1" applyBorder="1" applyAlignment="1" applyProtection="1">
      <protection locked="0"/>
    </xf>
    <xf numFmtId="8" fontId="37" fillId="19" borderId="11" xfId="72" applyNumberFormat="1" applyFont="1" applyFill="1" applyBorder="1" applyAlignment="1">
      <alignment horizontal="center"/>
    </xf>
    <xf numFmtId="37" fontId="37" fillId="19" borderId="15" xfId="32" applyNumberFormat="1" applyFont="1" applyFill="1" applyBorder="1" applyProtection="1">
      <protection locked="0"/>
    </xf>
    <xf numFmtId="37" fontId="37" fillId="19" borderId="16" xfId="32" applyNumberFormat="1" applyFont="1" applyFill="1" applyBorder="1" applyAlignment="1">
      <alignment horizontal="center"/>
    </xf>
    <xf numFmtId="37" fontId="37" fillId="19" borderId="17" xfId="32" applyNumberFormat="1" applyFont="1" applyFill="1" applyBorder="1" applyAlignment="1">
      <alignment horizontal="center"/>
    </xf>
    <xf numFmtId="37" fontId="37" fillId="17" borderId="18" xfId="0" applyFont="1" applyFill="1" applyBorder="1" applyAlignment="1" applyProtection="1">
      <protection locked="0"/>
    </xf>
    <xf numFmtId="8" fontId="37" fillId="17" borderId="19" xfId="72" applyNumberFormat="1" applyFont="1" applyFill="1" applyBorder="1" applyAlignment="1">
      <alignment horizontal="center"/>
    </xf>
    <xf numFmtId="8" fontId="37" fillId="17" borderId="19" xfId="75" applyNumberFormat="1" applyFont="1" applyFill="1" applyBorder="1" applyAlignment="1">
      <alignment horizontal="center"/>
    </xf>
    <xf numFmtId="37" fontId="56" fillId="0" borderId="10" xfId="0" applyFont="1" applyFill="1" applyBorder="1" applyAlignment="1" applyProtection="1">
      <protection locked="0"/>
    </xf>
    <xf numFmtId="8" fontId="56" fillId="0" borderId="11" xfId="72" applyNumberFormat="1" applyFont="1" applyFill="1" applyBorder="1" applyAlignment="1">
      <alignment horizontal="center"/>
    </xf>
    <xf numFmtId="8" fontId="37" fillId="0" borderId="11" xfId="75" applyNumberFormat="1" applyFont="1" applyFill="1" applyBorder="1" applyAlignment="1">
      <alignment horizontal="center"/>
    </xf>
    <xf numFmtId="8" fontId="56" fillId="0" borderId="11" xfId="75" applyNumberFormat="1" applyFont="1" applyFill="1" applyBorder="1" applyAlignment="1">
      <alignment horizontal="center"/>
    </xf>
    <xf numFmtId="10" fontId="21" fillId="0" borderId="16" xfId="72" applyNumberFormat="1" applyFont="1" applyFill="1" applyBorder="1" applyAlignment="1">
      <alignment horizontal="center"/>
    </xf>
    <xf numFmtId="37" fontId="56" fillId="0" borderId="0" xfId="0" applyFont="1" applyFill="1" applyBorder="1" applyAlignment="1" applyProtection="1">
      <protection locked="0"/>
    </xf>
    <xf numFmtId="8" fontId="56" fillId="17" borderId="19" xfId="72" applyNumberFormat="1" applyFont="1" applyFill="1" applyBorder="1" applyAlignment="1">
      <alignment horizontal="center"/>
    </xf>
    <xf numFmtId="8" fontId="56" fillId="17" borderId="19" xfId="75" applyNumberFormat="1" applyFont="1" applyFill="1" applyBorder="1" applyAlignment="1">
      <alignment horizontal="center"/>
    </xf>
    <xf numFmtId="10" fontId="35" fillId="14" borderId="3" xfId="0" applyNumberFormat="1" applyFont="1" applyFill="1" applyBorder="1" applyProtection="1"/>
    <xf numFmtId="195" fontId="35" fillId="14" borderId="3" xfId="0" applyNumberFormat="1" applyFont="1" applyFill="1" applyBorder="1" applyProtection="1"/>
    <xf numFmtId="167" fontId="21" fillId="0" borderId="0" xfId="72" applyNumberFormat="1" applyFont="1" applyBorder="1" applyAlignment="1">
      <alignment horizontal="center"/>
    </xf>
    <xf numFmtId="167" fontId="21" fillId="0" borderId="11" xfId="72" applyNumberFormat="1" applyFont="1" applyBorder="1" applyAlignment="1">
      <alignment horizontal="center"/>
    </xf>
    <xf numFmtId="0" fontId="21" fillId="0" borderId="11" xfId="72" applyFont="1" applyBorder="1"/>
    <xf numFmtId="0" fontId="21" fillId="0" borderId="12" xfId="72" applyFont="1" applyBorder="1"/>
    <xf numFmtId="167" fontId="21" fillId="0" borderId="14" xfId="72" applyNumberFormat="1" applyFont="1" applyBorder="1" applyAlignment="1">
      <alignment horizontal="center"/>
    </xf>
    <xf numFmtId="167" fontId="21" fillId="0" borderId="16" xfId="72" applyNumberFormat="1" applyFont="1" applyBorder="1" applyAlignment="1">
      <alignment horizontal="center"/>
    </xf>
    <xf numFmtId="167" fontId="21" fillId="0" borderId="17" xfId="72" applyNumberFormat="1" applyFont="1" applyBorder="1" applyAlignment="1">
      <alignment horizontal="center"/>
    </xf>
    <xf numFmtId="167" fontId="21" fillId="0" borderId="12" xfId="72" applyNumberFormat="1" applyFont="1" applyBorder="1" applyAlignment="1">
      <alignment horizontal="center"/>
    </xf>
    <xf numFmtId="37" fontId="21" fillId="0" borderId="16" xfId="0" applyFont="1" applyBorder="1" applyAlignment="1">
      <alignment horizontal="center"/>
    </xf>
    <xf numFmtId="37" fontId="21" fillId="0" borderId="17" xfId="0" applyFont="1" applyBorder="1" applyAlignment="1">
      <alignment horizontal="center"/>
    </xf>
    <xf numFmtId="182" fontId="21" fillId="0" borderId="13" xfId="75" applyFont="1" applyBorder="1"/>
    <xf numFmtId="8" fontId="37" fillId="19" borderId="12" xfId="72" applyNumberFormat="1" applyFont="1" applyFill="1" applyBorder="1" applyAlignment="1">
      <alignment horizontal="center"/>
    </xf>
    <xf numFmtId="167" fontId="21" fillId="0" borderId="45" xfId="72" applyNumberFormat="1" applyFont="1" applyBorder="1" applyAlignment="1">
      <alignment horizontal="center"/>
    </xf>
    <xf numFmtId="167" fontId="21" fillId="0" borderId="34" xfId="72" applyNumberFormat="1" applyFont="1" applyBorder="1" applyAlignment="1">
      <alignment horizontal="center"/>
    </xf>
    <xf numFmtId="167" fontId="21" fillId="0" borderId="33" xfId="72" applyNumberFormat="1" applyFont="1" applyBorder="1" applyAlignment="1">
      <alignment horizontal="center"/>
    </xf>
    <xf numFmtId="37" fontId="21" fillId="0" borderId="45" xfId="0" applyFont="1" applyBorder="1" applyAlignment="1">
      <alignment horizontal="center"/>
    </xf>
    <xf numFmtId="37" fontId="21" fillId="0" borderId="34" xfId="0" applyFont="1" applyBorder="1" applyAlignment="1">
      <alignment horizontal="center"/>
    </xf>
    <xf numFmtId="8" fontId="37" fillId="19" borderId="33" xfId="75" applyNumberFormat="1" applyFont="1" applyFill="1" applyBorder="1" applyAlignment="1">
      <alignment horizontal="center"/>
    </xf>
    <xf numFmtId="37" fontId="37" fillId="19" borderId="34" xfId="32" applyNumberFormat="1" applyFont="1" applyFill="1" applyBorder="1" applyAlignment="1">
      <alignment horizontal="center"/>
    </xf>
    <xf numFmtId="184" fontId="21" fillId="0" borderId="59" xfId="0" applyNumberFormat="1" applyFont="1" applyBorder="1" applyAlignment="1">
      <alignment horizontal="center"/>
    </xf>
    <xf numFmtId="184" fontId="21" fillId="0" borderId="60" xfId="0" applyNumberFormat="1" applyFont="1" applyBorder="1" applyAlignment="1">
      <alignment horizontal="center"/>
    </xf>
    <xf numFmtId="194" fontId="21" fillId="0" borderId="33" xfId="72" applyNumberFormat="1" applyFont="1" applyBorder="1" applyAlignment="1">
      <alignment horizontal="center"/>
    </xf>
    <xf numFmtId="167" fontId="37" fillId="0" borderId="33" xfId="72" applyNumberFormat="1" applyFont="1" applyBorder="1" applyAlignment="1">
      <alignment horizontal="center"/>
    </xf>
    <xf numFmtId="8" fontId="56" fillId="0" borderId="10" xfId="72" applyNumberFormat="1" applyFont="1" applyFill="1" applyBorder="1" applyAlignment="1">
      <alignment horizontal="center"/>
    </xf>
    <xf numFmtId="8" fontId="56" fillId="0" borderId="12" xfId="72" applyNumberFormat="1" applyFont="1" applyFill="1" applyBorder="1" applyAlignment="1">
      <alignment horizontal="center"/>
    </xf>
    <xf numFmtId="8" fontId="56" fillId="0" borderId="13" xfId="72" applyNumberFormat="1" applyFont="1" applyFill="1" applyBorder="1" applyAlignment="1">
      <alignment horizontal="center"/>
    </xf>
    <xf numFmtId="8" fontId="56" fillId="0" borderId="14" xfId="72" applyNumberFormat="1" applyFont="1" applyFill="1" applyBorder="1" applyAlignment="1">
      <alignment horizontal="center"/>
    </xf>
    <xf numFmtId="10" fontId="21" fillId="0" borderId="13" xfId="72" applyNumberFormat="1" applyFont="1" applyFill="1" applyBorder="1" applyAlignment="1">
      <alignment horizontal="center"/>
    </xf>
    <xf numFmtId="10" fontId="21" fillId="0" borderId="15" xfId="72" applyNumberFormat="1" applyFont="1" applyFill="1" applyBorder="1" applyAlignment="1">
      <alignment horizontal="center"/>
    </xf>
    <xf numFmtId="10" fontId="21" fillId="0" borderId="17" xfId="0" applyNumberFormat="1" applyFont="1" applyBorder="1"/>
    <xf numFmtId="8" fontId="37" fillId="0" borderId="33" xfId="75" applyNumberFormat="1" applyFont="1" applyFill="1" applyBorder="1" applyAlignment="1">
      <alignment horizontal="center"/>
    </xf>
    <xf numFmtId="37" fontId="45" fillId="0" borderId="45" xfId="0" applyFont="1" applyBorder="1"/>
    <xf numFmtId="10" fontId="45" fillId="0" borderId="45" xfId="0" applyNumberFormat="1" applyFont="1" applyBorder="1"/>
    <xf numFmtId="8" fontId="56" fillId="0" borderId="45" xfId="75" applyNumberFormat="1" applyFont="1" applyFill="1" applyBorder="1" applyAlignment="1">
      <alignment horizontal="center"/>
    </xf>
    <xf numFmtId="10" fontId="21" fillId="0" borderId="45" xfId="72" applyNumberFormat="1" applyFont="1" applyFill="1" applyBorder="1" applyAlignment="1">
      <alignment horizontal="center"/>
    </xf>
    <xf numFmtId="10" fontId="21" fillId="0" borderId="34" xfId="72" applyNumberFormat="1" applyFont="1" applyFill="1" applyBorder="1" applyAlignment="1">
      <alignment horizontal="center"/>
    </xf>
    <xf numFmtId="8" fontId="56" fillId="0" borderId="33" xfId="75" applyNumberFormat="1" applyFont="1" applyFill="1" applyBorder="1" applyAlignment="1">
      <alignment horizontal="center"/>
    </xf>
    <xf numFmtId="10" fontId="21" fillId="0" borderId="33" xfId="75" applyNumberFormat="1" applyFont="1" applyFill="1" applyBorder="1" applyAlignment="1">
      <alignment horizontal="center"/>
    </xf>
    <xf numFmtId="10" fontId="21" fillId="0" borderId="45" xfId="75" applyNumberFormat="1" applyFont="1" applyFill="1" applyBorder="1" applyAlignment="1">
      <alignment horizontal="center"/>
    </xf>
    <xf numFmtId="8" fontId="37" fillId="0" borderId="45" xfId="75" applyNumberFormat="1" applyFont="1" applyFill="1" applyBorder="1" applyAlignment="1">
      <alignment horizontal="center"/>
    </xf>
    <xf numFmtId="10" fontId="39" fillId="0" borderId="45" xfId="72" applyNumberFormat="1" applyFont="1" applyFill="1" applyBorder="1" applyAlignment="1">
      <alignment horizontal="center"/>
    </xf>
    <xf numFmtId="10" fontId="37" fillId="0" borderId="45" xfId="72" applyNumberFormat="1" applyFont="1" applyFill="1" applyBorder="1" applyAlignment="1">
      <alignment horizontal="center"/>
    </xf>
    <xf numFmtId="165" fontId="21" fillId="0" borderId="34" xfId="75" applyNumberFormat="1" applyFont="1" applyBorder="1"/>
    <xf numFmtId="165" fontId="21" fillId="0" borderId="34" xfId="72" applyNumberFormat="1" applyFont="1" applyBorder="1"/>
    <xf numFmtId="7" fontId="0" fillId="0" borderId="0" xfId="0" applyNumberFormat="1" applyFont="1" applyBorder="1"/>
    <xf numFmtId="201" fontId="14" fillId="0" borderId="0" xfId="0" applyNumberFormat="1" applyFont="1"/>
    <xf numFmtId="37" fontId="18" fillId="0" borderId="61" xfId="0" applyFont="1" applyBorder="1"/>
    <xf numFmtId="37" fontId="21" fillId="0" borderId="36" xfId="0" applyFont="1" applyBorder="1"/>
    <xf numFmtId="37" fontId="21" fillId="0" borderId="36" xfId="0" applyFont="1" applyBorder="1" applyAlignment="1">
      <alignment horizontal="right"/>
    </xf>
    <xf numFmtId="168" fontId="21" fillId="0" borderId="36" xfId="0" applyNumberFormat="1" applyFont="1" applyBorder="1" applyAlignment="1">
      <alignment horizontal="right"/>
    </xf>
    <xf numFmtId="37" fontId="21" fillId="0" borderId="36" xfId="0" quotePrefix="1" applyFont="1" applyBorder="1" applyAlignment="1">
      <alignment horizontal="right"/>
    </xf>
    <xf numFmtId="0" fontId="21" fillId="0" borderId="36" xfId="0" applyNumberFormat="1" applyFont="1" applyBorder="1" applyAlignment="1">
      <alignment horizontal="right"/>
    </xf>
    <xf numFmtId="37" fontId="21" fillId="0" borderId="60" xfId="0" applyFont="1" applyBorder="1" applyAlignment="1">
      <alignment horizontal="right"/>
    </xf>
    <xf numFmtId="37" fontId="21" fillId="0" borderId="46" xfId="0" applyFont="1" applyFill="1" applyBorder="1"/>
    <xf numFmtId="10" fontId="21" fillId="0" borderId="39" xfId="0" applyNumberFormat="1" applyFont="1" applyBorder="1" applyAlignment="1">
      <alignment horizontal="left" indent="1"/>
    </xf>
    <xf numFmtId="10" fontId="21" fillId="0" borderId="7" xfId="0" applyNumberFormat="1" applyFont="1" applyFill="1" applyBorder="1"/>
    <xf numFmtId="10" fontId="21" fillId="0" borderId="7" xfId="78" applyNumberFormat="1" applyFont="1" applyFill="1" applyBorder="1"/>
    <xf numFmtId="10" fontId="21" fillId="0" borderId="24" xfId="78" applyNumberFormat="1" applyFont="1" applyFill="1" applyBorder="1" applyAlignment="1">
      <alignment horizontal="right"/>
    </xf>
    <xf numFmtId="10" fontId="21" fillId="0" borderId="7" xfId="78" applyNumberFormat="1" applyFont="1" applyFill="1" applyBorder="1" applyAlignment="1">
      <alignment horizontal="right"/>
    </xf>
    <xf numFmtId="10" fontId="21" fillId="0" borderId="25" xfId="78" applyNumberFormat="1" applyFont="1" applyFill="1" applyBorder="1" applyAlignment="1">
      <alignment horizontal="right"/>
    </xf>
    <xf numFmtId="10" fontId="21" fillId="0" borderId="46" xfId="78" applyNumberFormat="1" applyFont="1" applyFill="1" applyBorder="1"/>
    <xf numFmtId="10" fontId="21" fillId="0" borderId="7" xfId="0" applyNumberFormat="1" applyFont="1" applyFill="1" applyBorder="1" applyAlignment="1" applyProtection="1">
      <alignment horizontal="right"/>
    </xf>
    <xf numFmtId="8" fontId="21" fillId="0" borderId="39" xfId="0" applyNumberFormat="1" applyFont="1" applyBorder="1" applyAlignment="1">
      <alignment horizontal="left" indent="1"/>
    </xf>
    <xf numFmtId="8" fontId="21" fillId="0" borderId="7" xfId="0" applyNumberFormat="1" applyFont="1" applyFill="1" applyBorder="1"/>
    <xf numFmtId="8" fontId="21" fillId="0" borderId="7" xfId="78" applyNumberFormat="1" applyFont="1" applyFill="1" applyBorder="1"/>
    <xf numFmtId="8" fontId="21" fillId="0" borderId="24" xfId="78" applyNumberFormat="1" applyFont="1" applyFill="1" applyBorder="1" applyAlignment="1">
      <alignment horizontal="right"/>
    </xf>
    <xf numFmtId="8" fontId="21" fillId="0" borderId="7" xfId="78" applyNumberFormat="1" applyFont="1" applyFill="1" applyBorder="1" applyAlignment="1">
      <alignment horizontal="right"/>
    </xf>
    <xf numFmtId="8" fontId="21" fillId="0" borderId="25" xfId="78" applyNumberFormat="1" applyFont="1" applyFill="1" applyBorder="1" applyAlignment="1">
      <alignment horizontal="right"/>
    </xf>
    <xf numFmtId="8" fontId="21" fillId="0" borderId="46" xfId="78" applyNumberFormat="1" applyFont="1" applyFill="1" applyBorder="1"/>
    <xf numFmtId="8" fontId="21" fillId="0" borderId="7" xfId="0" applyNumberFormat="1" applyFont="1" applyFill="1" applyBorder="1" applyAlignment="1" applyProtection="1">
      <alignment horizontal="right"/>
    </xf>
    <xf numFmtId="8" fontId="38" fillId="0" borderId="7" xfId="0" applyNumberFormat="1" applyFont="1" applyFill="1" applyBorder="1" applyAlignment="1" applyProtection="1">
      <alignment horizontal="right"/>
    </xf>
    <xf numFmtId="167" fontId="21" fillId="0" borderId="39" xfId="0" applyNumberFormat="1" applyFont="1" applyBorder="1" applyAlignment="1">
      <alignment horizontal="left" indent="1"/>
    </xf>
    <xf numFmtId="167" fontId="35" fillId="0" borderId="24" xfId="78" applyNumberFormat="1" applyFont="1" applyFill="1" applyBorder="1" applyAlignment="1">
      <alignment horizontal="right"/>
    </xf>
    <xf numFmtId="167" fontId="35" fillId="0" borderId="7" xfId="78" applyNumberFormat="1" applyFont="1" applyFill="1" applyBorder="1" applyAlignment="1">
      <alignment horizontal="right"/>
    </xf>
    <xf numFmtId="167" fontId="35" fillId="0" borderId="25" xfId="78" applyNumberFormat="1" applyFont="1" applyFill="1" applyBorder="1" applyAlignment="1">
      <alignment horizontal="right"/>
    </xf>
    <xf numFmtId="167" fontId="39" fillId="0" borderId="7" xfId="78" applyNumberFormat="1" applyFont="1" applyFill="1" applyBorder="1" applyAlignment="1">
      <alignment horizontal="right"/>
    </xf>
    <xf numFmtId="37" fontId="36" fillId="0" borderId="13" xfId="0" applyFont="1" applyBorder="1" applyAlignment="1">
      <alignment horizontal="right"/>
    </xf>
    <xf numFmtId="37" fontId="36" fillId="0" borderId="0" xfId="0" applyFont="1" applyBorder="1" applyAlignment="1">
      <alignment horizontal="right"/>
    </xf>
    <xf numFmtId="167" fontId="18" fillId="0" borderId="16" xfId="78" applyNumberFormat="1" applyFont="1" applyBorder="1" applyAlignment="1">
      <alignment horizontal="right"/>
    </xf>
    <xf numFmtId="167" fontId="18" fillId="0" borderId="16" xfId="78" applyNumberFormat="1" applyFont="1" applyFill="1" applyBorder="1" applyAlignment="1">
      <alignment horizontal="right"/>
    </xf>
    <xf numFmtId="167" fontId="18" fillId="0" borderId="10" xfId="78" applyNumberFormat="1" applyFont="1" applyBorder="1" applyAlignment="1">
      <alignment horizontal="left" indent="1"/>
    </xf>
    <xf numFmtId="167" fontId="18" fillId="0" borderId="11" xfId="78" applyNumberFormat="1" applyFont="1" applyBorder="1" applyAlignment="1">
      <alignment horizontal="left"/>
    </xf>
    <xf numFmtId="167" fontId="18" fillId="0" borderId="11" xfId="78" applyNumberFormat="1" applyFont="1" applyBorder="1"/>
    <xf numFmtId="167" fontId="18" fillId="0" borderId="10" xfId="78" applyNumberFormat="1" applyFont="1" applyBorder="1" applyAlignment="1">
      <alignment horizontal="right"/>
    </xf>
    <xf numFmtId="167" fontId="18" fillId="0" borderId="11" xfId="78" applyNumberFormat="1" applyFont="1" applyBorder="1" applyAlignment="1">
      <alignment horizontal="right"/>
    </xf>
    <xf numFmtId="167" fontId="18" fillId="0" borderId="12" xfId="78" applyNumberFormat="1" applyFont="1" applyBorder="1" applyAlignment="1">
      <alignment horizontal="right"/>
    </xf>
    <xf numFmtId="167" fontId="18" fillId="0" borderId="33" xfId="78" applyNumberFormat="1" applyFont="1" applyBorder="1"/>
    <xf numFmtId="167" fontId="18" fillId="0" borderId="42" xfId="78" applyNumberFormat="1" applyFont="1" applyBorder="1" applyAlignment="1">
      <alignment horizontal="right"/>
    </xf>
    <xf numFmtId="167" fontId="18" fillId="0" borderId="41" xfId="78" applyNumberFormat="1" applyFont="1" applyBorder="1" applyAlignment="1">
      <alignment horizontal="right"/>
    </xf>
    <xf numFmtId="167" fontId="47" fillId="0" borderId="11" xfId="78" applyNumberFormat="1" applyFont="1" applyBorder="1"/>
    <xf numFmtId="167" fontId="40" fillId="0" borderId="41" xfId="78" applyNumberFormat="1" applyFont="1" applyBorder="1" applyAlignment="1">
      <alignment horizontal="right"/>
    </xf>
    <xf numFmtId="167" fontId="40" fillId="0" borderId="11" xfId="78" applyNumberFormat="1" applyFont="1" applyBorder="1" applyAlignment="1">
      <alignment horizontal="right"/>
    </xf>
    <xf numFmtId="167" fontId="47" fillId="0" borderId="33" xfId="78" applyNumberFormat="1" applyFont="1" applyBorder="1"/>
    <xf numFmtId="167" fontId="40" fillId="0" borderId="11" xfId="78" applyNumberFormat="1" applyFont="1" applyFill="1" applyBorder="1" applyAlignment="1">
      <alignment horizontal="right"/>
    </xf>
    <xf numFmtId="167" fontId="18" fillId="0" borderId="15" xfId="0" applyNumberFormat="1" applyFont="1" applyBorder="1" applyAlignment="1">
      <alignment horizontal="left" indent="1"/>
    </xf>
    <xf numFmtId="167" fontId="18" fillId="0" borderId="16" xfId="0" applyNumberFormat="1" applyFont="1" applyBorder="1" applyAlignment="1">
      <alignment horizontal="left"/>
    </xf>
    <xf numFmtId="167" fontId="18" fillId="0" borderId="16" xfId="78" applyNumberFormat="1" applyFont="1" applyBorder="1"/>
    <xf numFmtId="167" fontId="18" fillId="0" borderId="15" xfId="78" applyNumberFormat="1" applyFont="1" applyBorder="1" applyAlignment="1">
      <alignment horizontal="right"/>
    </xf>
    <xf numFmtId="167" fontId="18" fillId="0" borderId="17" xfId="78" applyNumberFormat="1" applyFont="1" applyBorder="1" applyAlignment="1">
      <alignment horizontal="right"/>
    </xf>
    <xf numFmtId="167" fontId="18" fillId="0" borderId="34" xfId="78" applyNumberFormat="1" applyFont="1" applyBorder="1"/>
    <xf numFmtId="167" fontId="18" fillId="0" borderId="32" xfId="78" applyNumberFormat="1" applyFont="1" applyBorder="1" applyAlignment="1">
      <alignment horizontal="right"/>
    </xf>
    <xf numFmtId="167" fontId="18" fillId="0" borderId="40" xfId="78" applyNumberFormat="1" applyFont="1" applyBorder="1" applyAlignment="1">
      <alignment horizontal="right"/>
    </xf>
    <xf numFmtId="167" fontId="18" fillId="0" borderId="7" xfId="78" applyNumberFormat="1" applyFont="1" applyBorder="1" applyProtection="1"/>
    <xf numFmtId="167" fontId="21" fillId="0" borderId="7" xfId="78" applyNumberFormat="1" applyFont="1" applyBorder="1"/>
    <xf numFmtId="167" fontId="18" fillId="0" borderId="7" xfId="78" applyNumberFormat="1" applyFont="1" applyBorder="1"/>
    <xf numFmtId="167" fontId="18" fillId="0" borderId="39" xfId="78" applyNumberFormat="1" applyFont="1" applyBorder="1"/>
    <xf numFmtId="167" fontId="18" fillId="0" borderId="38" xfId="78" applyNumberFormat="1" applyFont="1" applyBorder="1"/>
    <xf numFmtId="167" fontId="18" fillId="0" borderId="46" xfId="78" applyNumberFormat="1" applyFont="1" applyBorder="1"/>
    <xf numFmtId="167" fontId="18" fillId="0" borderId="25" xfId="78" applyNumberFormat="1" applyFont="1" applyBorder="1"/>
    <xf numFmtId="167" fontId="18" fillId="0" borderId="24" xfId="78" applyNumberFormat="1" applyFont="1" applyBorder="1"/>
    <xf numFmtId="167" fontId="18" fillId="0" borderId="7" xfId="0" applyNumberFormat="1" applyFont="1" applyBorder="1"/>
    <xf numFmtId="167" fontId="18" fillId="0" borderId="46" xfId="78" applyNumberFormat="1" applyFont="1" applyBorder="1" applyProtection="1"/>
    <xf numFmtId="167" fontId="40" fillId="0" borderId="7" xfId="0" applyNumberFormat="1" applyFont="1" applyBorder="1"/>
    <xf numFmtId="200" fontId="21" fillId="0" borderId="0" xfId="0" applyNumberFormat="1" applyFont="1" applyFill="1" applyBorder="1"/>
    <xf numFmtId="37" fontId="37" fillId="0" borderId="17" xfId="0" applyFont="1" applyFill="1" applyBorder="1"/>
    <xf numFmtId="200" fontId="37" fillId="0" borderId="34" xfId="0" applyNumberFormat="1" applyFont="1" applyBorder="1"/>
    <xf numFmtId="200" fontId="37" fillId="0" borderId="16" xfId="0" applyNumberFormat="1" applyFont="1" applyBorder="1"/>
    <xf numFmtId="37" fontId="37" fillId="0" borderId="32" xfId="0" applyFont="1" applyFill="1" applyBorder="1"/>
    <xf numFmtId="37" fontId="37" fillId="0" borderId="40" xfId="0" applyFont="1" applyBorder="1"/>
    <xf numFmtId="7" fontId="6" fillId="0" borderId="0" xfId="0" applyNumberFormat="1" applyFont="1"/>
    <xf numFmtId="37" fontId="0" fillId="18" borderId="0" xfId="0" applyFont="1" applyFill="1"/>
    <xf numFmtId="37" fontId="21" fillId="0" borderId="11" xfId="0" applyNumberFormat="1" applyFont="1" applyBorder="1"/>
    <xf numFmtId="38" fontId="35" fillId="0" borderId="41" xfId="38" applyNumberFormat="1" applyFont="1" applyBorder="1"/>
    <xf numFmtId="38" fontId="35" fillId="0" borderId="11" xfId="38" applyNumberFormat="1" applyFont="1" applyBorder="1"/>
    <xf numFmtId="37" fontId="35" fillId="0" borderId="16" xfId="0" applyFont="1" applyBorder="1"/>
    <xf numFmtId="165" fontId="35" fillId="0" borderId="0" xfId="0" applyNumberFormat="1" applyFont="1" applyBorder="1" applyAlignment="1">
      <alignment horizontal="right"/>
    </xf>
    <xf numFmtId="167" fontId="76" fillId="0" borderId="0" xfId="0" applyNumberFormat="1" applyFont="1" applyFill="1" applyBorder="1" applyAlignment="1" applyProtection="1">
      <alignment horizontal="right"/>
    </xf>
    <xf numFmtId="167" fontId="76" fillId="0" borderId="45" xfId="0" applyNumberFormat="1" applyFont="1" applyFill="1" applyBorder="1" applyProtection="1"/>
    <xf numFmtId="5" fontId="21" fillId="0" borderId="13" xfId="72" applyNumberFormat="1" applyFont="1" applyFill="1" applyBorder="1" applyAlignment="1">
      <alignment horizontal="center"/>
    </xf>
    <xf numFmtId="5" fontId="21" fillId="0" borderId="0" xfId="72" applyNumberFormat="1" applyFont="1" applyFill="1" applyBorder="1" applyAlignment="1">
      <alignment horizontal="center"/>
    </xf>
    <xf numFmtId="5" fontId="21" fillId="0" borderId="14" xfId="0" applyNumberFormat="1" applyFont="1" applyBorder="1"/>
    <xf numFmtId="5" fontId="21" fillId="0" borderId="45" xfId="72" applyNumberFormat="1" applyFont="1" applyFill="1" applyBorder="1" applyAlignment="1">
      <alignment horizontal="center"/>
    </xf>
    <xf numFmtId="5" fontId="21" fillId="0" borderId="0" xfId="0" applyNumberFormat="1" applyFont="1" applyBorder="1"/>
    <xf numFmtId="5" fontId="21" fillId="0" borderId="45" xfId="0" applyNumberFormat="1" applyFont="1" applyBorder="1"/>
    <xf numFmtId="37" fontId="3" fillId="16" borderId="0" xfId="0" applyFont="1" applyFill="1" applyBorder="1"/>
    <xf numFmtId="0" fontId="37" fillId="16" borderId="0" xfId="73" applyFont="1" applyFill="1" applyBorder="1" applyAlignment="1">
      <alignment horizontal="center"/>
    </xf>
    <xf numFmtId="0" fontId="21" fillId="16" borderId="0" xfId="73" applyFont="1" applyFill="1" applyBorder="1" applyAlignment="1">
      <alignment horizontal="center"/>
    </xf>
    <xf numFmtId="5" fontId="0" fillId="0" borderId="0" xfId="0" applyNumberFormat="1" applyFont="1" applyBorder="1"/>
    <xf numFmtId="5" fontId="35" fillId="14" borderId="3" xfId="0" applyNumberFormat="1" applyFont="1" applyFill="1" applyBorder="1" applyProtection="1"/>
    <xf numFmtId="37" fontId="0" fillId="0" borderId="0" xfId="0" applyNumberFormat="1" applyFont="1" applyBorder="1"/>
    <xf numFmtId="37" fontId="25" fillId="0" borderId="0" xfId="0" applyNumberFormat="1" applyFont="1" applyBorder="1"/>
    <xf numFmtId="37" fontId="3" fillId="0" borderId="0" xfId="0" applyFont="1" applyFill="1" applyBorder="1"/>
    <xf numFmtId="0" fontId="21" fillId="0" borderId="0" xfId="73" applyFont="1" applyFill="1" applyBorder="1" applyAlignment="1">
      <alignment horizontal="center"/>
    </xf>
    <xf numFmtId="5" fontId="21" fillId="0" borderId="0" xfId="0" applyNumberFormat="1" applyFont="1" applyFill="1" applyBorder="1" applyProtection="1"/>
    <xf numFmtId="5" fontId="35" fillId="0" borderId="0" xfId="0" applyNumberFormat="1" applyFont="1" applyFill="1" applyBorder="1" applyProtection="1"/>
    <xf numFmtId="37" fontId="39" fillId="0" borderId="0" xfId="0" applyFont="1" applyFill="1" applyBorder="1" applyAlignment="1">
      <alignment horizontal="right"/>
    </xf>
    <xf numFmtId="37" fontId="39" fillId="0" borderId="0" xfId="0" applyFont="1" applyBorder="1" applyAlignment="1">
      <alignment horizontal="right"/>
    </xf>
    <xf numFmtId="10" fontId="0" fillId="0" borderId="0" xfId="78" applyNumberFormat="1" applyFont="1"/>
    <xf numFmtId="37" fontId="21" fillId="0" borderId="62" xfId="0" applyFont="1" applyBorder="1"/>
    <xf numFmtId="173" fontId="21" fillId="0" borderId="0" xfId="78" applyNumberFormat="1" applyFont="1" applyFill="1" applyBorder="1"/>
    <xf numFmtId="10" fontId="21" fillId="0" borderId="62" xfId="78" applyNumberFormat="1" applyFont="1" applyFill="1" applyBorder="1"/>
    <xf numFmtId="10" fontId="18" fillId="0" borderId="7" xfId="0" applyNumberFormat="1" applyFont="1" applyFill="1" applyBorder="1"/>
    <xf numFmtId="10" fontId="18" fillId="0" borderId="7" xfId="78" applyNumberFormat="1" applyFont="1" applyFill="1" applyBorder="1"/>
    <xf numFmtId="10" fontId="18" fillId="0" borderId="24" xfId="78" applyNumberFormat="1" applyFont="1" applyFill="1" applyBorder="1" applyAlignment="1">
      <alignment horizontal="right"/>
    </xf>
    <xf numFmtId="10" fontId="18" fillId="0" borderId="7" xfId="78" applyNumberFormat="1" applyFont="1" applyFill="1" applyBorder="1" applyAlignment="1">
      <alignment horizontal="right"/>
    </xf>
    <xf numFmtId="10" fontId="18" fillId="0" borderId="25" xfId="78" applyNumberFormat="1" applyFont="1" applyFill="1" applyBorder="1" applyAlignment="1">
      <alignment horizontal="right"/>
    </xf>
    <xf numFmtId="10" fontId="18" fillId="0" borderId="24" xfId="78" applyNumberFormat="1" applyFont="1" applyBorder="1" applyAlignment="1">
      <alignment horizontal="right"/>
    </xf>
    <xf numFmtId="10" fontId="18" fillId="0" borderId="7" xfId="78" applyNumberFormat="1" applyFont="1" applyBorder="1" applyAlignment="1">
      <alignment horizontal="right"/>
    </xf>
    <xf numFmtId="10" fontId="18" fillId="0" borderId="25" xfId="78" applyNumberFormat="1" applyFont="1" applyBorder="1" applyAlignment="1">
      <alignment horizontal="right"/>
    </xf>
    <xf numFmtId="10" fontId="18" fillId="0" borderId="46" xfId="78" applyNumberFormat="1" applyFont="1" applyBorder="1" applyAlignment="1">
      <alignment horizontal="right"/>
    </xf>
    <xf numFmtId="10" fontId="18" fillId="0" borderId="7" xfId="0" applyNumberFormat="1" applyFont="1" applyFill="1" applyBorder="1" applyAlignment="1" applyProtection="1">
      <alignment horizontal="right"/>
    </xf>
    <xf numFmtId="37" fontId="43" fillId="0" borderId="0" xfId="0" applyFont="1" applyBorder="1"/>
    <xf numFmtId="167" fontId="43" fillId="0" borderId="13" xfId="0" applyNumberFormat="1" applyFont="1" applyBorder="1"/>
    <xf numFmtId="37" fontId="0" fillId="0" borderId="10" xfId="0" applyFont="1" applyBorder="1"/>
    <xf numFmtId="37" fontId="0" fillId="0" borderId="11" xfId="0" applyFont="1" applyBorder="1"/>
    <xf numFmtId="167" fontId="13" fillId="0" borderId="0" xfId="0" applyNumberFormat="1" applyFont="1" applyBorder="1"/>
    <xf numFmtId="37" fontId="77" fillId="16" borderId="13" xfId="0" applyFont="1" applyFill="1" applyBorder="1"/>
    <xf numFmtId="37" fontId="3" fillId="16" borderId="13" xfId="0" applyFont="1" applyFill="1" applyBorder="1"/>
    <xf numFmtId="37" fontId="0" fillId="0" borderId="13" xfId="0" applyFont="1" applyBorder="1"/>
    <xf numFmtId="37" fontId="3" fillId="0" borderId="15" xfId="0" applyFont="1" applyFill="1" applyBorder="1"/>
    <xf numFmtId="0" fontId="21" fillId="0" borderId="16" xfId="73" applyFont="1" applyFill="1" applyBorder="1" applyAlignment="1">
      <alignment horizontal="center"/>
    </xf>
    <xf numFmtId="37" fontId="0" fillId="0" borderId="16" xfId="0" applyFont="1" applyFill="1" applyBorder="1"/>
    <xf numFmtId="10" fontId="0" fillId="0" borderId="16" xfId="0" applyNumberFormat="1" applyFont="1" applyFill="1" applyBorder="1"/>
    <xf numFmtId="5" fontId="21" fillId="0" borderId="16" xfId="0" applyNumberFormat="1" applyFont="1" applyFill="1" applyBorder="1" applyProtection="1"/>
    <xf numFmtId="5" fontId="35" fillId="0" borderId="16" xfId="0" applyNumberFormat="1" applyFont="1" applyFill="1" applyBorder="1" applyProtection="1"/>
    <xf numFmtId="167" fontId="37" fillId="0" borderId="0" xfId="0" applyNumberFormat="1" applyFont="1" applyBorder="1"/>
    <xf numFmtId="37" fontId="21" fillId="0" borderId="0" xfId="0" applyFont="1" applyBorder="1" applyAlignment="1" applyProtection="1">
      <protection locked="0"/>
    </xf>
    <xf numFmtId="165" fontId="21" fillId="0" borderId="0" xfId="72" applyNumberFormat="1" applyFont="1" applyBorder="1"/>
    <xf numFmtId="165" fontId="21" fillId="0" borderId="0" xfId="75" applyNumberFormat="1" applyFont="1" applyBorder="1"/>
    <xf numFmtId="167" fontId="0" fillId="0" borderId="0" xfId="78" applyNumberFormat="1" applyFont="1"/>
    <xf numFmtId="9" fontId="18" fillId="0" borderId="10" xfId="0" applyNumberFormat="1" applyFont="1" applyBorder="1" applyAlignment="1">
      <alignment horizontal="left"/>
    </xf>
    <xf numFmtId="9" fontId="18" fillId="0" borderId="12" xfId="0" applyNumberFormat="1" applyFont="1" applyBorder="1" applyAlignment="1">
      <alignment horizontal="left"/>
    </xf>
    <xf numFmtId="37" fontId="21" fillId="0" borderId="14" xfId="0" applyFont="1" applyBorder="1" applyAlignment="1">
      <alignment horizontal="left"/>
    </xf>
    <xf numFmtId="37" fontId="37" fillId="0" borderId="14" xfId="0" applyFont="1" applyBorder="1" applyAlignment="1">
      <alignment horizontal="left"/>
    </xf>
    <xf numFmtId="37" fontId="18" fillId="0" borderId="14" xfId="0" applyFont="1" applyBorder="1" applyAlignment="1">
      <alignment horizontal="left"/>
    </xf>
    <xf numFmtId="37" fontId="45" fillId="0" borderId="14" xfId="0" applyFont="1" applyBorder="1" applyAlignment="1">
      <alignment horizontal="left"/>
    </xf>
    <xf numFmtId="37" fontId="21" fillId="0" borderId="38" xfId="0" applyFont="1" applyBorder="1" applyAlignment="1">
      <alignment horizontal="left"/>
    </xf>
    <xf numFmtId="37" fontId="42" fillId="0" borderId="38" xfId="0" applyFont="1" applyBorder="1" applyAlignment="1">
      <alignment horizontal="left"/>
    </xf>
    <xf numFmtId="37" fontId="37" fillId="0" borderId="17" xfId="0" applyFont="1" applyBorder="1" applyAlignment="1">
      <alignment horizontal="left"/>
    </xf>
    <xf numFmtId="183" fontId="48" fillId="0" borderId="33" xfId="78" applyNumberFormat="1" applyFont="1" applyBorder="1"/>
    <xf numFmtId="7" fontId="37" fillId="19" borderId="13" xfId="38" applyNumberFormat="1" applyFont="1" applyFill="1" applyBorder="1" applyAlignment="1">
      <alignment horizontal="left"/>
    </xf>
    <xf numFmtId="7" fontId="37" fillId="19" borderId="0" xfId="38" applyNumberFormat="1" applyFont="1" applyFill="1" applyBorder="1" applyAlignment="1">
      <alignment horizontal="left"/>
    </xf>
    <xf numFmtId="7" fontId="37" fillId="19" borderId="0" xfId="38" applyNumberFormat="1" applyFont="1" applyFill="1" applyBorder="1" applyProtection="1"/>
    <xf numFmtId="7" fontId="37" fillId="19" borderId="27" xfId="38" applyNumberFormat="1" applyFont="1" applyFill="1" applyBorder="1" applyProtection="1"/>
    <xf numFmtId="7" fontId="37" fillId="19" borderId="26" xfId="38" applyNumberFormat="1" applyFont="1" applyFill="1" applyBorder="1" applyProtection="1"/>
    <xf numFmtId="7" fontId="37" fillId="19" borderId="0" xfId="0" applyNumberFormat="1" applyFont="1" applyFill="1" applyBorder="1"/>
    <xf numFmtId="7" fontId="37" fillId="19" borderId="0" xfId="43" applyNumberFormat="1" applyFont="1" applyFill="1" applyBorder="1"/>
    <xf numFmtId="7" fontId="37" fillId="19" borderId="45" xfId="43" applyNumberFormat="1" applyFont="1" applyFill="1" applyBorder="1"/>
    <xf numFmtId="37" fontId="35" fillId="0" borderId="7" xfId="0" applyFont="1" applyFill="1" applyBorder="1" applyAlignment="1">
      <alignment horizontal="right"/>
    </xf>
    <xf numFmtId="37" fontId="21" fillId="0" borderId="14" xfId="0" applyFont="1" applyBorder="1" applyProtection="1"/>
    <xf numFmtId="165" fontId="21" fillId="0" borderId="14" xfId="0" applyNumberFormat="1" applyFont="1" applyBorder="1" applyProtection="1"/>
    <xf numFmtId="37" fontId="37" fillId="0" borderId="14" xfId="0" applyFont="1" applyFill="1" applyBorder="1" applyProtection="1"/>
    <xf numFmtId="37" fontId="37" fillId="0" borderId="63" xfId="32" applyNumberFormat="1" applyFont="1" applyFill="1" applyBorder="1" applyAlignment="1">
      <alignment horizontal="left"/>
    </xf>
    <xf numFmtId="164" fontId="21" fillId="0" borderId="14" xfId="0" applyNumberFormat="1" applyFont="1" applyBorder="1" applyProtection="1"/>
    <xf numFmtId="37" fontId="37" fillId="0" borderId="64" xfId="32" applyNumberFormat="1" applyFont="1" applyFill="1" applyBorder="1" applyAlignment="1">
      <alignment horizontal="left"/>
    </xf>
    <xf numFmtId="37" fontId="21" fillId="0" borderId="33" xfId="0" applyFont="1" applyBorder="1" applyAlignment="1">
      <alignment horizontal="right"/>
    </xf>
    <xf numFmtId="200" fontId="37" fillId="0" borderId="45" xfId="0" applyNumberFormat="1" applyFont="1" applyFill="1" applyBorder="1" applyAlignment="1" applyProtection="1">
      <alignment horizontal="right"/>
    </xf>
    <xf numFmtId="37" fontId="37" fillId="0" borderId="65" xfId="32" applyNumberFormat="1" applyFont="1" applyFill="1" applyBorder="1" applyAlignment="1">
      <alignment horizontal="right"/>
    </xf>
    <xf numFmtId="200" fontId="37" fillId="0" borderId="65" xfId="32" applyNumberFormat="1" applyFont="1" applyFill="1" applyBorder="1" applyAlignment="1">
      <alignment horizontal="right"/>
    </xf>
    <xf numFmtId="9" fontId="21" fillId="0" borderId="0" xfId="78" applyFont="1"/>
    <xf numFmtId="9" fontId="0" fillId="0" borderId="0" xfId="78" applyFont="1"/>
    <xf numFmtId="38" fontId="35" fillId="0" borderId="42" xfId="38" applyNumberFormat="1" applyFont="1" applyBorder="1"/>
    <xf numFmtId="37" fontId="35" fillId="0" borderId="33" xfId="0" applyFont="1" applyBorder="1"/>
    <xf numFmtId="37" fontId="35" fillId="0" borderId="45" xfId="0" applyFont="1" applyBorder="1"/>
    <xf numFmtId="167" fontId="0" fillId="0" borderId="0" xfId="78" applyNumberFormat="1" applyFont="1" applyBorder="1"/>
    <xf numFmtId="39" fontId="21" fillId="0" borderId="0" xfId="0" applyNumberFormat="1" applyFont="1" applyFill="1" applyBorder="1" applyAlignment="1" applyProtection="1">
      <alignment horizontal="right"/>
    </xf>
    <xf numFmtId="37" fontId="21" fillId="0" borderId="0" xfId="0" applyNumberFormat="1" applyFont="1" applyFill="1" applyBorder="1" applyAlignment="1" applyProtection="1">
      <alignment horizontal="right"/>
    </xf>
    <xf numFmtId="37" fontId="21" fillId="0" borderId="45" xfId="0" applyNumberFormat="1" applyFont="1" applyFill="1" applyBorder="1"/>
    <xf numFmtId="10" fontId="47" fillId="0" borderId="0" xfId="0" applyNumberFormat="1" applyFont="1" applyFill="1" applyBorder="1" applyAlignment="1">
      <alignment horizontal="right"/>
    </xf>
    <xf numFmtId="5" fontId="4" fillId="0" borderId="0" xfId="0" applyNumberFormat="1" applyFont="1"/>
    <xf numFmtId="10" fontId="18" fillId="0" borderId="46" xfId="78" applyNumberFormat="1" applyFont="1" applyFill="1" applyBorder="1" applyAlignment="1">
      <alignment horizontal="right"/>
    </xf>
    <xf numFmtId="10" fontId="14" fillId="0" borderId="0" xfId="78" applyNumberFormat="1" applyFont="1" applyBorder="1"/>
    <xf numFmtId="7" fontId="0" fillId="0" borderId="0" xfId="0" applyNumberFormat="1" applyFont="1"/>
    <xf numFmtId="195" fontId="21" fillId="14" borderId="3" xfId="0" applyNumberFormat="1" applyFont="1" applyFill="1" applyBorder="1" applyProtection="1"/>
    <xf numFmtId="5" fontId="21" fillId="0" borderId="16" xfId="0" applyNumberFormat="1" applyFont="1" applyBorder="1"/>
    <xf numFmtId="5" fontId="21" fillId="0" borderId="34" xfId="72" applyNumberFormat="1" applyFont="1" applyFill="1" applyBorder="1" applyAlignment="1">
      <alignment horizontal="center"/>
    </xf>
    <xf numFmtId="5" fontId="21" fillId="0" borderId="34" xfId="0" applyNumberFormat="1" applyFont="1" applyBorder="1"/>
    <xf numFmtId="167" fontId="21" fillId="0" borderId="33" xfId="0" applyNumberFormat="1" applyFont="1" applyBorder="1" applyProtection="1"/>
    <xf numFmtId="167" fontId="21" fillId="0" borderId="11" xfId="0" applyNumberFormat="1" applyFont="1" applyBorder="1" applyProtection="1"/>
    <xf numFmtId="167" fontId="21" fillId="0" borderId="34" xfId="0" applyNumberFormat="1" applyFont="1" applyBorder="1" applyProtection="1"/>
    <xf numFmtId="167" fontId="21" fillId="0" borderId="16" xfId="0" applyNumberFormat="1" applyFont="1" applyBorder="1" applyProtection="1"/>
    <xf numFmtId="167" fontId="21" fillId="0" borderId="41" xfId="78" applyNumberFormat="1" applyFont="1" applyBorder="1"/>
    <xf numFmtId="167" fontId="21" fillId="0" borderId="11" xfId="78" applyNumberFormat="1" applyFont="1" applyBorder="1"/>
    <xf numFmtId="167" fontId="21" fillId="0" borderId="33" xfId="78" applyNumberFormat="1" applyFont="1" applyBorder="1"/>
    <xf numFmtId="167" fontId="21" fillId="0" borderId="27" xfId="0" applyNumberFormat="1" applyFont="1" applyBorder="1" applyProtection="1"/>
    <xf numFmtId="167" fontId="21" fillId="0" borderId="40" xfId="0" applyNumberFormat="1" applyFont="1" applyBorder="1" applyProtection="1"/>
    <xf numFmtId="169" fontId="21" fillId="0" borderId="0" xfId="78" applyNumberFormat="1" applyFont="1" applyBorder="1"/>
    <xf numFmtId="200" fontId="21" fillId="0" borderId="0" xfId="78" applyNumberFormat="1" applyFont="1" applyBorder="1"/>
    <xf numFmtId="37" fontId="21" fillId="16" borderId="16" xfId="0" applyFont="1" applyFill="1" applyBorder="1"/>
    <xf numFmtId="167" fontId="21" fillId="0" borderId="42" xfId="0" applyNumberFormat="1" applyFont="1" applyBorder="1" applyProtection="1"/>
    <xf numFmtId="167" fontId="21" fillId="0" borderId="41" xfId="0" applyNumberFormat="1" applyFont="1" applyBorder="1" applyProtection="1"/>
    <xf numFmtId="167" fontId="21" fillId="0" borderId="10" xfId="0" applyNumberFormat="1" applyFont="1" applyBorder="1" applyProtection="1"/>
    <xf numFmtId="167" fontId="21" fillId="0" borderId="12" xfId="0" applyNumberFormat="1" applyFont="1" applyBorder="1" applyProtection="1"/>
    <xf numFmtId="167" fontId="21" fillId="0" borderId="26" xfId="0" applyNumberFormat="1" applyFont="1" applyBorder="1" applyProtection="1"/>
    <xf numFmtId="167" fontId="21" fillId="0" borderId="13" xfId="0" applyNumberFormat="1" applyFont="1" applyBorder="1" applyProtection="1"/>
    <xf numFmtId="167" fontId="21" fillId="0" borderId="14" xfId="0" applyNumberFormat="1" applyFont="1" applyBorder="1" applyProtection="1"/>
    <xf numFmtId="167" fontId="21" fillId="0" borderId="32" xfId="0" applyNumberFormat="1" applyFont="1" applyBorder="1" applyProtection="1"/>
    <xf numFmtId="167" fontId="21" fillId="0" borderId="15" xfId="0" applyNumberFormat="1" applyFont="1" applyBorder="1" applyProtection="1"/>
    <xf numFmtId="167" fontId="21" fillId="0" borderId="17" xfId="0" applyNumberFormat="1" applyFont="1" applyBorder="1" applyProtection="1"/>
    <xf numFmtId="37" fontId="21" fillId="0" borderId="19" xfId="0" applyFont="1" applyBorder="1"/>
    <xf numFmtId="200" fontId="21" fillId="0" borderId="11" xfId="78" applyNumberFormat="1" applyFont="1" applyBorder="1"/>
    <xf numFmtId="200" fontId="21" fillId="0" borderId="12" xfId="78" applyNumberFormat="1" applyFont="1" applyBorder="1"/>
    <xf numFmtId="200" fontId="21" fillId="0" borderId="14" xfId="78" applyNumberFormat="1" applyFont="1" applyBorder="1"/>
    <xf numFmtId="200" fontId="21" fillId="0" borderId="16" xfId="78" applyNumberFormat="1" applyFont="1" applyBorder="1"/>
    <xf numFmtId="200" fontId="21" fillId="0" borderId="10" xfId="78" applyNumberFormat="1" applyFont="1" applyBorder="1"/>
    <xf numFmtId="200" fontId="21" fillId="0" borderId="13" xfId="78" applyNumberFormat="1" applyFont="1" applyBorder="1"/>
    <xf numFmtId="37" fontId="35" fillId="0" borderId="13" xfId="0" applyFont="1" applyBorder="1"/>
    <xf numFmtId="37" fontId="35" fillId="0" borderId="14" xfId="0" applyFont="1" applyBorder="1"/>
    <xf numFmtId="200" fontId="21" fillId="0" borderId="33" xfId="78" applyNumberFormat="1" applyFont="1" applyBorder="1"/>
    <xf numFmtId="200" fontId="21" fillId="0" borderId="45" xfId="78" applyNumberFormat="1" applyFont="1" applyBorder="1"/>
    <xf numFmtId="200" fontId="21" fillId="0" borderId="34" xfId="78" applyNumberFormat="1" applyFont="1" applyBorder="1"/>
    <xf numFmtId="38" fontId="21" fillId="0" borderId="18" xfId="38" applyNumberFormat="1" applyFont="1" applyBorder="1" applyAlignment="1">
      <alignment horizontal="left"/>
    </xf>
    <xf numFmtId="38" fontId="21" fillId="0" borderId="19" xfId="38" applyNumberFormat="1" applyFont="1" applyBorder="1" applyAlignment="1">
      <alignment horizontal="left"/>
    </xf>
    <xf numFmtId="38" fontId="21" fillId="0" borderId="19" xfId="38" applyNumberFormat="1" applyFont="1" applyBorder="1" applyProtection="1"/>
    <xf numFmtId="38" fontId="21" fillId="0" borderId="66" xfId="38" applyNumberFormat="1" applyFont="1" applyBorder="1"/>
    <xf numFmtId="38" fontId="21" fillId="0" borderId="19" xfId="38" applyNumberFormat="1" applyFont="1" applyBorder="1"/>
    <xf numFmtId="38" fontId="21" fillId="0" borderId="67" xfId="38" applyNumberFormat="1" applyFont="1" applyBorder="1"/>
    <xf numFmtId="37" fontId="21" fillId="0" borderId="28" xfId="0" applyFont="1" applyBorder="1"/>
    <xf numFmtId="38" fontId="35" fillId="0" borderId="66" xfId="38" applyNumberFormat="1" applyFont="1" applyBorder="1"/>
    <xf numFmtId="38" fontId="35" fillId="0" borderId="19" xfId="38" applyNumberFormat="1" applyFont="1" applyBorder="1"/>
    <xf numFmtId="38" fontId="35" fillId="0" borderId="67" xfId="38" applyNumberFormat="1" applyFont="1" applyBorder="1"/>
    <xf numFmtId="10" fontId="21" fillId="0" borderId="7" xfId="78" applyNumberFormat="1" applyFont="1" applyBorder="1"/>
    <xf numFmtId="169" fontId="21" fillId="0" borderId="7" xfId="78" applyNumberFormat="1" applyFont="1" applyBorder="1"/>
    <xf numFmtId="200" fontId="21" fillId="0" borderId="7" xfId="78" applyNumberFormat="1" applyFont="1" applyBorder="1"/>
    <xf numFmtId="200" fontId="21" fillId="0" borderId="46" xfId="78" applyNumberFormat="1" applyFont="1" applyBorder="1"/>
    <xf numFmtId="200" fontId="21" fillId="0" borderId="38" xfId="78" applyNumberFormat="1" applyFont="1" applyBorder="1"/>
    <xf numFmtId="200" fontId="21" fillId="0" borderId="39" xfId="78" applyNumberFormat="1" applyFont="1" applyBorder="1"/>
    <xf numFmtId="37" fontId="35" fillId="0" borderId="38" xfId="0" applyFont="1" applyBorder="1"/>
    <xf numFmtId="37" fontId="35" fillId="0" borderId="39" xfId="0" applyFont="1" applyBorder="1"/>
    <xf numFmtId="167" fontId="39" fillId="0" borderId="0" xfId="0" applyNumberFormat="1" applyFont="1" applyBorder="1" applyProtection="1"/>
    <xf numFmtId="167" fontId="21" fillId="0" borderId="0" xfId="72" applyNumberFormat="1" applyFont="1" applyFill="1" applyBorder="1" applyAlignment="1">
      <alignment horizontal="center"/>
    </xf>
    <xf numFmtId="167" fontId="21" fillId="0" borderId="45" xfId="72" applyNumberFormat="1" applyFont="1" applyFill="1" applyBorder="1" applyAlignment="1">
      <alignment horizontal="center"/>
    </xf>
    <xf numFmtId="167" fontId="21" fillId="0" borderId="13" xfId="72" applyNumberFormat="1" applyFont="1" applyFill="1" applyBorder="1" applyAlignment="1">
      <alignment horizontal="center"/>
    </xf>
    <xf numFmtId="167" fontId="38" fillId="0" borderId="0" xfId="78" applyNumberFormat="1" applyFont="1" applyBorder="1"/>
    <xf numFmtId="167" fontId="38" fillId="0" borderId="0" xfId="0" applyNumberFormat="1" applyFont="1" applyBorder="1"/>
    <xf numFmtId="167" fontId="18" fillId="0" borderId="45" xfId="78" applyNumberFormat="1" applyFont="1" applyBorder="1"/>
    <xf numFmtId="37" fontId="21" fillId="0" borderId="16" xfId="0" applyFont="1" applyFill="1" applyBorder="1"/>
    <xf numFmtId="37" fontId="21" fillId="0" borderId="16" xfId="0" applyFont="1" applyBorder="1" applyAlignment="1">
      <alignment horizontal="right"/>
    </xf>
    <xf numFmtId="9" fontId="21" fillId="0" borderId="0" xfId="78" applyFont="1" applyBorder="1" applyAlignment="1">
      <alignment horizontal="right"/>
    </xf>
    <xf numFmtId="37" fontId="35" fillId="0" borderId="0" xfId="0" applyNumberFormat="1" applyFont="1" applyFill="1" applyBorder="1" applyAlignment="1">
      <alignment horizontal="right"/>
    </xf>
    <xf numFmtId="5" fontId="0" fillId="0" borderId="0" xfId="78" applyNumberFormat="1" applyFont="1"/>
    <xf numFmtId="208" fontId="21" fillId="0" borderId="0" xfId="0" applyNumberFormat="1" applyFont="1" applyBorder="1"/>
    <xf numFmtId="177" fontId="21" fillId="0" borderId="0" xfId="78" applyNumberFormat="1" applyFont="1" applyBorder="1"/>
    <xf numFmtId="0" fontId="37" fillId="0" borderId="0" xfId="0" applyNumberFormat="1" applyFont="1" applyBorder="1"/>
    <xf numFmtId="167" fontId="14" fillId="0" borderId="0" xfId="0" applyNumberFormat="1" applyFont="1" applyBorder="1"/>
    <xf numFmtId="9" fontId="21" fillId="0" borderId="0" xfId="78" applyFont="1" applyFill="1" applyBorder="1" applyAlignment="1">
      <alignment horizontal="right"/>
    </xf>
    <xf numFmtId="10" fontId="14" fillId="0" borderId="0" xfId="0" applyNumberFormat="1" applyFont="1" applyBorder="1"/>
    <xf numFmtId="37" fontId="21" fillId="0" borderId="18" xfId="0" applyFont="1" applyBorder="1"/>
    <xf numFmtId="195" fontId="21" fillId="0" borderId="19" xfId="0" applyNumberFormat="1" applyFont="1" applyBorder="1" applyAlignment="1">
      <alignment horizontal="right"/>
    </xf>
    <xf numFmtId="195" fontId="21" fillId="0" borderId="33" xfId="0" applyNumberFormat="1" applyFont="1" applyBorder="1" applyAlignment="1">
      <alignment horizontal="right"/>
    </xf>
    <xf numFmtId="195" fontId="21" fillId="0" borderId="34" xfId="0" applyNumberFormat="1" applyFont="1" applyBorder="1" applyAlignment="1">
      <alignment horizontal="right"/>
    </xf>
    <xf numFmtId="195" fontId="21" fillId="0" borderId="28" xfId="0" applyNumberFormat="1" applyFont="1" applyBorder="1" applyAlignment="1">
      <alignment horizontal="right"/>
    </xf>
    <xf numFmtId="200" fontId="21" fillId="0" borderId="33" xfId="0" applyNumberFormat="1" applyFont="1" applyFill="1" applyBorder="1" applyAlignment="1" applyProtection="1">
      <alignment horizontal="right"/>
    </xf>
    <xf numFmtId="8" fontId="21" fillId="0" borderId="45" xfId="0" applyNumberFormat="1" applyFont="1" applyBorder="1" applyAlignment="1">
      <alignment horizontal="right"/>
    </xf>
    <xf numFmtId="9" fontId="18" fillId="0" borderId="45" xfId="0" applyNumberFormat="1" applyFont="1" applyBorder="1" applyAlignment="1">
      <alignment horizontal="right"/>
    </xf>
    <xf numFmtId="9" fontId="21" fillId="0" borderId="34" xfId="0" applyNumberFormat="1" applyFont="1" applyBorder="1" applyAlignment="1">
      <alignment horizontal="right"/>
    </xf>
    <xf numFmtId="8" fontId="35" fillId="0" borderId="45" xfId="0" applyNumberFormat="1" applyFont="1" applyBorder="1" applyAlignment="1">
      <alignment horizontal="right"/>
    </xf>
    <xf numFmtId="9" fontId="21" fillId="0" borderId="45" xfId="0" applyNumberFormat="1" applyFont="1" applyBorder="1" applyAlignment="1">
      <alignment horizontal="right"/>
    </xf>
    <xf numFmtId="37" fontId="21" fillId="0" borderId="47" xfId="0" applyFont="1" applyBorder="1" applyAlignment="1">
      <alignment horizontal="right"/>
    </xf>
    <xf numFmtId="167" fontId="21" fillId="0" borderId="34" xfId="78" applyNumberFormat="1" applyFont="1" applyBorder="1" applyAlignment="1">
      <alignment horizontal="right"/>
    </xf>
    <xf numFmtId="200" fontId="37" fillId="0" borderId="28" xfId="0" applyNumberFormat="1" applyFont="1" applyBorder="1" applyAlignment="1">
      <alignment horizontal="right"/>
    </xf>
    <xf numFmtId="200" fontId="21" fillId="0" borderId="47" xfId="0" applyNumberFormat="1" applyFont="1" applyBorder="1" applyAlignment="1">
      <alignment horizontal="right"/>
    </xf>
    <xf numFmtId="200" fontId="21" fillId="0" borderId="46" xfId="0" applyNumberFormat="1" applyFont="1" applyBorder="1" applyAlignment="1" applyProtection="1">
      <alignment horizontal="right"/>
    </xf>
    <xf numFmtId="167" fontId="35" fillId="0" borderId="45" xfId="0" applyNumberFormat="1" applyFont="1" applyFill="1" applyBorder="1" applyAlignment="1" applyProtection="1">
      <alignment horizontal="right"/>
    </xf>
    <xf numFmtId="167" fontId="35" fillId="0" borderId="45" xfId="0" applyNumberFormat="1" applyFont="1" applyFill="1" applyBorder="1"/>
    <xf numFmtId="167" fontId="42" fillId="0" borderId="45" xfId="78" applyNumberFormat="1" applyFont="1" applyFill="1" applyBorder="1" applyAlignment="1">
      <alignment horizontal="right"/>
    </xf>
    <xf numFmtId="167" fontId="21" fillId="0" borderId="45" xfId="0" applyNumberFormat="1" applyFont="1" applyFill="1" applyBorder="1" applyAlignment="1" applyProtection="1">
      <alignment horizontal="right"/>
    </xf>
    <xf numFmtId="167" fontId="76" fillId="0" borderId="45" xfId="0" applyNumberFormat="1" applyFont="1" applyFill="1" applyBorder="1" applyAlignment="1" applyProtection="1">
      <alignment horizontal="right"/>
    </xf>
    <xf numFmtId="37" fontId="21" fillId="0" borderId="45" xfId="0" applyNumberFormat="1" applyFont="1" applyFill="1" applyBorder="1" applyAlignment="1">
      <alignment horizontal="right"/>
    </xf>
    <xf numFmtId="37" fontId="35" fillId="0" borderId="45" xfId="0" applyFont="1" applyFill="1" applyBorder="1" applyAlignment="1">
      <alignment horizontal="right"/>
    </xf>
    <xf numFmtId="167" fontId="44" fillId="0" borderId="45" xfId="0" applyNumberFormat="1" applyFont="1" applyFill="1" applyBorder="1" applyAlignment="1" applyProtection="1">
      <alignment horizontal="right"/>
    </xf>
    <xf numFmtId="37" fontId="21" fillId="0" borderId="46" xfId="0" applyFont="1" applyFill="1" applyBorder="1" applyAlignment="1">
      <alignment horizontal="right"/>
    </xf>
    <xf numFmtId="167" fontId="18" fillId="0" borderId="45" xfId="0" applyNumberFormat="1" applyFont="1" applyFill="1" applyBorder="1" applyAlignment="1" applyProtection="1">
      <alignment horizontal="right"/>
    </xf>
    <xf numFmtId="167" fontId="41" fillId="0" borderId="45" xfId="0" applyNumberFormat="1" applyFont="1" applyFill="1" applyBorder="1" applyAlignment="1" applyProtection="1">
      <alignment horizontal="right"/>
    </xf>
    <xf numFmtId="167" fontId="37" fillId="0" borderId="45" xfId="78" applyNumberFormat="1" applyFont="1" applyFill="1" applyBorder="1" applyAlignment="1">
      <alignment horizontal="right"/>
    </xf>
    <xf numFmtId="37" fontId="39" fillId="0" borderId="45" xfId="0" applyFont="1" applyFill="1" applyBorder="1" applyAlignment="1">
      <alignment horizontal="right"/>
    </xf>
    <xf numFmtId="37" fontId="39" fillId="0" borderId="46" xfId="0" applyFont="1" applyFill="1" applyBorder="1" applyAlignment="1">
      <alignment horizontal="right"/>
    </xf>
    <xf numFmtId="10" fontId="21" fillId="0" borderId="45" xfId="0" applyNumberFormat="1" applyFont="1" applyFill="1" applyBorder="1" applyAlignment="1" applyProtection="1">
      <alignment horizontal="right"/>
    </xf>
    <xf numFmtId="10" fontId="21" fillId="0" borderId="46" xfId="0" applyNumberFormat="1" applyFont="1" applyFill="1" applyBorder="1" applyAlignment="1" applyProtection="1">
      <alignment horizontal="right"/>
    </xf>
    <xf numFmtId="10" fontId="18" fillId="0" borderId="45" xfId="0" applyNumberFormat="1" applyFont="1" applyFill="1" applyBorder="1" applyAlignment="1" applyProtection="1">
      <alignment horizontal="right"/>
    </xf>
    <xf numFmtId="10" fontId="18" fillId="0" borderId="46" xfId="0" applyNumberFormat="1" applyFont="1" applyFill="1" applyBorder="1" applyAlignment="1" applyProtection="1">
      <alignment horizontal="right"/>
    </xf>
    <xf numFmtId="8" fontId="21" fillId="0" borderId="45" xfId="0" applyNumberFormat="1" applyFont="1" applyFill="1" applyBorder="1" applyAlignment="1" applyProtection="1">
      <alignment horizontal="right"/>
    </xf>
    <xf numFmtId="8" fontId="21" fillId="0" borderId="46" xfId="0" applyNumberFormat="1" applyFont="1" applyFill="1" applyBorder="1" applyAlignment="1" applyProtection="1">
      <alignment horizontal="right"/>
    </xf>
    <xf numFmtId="8" fontId="21" fillId="0" borderId="45" xfId="78" applyNumberFormat="1" applyFont="1" applyFill="1" applyBorder="1" applyAlignment="1">
      <alignment horizontal="right"/>
    </xf>
    <xf numFmtId="167" fontId="35" fillId="0" borderId="45" xfId="78" applyNumberFormat="1" applyFont="1" applyFill="1" applyBorder="1" applyAlignment="1">
      <alignment horizontal="right"/>
    </xf>
    <xf numFmtId="8" fontId="21" fillId="0" borderId="46" xfId="78" applyNumberFormat="1" applyFont="1" applyFill="1" applyBorder="1" applyAlignment="1">
      <alignment horizontal="right"/>
    </xf>
    <xf numFmtId="167" fontId="39" fillId="0" borderId="45" xfId="78" applyNumberFormat="1" applyFont="1" applyFill="1" applyBorder="1" applyAlignment="1">
      <alignment horizontal="right"/>
    </xf>
    <xf numFmtId="167" fontId="39" fillId="0" borderId="46" xfId="78" applyNumberFormat="1" applyFont="1" applyFill="1" applyBorder="1" applyAlignment="1">
      <alignment horizontal="right"/>
    </xf>
    <xf numFmtId="167" fontId="41" fillId="17" borderId="45" xfId="0" applyNumberFormat="1" applyFont="1" applyFill="1" applyBorder="1" applyAlignment="1" applyProtection="1">
      <alignment horizontal="right"/>
    </xf>
    <xf numFmtId="37" fontId="39" fillId="0" borderId="45" xfId="0" applyFont="1" applyBorder="1" applyAlignment="1">
      <alignment horizontal="right"/>
    </xf>
    <xf numFmtId="10" fontId="21" fillId="0" borderId="45" xfId="78" applyNumberFormat="1" applyFont="1" applyBorder="1" applyAlignment="1">
      <alignment horizontal="right"/>
    </xf>
    <xf numFmtId="10" fontId="42" fillId="0" borderId="45" xfId="0" applyNumberFormat="1" applyFont="1" applyBorder="1" applyAlignment="1">
      <alignment horizontal="right"/>
    </xf>
    <xf numFmtId="10" fontId="21" fillId="0" borderId="45" xfId="0" applyNumberFormat="1" applyFont="1" applyBorder="1" applyAlignment="1">
      <alignment horizontal="right"/>
    </xf>
    <xf numFmtId="167" fontId="39" fillId="0" borderId="45" xfId="78" applyNumberFormat="1" applyFont="1" applyBorder="1" applyAlignment="1">
      <alignment horizontal="right"/>
    </xf>
    <xf numFmtId="37" fontId="21" fillId="0" borderId="46" xfId="0" applyFont="1" applyBorder="1" applyAlignment="1">
      <alignment horizontal="right"/>
    </xf>
    <xf numFmtId="10" fontId="40" fillId="0" borderId="45" xfId="78" applyNumberFormat="1" applyFont="1" applyBorder="1" applyAlignment="1">
      <alignment horizontal="right"/>
    </xf>
    <xf numFmtId="167" fontId="37" fillId="0" borderId="45" xfId="78" applyNumberFormat="1" applyFont="1" applyBorder="1" applyAlignment="1">
      <alignment horizontal="right"/>
    </xf>
    <xf numFmtId="167" fontId="21" fillId="0" borderId="45" xfId="78" quotePrefix="1" applyNumberFormat="1" applyFont="1" applyFill="1" applyBorder="1" applyAlignment="1">
      <alignment horizontal="right"/>
    </xf>
    <xf numFmtId="167" fontId="21" fillId="0" borderId="45" xfId="78" quotePrefix="1" applyNumberFormat="1" applyFont="1" applyBorder="1" applyAlignment="1">
      <alignment horizontal="right"/>
    </xf>
    <xf numFmtId="167" fontId="18" fillId="0" borderId="33" xfId="78" applyNumberFormat="1" applyFont="1" applyBorder="1" applyAlignment="1">
      <alignment horizontal="right"/>
    </xf>
    <xf numFmtId="167" fontId="18" fillId="0" borderId="34" xfId="78" applyNumberFormat="1" applyFont="1" applyFill="1" applyBorder="1" applyAlignment="1">
      <alignment horizontal="right"/>
    </xf>
    <xf numFmtId="37" fontId="37" fillId="17" borderId="45" xfId="0" applyFont="1" applyFill="1" applyBorder="1" applyAlignment="1">
      <alignment horizontal="right"/>
    </xf>
    <xf numFmtId="37" fontId="37" fillId="0" borderId="45" xfId="0" applyFont="1" applyFill="1" applyBorder="1" applyAlignment="1">
      <alignment horizontal="right"/>
    </xf>
    <xf numFmtId="3" fontId="21" fillId="0" borderId="45" xfId="0" applyNumberFormat="1" applyFont="1" applyBorder="1" applyProtection="1"/>
    <xf numFmtId="37" fontId="21" fillId="0" borderId="45" xfId="0" applyNumberFormat="1" applyFont="1" applyBorder="1" applyAlignment="1">
      <alignment horizontal="right"/>
    </xf>
    <xf numFmtId="9" fontId="40" fillId="0" borderId="45" xfId="0" applyNumberFormat="1" applyFont="1" applyFill="1" applyBorder="1" applyAlignment="1" applyProtection="1">
      <alignment horizontal="right"/>
    </xf>
    <xf numFmtId="167" fontId="40" fillId="0" borderId="45" xfId="0" applyNumberFormat="1" applyFont="1" applyFill="1" applyBorder="1" applyAlignment="1" applyProtection="1">
      <alignment horizontal="right"/>
    </xf>
    <xf numFmtId="37" fontId="18" fillId="0" borderId="46" xfId="0" applyFont="1" applyFill="1" applyBorder="1"/>
    <xf numFmtId="167" fontId="40" fillId="0" borderId="46" xfId="0" applyNumberFormat="1" applyFont="1" applyBorder="1"/>
    <xf numFmtId="37" fontId="35" fillId="0" borderId="45" xfId="0" applyFont="1" applyFill="1" applyBorder="1"/>
    <xf numFmtId="195" fontId="35" fillId="0" borderId="45" xfId="0" applyNumberFormat="1" applyFont="1" applyFill="1" applyBorder="1"/>
    <xf numFmtId="195" fontId="35" fillId="0" borderId="46" xfId="0" applyNumberFormat="1" applyFont="1" applyFill="1" applyBorder="1"/>
    <xf numFmtId="37" fontId="35" fillId="0" borderId="46" xfId="0" applyFont="1" applyBorder="1"/>
    <xf numFmtId="165" fontId="21" fillId="0" borderId="45" xfId="0" applyNumberFormat="1" applyFont="1" applyBorder="1" applyAlignment="1">
      <alignment horizontal="right"/>
    </xf>
    <xf numFmtId="37" fontId="35" fillId="0" borderId="45" xfId="0" applyFont="1" applyBorder="1" applyAlignment="1">
      <alignment horizontal="right"/>
    </xf>
    <xf numFmtId="9" fontId="35" fillId="14" borderId="65" xfId="0" applyNumberFormat="1" applyFont="1" applyFill="1" applyBorder="1" applyAlignment="1" applyProtection="1">
      <alignment horizontal="right"/>
    </xf>
    <xf numFmtId="37" fontId="37" fillId="0" borderId="45" xfId="0" applyFont="1" applyFill="1" applyBorder="1" applyAlignment="1" applyProtection="1">
      <alignment horizontal="right"/>
    </xf>
    <xf numFmtId="37" fontId="21" fillId="0" borderId="45" xfId="0" applyFont="1" applyFill="1" applyBorder="1" applyAlignment="1" applyProtection="1">
      <alignment horizontal="right"/>
    </xf>
    <xf numFmtId="37" fontId="37" fillId="0" borderId="53" xfId="32" applyNumberFormat="1" applyFont="1" applyFill="1" applyBorder="1" applyAlignment="1">
      <alignment horizontal="right"/>
    </xf>
    <xf numFmtId="37" fontId="35" fillId="0" borderId="45" xfId="0" applyNumberFormat="1" applyFont="1" applyFill="1" applyBorder="1" applyAlignment="1">
      <alignment horizontal="right"/>
    </xf>
    <xf numFmtId="167" fontId="35" fillId="0" borderId="34" xfId="0" applyNumberFormat="1" applyFont="1" applyFill="1" applyBorder="1" applyAlignment="1">
      <alignment horizontal="right"/>
    </xf>
    <xf numFmtId="9" fontId="40" fillId="0" borderId="45" xfId="0" applyNumberFormat="1" applyFont="1" applyBorder="1" applyAlignment="1">
      <alignment horizontal="right"/>
    </xf>
    <xf numFmtId="167" fontId="47" fillId="0" borderId="0" xfId="0" applyNumberFormat="1" applyFont="1" applyFill="1" applyBorder="1" applyAlignment="1" applyProtection="1">
      <alignment horizontal="right"/>
    </xf>
    <xf numFmtId="167" fontId="47" fillId="0" borderId="45" xfId="0" applyNumberFormat="1" applyFont="1" applyFill="1" applyBorder="1" applyAlignment="1" applyProtection="1">
      <alignment horizontal="right"/>
    </xf>
    <xf numFmtId="37" fontId="51" fillId="17" borderId="13" xfId="0" quotePrefix="1" applyFont="1" applyFill="1" applyBorder="1" applyAlignment="1">
      <alignment horizontal="center"/>
    </xf>
    <xf numFmtId="9" fontId="38" fillId="0" borderId="10" xfId="78" applyFont="1" applyFill="1" applyBorder="1" applyAlignment="1">
      <alignment horizontal="right"/>
    </xf>
    <xf numFmtId="37" fontId="21" fillId="0" borderId="13" xfId="0" applyFont="1" applyFill="1" applyBorder="1" applyAlignment="1" applyProtection="1">
      <alignment horizontal="right"/>
    </xf>
    <xf numFmtId="37" fontId="21" fillId="0" borderId="14" xfId="0" applyFont="1" applyFill="1" applyBorder="1" applyAlignment="1" applyProtection="1">
      <alignment horizontal="right"/>
    </xf>
    <xf numFmtId="37" fontId="21" fillId="0" borderId="13" xfId="0" applyFont="1" applyFill="1" applyBorder="1" applyAlignment="1">
      <alignment horizontal="right"/>
    </xf>
    <xf numFmtId="37" fontId="21" fillId="0" borderId="14" xfId="0" applyFont="1" applyFill="1" applyBorder="1" applyAlignment="1">
      <alignment horizontal="right"/>
    </xf>
    <xf numFmtId="37" fontId="37" fillId="0" borderId="13" xfId="0" applyFont="1" applyBorder="1" applyAlignment="1" applyProtection="1">
      <alignment horizontal="right"/>
    </xf>
    <xf numFmtId="37" fontId="37" fillId="0" borderId="14" xfId="0" applyFont="1" applyBorder="1" applyAlignment="1" applyProtection="1">
      <alignment horizontal="right"/>
    </xf>
    <xf numFmtId="37" fontId="38" fillId="0" borderId="13" xfId="0" applyFont="1" applyFill="1" applyBorder="1" applyAlignment="1">
      <alignment horizontal="right"/>
    </xf>
    <xf numFmtId="37" fontId="38" fillId="0" borderId="39" xfId="0" applyFont="1" applyFill="1" applyBorder="1" applyAlignment="1">
      <alignment horizontal="right"/>
    </xf>
    <xf numFmtId="37" fontId="37" fillId="0" borderId="39" xfId="32" applyNumberFormat="1" applyFont="1" applyFill="1" applyBorder="1" applyAlignment="1">
      <alignment horizontal="right"/>
    </xf>
    <xf numFmtId="37" fontId="37" fillId="0" borderId="38" xfId="32" applyNumberFormat="1" applyFont="1" applyFill="1" applyBorder="1" applyAlignment="1">
      <alignment horizontal="right"/>
    </xf>
    <xf numFmtId="167" fontId="21" fillId="0" borderId="13" xfId="0" applyNumberFormat="1" applyFont="1" applyFill="1" applyBorder="1" applyAlignment="1">
      <alignment horizontal="right"/>
    </xf>
    <xf numFmtId="167" fontId="21" fillId="0" borderId="14" xfId="0" applyNumberFormat="1" applyFont="1" applyFill="1" applyBorder="1" applyAlignment="1">
      <alignment horizontal="right"/>
    </xf>
    <xf numFmtId="37" fontId="21" fillId="0" borderId="13" xfId="0" applyFont="1" applyBorder="1" applyAlignment="1">
      <alignment horizontal="right"/>
    </xf>
    <xf numFmtId="37" fontId="21" fillId="0" borderId="13" xfId="0" quotePrefix="1" applyFont="1" applyFill="1" applyBorder="1" applyAlignment="1">
      <alignment horizontal="right"/>
    </xf>
    <xf numFmtId="37" fontId="21" fillId="0" borderId="39" xfId="0" applyFont="1" applyFill="1" applyBorder="1" applyAlignment="1">
      <alignment horizontal="right"/>
    </xf>
    <xf numFmtId="37" fontId="21" fillId="0" borderId="38" xfId="0" applyFont="1" applyFill="1" applyBorder="1" applyAlignment="1">
      <alignment horizontal="right"/>
    </xf>
    <xf numFmtId="37" fontId="21" fillId="16" borderId="13" xfId="0" applyFont="1" applyFill="1" applyBorder="1" applyAlignment="1">
      <alignment horizontal="right"/>
    </xf>
    <xf numFmtId="37" fontId="21" fillId="16" borderId="14" xfId="0" applyFont="1" applyFill="1" applyBorder="1" applyAlignment="1">
      <alignment horizontal="right"/>
    </xf>
    <xf numFmtId="37" fontId="21" fillId="16" borderId="39" xfId="0" applyFont="1" applyFill="1" applyBorder="1" applyAlignment="1">
      <alignment horizontal="right"/>
    </xf>
    <xf numFmtId="37" fontId="21" fillId="16" borderId="38" xfId="0" applyFont="1" applyFill="1" applyBorder="1" applyAlignment="1">
      <alignment horizontal="right"/>
    </xf>
    <xf numFmtId="37" fontId="37" fillId="0" borderId="49" xfId="32" applyNumberFormat="1" applyFont="1" applyFill="1" applyBorder="1" applyAlignment="1">
      <alignment horizontal="right"/>
    </xf>
    <xf numFmtId="37" fontId="37" fillId="0" borderId="64" xfId="32" applyNumberFormat="1" applyFont="1" applyFill="1" applyBorder="1" applyAlignment="1">
      <alignment horizontal="right"/>
    </xf>
    <xf numFmtId="9" fontId="0" fillId="0" borderId="0" xfId="78" applyFont="1" applyBorder="1"/>
    <xf numFmtId="9" fontId="11" fillId="0" borderId="0" xfId="78" applyFont="1"/>
    <xf numFmtId="5" fontId="21" fillId="0" borderId="0" xfId="0" applyNumberFormat="1" applyFont="1" applyFill="1" applyBorder="1"/>
    <xf numFmtId="9" fontId="0" fillId="0" borderId="0" xfId="78" applyNumberFormat="1" applyFont="1"/>
    <xf numFmtId="198" fontId="21" fillId="0" borderId="16" xfId="0" applyNumberFormat="1" applyFont="1" applyBorder="1"/>
    <xf numFmtId="37" fontId="38" fillId="0" borderId="10" xfId="0" applyNumberFormat="1" applyFont="1" applyBorder="1"/>
    <xf numFmtId="37" fontId="21" fillId="0" borderId="12" xfId="0" applyNumberFormat="1" applyFont="1" applyBorder="1"/>
    <xf numFmtId="37" fontId="35" fillId="0" borderId="15" xfId="0" applyFont="1" applyBorder="1"/>
    <xf numFmtId="37" fontId="35" fillId="0" borderId="17" xfId="0" applyFont="1" applyBorder="1"/>
    <xf numFmtId="37" fontId="39" fillId="0" borderId="12" xfId="0" applyFont="1" applyBorder="1"/>
    <xf numFmtId="37" fontId="38" fillId="0" borderId="12" xfId="0" applyFont="1" applyBorder="1"/>
    <xf numFmtId="37" fontId="38" fillId="0" borderId="10" xfId="0" applyFont="1" applyBorder="1" applyAlignment="1">
      <alignment horizontal="right"/>
    </xf>
    <xf numFmtId="8" fontId="21" fillId="0" borderId="13" xfId="0" applyNumberFormat="1" applyFont="1" applyBorder="1" applyAlignment="1">
      <alignment horizontal="right"/>
    </xf>
    <xf numFmtId="8" fontId="35" fillId="0" borderId="14" xfId="0" applyNumberFormat="1" applyFont="1" applyBorder="1" applyAlignment="1">
      <alignment horizontal="right"/>
    </xf>
    <xf numFmtId="165" fontId="35" fillId="0" borderId="13" xfId="0" applyNumberFormat="1" applyFont="1" applyBorder="1" applyAlignment="1">
      <alignment horizontal="right"/>
    </xf>
    <xf numFmtId="165" fontId="21" fillId="0" borderId="14" xfId="0" applyNumberFormat="1" applyFont="1" applyBorder="1" applyAlignment="1">
      <alignment horizontal="right"/>
    </xf>
    <xf numFmtId="37" fontId="21" fillId="0" borderId="13" xfId="0" applyNumberFormat="1" applyFont="1" applyBorder="1" applyAlignment="1">
      <alignment horizontal="right"/>
    </xf>
    <xf numFmtId="8" fontId="35" fillId="0" borderId="13" xfId="0" applyNumberFormat="1" applyFont="1" applyBorder="1" applyAlignment="1">
      <alignment horizontal="right"/>
    </xf>
    <xf numFmtId="9" fontId="18" fillId="0" borderId="13" xfId="0" applyNumberFormat="1" applyFont="1" applyBorder="1" applyAlignment="1">
      <alignment horizontal="right"/>
    </xf>
    <xf numFmtId="9" fontId="18" fillId="0" borderId="14" xfId="0" applyNumberFormat="1" applyFont="1" applyBorder="1" applyAlignment="1">
      <alignment horizontal="right"/>
    </xf>
    <xf numFmtId="9" fontId="21" fillId="0" borderId="15" xfId="0" applyNumberFormat="1" applyFont="1" applyBorder="1" applyAlignment="1">
      <alignment horizontal="right"/>
    </xf>
    <xf numFmtId="9" fontId="21" fillId="0" borderId="17" xfId="0" applyNumberFormat="1" applyFont="1" applyBorder="1" applyAlignment="1">
      <alignment horizontal="right"/>
    </xf>
    <xf numFmtId="37" fontId="21" fillId="0" borderId="10" xfId="0" applyFont="1" applyBorder="1" applyAlignment="1">
      <alignment horizontal="right"/>
    </xf>
    <xf numFmtId="195" fontId="21" fillId="0" borderId="12" xfId="0" applyNumberFormat="1" applyFont="1" applyBorder="1" applyAlignment="1">
      <alignment horizontal="right"/>
    </xf>
    <xf numFmtId="195" fontId="21" fillId="0" borderId="14" xfId="0" applyNumberFormat="1" applyFont="1" applyBorder="1" applyAlignment="1">
      <alignment horizontal="right"/>
    </xf>
    <xf numFmtId="165" fontId="21" fillId="0" borderId="13" xfId="0" applyNumberFormat="1" applyFont="1" applyBorder="1" applyAlignment="1">
      <alignment horizontal="right"/>
    </xf>
    <xf numFmtId="8" fontId="21" fillId="0" borderId="14" xfId="0" applyNumberFormat="1" applyFont="1" applyBorder="1" applyAlignment="1">
      <alignment horizontal="right"/>
    </xf>
    <xf numFmtId="37" fontId="21" fillId="0" borderId="12" xfId="0" applyFont="1" applyBorder="1" applyAlignment="1">
      <alignment horizontal="right"/>
    </xf>
    <xf numFmtId="191" fontId="21" fillId="0" borderId="13" xfId="63" applyFont="1" applyFill="1" applyBorder="1" applyAlignment="1">
      <alignment horizontal="right"/>
    </xf>
    <xf numFmtId="191" fontId="21" fillId="0" borderId="14" xfId="63" applyFont="1" applyFill="1" applyBorder="1" applyAlignment="1">
      <alignment horizontal="right"/>
    </xf>
    <xf numFmtId="9" fontId="21" fillId="0" borderId="13" xfId="0" applyNumberFormat="1" applyFont="1" applyBorder="1" applyAlignment="1">
      <alignment horizontal="right"/>
    </xf>
    <xf numFmtId="9" fontId="21" fillId="0" borderId="14" xfId="0" applyNumberFormat="1" applyFont="1" applyBorder="1" applyAlignment="1">
      <alignment horizontal="right"/>
    </xf>
    <xf numFmtId="37" fontId="21" fillId="0" borderId="43" xfId="0" applyFont="1" applyBorder="1" applyAlignment="1">
      <alignment horizontal="right"/>
    </xf>
    <xf numFmtId="37" fontId="21" fillId="0" borderId="44" xfId="0" applyFont="1" applyBorder="1" applyAlignment="1">
      <alignment horizontal="right"/>
    </xf>
    <xf numFmtId="167" fontId="21" fillId="0" borderId="13" xfId="0" applyNumberFormat="1" applyFont="1" applyBorder="1" applyAlignment="1">
      <alignment horizontal="right"/>
    </xf>
    <xf numFmtId="167" fontId="21" fillId="0" borderId="14" xfId="0" applyNumberFormat="1" applyFont="1" applyBorder="1" applyAlignment="1">
      <alignment horizontal="right"/>
    </xf>
    <xf numFmtId="167" fontId="21" fillId="0" borderId="15" xfId="0" applyNumberFormat="1" applyFont="1" applyBorder="1" applyAlignment="1">
      <alignment horizontal="right"/>
    </xf>
    <xf numFmtId="167" fontId="21" fillId="0" borderId="17" xfId="0" applyNumberFormat="1" applyFont="1" applyBorder="1" applyAlignment="1">
      <alignment horizontal="right"/>
    </xf>
    <xf numFmtId="10" fontId="0" fillId="0" borderId="0" xfId="78" applyNumberFormat="1" applyFont="1" applyBorder="1"/>
    <xf numFmtId="167" fontId="35" fillId="0" borderId="0" xfId="0" applyNumberFormat="1" applyFont="1" applyBorder="1" applyProtection="1"/>
    <xf numFmtId="7" fontId="0" fillId="0" borderId="0" xfId="78" applyNumberFormat="1" applyFont="1"/>
    <xf numFmtId="10" fontId="35" fillId="0" borderId="0" xfId="0" applyNumberFormat="1" applyFont="1" applyBorder="1" applyProtection="1"/>
    <xf numFmtId="37" fontId="35" fillId="0" borderId="0" xfId="0" applyNumberFormat="1" applyFont="1" applyBorder="1" applyAlignment="1">
      <alignment horizontal="right"/>
    </xf>
    <xf numFmtId="3" fontId="35" fillId="0" borderId="45" xfId="0" applyNumberFormat="1" applyFont="1" applyBorder="1"/>
    <xf numFmtId="9" fontId="40" fillId="0" borderId="0" xfId="0" applyNumberFormat="1" applyFont="1" applyBorder="1" applyAlignment="1">
      <alignment horizontal="right"/>
    </xf>
    <xf numFmtId="3" fontId="35" fillId="0" borderId="0" xfId="0" applyNumberFormat="1" applyFont="1" applyFill="1" applyBorder="1" applyProtection="1"/>
    <xf numFmtId="39" fontId="0" fillId="0" borderId="0" xfId="0" applyNumberFormat="1"/>
    <xf numFmtId="37" fontId="0" fillId="0" borderId="0" xfId="0" applyAlignment="1">
      <alignment horizontal="center"/>
    </xf>
    <xf numFmtId="7" fontId="21" fillId="0" borderId="0" xfId="0" applyNumberFormat="1" applyFont="1" applyFill="1" applyBorder="1"/>
    <xf numFmtId="10" fontId="76" fillId="0" borderId="45" xfId="0" applyNumberFormat="1" applyFont="1" applyFill="1" applyBorder="1" applyProtection="1"/>
    <xf numFmtId="10" fontId="76" fillId="0" borderId="0" xfId="0" applyNumberFormat="1" applyFont="1" applyFill="1" applyBorder="1" applyAlignment="1" applyProtection="1">
      <alignment horizontal="right"/>
    </xf>
    <xf numFmtId="8" fontId="6" fillId="0" borderId="0" xfId="43" applyFont="1" applyFill="1" applyBorder="1"/>
    <xf numFmtId="37" fontId="2" fillId="0" borderId="39" xfId="0" applyFont="1" applyBorder="1" applyAlignment="1">
      <alignment horizontal="left" indent="1"/>
    </xf>
    <xf numFmtId="37" fontId="2" fillId="0" borderId="13" xfId="0" applyFont="1" applyBorder="1"/>
    <xf numFmtId="37" fontId="2" fillId="0" borderId="0" xfId="0" applyFont="1" applyBorder="1"/>
    <xf numFmtId="200" fontId="2" fillId="0" borderId="0" xfId="0" applyNumberFormat="1" applyFont="1" applyBorder="1"/>
    <xf numFmtId="200" fontId="2" fillId="0" borderId="7" xfId="0" applyNumberFormat="1" applyFont="1" applyBorder="1"/>
    <xf numFmtId="165" fontId="35" fillId="0" borderId="14" xfId="0" applyNumberFormat="1" applyFont="1" applyBorder="1" applyAlignment="1">
      <alignment horizontal="right"/>
    </xf>
    <xf numFmtId="3" fontId="2" fillId="0" borderId="0" xfId="0" applyNumberFormat="1" applyFont="1" applyBorder="1" applyProtection="1"/>
    <xf numFmtId="196" fontId="2" fillId="0" borderId="0" xfId="0" applyNumberFormat="1" applyFont="1" applyBorder="1"/>
    <xf numFmtId="37" fontId="2" fillId="0" borderId="13" xfId="0" applyFont="1" applyBorder="1" applyAlignment="1">
      <alignment horizontal="left" indent="1"/>
    </xf>
    <xf numFmtId="10" fontId="18" fillId="0" borderId="0" xfId="0" applyNumberFormat="1" applyFont="1" applyFill="1" applyBorder="1" applyAlignment="1">
      <alignment horizontal="right"/>
    </xf>
    <xf numFmtId="10" fontId="21" fillId="0" borderId="0" xfId="0" applyNumberFormat="1" applyFont="1" applyFill="1" applyBorder="1" applyAlignment="1">
      <alignment horizontal="right"/>
    </xf>
    <xf numFmtId="10" fontId="13" fillId="0" borderId="0" xfId="0" applyNumberFormat="1" applyFont="1" applyBorder="1"/>
    <xf numFmtId="165" fontId="6" fillId="0" borderId="0" xfId="0" applyNumberFormat="1" applyFont="1" applyFill="1" applyBorder="1" applyAlignment="1">
      <alignment horizontal="right"/>
    </xf>
    <xf numFmtId="7" fontId="83" fillId="16" borderId="0" xfId="78" applyNumberFormat="1" applyFont="1" applyFill="1" applyBorder="1"/>
    <xf numFmtId="200" fontId="2" fillId="0" borderId="0" xfId="0" applyNumberFormat="1" applyFont="1" applyBorder="1" applyAlignment="1">
      <alignment horizontal="right"/>
    </xf>
    <xf numFmtId="7" fontId="84" fillId="0" borderId="0" xfId="0" applyNumberFormat="1" applyFont="1"/>
    <xf numFmtId="167" fontId="84" fillId="0" borderId="0" xfId="78" applyNumberFormat="1" applyFont="1"/>
    <xf numFmtId="167" fontId="2" fillId="0" borderId="0" xfId="0" applyNumberFormat="1" applyFont="1" applyFill="1" applyBorder="1" applyAlignment="1" applyProtection="1">
      <alignment horizontal="right"/>
    </xf>
    <xf numFmtId="7" fontId="2" fillId="16" borderId="0" xfId="38" applyNumberFormat="1" applyFont="1" applyFill="1" applyBorder="1" applyProtection="1"/>
    <xf numFmtId="10" fontId="6" fillId="0" borderId="0" xfId="78" applyNumberFormat="1" applyFont="1" applyBorder="1"/>
    <xf numFmtId="196" fontId="2" fillId="0" borderId="34" xfId="0" applyNumberFormat="1" applyFont="1" applyBorder="1"/>
    <xf numFmtId="38" fontId="35" fillId="0" borderId="0" xfId="38" applyNumberFormat="1" applyFont="1" applyBorder="1"/>
    <xf numFmtId="37" fontId="2" fillId="0" borderId="7" xfId="0" applyFont="1" applyBorder="1" applyAlignment="1">
      <alignment horizontal="right"/>
    </xf>
    <xf numFmtId="37" fontId="37" fillId="0" borderId="16" xfId="0" applyNumberFormat="1" applyFont="1" applyBorder="1"/>
    <xf numFmtId="37" fontId="38" fillId="0" borderId="11" xfId="0" applyNumberFormat="1" applyFont="1" applyBorder="1"/>
    <xf numFmtId="38" fontId="21" fillId="0" borderId="18" xfId="38" applyNumberFormat="1" applyFont="1" applyBorder="1"/>
    <xf numFmtId="37" fontId="21" fillId="0" borderId="43" xfId="0" applyFont="1" applyFill="1" applyBorder="1" applyAlignment="1">
      <alignment horizontal="right"/>
    </xf>
    <xf numFmtId="37" fontId="21" fillId="0" borderId="9" xfId="0" applyFont="1" applyFill="1" applyBorder="1" applyAlignment="1">
      <alignment horizontal="right"/>
    </xf>
    <xf numFmtId="9" fontId="21" fillId="0" borderId="14" xfId="78" applyFont="1" applyBorder="1"/>
    <xf numFmtId="37" fontId="2" fillId="0" borderId="7" xfId="0" applyFont="1" applyFill="1" applyBorder="1" applyAlignment="1">
      <alignment horizontal="right"/>
    </xf>
    <xf numFmtId="167" fontId="21" fillId="0" borderId="0" xfId="78" applyNumberFormat="1" applyFont="1"/>
    <xf numFmtId="37" fontId="0" fillId="0" borderId="0" xfId="0" applyFont="1"/>
    <xf numFmtId="10" fontId="85" fillId="0" borderId="0" xfId="78" applyNumberFormat="1" applyFont="1" applyBorder="1"/>
    <xf numFmtId="38" fontId="35" fillId="0" borderId="26" xfId="38" applyNumberFormat="1" applyFont="1" applyBorder="1"/>
    <xf numFmtId="38" fontId="35" fillId="0" borderId="27" xfId="38" applyNumberFormat="1" applyFont="1" applyBorder="1"/>
    <xf numFmtId="7" fontId="2" fillId="0" borderId="0" xfId="38" applyNumberFormat="1" applyFont="1" applyFill="1" applyBorder="1" applyProtection="1"/>
    <xf numFmtId="37" fontId="35" fillId="0" borderId="14" xfId="0" applyFont="1" applyFill="1" applyBorder="1"/>
    <xf numFmtId="10" fontId="21" fillId="0" borderId="0" xfId="0" applyNumberFormat="1" applyFont="1" applyFill="1" applyBorder="1" applyProtection="1"/>
    <xf numFmtId="10" fontId="21" fillId="0" borderId="45" xfId="0" applyNumberFormat="1" applyFont="1" applyFill="1" applyBorder="1" applyProtection="1"/>
    <xf numFmtId="10" fontId="21" fillId="0" borderId="27" xfId="0" applyNumberFormat="1" applyFont="1" applyFill="1" applyBorder="1" applyProtection="1"/>
    <xf numFmtId="37" fontId="2" fillId="0" borderId="0" xfId="0" applyNumberFormat="1" applyFont="1" applyBorder="1"/>
    <xf numFmtId="37" fontId="2" fillId="0" borderId="0" xfId="0" applyFont="1" applyFill="1" applyBorder="1" applyAlignment="1">
      <alignment horizontal="right"/>
    </xf>
    <xf numFmtId="37" fontId="2" fillId="0" borderId="26" xfId="0" applyFont="1" applyFill="1" applyBorder="1" applyAlignment="1">
      <alignment horizontal="right"/>
    </xf>
    <xf numFmtId="37" fontId="2" fillId="0" borderId="25" xfId="0" applyFont="1" applyFill="1" applyBorder="1" applyAlignment="1">
      <alignment horizontal="right"/>
    </xf>
    <xf numFmtId="37" fontId="2" fillId="0" borderId="13" xfId="0" applyFont="1" applyFill="1" applyBorder="1" applyAlignment="1">
      <alignment horizontal="right"/>
    </xf>
    <xf numFmtId="37" fontId="2" fillId="0" borderId="39" xfId="0" applyFont="1" applyFill="1" applyBorder="1" applyAlignment="1">
      <alignment horizontal="right"/>
    </xf>
    <xf numFmtId="37" fontId="2" fillId="0" borderId="14" xfId="0" applyFont="1" applyFill="1" applyBorder="1" applyAlignment="1">
      <alignment horizontal="right"/>
    </xf>
    <xf numFmtId="37" fontId="2" fillId="0" borderId="38" xfId="0" applyFont="1" applyFill="1" applyBorder="1" applyAlignment="1">
      <alignment horizontal="right"/>
    </xf>
    <xf numFmtId="37" fontId="2" fillId="0" borderId="0" xfId="0" applyFont="1" applyFill="1" applyBorder="1" applyAlignment="1" applyProtection="1">
      <alignment horizontal="right"/>
    </xf>
    <xf numFmtId="37" fontId="2" fillId="0" borderId="26" xfId="0" applyFont="1" applyFill="1" applyBorder="1" applyAlignment="1" applyProtection="1">
      <alignment horizontal="right"/>
    </xf>
    <xf numFmtId="200" fontId="2" fillId="0" borderId="45" xfId="0" applyNumberFormat="1" applyFont="1" applyBorder="1" applyAlignment="1" applyProtection="1">
      <alignment horizontal="right"/>
    </xf>
    <xf numFmtId="37" fontId="2" fillId="0" borderId="13" xfId="0" applyFont="1" applyFill="1" applyBorder="1" applyAlignment="1" applyProtection="1">
      <alignment horizontal="right"/>
    </xf>
    <xf numFmtId="37" fontId="2" fillId="0" borderId="14" xfId="0" applyFont="1" applyFill="1" applyBorder="1" applyAlignment="1" applyProtection="1">
      <alignment horizontal="right"/>
    </xf>
    <xf numFmtId="167" fontId="2" fillId="0" borderId="0" xfId="0" applyNumberFormat="1" applyFont="1" applyBorder="1" applyAlignment="1">
      <alignment horizontal="right"/>
    </xf>
    <xf numFmtId="37" fontId="2" fillId="0" borderId="12" xfId="0" applyFont="1" applyBorder="1" applyAlignment="1">
      <alignment horizontal="right"/>
    </xf>
    <xf numFmtId="37" fontId="2" fillId="0" borderId="11" xfId="0" applyFont="1" applyBorder="1" applyAlignment="1">
      <alignment horizontal="right"/>
    </xf>
    <xf numFmtId="183" fontId="21" fillId="0" borderId="0" xfId="0" applyNumberFormat="1" applyFont="1" applyBorder="1"/>
    <xf numFmtId="195" fontId="37" fillId="0" borderId="0" xfId="0" applyNumberFormat="1" applyFont="1" applyAlignment="1" applyProtection="1">
      <alignment horizontal="right"/>
    </xf>
    <xf numFmtId="8" fontId="35" fillId="0" borderId="45" xfId="0" applyNumberFormat="1" applyFont="1" applyFill="1" applyBorder="1" applyAlignment="1">
      <alignment horizontal="right"/>
    </xf>
    <xf numFmtId="167" fontId="39" fillId="0" borderId="45" xfId="0" applyNumberFormat="1" applyFont="1" applyBorder="1" applyProtection="1"/>
    <xf numFmtId="37" fontId="0" fillId="0" borderId="0" xfId="0" applyFill="1" applyBorder="1"/>
    <xf numFmtId="37" fontId="0" fillId="0" borderId="0" xfId="0" applyBorder="1"/>
    <xf numFmtId="37" fontId="2" fillId="0" borderId="0" xfId="0" applyFont="1" applyFill="1" applyBorder="1"/>
    <xf numFmtId="37" fontId="2" fillId="0" borderId="11" xfId="0" applyFont="1" applyBorder="1"/>
    <xf numFmtId="196" fontId="2" fillId="0" borderId="16" xfId="0" applyNumberFormat="1" applyFont="1" applyBorder="1"/>
    <xf numFmtId="37" fontId="0" fillId="0" borderId="0" xfId="0" applyAlignment="1">
      <alignment horizontal="right"/>
    </xf>
    <xf numFmtId="7" fontId="80" fillId="0" borderId="0" xfId="0" applyNumberFormat="1" applyFont="1"/>
    <xf numFmtId="170" fontId="0" fillId="0" borderId="0" xfId="0" applyNumberFormat="1"/>
    <xf numFmtId="209" fontId="0" fillId="0" borderId="0" xfId="0" applyNumberFormat="1" applyFont="1"/>
    <xf numFmtId="39" fontId="2" fillId="0" borderId="0" xfId="0" applyNumberFormat="1" applyFont="1" applyFill="1" applyBorder="1"/>
    <xf numFmtId="37" fontId="2" fillId="16" borderId="13" xfId="0" applyFont="1" applyFill="1" applyBorder="1"/>
    <xf numFmtId="209" fontId="2" fillId="0" borderId="0" xfId="0" applyNumberFormat="1" applyFont="1" applyBorder="1" applyAlignment="1">
      <alignment horizontal="right"/>
    </xf>
    <xf numFmtId="167" fontId="37" fillId="0" borderId="13" xfId="0" applyNumberFormat="1" applyFont="1" applyFill="1" applyBorder="1"/>
    <xf numFmtId="167" fontId="2" fillId="0" borderId="13" xfId="0" applyNumberFormat="1" applyFont="1" applyFill="1" applyBorder="1"/>
    <xf numFmtId="167" fontId="2" fillId="0" borderId="0" xfId="0" applyNumberFormat="1" applyFont="1" applyFill="1"/>
    <xf numFmtId="167" fontId="2" fillId="0" borderId="0" xfId="0" applyNumberFormat="1" applyFont="1" applyFill="1" applyBorder="1"/>
    <xf numFmtId="167" fontId="2" fillId="0" borderId="0" xfId="78" applyNumberFormat="1" applyFont="1" applyFill="1" applyBorder="1"/>
    <xf numFmtId="167" fontId="2" fillId="0" borderId="0" xfId="78" applyNumberFormat="1" applyFont="1" applyFill="1" applyBorder="1" applyAlignment="1">
      <alignment horizontal="right"/>
    </xf>
    <xf numFmtId="37" fontId="2" fillId="0" borderId="45" xfId="0" applyFont="1" applyBorder="1"/>
    <xf numFmtId="37" fontId="2" fillId="0" borderId="0" xfId="0" applyFont="1" applyBorder="1" applyAlignment="1">
      <alignment horizontal="right"/>
    </xf>
    <xf numFmtId="37" fontId="2" fillId="0" borderId="45" xfId="0" applyFont="1" applyBorder="1" applyAlignment="1">
      <alignment horizontal="right"/>
    </xf>
    <xf numFmtId="37" fontId="18" fillId="0" borderId="45" xfId="0" applyFont="1" applyBorder="1"/>
    <xf numFmtId="37" fontId="18" fillId="0" borderId="0" xfId="0" applyFont="1" applyBorder="1" applyAlignment="1">
      <alignment horizontal="right"/>
    </xf>
    <xf numFmtId="37" fontId="18" fillId="0" borderId="45" xfId="0" applyFont="1" applyBorder="1" applyAlignment="1">
      <alignment horizontal="right"/>
    </xf>
    <xf numFmtId="167" fontId="48" fillId="0" borderId="0" xfId="0" applyNumberFormat="1" applyFont="1" applyFill="1"/>
    <xf numFmtId="167" fontId="48" fillId="0" borderId="0" xfId="0" applyNumberFormat="1" applyFont="1" applyFill="1" applyBorder="1"/>
    <xf numFmtId="167" fontId="48" fillId="0" borderId="0" xfId="78" applyNumberFormat="1" applyFont="1" applyFill="1" applyBorder="1"/>
    <xf numFmtId="167" fontId="48" fillId="0" borderId="0" xfId="78" applyNumberFormat="1" applyFont="1" applyFill="1" applyBorder="1" applyAlignment="1">
      <alignment horizontal="right"/>
    </xf>
    <xf numFmtId="37" fontId="10" fillId="0" borderId="0" xfId="0" applyFont="1" applyAlignment="1">
      <alignment horizontal="center"/>
    </xf>
    <xf numFmtId="5" fontId="10" fillId="0" borderId="0" xfId="0" applyNumberFormat="1" applyFont="1"/>
    <xf numFmtId="5" fontId="2" fillId="0" borderId="0" xfId="0" applyNumberFormat="1" applyFont="1" applyFill="1" applyBorder="1" applyProtection="1"/>
    <xf numFmtId="10" fontId="6" fillId="0" borderId="0" xfId="0" applyNumberFormat="1" applyFont="1" applyBorder="1"/>
    <xf numFmtId="9" fontId="21" fillId="0" borderId="13" xfId="78" applyFont="1" applyBorder="1"/>
    <xf numFmtId="10" fontId="86" fillId="0" borderId="0" xfId="78" applyNumberFormat="1" applyFont="1" applyFill="1" applyBorder="1"/>
    <xf numFmtId="167" fontId="86" fillId="0" borderId="0" xfId="0" applyNumberFormat="1" applyFont="1" applyProtection="1"/>
    <xf numFmtId="10" fontId="21" fillId="0" borderId="0" xfId="0" applyNumberFormat="1" applyFont="1" applyProtection="1"/>
    <xf numFmtId="37" fontId="21" fillId="0" borderId="28" xfId="0" applyNumberFormat="1" applyFont="1" applyBorder="1"/>
    <xf numFmtId="10" fontId="87" fillId="0" borderId="0" xfId="78" applyNumberFormat="1" applyFont="1" applyBorder="1"/>
    <xf numFmtId="210" fontId="21" fillId="0" borderId="0" xfId="78" applyNumberFormat="1" applyFont="1" applyFill="1" applyBorder="1"/>
    <xf numFmtId="7" fontId="0" fillId="0" borderId="0" xfId="0" applyNumberFormat="1"/>
    <xf numFmtId="39" fontId="88" fillId="0" borderId="0" xfId="0" applyNumberFormat="1" applyFont="1"/>
    <xf numFmtId="167" fontId="88" fillId="0" borderId="0" xfId="78" applyNumberFormat="1" applyFont="1"/>
    <xf numFmtId="178" fontId="35" fillId="0" borderId="0" xfId="0" applyNumberFormat="1" applyFont="1" applyFill="1" applyBorder="1" applyAlignment="1" applyProtection="1">
      <alignment horizontal="right"/>
    </xf>
    <xf numFmtId="167" fontId="89" fillId="0" borderId="0" xfId="0" applyNumberFormat="1" applyFont="1" applyFill="1" applyBorder="1" applyAlignment="1" applyProtection="1">
      <alignment horizontal="right"/>
    </xf>
    <xf numFmtId="10" fontId="89" fillId="0" borderId="0" xfId="78" applyNumberFormat="1" applyFont="1" applyBorder="1" applyAlignment="1">
      <alignment horizontal="right"/>
    </xf>
    <xf numFmtId="10" fontId="89" fillId="0" borderId="45" xfId="78" applyNumberFormat="1" applyFont="1" applyBorder="1"/>
    <xf numFmtId="10" fontId="89" fillId="0" borderId="45" xfId="78" applyNumberFormat="1" applyFont="1" applyBorder="1" applyAlignment="1">
      <alignment horizontal="right"/>
    </xf>
    <xf numFmtId="10" fontId="88" fillId="0" borderId="0" xfId="78" applyNumberFormat="1" applyFont="1" applyBorder="1"/>
    <xf numFmtId="7" fontId="89" fillId="0" borderId="0" xfId="0" applyNumberFormat="1" applyFont="1"/>
    <xf numFmtId="173" fontId="41" fillId="0" borderId="0" xfId="0" applyNumberFormat="1" applyFont="1" applyFill="1" applyBorder="1" applyAlignment="1" applyProtection="1">
      <alignment horizontal="right"/>
    </xf>
    <xf numFmtId="37" fontId="54" fillId="20" borderId="12" xfId="0" applyFont="1" applyFill="1" applyBorder="1"/>
    <xf numFmtId="37" fontId="36" fillId="20" borderId="17" xfId="0" applyFont="1" applyFill="1" applyBorder="1"/>
    <xf numFmtId="10" fontId="21" fillId="0" borderId="11" xfId="78" applyNumberFormat="1" applyFont="1" applyBorder="1"/>
    <xf numFmtId="167" fontId="90" fillId="0" borderId="0" xfId="0" applyNumberFormat="1" applyFont="1" applyFill="1" applyBorder="1" applyAlignment="1" applyProtection="1">
      <alignment horizontal="right"/>
    </xf>
    <xf numFmtId="37" fontId="2" fillId="0" borderId="26" xfId="0" applyFont="1" applyBorder="1" applyAlignment="1">
      <alignment horizontal="right"/>
    </xf>
    <xf numFmtId="196" fontId="2" fillId="0" borderId="16" xfId="38" applyNumberFormat="1" applyFont="1" applyBorder="1" applyAlignment="1">
      <alignment horizontal="right"/>
    </xf>
    <xf numFmtId="196" fontId="90" fillId="0" borderId="34" xfId="38" applyNumberFormat="1" applyFont="1" applyBorder="1" applyAlignment="1">
      <alignment horizontal="right"/>
    </xf>
    <xf numFmtId="39" fontId="6" fillId="0" borderId="0" xfId="0" applyNumberFormat="1" applyFont="1" applyFill="1" applyBorder="1" applyAlignment="1">
      <alignment horizontal="right"/>
    </xf>
    <xf numFmtId="7" fontId="90" fillId="16" borderId="0" xfId="38" applyNumberFormat="1" applyFont="1" applyFill="1" applyBorder="1" applyProtection="1"/>
    <xf numFmtId="7" fontId="90" fillId="0" borderId="0" xfId="38" applyNumberFormat="1" applyFont="1" applyFill="1" applyBorder="1" applyProtection="1"/>
    <xf numFmtId="37" fontId="90" fillId="0" borderId="0" xfId="0" applyFont="1" applyFill="1" applyBorder="1" applyAlignment="1">
      <alignment horizontal="right"/>
    </xf>
    <xf numFmtId="37" fontId="90" fillId="0" borderId="7" xfId="0" applyFont="1" applyFill="1" applyBorder="1" applyAlignment="1">
      <alignment horizontal="right"/>
    </xf>
    <xf numFmtId="167" fontId="2" fillId="0" borderId="0" xfId="78" applyNumberFormat="1" applyFont="1" applyBorder="1"/>
    <xf numFmtId="167" fontId="6" fillId="0" borderId="0" xfId="78" quotePrefix="1" applyNumberFormat="1" applyFont="1" applyAlignment="1">
      <alignment horizontal="right"/>
    </xf>
    <xf numFmtId="5" fontId="2" fillId="16" borderId="0" xfId="78" applyNumberFormat="1" applyFont="1" applyFill="1" applyBorder="1" applyProtection="1"/>
    <xf numFmtId="10" fontId="90" fillId="16" borderId="0" xfId="78" applyNumberFormat="1" applyFont="1" applyFill="1" applyBorder="1" applyProtection="1"/>
    <xf numFmtId="167" fontId="90" fillId="16" borderId="0" xfId="78" applyNumberFormat="1" applyFont="1" applyFill="1" applyBorder="1" applyProtection="1"/>
    <xf numFmtId="5" fontId="2" fillId="0" borderId="0" xfId="78" applyNumberFormat="1" applyFont="1" applyProtection="1"/>
    <xf numFmtId="10" fontId="21" fillId="0" borderId="10" xfId="0" applyNumberFormat="1" applyFont="1" applyBorder="1" applyProtection="1"/>
    <xf numFmtId="10" fontId="21" fillId="0" borderId="12" xfId="0" applyNumberFormat="1" applyFont="1" applyBorder="1" applyProtection="1"/>
    <xf numFmtId="10" fontId="21" fillId="0" borderId="13" xfId="0" applyNumberFormat="1" applyFont="1" applyBorder="1" applyProtection="1"/>
    <xf numFmtId="10" fontId="21" fillId="0" borderId="14" xfId="0" applyNumberFormat="1" applyFont="1" applyBorder="1" applyProtection="1"/>
    <xf numFmtId="10" fontId="21" fillId="0" borderId="15" xfId="0" applyNumberFormat="1" applyFont="1" applyBorder="1" applyProtection="1"/>
    <xf numFmtId="10" fontId="21" fillId="0" borderId="17" xfId="0" applyNumberFormat="1" applyFont="1" applyBorder="1" applyProtection="1"/>
    <xf numFmtId="37" fontId="2" fillId="0" borderId="10" xfId="0" applyFont="1" applyBorder="1"/>
    <xf numFmtId="6" fontId="37" fillId="0" borderId="0" xfId="75" applyNumberFormat="1" applyFont="1" applyFill="1" applyBorder="1" applyAlignment="1">
      <alignment horizontal="center"/>
    </xf>
    <xf numFmtId="10" fontId="93" fillId="0" borderId="0" xfId="78" applyNumberFormat="1" applyFont="1" applyBorder="1"/>
    <xf numFmtId="10" fontId="93" fillId="0" borderId="0" xfId="0" applyNumberFormat="1" applyFont="1" applyBorder="1"/>
    <xf numFmtId="5" fontId="92" fillId="0" borderId="0" xfId="78" applyNumberFormat="1" applyFont="1" applyBorder="1" applyAlignment="1">
      <alignment horizontal="right"/>
    </xf>
    <xf numFmtId="8" fontId="2" fillId="0" borderId="45" xfId="0" applyNumberFormat="1" applyFont="1" applyBorder="1" applyAlignment="1">
      <alignment horizontal="right"/>
    </xf>
    <xf numFmtId="196" fontId="35" fillId="0" borderId="34" xfId="0" applyNumberFormat="1" applyFont="1" applyBorder="1"/>
    <xf numFmtId="200" fontId="2" fillId="0" borderId="33" xfId="0" applyNumberFormat="1" applyFont="1" applyFill="1" applyBorder="1" applyAlignment="1" applyProtection="1">
      <alignment horizontal="right"/>
    </xf>
    <xf numFmtId="37" fontId="94" fillId="0" borderId="33" xfId="0" applyFont="1" applyBorder="1" applyAlignment="1">
      <alignment horizontal="right"/>
    </xf>
    <xf numFmtId="37" fontId="94" fillId="0" borderId="11" xfId="0" applyFont="1" applyBorder="1" applyAlignment="1">
      <alignment horizontal="right"/>
    </xf>
    <xf numFmtId="179" fontId="2" fillId="0" borderId="0" xfId="78" applyNumberFormat="1" applyFont="1" applyBorder="1" applyAlignment="1">
      <alignment horizontal="right"/>
    </xf>
    <xf numFmtId="5" fontId="0" fillId="0" borderId="0" xfId="78" applyNumberFormat="1" applyFont="1" applyBorder="1"/>
    <xf numFmtId="7" fontId="0" fillId="0" borderId="0" xfId="78" applyNumberFormat="1" applyFont="1" applyBorder="1"/>
    <xf numFmtId="49" fontId="0" fillId="0" borderId="0" xfId="0" applyNumberFormat="1"/>
    <xf numFmtId="37" fontId="98" fillId="0" borderId="46" xfId="0" applyFont="1" applyFill="1" applyBorder="1" applyAlignment="1">
      <alignment horizontal="right"/>
    </xf>
    <xf numFmtId="5" fontId="2" fillId="0" borderId="0" xfId="0" applyNumberFormat="1" applyFont="1" applyFill="1" applyBorder="1" applyAlignment="1" applyProtection="1">
      <alignment horizontal="right"/>
    </xf>
    <xf numFmtId="7" fontId="98" fillId="0" borderId="0" xfId="0" applyNumberFormat="1" applyFont="1"/>
    <xf numFmtId="5" fontId="21" fillId="0" borderId="0" xfId="78" applyNumberFormat="1" applyFont="1" applyFill="1" applyBorder="1" applyAlignment="1">
      <alignment horizontal="right"/>
    </xf>
    <xf numFmtId="37" fontId="98" fillId="0" borderId="0" xfId="0" applyFont="1" applyBorder="1" applyAlignment="1">
      <alignment horizontal="right"/>
    </xf>
    <xf numFmtId="167" fontId="92" fillId="0" borderId="0" xfId="78" applyNumberFormat="1" applyFont="1" applyBorder="1" applyAlignment="1">
      <alignment horizontal="right"/>
    </xf>
    <xf numFmtId="37" fontId="21" fillId="0" borderId="43" xfId="0" applyFont="1" applyBorder="1"/>
    <xf numFmtId="5" fontId="21" fillId="0" borderId="0" xfId="78" applyNumberFormat="1" applyFont="1" applyBorder="1"/>
    <xf numFmtId="167" fontId="18" fillId="0" borderId="0" xfId="78" applyNumberFormat="1" applyFont="1" applyBorder="1" applyAlignment="1">
      <alignment horizontal="right"/>
    </xf>
    <xf numFmtId="167" fontId="98" fillId="0" borderId="0" xfId="78" applyNumberFormat="1" applyFont="1" applyBorder="1" applyAlignment="1">
      <alignment horizontal="right"/>
    </xf>
    <xf numFmtId="37" fontId="35" fillId="0" borderId="16" xfId="0" applyNumberFormat="1" applyFont="1" applyBorder="1"/>
    <xf numFmtId="164" fontId="21" fillId="0" borderId="0" xfId="78" applyNumberFormat="1" applyFont="1" applyBorder="1"/>
    <xf numFmtId="37" fontId="2" fillId="16" borderId="7" xfId="0" applyFont="1" applyFill="1" applyBorder="1" applyAlignment="1">
      <alignment horizontal="right"/>
    </xf>
    <xf numFmtId="167" fontId="18" fillId="0" borderId="45" xfId="78" applyNumberFormat="1" applyFont="1" applyBorder="1" applyAlignment="1">
      <alignment horizontal="right"/>
    </xf>
    <xf numFmtId="37" fontId="2" fillId="0" borderId="0" xfId="32" applyNumberFormat="1" applyFont="1" applyFill="1" applyBorder="1" applyAlignment="1">
      <alignment horizontal="right"/>
    </xf>
    <xf numFmtId="165" fontId="21" fillId="0" borderId="0" xfId="0" applyNumberFormat="1" applyFont="1" applyBorder="1" applyAlignment="1" applyProtection="1">
      <alignment horizontal="right"/>
    </xf>
    <xf numFmtId="37" fontId="21" fillId="0" borderId="0" xfId="0" applyNumberFormat="1" applyFont="1" applyBorder="1" applyAlignment="1" applyProtection="1">
      <alignment horizontal="right"/>
    </xf>
    <xf numFmtId="200" fontId="21" fillId="0" borderId="46" xfId="0" applyNumberFormat="1" applyFont="1" applyFill="1" applyBorder="1"/>
    <xf numFmtId="165" fontId="37" fillId="0" borderId="38" xfId="32" applyNumberFormat="1" applyFont="1" applyFill="1" applyBorder="1" applyAlignment="1">
      <alignment horizontal="right"/>
    </xf>
    <xf numFmtId="165" fontId="37" fillId="0" borderId="64" xfId="32" applyNumberFormat="1" applyFont="1" applyFill="1" applyBorder="1" applyAlignment="1">
      <alignment horizontal="right"/>
    </xf>
    <xf numFmtId="37" fontId="21" fillId="0" borderId="14" xfId="0" applyNumberFormat="1" applyFont="1" applyFill="1" applyBorder="1" applyAlignment="1" applyProtection="1">
      <alignment horizontal="right"/>
    </xf>
    <xf numFmtId="37" fontId="21" fillId="0" borderId="14" xfId="0" applyNumberFormat="1" applyFont="1" applyFill="1" applyBorder="1" applyAlignment="1">
      <alignment horizontal="right"/>
    </xf>
    <xf numFmtId="37" fontId="37" fillId="0" borderId="14" xfId="0" applyNumberFormat="1" applyFont="1" applyBorder="1" applyAlignment="1" applyProtection="1">
      <alignment horizontal="right"/>
    </xf>
    <xf numFmtId="37" fontId="2" fillId="0" borderId="14" xfId="0" applyNumberFormat="1" applyFont="1" applyFill="1" applyBorder="1" applyAlignment="1">
      <alignment horizontal="right"/>
    </xf>
    <xf numFmtId="37" fontId="2" fillId="0" borderId="38" xfId="0" applyNumberFormat="1" applyFont="1" applyFill="1" applyBorder="1" applyAlignment="1">
      <alignment horizontal="right"/>
    </xf>
    <xf numFmtId="37" fontId="38" fillId="0" borderId="45" xfId="0" applyNumberFormat="1" applyFont="1" applyBorder="1" applyAlignment="1">
      <alignment horizontal="right"/>
    </xf>
    <xf numFmtId="37" fontId="38" fillId="0" borderId="46" xfId="0" applyNumberFormat="1" applyFont="1" applyBorder="1" applyAlignment="1">
      <alignment horizontal="right"/>
    </xf>
    <xf numFmtId="37" fontId="21" fillId="0" borderId="14" xfId="0" applyNumberFormat="1" applyFont="1" applyBorder="1" applyAlignment="1">
      <alignment horizontal="right"/>
    </xf>
    <xf numFmtId="37" fontId="21" fillId="0" borderId="45" xfId="0" quotePrefix="1" applyNumberFormat="1" applyFont="1" applyBorder="1" applyAlignment="1">
      <alignment horizontal="right"/>
    </xf>
    <xf numFmtId="37" fontId="2" fillId="0" borderId="14" xfId="0" applyNumberFormat="1" applyFont="1" applyFill="1" applyBorder="1" applyAlignment="1" applyProtection="1">
      <alignment horizontal="right"/>
    </xf>
    <xf numFmtId="37" fontId="21" fillId="0" borderId="38" xfId="0" applyNumberFormat="1" applyFont="1" applyFill="1" applyBorder="1" applyAlignment="1">
      <alignment horizontal="right"/>
    </xf>
    <xf numFmtId="37" fontId="21" fillId="16" borderId="14" xfId="0" applyNumberFormat="1" applyFont="1" applyFill="1" applyBorder="1" applyAlignment="1">
      <alignment horizontal="right"/>
    </xf>
    <xf numFmtId="37" fontId="21" fillId="16" borderId="38" xfId="0" applyNumberFormat="1" applyFont="1" applyFill="1" applyBorder="1" applyAlignment="1">
      <alignment horizontal="right"/>
    </xf>
    <xf numFmtId="167" fontId="0" fillId="0" borderId="0" xfId="0" applyNumberFormat="1"/>
    <xf numFmtId="6" fontId="63" fillId="20" borderId="13" xfId="71" applyNumberFormat="1" applyFont="1" applyFill="1" applyBorder="1"/>
    <xf numFmtId="3" fontId="89" fillId="0" borderId="45" xfId="78" applyNumberFormat="1" applyFont="1" applyBorder="1"/>
    <xf numFmtId="37" fontId="99" fillId="0" borderId="0" xfId="0" applyFont="1" applyFill="1" applyBorder="1"/>
    <xf numFmtId="37" fontId="99" fillId="0" borderId="0" xfId="0" applyFont="1" applyBorder="1"/>
    <xf numFmtId="37" fontId="100" fillId="0" borderId="0" xfId="0" applyFont="1" applyBorder="1"/>
    <xf numFmtId="37" fontId="100" fillId="0" borderId="7" xfId="0" applyFont="1" applyBorder="1" applyAlignment="1">
      <alignment horizontal="right"/>
    </xf>
    <xf numFmtId="37" fontId="100" fillId="0" borderId="0" xfId="0" applyFont="1" applyFill="1" applyBorder="1"/>
    <xf numFmtId="37" fontId="100" fillId="0" borderId="0" xfId="0" applyNumberFormat="1" applyFont="1" applyBorder="1"/>
    <xf numFmtId="7" fontId="99" fillId="19" borderId="0" xfId="38" applyNumberFormat="1" applyFont="1" applyFill="1" applyBorder="1" applyProtection="1"/>
    <xf numFmtId="38" fontId="100" fillId="0" borderId="11" xfId="38" applyNumberFormat="1" applyFont="1" applyBorder="1"/>
    <xf numFmtId="38" fontId="100" fillId="0" borderId="0" xfId="38" applyNumberFormat="1" applyFont="1" applyBorder="1"/>
    <xf numFmtId="37" fontId="100" fillId="0" borderId="7" xfId="0" applyFont="1" applyBorder="1"/>
    <xf numFmtId="167" fontId="100" fillId="0" borderId="0" xfId="0" applyNumberFormat="1" applyFont="1" applyBorder="1" applyProtection="1"/>
    <xf numFmtId="37" fontId="100" fillId="0" borderId="11" xfId="0" applyFont="1" applyBorder="1"/>
    <xf numFmtId="37" fontId="100" fillId="0" borderId="0" xfId="0" applyNumberFormat="1" applyFont="1" applyBorder="1" applyProtection="1"/>
    <xf numFmtId="37" fontId="100" fillId="0" borderId="0" xfId="0" applyFont="1" applyFill="1" applyBorder="1" applyAlignment="1" applyProtection="1">
      <alignment horizontal="right"/>
    </xf>
    <xf numFmtId="37" fontId="100" fillId="0" borderId="0" xfId="0" applyFont="1" applyFill="1" applyBorder="1" applyAlignment="1">
      <alignment horizontal="right"/>
    </xf>
    <xf numFmtId="37" fontId="100" fillId="0" borderId="7" xfId="0" applyFont="1" applyFill="1" applyBorder="1" applyAlignment="1">
      <alignment horizontal="right"/>
    </xf>
    <xf numFmtId="37" fontId="100" fillId="16" borderId="0" xfId="0" applyFont="1" applyFill="1" applyBorder="1" applyAlignment="1">
      <alignment horizontal="right"/>
    </xf>
    <xf numFmtId="8" fontId="100" fillId="0" borderId="0" xfId="0" applyNumberFormat="1" applyFont="1" applyBorder="1" applyAlignment="1">
      <alignment horizontal="right"/>
    </xf>
    <xf numFmtId="37" fontId="100" fillId="0" borderId="0" xfId="0" applyFont="1" applyBorder="1" applyAlignment="1">
      <alignment horizontal="right"/>
    </xf>
    <xf numFmtId="37" fontId="37" fillId="17" borderId="0" xfId="0" quotePrefix="1" applyFont="1" applyFill="1" applyBorder="1" applyAlignment="1">
      <alignment horizontal="center"/>
    </xf>
    <xf numFmtId="37" fontId="37" fillId="0" borderId="13" xfId="32" applyNumberFormat="1" applyFont="1" applyFill="1" applyBorder="1" applyAlignment="1">
      <alignment horizontal="left"/>
    </xf>
    <xf numFmtId="37" fontId="37" fillId="0" borderId="14" xfId="32" applyNumberFormat="1" applyFont="1" applyFill="1" applyBorder="1" applyAlignment="1">
      <alignment horizontal="left"/>
    </xf>
    <xf numFmtId="37" fontId="37" fillId="0" borderId="0" xfId="32" applyNumberFormat="1" applyFont="1" applyFill="1" applyBorder="1" applyAlignment="1">
      <alignment horizontal="left"/>
    </xf>
    <xf numFmtId="200" fontId="37" fillId="0" borderId="0" xfId="32" applyNumberFormat="1" applyFont="1" applyFill="1" applyBorder="1" applyAlignment="1">
      <alignment horizontal="right"/>
    </xf>
    <xf numFmtId="37" fontId="37" fillId="0" borderId="27" xfId="32" applyNumberFormat="1" applyFont="1" applyFill="1" applyBorder="1" applyAlignment="1">
      <alignment horizontal="right"/>
    </xf>
    <xf numFmtId="37" fontId="37" fillId="0" borderId="0" xfId="32" applyNumberFormat="1" applyFont="1" applyFill="1" applyBorder="1" applyAlignment="1">
      <alignment horizontal="right"/>
    </xf>
    <xf numFmtId="37" fontId="37" fillId="0" borderId="26" xfId="32" applyNumberFormat="1" applyFont="1" applyFill="1" applyBorder="1" applyAlignment="1">
      <alignment horizontal="right"/>
    </xf>
    <xf numFmtId="200" fontId="37" fillId="0" borderId="45" xfId="32" applyNumberFormat="1" applyFont="1" applyFill="1" applyBorder="1" applyAlignment="1">
      <alignment horizontal="right"/>
    </xf>
    <xf numFmtId="200" fontId="37" fillId="0" borderId="31" xfId="32" applyNumberFormat="1" applyFont="1" applyFill="1" applyBorder="1" applyAlignment="1">
      <alignment horizontal="right"/>
    </xf>
    <xf numFmtId="200" fontId="37" fillId="0" borderId="47" xfId="32" applyNumberFormat="1" applyFont="1" applyFill="1" applyBorder="1" applyAlignment="1">
      <alignment horizontal="right"/>
    </xf>
    <xf numFmtId="3" fontId="100" fillId="0" borderId="0" xfId="0" applyNumberFormat="1" applyFont="1" applyBorder="1" applyProtection="1"/>
    <xf numFmtId="167" fontId="101" fillId="0" borderId="0" xfId="78" applyNumberFormat="1" applyFont="1" applyFill="1" applyBorder="1" applyAlignment="1">
      <alignment horizontal="right"/>
    </xf>
    <xf numFmtId="10" fontId="100" fillId="0" borderId="0" xfId="0" applyNumberFormat="1" applyFont="1" applyFill="1" applyBorder="1" applyAlignment="1" applyProtection="1">
      <alignment horizontal="right"/>
    </xf>
    <xf numFmtId="167" fontId="101" fillId="0" borderId="0" xfId="0" applyNumberFormat="1" applyFont="1" applyFill="1" applyBorder="1" applyAlignment="1" applyProtection="1">
      <alignment horizontal="right"/>
    </xf>
    <xf numFmtId="167" fontId="100" fillId="0" borderId="0" xfId="78" applyNumberFormat="1" applyFont="1" applyFill="1" applyBorder="1" applyAlignment="1">
      <alignment horizontal="right"/>
    </xf>
    <xf numFmtId="167" fontId="100" fillId="0" borderId="7" xfId="78" applyNumberFormat="1" applyFont="1" applyFill="1" applyBorder="1" applyAlignment="1">
      <alignment horizontal="right"/>
    </xf>
    <xf numFmtId="167" fontId="100" fillId="0" borderId="0" xfId="78" applyNumberFormat="1" applyFont="1" applyBorder="1" applyAlignment="1">
      <alignment horizontal="right"/>
    </xf>
    <xf numFmtId="167" fontId="101" fillId="0" borderId="11" xfId="78" applyNumberFormat="1" applyFont="1" applyBorder="1" applyAlignment="1">
      <alignment horizontal="right"/>
    </xf>
    <xf numFmtId="169" fontId="0" fillId="0" borderId="0" xfId="0" applyNumberFormat="1"/>
    <xf numFmtId="37" fontId="21" fillId="0" borderId="44" xfId="0" applyFont="1" applyBorder="1"/>
    <xf numFmtId="37" fontId="37" fillId="17" borderId="14" xfId="0" applyFont="1" applyFill="1" applyBorder="1"/>
    <xf numFmtId="167" fontId="18" fillId="0" borderId="13" xfId="0" applyNumberFormat="1" applyFont="1" applyBorder="1"/>
    <xf numFmtId="167" fontId="18" fillId="0" borderId="14" xfId="0" applyNumberFormat="1" applyFont="1" applyBorder="1"/>
    <xf numFmtId="167" fontId="21" fillId="0" borderId="13" xfId="78" applyNumberFormat="1" applyFont="1" applyBorder="1"/>
    <xf numFmtId="167" fontId="21" fillId="0" borderId="14" xfId="78" applyNumberFormat="1" applyFont="1" applyBorder="1"/>
    <xf numFmtId="37" fontId="21" fillId="0" borderId="13" xfId="0" applyNumberFormat="1" applyFont="1" applyFill="1" applyBorder="1"/>
    <xf numFmtId="37" fontId="21" fillId="0" borderId="14" xfId="0" applyNumberFormat="1" applyFont="1" applyFill="1" applyBorder="1"/>
    <xf numFmtId="37" fontId="21" fillId="0" borderId="39" xfId="0" applyFont="1" applyFill="1" applyBorder="1"/>
    <xf numFmtId="37" fontId="21" fillId="0" borderId="38" xfId="0" applyFont="1" applyFill="1" applyBorder="1"/>
    <xf numFmtId="37" fontId="21" fillId="0" borderId="13" xfId="0" applyFont="1" applyBorder="1" applyProtection="1"/>
    <xf numFmtId="10" fontId="21" fillId="0" borderId="13" xfId="78" applyNumberFormat="1" applyFont="1" applyFill="1" applyBorder="1"/>
    <xf numFmtId="10" fontId="21" fillId="0" borderId="14" xfId="78" applyNumberFormat="1" applyFont="1" applyFill="1" applyBorder="1"/>
    <xf numFmtId="10" fontId="21" fillId="0" borderId="14" xfId="78" applyNumberFormat="1" applyFont="1" applyBorder="1"/>
    <xf numFmtId="37" fontId="37" fillId="17" borderId="13" xfId="0" applyFont="1" applyFill="1" applyBorder="1" applyAlignment="1">
      <alignment horizontal="right"/>
    </xf>
    <xf numFmtId="37" fontId="37" fillId="17" borderId="14" xfId="0" applyFont="1" applyFill="1" applyBorder="1" applyAlignment="1">
      <alignment horizontal="right"/>
    </xf>
    <xf numFmtId="37" fontId="37" fillId="0" borderId="13" xfId="0" applyFont="1" applyFill="1" applyBorder="1" applyAlignment="1">
      <alignment horizontal="right"/>
    </xf>
    <xf numFmtId="37" fontId="37" fillId="0" borderId="14" xfId="0" applyFont="1" applyFill="1" applyBorder="1" applyAlignment="1">
      <alignment horizontal="right"/>
    </xf>
    <xf numFmtId="3" fontId="21" fillId="0" borderId="14" xfId="0" applyNumberFormat="1" applyFont="1" applyBorder="1" applyProtection="1"/>
    <xf numFmtId="167" fontId="18" fillId="0" borderId="14" xfId="0" applyNumberFormat="1" applyFont="1" applyBorder="1" applyProtection="1"/>
    <xf numFmtId="167" fontId="41" fillId="17" borderId="14" xfId="0" applyNumberFormat="1" applyFont="1" applyFill="1" applyBorder="1" applyAlignment="1" applyProtection="1">
      <alignment horizontal="right"/>
    </xf>
    <xf numFmtId="37" fontId="35" fillId="0" borderId="13" xfId="0" applyFont="1" applyFill="1" applyBorder="1" applyAlignment="1">
      <alignment horizontal="right"/>
    </xf>
    <xf numFmtId="37" fontId="35" fillId="0" borderId="14" xfId="0" applyFont="1" applyFill="1" applyBorder="1" applyAlignment="1">
      <alignment horizontal="right"/>
    </xf>
    <xf numFmtId="200" fontId="21" fillId="0" borderId="14" xfId="0" applyNumberFormat="1" applyFont="1" applyBorder="1" applyAlignment="1">
      <alignment horizontal="right"/>
    </xf>
    <xf numFmtId="183" fontId="48" fillId="0" borderId="13" xfId="78" applyNumberFormat="1" applyFont="1" applyBorder="1"/>
    <xf numFmtId="183" fontId="48" fillId="0" borderId="0" xfId="78" applyNumberFormat="1" applyFont="1" applyBorder="1"/>
    <xf numFmtId="183" fontId="48" fillId="0" borderId="14" xfId="78" applyNumberFormat="1" applyFont="1" applyBorder="1"/>
    <xf numFmtId="200" fontId="37" fillId="0" borderId="15" xfId="0" applyNumberFormat="1" applyFont="1" applyBorder="1"/>
    <xf numFmtId="200" fontId="37" fillId="0" borderId="17" xfId="0" applyNumberFormat="1" applyFont="1" applyBorder="1"/>
    <xf numFmtId="7" fontId="37" fillId="19" borderId="10" xfId="43" applyNumberFormat="1" applyFont="1" applyFill="1" applyBorder="1"/>
    <xf numFmtId="7" fontId="37" fillId="19" borderId="12" xfId="43" applyNumberFormat="1" applyFont="1" applyFill="1" applyBorder="1"/>
    <xf numFmtId="7" fontId="37" fillId="19" borderId="13" xfId="43" applyNumberFormat="1" applyFont="1" applyFill="1" applyBorder="1"/>
    <xf numFmtId="7" fontId="37" fillId="19" borderId="14" xfId="43" applyNumberFormat="1" applyFont="1" applyFill="1" applyBorder="1"/>
    <xf numFmtId="7" fontId="37" fillId="19" borderId="15" xfId="43" applyNumberFormat="1" applyFont="1" applyFill="1" applyBorder="1"/>
    <xf numFmtId="7" fontId="37" fillId="19" borderId="17" xfId="43" applyNumberFormat="1" applyFont="1" applyFill="1" applyBorder="1"/>
    <xf numFmtId="37" fontId="21" fillId="0" borderId="20" xfId="0" applyFont="1" applyBorder="1"/>
    <xf numFmtId="37" fontId="21" fillId="0" borderId="10" xfId="0" applyFont="1" applyFill="1" applyBorder="1"/>
    <xf numFmtId="37" fontId="21" fillId="0" borderId="12" xfId="0" applyFont="1" applyFill="1" applyBorder="1"/>
    <xf numFmtId="37" fontId="21" fillId="0" borderId="15" xfId="0" applyFont="1" applyBorder="1" applyProtection="1"/>
    <xf numFmtId="37" fontId="21" fillId="0" borderId="17" xfId="0" applyFont="1" applyBorder="1" applyProtection="1"/>
    <xf numFmtId="167" fontId="21" fillId="0" borderId="10" xfId="78" applyNumberFormat="1" applyFont="1" applyBorder="1"/>
    <xf numFmtId="167" fontId="21" fillId="0" borderId="12" xfId="78" applyNumberFormat="1" applyFont="1" applyBorder="1"/>
    <xf numFmtId="10" fontId="21" fillId="0" borderId="15" xfId="78" applyNumberFormat="1" applyFont="1" applyBorder="1"/>
    <xf numFmtId="10" fontId="21" fillId="0" borderId="17" xfId="78" applyNumberFormat="1" applyFont="1" applyBorder="1"/>
    <xf numFmtId="37" fontId="21" fillId="0" borderId="10" xfId="0" applyFont="1" applyBorder="1" applyProtection="1"/>
    <xf numFmtId="37" fontId="21" fillId="0" borderId="12" xfId="0" applyFont="1" applyBorder="1" applyProtection="1"/>
    <xf numFmtId="37" fontId="21" fillId="0" borderId="13" xfId="0" applyFont="1" applyBorder="1" applyAlignment="1" applyProtection="1">
      <alignment horizontal="right"/>
    </xf>
    <xf numFmtId="37" fontId="21" fillId="0" borderId="14" xfId="0" applyFont="1" applyBorder="1" applyAlignment="1" applyProtection="1">
      <alignment horizontal="right"/>
    </xf>
    <xf numFmtId="7" fontId="21" fillId="0" borderId="13" xfId="0" applyNumberFormat="1" applyFont="1" applyBorder="1"/>
    <xf numFmtId="7" fontId="21" fillId="0" borderId="14" xfId="0" applyNumberFormat="1" applyFont="1" applyBorder="1"/>
    <xf numFmtId="37" fontId="21" fillId="0" borderId="13" xfId="0" applyNumberFormat="1" applyFont="1" applyBorder="1" applyProtection="1"/>
    <xf numFmtId="37" fontId="21" fillId="0" borderId="14" xfId="0" applyNumberFormat="1" applyFont="1" applyBorder="1" applyProtection="1"/>
    <xf numFmtId="195" fontId="21" fillId="0" borderId="13" xfId="0" applyNumberFormat="1" applyFont="1" applyBorder="1" applyProtection="1"/>
    <xf numFmtId="195" fontId="21" fillId="0" borderId="14" xfId="0" applyNumberFormat="1" applyFont="1" applyBorder="1" applyProtection="1"/>
    <xf numFmtId="37" fontId="21" fillId="0" borderId="15" xfId="0" applyNumberFormat="1" applyFont="1" applyBorder="1" applyProtection="1"/>
    <xf numFmtId="37" fontId="21" fillId="0" borderId="17" xfId="0" applyNumberFormat="1" applyFont="1" applyBorder="1" applyProtection="1"/>
    <xf numFmtId="37" fontId="38" fillId="17" borderId="10" xfId="0" applyFont="1" applyFill="1" applyBorder="1"/>
    <xf numFmtId="37" fontId="38" fillId="17" borderId="11" xfId="0" applyFont="1" applyFill="1" applyBorder="1"/>
    <xf numFmtId="37" fontId="38" fillId="17" borderId="12" xfId="0" applyFont="1" applyFill="1" applyBorder="1"/>
    <xf numFmtId="167" fontId="38" fillId="0" borderId="11" xfId="78" applyNumberFormat="1" applyFont="1" applyBorder="1" applyAlignment="1">
      <alignment horizontal="right"/>
    </xf>
    <xf numFmtId="167" fontId="38" fillId="0" borderId="12" xfId="78" applyNumberFormat="1" applyFont="1" applyBorder="1" applyAlignment="1">
      <alignment horizontal="right"/>
    </xf>
    <xf numFmtId="200" fontId="49" fillId="0" borderId="0" xfId="0" quotePrefix="1" applyNumberFormat="1" applyFont="1" applyBorder="1" applyAlignment="1" applyProtection="1">
      <alignment horizontal="right"/>
    </xf>
    <xf numFmtId="195" fontId="37" fillId="0" borderId="0" xfId="0" applyNumberFormat="1" applyFont="1" applyBorder="1" applyAlignment="1" applyProtection="1">
      <alignment horizontal="right"/>
    </xf>
    <xf numFmtId="37" fontId="21" fillId="0" borderId="12" xfId="0" applyFont="1" applyFill="1" applyBorder="1" applyAlignment="1">
      <alignment horizontal="right"/>
    </xf>
    <xf numFmtId="195" fontId="21" fillId="0" borderId="14" xfId="0" applyNumberFormat="1" applyFont="1" applyFill="1" applyBorder="1" applyAlignment="1">
      <alignment horizontal="right"/>
    </xf>
    <xf numFmtId="195" fontId="21" fillId="0" borderId="44" xfId="0" applyNumberFormat="1" applyFont="1" applyFill="1" applyBorder="1" applyAlignment="1">
      <alignment horizontal="right"/>
    </xf>
    <xf numFmtId="167" fontId="21" fillId="0" borderId="44" xfId="78" applyNumberFormat="1" applyFont="1" applyBorder="1" applyAlignment="1">
      <alignment horizontal="right"/>
    </xf>
    <xf numFmtId="191" fontId="21" fillId="0" borderId="17" xfId="63" applyFont="1" applyFill="1" applyBorder="1" applyAlignment="1">
      <alignment horizontal="right"/>
    </xf>
    <xf numFmtId="201" fontId="21" fillId="0" borderId="14" xfId="38" applyNumberFormat="1" applyFont="1" applyBorder="1" applyAlignment="1">
      <alignment horizontal="right"/>
    </xf>
    <xf numFmtId="195" fontId="21" fillId="0" borderId="17" xfId="0" applyNumberFormat="1" applyFont="1" applyBorder="1" applyAlignment="1">
      <alignment horizontal="right"/>
    </xf>
    <xf numFmtId="195" fontId="21" fillId="0" borderId="20" xfId="0" applyNumberFormat="1" applyFont="1" applyBorder="1" applyAlignment="1">
      <alignment horizontal="right"/>
    </xf>
    <xf numFmtId="200" fontId="21" fillId="0" borderId="13" xfId="0" applyNumberFormat="1" applyFont="1" applyBorder="1" applyAlignment="1">
      <alignment horizontal="right"/>
    </xf>
    <xf numFmtId="37" fontId="37" fillId="0" borderId="48" xfId="32" applyNumberFormat="1" applyFont="1" applyFill="1" applyBorder="1" applyAlignment="1">
      <alignment horizontal="right"/>
    </xf>
    <xf numFmtId="37" fontId="37" fillId="0" borderId="63" xfId="32" applyNumberFormat="1" applyFont="1" applyFill="1" applyBorder="1" applyAlignment="1">
      <alignment horizontal="right"/>
    </xf>
    <xf numFmtId="200" fontId="37" fillId="0" borderId="48" xfId="32" applyNumberFormat="1" applyFont="1" applyFill="1" applyBorder="1" applyAlignment="1">
      <alignment horizontal="right"/>
    </xf>
    <xf numFmtId="200" fontId="37" fillId="0" borderId="63" xfId="32" applyNumberFormat="1" applyFont="1" applyFill="1" applyBorder="1" applyAlignment="1">
      <alignment horizontal="right"/>
    </xf>
    <xf numFmtId="200" fontId="37" fillId="0" borderId="13" xfId="32" applyNumberFormat="1" applyFont="1" applyFill="1" applyBorder="1" applyAlignment="1">
      <alignment horizontal="right"/>
    </xf>
    <xf numFmtId="200" fontId="37" fillId="0" borderId="14" xfId="32" applyNumberFormat="1" applyFont="1" applyFill="1" applyBorder="1" applyAlignment="1">
      <alignment horizontal="right"/>
    </xf>
    <xf numFmtId="183" fontId="48" fillId="0" borderId="10" xfId="78" applyNumberFormat="1" applyFont="1" applyBorder="1"/>
    <xf numFmtId="183" fontId="48" fillId="0" borderId="11" xfId="78" applyNumberFormat="1" applyFont="1" applyBorder="1"/>
    <xf numFmtId="183" fontId="48" fillId="0" borderId="12" xfId="78" applyNumberFormat="1" applyFont="1" applyBorder="1"/>
    <xf numFmtId="37" fontId="98" fillId="0" borderId="39" xfId="0" applyFont="1" applyFill="1" applyBorder="1" applyAlignment="1">
      <alignment horizontal="right"/>
    </xf>
    <xf numFmtId="37" fontId="98" fillId="0" borderId="7" xfId="0" applyFont="1" applyFill="1" applyBorder="1" applyAlignment="1">
      <alignment horizontal="right"/>
    </xf>
    <xf numFmtId="37" fontId="98" fillId="0" borderId="38" xfId="0" applyFont="1" applyFill="1" applyBorder="1" applyAlignment="1">
      <alignment horizontal="right"/>
    </xf>
    <xf numFmtId="37" fontId="18" fillId="0" borderId="39" xfId="0" applyFont="1" applyFill="1" applyBorder="1"/>
    <xf numFmtId="37" fontId="18" fillId="0" borderId="38" xfId="0" applyFont="1" applyFill="1" applyBorder="1"/>
    <xf numFmtId="167" fontId="40" fillId="0" borderId="39" xfId="0" applyNumberFormat="1" applyFont="1" applyBorder="1"/>
    <xf numFmtId="200" fontId="21" fillId="0" borderId="39" xfId="0" applyNumberFormat="1" applyFont="1" applyFill="1" applyBorder="1"/>
    <xf numFmtId="200" fontId="21" fillId="0" borderId="38" xfId="0" applyNumberFormat="1" applyFont="1" applyFill="1" applyBorder="1"/>
    <xf numFmtId="37" fontId="35" fillId="0" borderId="13" xfId="0" applyFont="1" applyFill="1" applyBorder="1"/>
    <xf numFmtId="195" fontId="35" fillId="0" borderId="13" xfId="0" applyNumberFormat="1" applyFont="1" applyFill="1" applyBorder="1"/>
    <xf numFmtId="195" fontId="35" fillId="0" borderId="14" xfId="0" applyNumberFormat="1" applyFont="1" applyFill="1" applyBorder="1"/>
    <xf numFmtId="195" fontId="35" fillId="0" borderId="39" xfId="0" applyNumberFormat="1" applyFont="1" applyFill="1" applyBorder="1"/>
    <xf numFmtId="195" fontId="35" fillId="0" borderId="38" xfId="0" applyNumberFormat="1" applyFont="1" applyFill="1" applyBorder="1"/>
    <xf numFmtId="167" fontId="39" fillId="0" borderId="14" xfId="0" applyNumberFormat="1" applyFont="1" applyBorder="1" applyProtection="1"/>
    <xf numFmtId="167" fontId="21" fillId="0" borderId="13" xfId="0" applyNumberFormat="1" applyFont="1" applyFill="1" applyBorder="1" applyProtection="1"/>
    <xf numFmtId="167" fontId="21" fillId="0" borderId="14" xfId="0" applyNumberFormat="1" applyFont="1" applyFill="1" applyBorder="1" applyProtection="1"/>
    <xf numFmtId="37" fontId="35" fillId="0" borderId="10" xfId="0" applyFont="1" applyBorder="1"/>
    <xf numFmtId="37" fontId="35" fillId="0" borderId="12" xfId="0" applyFont="1" applyBorder="1"/>
    <xf numFmtId="196" fontId="2" fillId="0" borderId="15" xfId="0" applyNumberFormat="1" applyFont="1" applyBorder="1"/>
    <xf numFmtId="196" fontId="2" fillId="0" borderId="17" xfId="0" applyNumberFormat="1" applyFont="1" applyBorder="1"/>
    <xf numFmtId="37" fontId="21" fillId="0" borderId="14" xfId="0" applyNumberFormat="1" applyFont="1" applyBorder="1" applyAlignment="1" applyProtection="1">
      <alignment horizontal="right"/>
    </xf>
    <xf numFmtId="37" fontId="37" fillId="0" borderId="0" xfId="0" applyNumberFormat="1" applyFont="1" applyBorder="1" applyAlignment="1" applyProtection="1">
      <alignment horizontal="right"/>
    </xf>
    <xf numFmtId="37" fontId="2" fillId="0" borderId="0" xfId="0" applyNumberFormat="1" applyFont="1" applyFill="1" applyBorder="1" applyAlignment="1">
      <alignment horizontal="right"/>
    </xf>
    <xf numFmtId="37" fontId="2" fillId="0" borderId="7" xfId="0" applyNumberFormat="1" applyFont="1" applyFill="1" applyBorder="1" applyAlignment="1">
      <alignment horizontal="right"/>
    </xf>
    <xf numFmtId="37" fontId="38" fillId="0" borderId="0" xfId="0" applyNumberFormat="1" applyFont="1" applyBorder="1" applyAlignment="1">
      <alignment horizontal="right"/>
    </xf>
    <xf numFmtId="37" fontId="38" fillId="0" borderId="14" xfId="0" applyNumberFormat="1" applyFont="1" applyBorder="1" applyAlignment="1">
      <alignment horizontal="right"/>
    </xf>
    <xf numFmtId="37" fontId="38" fillId="0" borderId="7" xfId="0" applyNumberFormat="1" applyFont="1" applyBorder="1" applyAlignment="1">
      <alignment horizontal="right"/>
    </xf>
    <xf numFmtId="37" fontId="38" fillId="0" borderId="38" xfId="0" applyNumberFormat="1" applyFont="1" applyBorder="1" applyAlignment="1">
      <alignment horizontal="right"/>
    </xf>
    <xf numFmtId="165" fontId="37" fillId="0" borderId="7" xfId="32" applyNumberFormat="1" applyFont="1" applyFill="1" applyBorder="1" applyAlignment="1">
      <alignment horizontal="right"/>
    </xf>
    <xf numFmtId="37" fontId="21" fillId="0" borderId="0" xfId="0" quotePrefix="1" applyNumberFormat="1" applyFont="1" applyBorder="1" applyAlignment="1">
      <alignment horizontal="right"/>
    </xf>
    <xf numFmtId="37" fontId="21" fillId="0" borderId="14" xfId="0" quotePrefix="1" applyNumberFormat="1" applyFont="1" applyBorder="1" applyAlignment="1">
      <alignment horizontal="right"/>
    </xf>
    <xf numFmtId="37" fontId="2" fillId="0" borderId="0" xfId="0" applyNumberFormat="1" applyFont="1" applyFill="1" applyBorder="1" applyAlignment="1" applyProtection="1">
      <alignment horizontal="right"/>
    </xf>
    <xf numFmtId="37" fontId="21" fillId="0" borderId="7" xfId="0" applyNumberFormat="1" applyFont="1" applyFill="1" applyBorder="1" applyAlignment="1">
      <alignment horizontal="right"/>
    </xf>
    <xf numFmtId="37" fontId="21" fillId="16" borderId="0" xfId="0" applyNumberFormat="1" applyFont="1" applyFill="1" applyBorder="1" applyAlignment="1">
      <alignment horizontal="right"/>
    </xf>
    <xf numFmtId="37" fontId="21" fillId="16" borderId="7" xfId="0" applyNumberFormat="1" applyFont="1" applyFill="1" applyBorder="1" applyAlignment="1">
      <alignment horizontal="right"/>
    </xf>
    <xf numFmtId="165" fontId="37" fillId="0" borderId="50" xfId="32" applyNumberFormat="1" applyFont="1" applyFill="1" applyBorder="1" applyAlignment="1">
      <alignment horizontal="right"/>
    </xf>
    <xf numFmtId="196" fontId="90" fillId="0" borderId="16" xfId="38" applyNumberFormat="1" applyFont="1" applyBorder="1" applyAlignment="1">
      <alignment horizontal="right"/>
    </xf>
    <xf numFmtId="196" fontId="90" fillId="0" borderId="17" xfId="38" applyNumberFormat="1" applyFont="1" applyBorder="1" applyAlignment="1">
      <alignment horizontal="right"/>
    </xf>
    <xf numFmtId="37" fontId="35" fillId="0" borderId="13" xfId="0" applyFont="1" applyBorder="1" applyAlignment="1">
      <alignment horizontal="right"/>
    </xf>
    <xf numFmtId="37" fontId="35" fillId="0" borderId="14" xfId="0" applyFont="1" applyBorder="1" applyAlignment="1">
      <alignment horizontal="right"/>
    </xf>
    <xf numFmtId="8" fontId="35" fillId="0" borderId="0" xfId="0" applyNumberFormat="1" applyFont="1" applyFill="1" applyBorder="1" applyAlignment="1">
      <alignment horizontal="right"/>
    </xf>
    <xf numFmtId="8" fontId="35" fillId="0" borderId="14" xfId="0" applyNumberFormat="1" applyFont="1" applyFill="1" applyBorder="1" applyAlignment="1">
      <alignment horizontal="right"/>
    </xf>
    <xf numFmtId="9" fontId="35" fillId="14" borderId="8" xfId="0" applyNumberFormat="1" applyFont="1" applyFill="1" applyBorder="1" applyAlignment="1" applyProtection="1">
      <alignment horizontal="right"/>
    </xf>
    <xf numFmtId="9" fontId="35" fillId="14" borderId="63" xfId="0" applyNumberFormat="1" applyFont="1" applyFill="1" applyBorder="1" applyAlignment="1" applyProtection="1">
      <alignment horizontal="right"/>
    </xf>
    <xf numFmtId="37" fontId="35" fillId="0" borderId="13" xfId="0" applyNumberFormat="1" applyFont="1" applyFill="1" applyBorder="1" applyAlignment="1">
      <alignment horizontal="right"/>
    </xf>
    <xf numFmtId="37" fontId="35" fillId="0" borderId="14" xfId="0" applyNumberFormat="1" applyFont="1" applyFill="1" applyBorder="1" applyAlignment="1">
      <alignment horizontal="right"/>
    </xf>
    <xf numFmtId="167" fontId="35" fillId="0" borderId="15" xfId="0" applyNumberFormat="1" applyFont="1" applyFill="1" applyBorder="1" applyAlignment="1">
      <alignment horizontal="right"/>
    </xf>
    <xf numFmtId="167" fontId="35" fillId="0" borderId="17" xfId="0" applyNumberFormat="1" applyFont="1" applyFill="1" applyBorder="1" applyAlignment="1">
      <alignment horizontal="right"/>
    </xf>
    <xf numFmtId="37" fontId="37" fillId="0" borderId="13" xfId="0" applyFont="1" applyFill="1" applyBorder="1" applyAlignment="1" applyProtection="1">
      <alignment horizontal="right"/>
    </xf>
    <xf numFmtId="37" fontId="37" fillId="0" borderId="14" xfId="0" applyFont="1" applyFill="1" applyBorder="1" applyAlignment="1" applyProtection="1">
      <alignment horizontal="right"/>
    </xf>
    <xf numFmtId="194" fontId="21" fillId="0" borderId="10" xfId="72" applyNumberFormat="1" applyFont="1" applyBorder="1" applyAlignment="1">
      <alignment horizontal="center"/>
    </xf>
    <xf numFmtId="194" fontId="21" fillId="0" borderId="12" xfId="72" applyNumberFormat="1" applyFont="1" applyBorder="1" applyAlignment="1">
      <alignment horizontal="center"/>
    </xf>
    <xf numFmtId="167" fontId="37" fillId="0" borderId="10" xfId="72" applyNumberFormat="1" applyFont="1" applyBorder="1" applyAlignment="1">
      <alignment horizontal="center"/>
    </xf>
    <xf numFmtId="167" fontId="37" fillId="0" borderId="12" xfId="72" applyNumberFormat="1" applyFont="1" applyBorder="1" applyAlignment="1">
      <alignment horizontal="center"/>
    </xf>
    <xf numFmtId="167" fontId="21" fillId="0" borderId="13" xfId="72" applyNumberFormat="1" applyFont="1" applyBorder="1" applyAlignment="1">
      <alignment horizontal="center"/>
    </xf>
    <xf numFmtId="167" fontId="21" fillId="0" borderId="15" xfId="72" applyNumberFormat="1" applyFont="1" applyBorder="1" applyAlignment="1">
      <alignment horizontal="center"/>
    </xf>
    <xf numFmtId="167" fontId="21" fillId="0" borderId="10" xfId="72" applyNumberFormat="1" applyFont="1" applyBorder="1" applyAlignment="1">
      <alignment horizontal="center"/>
    </xf>
    <xf numFmtId="37" fontId="21" fillId="0" borderId="13" xfId="0" applyFont="1" applyBorder="1" applyAlignment="1">
      <alignment horizontal="center"/>
    </xf>
    <xf numFmtId="37" fontId="21" fillId="0" borderId="15" xfId="0" applyFont="1" applyBorder="1" applyAlignment="1">
      <alignment horizontal="center"/>
    </xf>
    <xf numFmtId="8" fontId="37" fillId="19" borderId="10" xfId="75" applyNumberFormat="1" applyFont="1" applyFill="1" applyBorder="1" applyAlignment="1">
      <alignment horizontal="center"/>
    </xf>
    <xf numFmtId="8" fontId="37" fillId="19" borderId="11" xfId="75" applyNumberFormat="1" applyFont="1" applyFill="1" applyBorder="1" applyAlignment="1">
      <alignment horizontal="center"/>
    </xf>
    <xf numFmtId="8" fontId="37" fillId="19" borderId="12" xfId="75" applyNumberFormat="1" applyFont="1" applyFill="1" applyBorder="1" applyAlignment="1">
      <alignment horizontal="center"/>
    </xf>
    <xf numFmtId="37" fontId="37" fillId="19" borderId="15" xfId="32" applyNumberFormat="1" applyFont="1" applyFill="1" applyBorder="1" applyAlignment="1">
      <alignment horizontal="center"/>
    </xf>
    <xf numFmtId="8" fontId="56" fillId="0" borderId="10" xfId="75" applyNumberFormat="1" applyFont="1" applyFill="1" applyBorder="1" applyAlignment="1">
      <alignment horizontal="center"/>
    </xf>
    <xf numFmtId="8" fontId="56" fillId="0" borderId="12" xfId="75" applyNumberFormat="1" applyFont="1" applyFill="1" applyBorder="1" applyAlignment="1">
      <alignment horizontal="center"/>
    </xf>
    <xf numFmtId="8" fontId="56" fillId="0" borderId="13" xfId="75" applyNumberFormat="1" applyFont="1" applyFill="1" applyBorder="1" applyAlignment="1">
      <alignment horizontal="center"/>
    </xf>
    <xf numFmtId="8" fontId="56" fillId="0" borderId="14" xfId="75" applyNumberFormat="1" applyFont="1" applyFill="1" applyBorder="1" applyAlignment="1">
      <alignment horizontal="center"/>
    </xf>
    <xf numFmtId="5" fontId="21" fillId="0" borderId="13" xfId="0" applyNumberFormat="1" applyFont="1" applyBorder="1"/>
    <xf numFmtId="5" fontId="21" fillId="0" borderId="15" xfId="0" applyNumberFormat="1" applyFont="1" applyBorder="1"/>
    <xf numFmtId="5" fontId="21" fillId="0" borderId="17" xfId="0" applyNumberFormat="1" applyFont="1" applyBorder="1"/>
    <xf numFmtId="10" fontId="21" fillId="0" borderId="10" xfId="75" applyNumberFormat="1" applyFont="1" applyFill="1" applyBorder="1" applyAlignment="1">
      <alignment horizontal="center"/>
    </xf>
    <xf numFmtId="10" fontId="21" fillId="0" borderId="11" xfId="75" applyNumberFormat="1" applyFont="1" applyFill="1" applyBorder="1" applyAlignment="1">
      <alignment horizontal="center"/>
    </xf>
    <xf numFmtId="10" fontId="21" fillId="0" borderId="12" xfId="75" applyNumberFormat="1" applyFont="1" applyFill="1" applyBorder="1" applyAlignment="1">
      <alignment horizontal="center"/>
    </xf>
    <xf numFmtId="10" fontId="21" fillId="0" borderId="13" xfId="75" applyNumberFormat="1" applyFont="1" applyFill="1" applyBorder="1" applyAlignment="1">
      <alignment horizontal="center"/>
    </xf>
    <xf numFmtId="10" fontId="21" fillId="0" borderId="14" xfId="75" applyNumberFormat="1" applyFont="1" applyFill="1" applyBorder="1" applyAlignment="1">
      <alignment horizontal="center"/>
    </xf>
    <xf numFmtId="8" fontId="37" fillId="0" borderId="13" xfId="75" applyNumberFormat="1" applyFont="1" applyFill="1" applyBorder="1" applyAlignment="1">
      <alignment horizontal="center"/>
    </xf>
    <xf numFmtId="8" fontId="37" fillId="0" borderId="14" xfId="75" applyNumberFormat="1" applyFont="1" applyFill="1" applyBorder="1" applyAlignment="1">
      <alignment horizontal="center"/>
    </xf>
    <xf numFmtId="10" fontId="39" fillId="0" borderId="13" xfId="72" applyNumberFormat="1" applyFont="1" applyFill="1" applyBorder="1" applyAlignment="1">
      <alignment horizontal="center"/>
    </xf>
    <xf numFmtId="10" fontId="39" fillId="0" borderId="14" xfId="72" applyNumberFormat="1" applyFont="1" applyFill="1" applyBorder="1" applyAlignment="1">
      <alignment horizontal="center"/>
    </xf>
    <xf numFmtId="10" fontId="21" fillId="0" borderId="14" xfId="72" applyNumberFormat="1" applyFont="1" applyFill="1" applyBorder="1" applyAlignment="1">
      <alignment horizontal="center"/>
    </xf>
    <xf numFmtId="10" fontId="37" fillId="0" borderId="13" xfId="72" applyNumberFormat="1" applyFont="1" applyFill="1" applyBorder="1" applyAlignment="1">
      <alignment horizontal="center"/>
    </xf>
    <xf numFmtId="10" fontId="37" fillId="0" borderId="14" xfId="72" applyNumberFormat="1" applyFont="1" applyFill="1" applyBorder="1" applyAlignment="1">
      <alignment horizontal="center"/>
    </xf>
    <xf numFmtId="37" fontId="37" fillId="17" borderId="20" xfId="0" applyFont="1" applyFill="1" applyBorder="1"/>
    <xf numFmtId="37" fontId="0" fillId="0" borderId="13" xfId="0" applyBorder="1"/>
    <xf numFmtId="37" fontId="0" fillId="0" borderId="15" xfId="0" applyBorder="1"/>
    <xf numFmtId="37" fontId="0" fillId="0" borderId="16" xfId="0" applyBorder="1"/>
    <xf numFmtId="10" fontId="0" fillId="0" borderId="0" xfId="0" applyNumberFormat="1"/>
    <xf numFmtId="10" fontId="0" fillId="0" borderId="33" xfId="0" applyNumberFormat="1" applyBorder="1"/>
    <xf numFmtId="37" fontId="0" fillId="0" borderId="45" xfId="0" applyBorder="1"/>
    <xf numFmtId="37" fontId="0" fillId="0" borderId="34" xfId="0" applyBorder="1"/>
    <xf numFmtId="10" fontId="0" fillId="0" borderId="10" xfId="0" applyNumberFormat="1" applyBorder="1"/>
    <xf numFmtId="10" fontId="0" fillId="0" borderId="11" xfId="0" applyNumberFormat="1" applyBorder="1"/>
    <xf numFmtId="10" fontId="103" fillId="0" borderId="11" xfId="0" applyNumberFormat="1" applyFont="1" applyBorder="1"/>
    <xf numFmtId="0" fontId="43" fillId="17" borderId="18" xfId="3" applyFont="1" applyFill="1" applyBorder="1"/>
    <xf numFmtId="0" fontId="38" fillId="0" borderId="10" xfId="3" applyFont="1" applyFill="1" applyBorder="1"/>
    <xf numFmtId="0" fontId="38" fillId="0" borderId="13" xfId="3" applyFont="1" applyFill="1" applyBorder="1"/>
    <xf numFmtId="0" fontId="38" fillId="19" borderId="13" xfId="3" applyFont="1" applyFill="1" applyBorder="1"/>
    <xf numFmtId="0" fontId="38" fillId="0" borderId="15" xfId="3" applyFont="1" applyFill="1" applyBorder="1"/>
    <xf numFmtId="0" fontId="38" fillId="0" borderId="0" xfId="3" applyFont="1" applyFill="1" applyBorder="1"/>
    <xf numFmtId="0" fontId="37" fillId="17" borderId="18" xfId="3" applyFont="1" applyFill="1" applyBorder="1"/>
    <xf numFmtId="0" fontId="38" fillId="19" borderId="15" xfId="3" applyFont="1" applyFill="1" applyBorder="1"/>
    <xf numFmtId="0" fontId="38" fillId="0" borderId="0" xfId="3" applyFont="1" applyBorder="1"/>
    <xf numFmtId="0" fontId="104" fillId="17" borderId="18" xfId="54" applyFont="1" applyFill="1" applyBorder="1" applyAlignment="1" applyProtection="1"/>
    <xf numFmtId="0" fontId="51" fillId="0" borderId="18" xfId="3" applyFont="1" applyBorder="1"/>
    <xf numFmtId="0" fontId="43" fillId="17" borderId="19" xfId="3" applyFont="1" applyFill="1" applyBorder="1"/>
    <xf numFmtId="0" fontId="43" fillId="17" borderId="20" xfId="3" applyFont="1" applyFill="1" applyBorder="1"/>
    <xf numFmtId="0" fontId="38" fillId="0" borderId="11" xfId="3" applyFont="1" applyFill="1" applyBorder="1"/>
    <xf numFmtId="0" fontId="38" fillId="0" borderId="14" xfId="3" applyFont="1" applyFill="1" applyBorder="1"/>
    <xf numFmtId="0" fontId="38" fillId="19" borderId="0" xfId="3" applyFont="1" applyFill="1" applyBorder="1"/>
    <xf numFmtId="0" fontId="38" fillId="0" borderId="16" xfId="3" applyFont="1" applyFill="1" applyBorder="1"/>
    <xf numFmtId="0" fontId="37" fillId="17" borderId="19" xfId="3" applyFont="1" applyFill="1" applyBorder="1"/>
    <xf numFmtId="0" fontId="38" fillId="19" borderId="16" xfId="3" applyFont="1" applyFill="1" applyBorder="1"/>
    <xf numFmtId="0" fontId="104" fillId="17" borderId="19" xfId="54" applyFont="1" applyFill="1" applyBorder="1" applyAlignment="1" applyProtection="1"/>
    <xf numFmtId="0" fontId="104" fillId="17" borderId="20" xfId="54" applyFont="1" applyFill="1" applyBorder="1" applyAlignment="1" applyProtection="1"/>
    <xf numFmtId="0" fontId="51" fillId="0" borderId="19" xfId="3" applyFont="1" applyBorder="1"/>
    <xf numFmtId="3" fontId="38" fillId="0" borderId="11" xfId="3" applyNumberFormat="1" applyFont="1" applyFill="1" applyBorder="1"/>
    <xf numFmtId="3" fontId="38" fillId="0" borderId="0" xfId="3" applyNumberFormat="1" applyFont="1" applyFill="1" applyBorder="1"/>
    <xf numFmtId="3" fontId="38" fillId="0" borderId="14" xfId="3" applyNumberFormat="1" applyFont="1" applyFill="1" applyBorder="1"/>
    <xf numFmtId="3" fontId="38" fillId="19" borderId="0" xfId="3" applyNumberFormat="1" applyFont="1" applyFill="1" applyBorder="1"/>
    <xf numFmtId="3" fontId="38" fillId="0" borderId="16" xfId="3" applyNumberFormat="1" applyFont="1" applyFill="1" applyBorder="1"/>
    <xf numFmtId="3" fontId="43" fillId="17" borderId="19" xfId="3" applyNumberFormat="1" applyFont="1" applyFill="1" applyBorder="1"/>
    <xf numFmtId="3" fontId="43" fillId="17" borderId="20" xfId="3" applyNumberFormat="1" applyFont="1" applyFill="1" applyBorder="1"/>
    <xf numFmtId="3" fontId="37" fillId="17" borderId="19" xfId="3" applyNumberFormat="1" applyFont="1" applyFill="1" applyBorder="1"/>
    <xf numFmtId="3" fontId="37" fillId="17" borderId="20" xfId="3" applyNumberFormat="1" applyFont="1" applyFill="1" applyBorder="1"/>
    <xf numFmtId="3" fontId="38" fillId="0" borderId="33" xfId="3" applyNumberFormat="1" applyFont="1" applyFill="1" applyBorder="1"/>
    <xf numFmtId="3" fontId="38" fillId="0" borderId="45" xfId="3" applyNumberFormat="1" applyFont="1" applyFill="1" applyBorder="1"/>
    <xf numFmtId="3" fontId="38" fillId="0" borderId="34" xfId="3" applyNumberFormat="1" applyFont="1" applyFill="1" applyBorder="1"/>
    <xf numFmtId="0" fontId="38" fillId="19" borderId="34" xfId="3" applyFont="1" applyFill="1" applyBorder="1"/>
    <xf numFmtId="3" fontId="38" fillId="19" borderId="45" xfId="3" applyNumberFormat="1" applyFont="1" applyFill="1" applyBorder="1"/>
    <xf numFmtId="10" fontId="103" fillId="0" borderId="33" xfId="0" applyNumberFormat="1" applyFont="1" applyBorder="1"/>
    <xf numFmtId="10" fontId="103" fillId="0" borderId="11" xfId="0" applyNumberFormat="1" applyFont="1" applyFill="1" applyBorder="1"/>
    <xf numFmtId="10" fontId="103" fillId="0" borderId="33" xfId="0" applyNumberFormat="1" applyFont="1" applyFill="1" applyBorder="1"/>
    <xf numFmtId="10" fontId="0" fillId="0" borderId="11" xfId="0" applyNumberFormat="1" applyFill="1" applyBorder="1"/>
    <xf numFmtId="10" fontId="0" fillId="0" borderId="33" xfId="0" applyNumberFormat="1" applyFill="1" applyBorder="1"/>
    <xf numFmtId="167" fontId="38" fillId="0" borderId="19" xfId="3" applyNumberFormat="1" applyFont="1" applyBorder="1"/>
    <xf numFmtId="0" fontId="38" fillId="0" borderId="19" xfId="3" applyFont="1" applyBorder="1"/>
    <xf numFmtId="183" fontId="38" fillId="0" borderId="19" xfId="3" applyNumberFormat="1" applyFont="1" applyBorder="1"/>
    <xf numFmtId="0" fontId="38" fillId="0" borderId="20" xfId="3" applyFont="1" applyBorder="1"/>
    <xf numFmtId="0" fontId="38" fillId="0" borderId="18" xfId="3" applyFont="1" applyFill="1" applyBorder="1"/>
    <xf numFmtId="0" fontId="38" fillId="0" borderId="19" xfId="3" applyFont="1" applyFill="1" applyBorder="1"/>
    <xf numFmtId="0" fontId="38" fillId="0" borderId="20" xfId="3" applyFont="1" applyFill="1" applyBorder="1"/>
    <xf numFmtId="0" fontId="38" fillId="0" borderId="16" xfId="3" applyFont="1" applyBorder="1"/>
    <xf numFmtId="37" fontId="89" fillId="0" borderId="0" xfId="0" applyNumberFormat="1" applyFont="1"/>
    <xf numFmtId="2" fontId="0" fillId="0" borderId="0" xfId="0" applyNumberFormat="1"/>
    <xf numFmtId="2" fontId="98" fillId="0" borderId="0" xfId="0" applyNumberFormat="1" applyFont="1"/>
    <xf numFmtId="37" fontId="0" fillId="0" borderId="0" xfId="0" applyFill="1"/>
    <xf numFmtId="37" fontId="2" fillId="0" borderId="13" xfId="0" applyFont="1" applyFill="1" applyBorder="1"/>
    <xf numFmtId="37" fontId="2" fillId="0" borderId="0" xfId="0" applyFont="1" applyFill="1"/>
    <xf numFmtId="37" fontId="2" fillId="0" borderId="27" xfId="0" applyFont="1" applyFill="1" applyBorder="1" applyAlignment="1">
      <alignment horizontal="right"/>
    </xf>
    <xf numFmtId="37" fontId="2" fillId="0" borderId="45" xfId="0" applyFont="1" applyFill="1" applyBorder="1"/>
    <xf numFmtId="37" fontId="2" fillId="0" borderId="45" xfId="0" applyFont="1" applyFill="1" applyBorder="1" applyAlignment="1">
      <alignment horizontal="right"/>
    </xf>
    <xf numFmtId="37" fontId="2" fillId="0" borderId="7" xfId="0" applyFont="1" applyFill="1" applyBorder="1"/>
    <xf numFmtId="37" fontId="2" fillId="0" borderId="39" xfId="0" applyFont="1" applyFill="1" applyBorder="1"/>
    <xf numFmtId="39" fontId="2" fillId="0" borderId="7" xfId="0" applyNumberFormat="1" applyFont="1" applyFill="1" applyBorder="1"/>
    <xf numFmtId="37" fontId="2" fillId="0" borderId="24" xfId="0" applyFont="1" applyFill="1" applyBorder="1" applyAlignment="1">
      <alignment horizontal="right"/>
    </xf>
    <xf numFmtId="37" fontId="2" fillId="0" borderId="46" xfId="0" applyFont="1" applyFill="1" applyBorder="1"/>
    <xf numFmtId="37" fontId="2" fillId="0" borderId="46" xfId="0" applyFont="1" applyFill="1" applyBorder="1" applyAlignment="1">
      <alignment horizontal="right"/>
    </xf>
    <xf numFmtId="3" fontId="2" fillId="0" borderId="13" xfId="0" applyNumberFormat="1" applyFont="1" applyBorder="1"/>
    <xf numFmtId="4" fontId="2" fillId="0" borderId="0" xfId="0" applyNumberFormat="1" applyFont="1" applyBorder="1" applyProtection="1"/>
    <xf numFmtId="10" fontId="35" fillId="0" borderId="0" xfId="0" applyNumberFormat="1" applyFont="1" applyFill="1" applyBorder="1" applyProtection="1"/>
    <xf numFmtId="37" fontId="45" fillId="0" borderId="0" xfId="0" applyFont="1" applyFill="1" applyBorder="1"/>
    <xf numFmtId="167" fontId="18" fillId="0" borderId="0" xfId="0" applyNumberFormat="1" applyFont="1" applyBorder="1" applyAlignment="1">
      <alignment horizontal="right"/>
    </xf>
    <xf numFmtId="167" fontId="37" fillId="0" borderId="0" xfId="0" applyNumberFormat="1" applyFont="1" applyFill="1" applyBorder="1" applyAlignment="1">
      <alignment horizontal="right"/>
    </xf>
    <xf numFmtId="2" fontId="21" fillId="0" borderId="0" xfId="0" applyNumberFormat="1" applyFont="1" applyBorder="1" applyProtection="1"/>
    <xf numFmtId="2" fontId="2" fillId="0" borderId="0" xfId="0" applyNumberFormat="1" applyFont="1" applyBorder="1" applyProtection="1"/>
    <xf numFmtId="37" fontId="0" fillId="0" borderId="13" xfId="0" applyBorder="1" applyAlignment="1">
      <alignment horizontal="left" indent="1"/>
    </xf>
    <xf numFmtId="37" fontId="0" fillId="0" borderId="13" xfId="0" applyFill="1" applyBorder="1" applyAlignment="1">
      <alignment horizontal="left" indent="1"/>
    </xf>
    <xf numFmtId="37" fontId="11" fillId="0" borderId="13" xfId="0" applyFont="1" applyFill="1" applyBorder="1" applyAlignment="1">
      <alignment horizontal="left"/>
    </xf>
    <xf numFmtId="167" fontId="0" fillId="0" borderId="0" xfId="0" applyNumberFormat="1" applyBorder="1"/>
    <xf numFmtId="37" fontId="0" fillId="0" borderId="15" xfId="0" applyFill="1" applyBorder="1" applyAlignment="1">
      <alignment horizontal="left" indent="1"/>
    </xf>
    <xf numFmtId="167" fontId="0" fillId="0" borderId="16" xfId="0" applyNumberFormat="1" applyBorder="1"/>
    <xf numFmtId="167" fontId="37" fillId="17" borderId="18" xfId="0" applyNumberFormat="1" applyFont="1" applyFill="1" applyBorder="1"/>
    <xf numFmtId="167" fontId="37" fillId="17" borderId="19" xfId="0" applyNumberFormat="1" applyFont="1" applyFill="1" applyBorder="1"/>
    <xf numFmtId="167" fontId="37" fillId="17" borderId="19" xfId="78" applyNumberFormat="1" applyFont="1" applyFill="1" applyBorder="1"/>
    <xf numFmtId="167" fontId="37" fillId="17" borderId="19" xfId="78" applyNumberFormat="1" applyFont="1" applyFill="1" applyBorder="1" applyAlignment="1">
      <alignment horizontal="right"/>
    </xf>
    <xf numFmtId="4" fontId="37" fillId="17" borderId="19" xfId="78" applyNumberFormat="1" applyFont="1" applyFill="1" applyBorder="1" applyAlignment="1">
      <alignment horizontal="right"/>
    </xf>
    <xf numFmtId="4" fontId="41" fillId="17" borderId="19" xfId="0" applyNumberFormat="1" applyFont="1" applyFill="1" applyBorder="1" applyAlignment="1" applyProtection="1">
      <alignment horizontal="right"/>
    </xf>
    <xf numFmtId="167" fontId="41" fillId="17" borderId="19" xfId="0" applyNumberFormat="1" applyFont="1" applyFill="1" applyBorder="1" applyAlignment="1" applyProtection="1">
      <alignment horizontal="right"/>
    </xf>
    <xf numFmtId="167" fontId="41" fillId="17" borderId="19" xfId="0" applyNumberFormat="1" applyFont="1" applyFill="1" applyBorder="1" applyProtection="1"/>
    <xf numFmtId="167" fontId="37" fillId="0" borderId="10" xfId="0" applyNumberFormat="1" applyFont="1" applyFill="1" applyBorder="1"/>
    <xf numFmtId="167" fontId="37" fillId="0" borderId="11" xfId="0" applyNumberFormat="1" applyFont="1" applyFill="1" applyBorder="1"/>
    <xf numFmtId="167" fontId="37" fillId="0" borderId="11" xfId="78" applyNumberFormat="1" applyFont="1" applyFill="1" applyBorder="1"/>
    <xf numFmtId="167" fontId="37" fillId="0" borderId="11" xfId="78" applyNumberFormat="1" applyFont="1" applyFill="1" applyBorder="1" applyAlignment="1">
      <alignment horizontal="right"/>
    </xf>
    <xf numFmtId="4" fontId="37" fillId="0" borderId="11" xfId="78" applyNumberFormat="1" applyFont="1" applyFill="1" applyBorder="1" applyAlignment="1">
      <alignment horizontal="right"/>
    </xf>
    <xf numFmtId="4" fontId="41" fillId="0" borderId="11" xfId="0" applyNumberFormat="1" applyFont="1" applyFill="1" applyBorder="1" applyAlignment="1" applyProtection="1">
      <alignment horizontal="right"/>
    </xf>
    <xf numFmtId="167" fontId="41" fillId="0" borderId="11" xfId="0" applyNumberFormat="1" applyFont="1" applyFill="1" applyBorder="1" applyProtection="1"/>
    <xf numFmtId="167" fontId="41" fillId="0" borderId="11" xfId="0" applyNumberFormat="1" applyFont="1" applyFill="1" applyBorder="1" applyAlignment="1" applyProtection="1">
      <alignment horizontal="right"/>
    </xf>
    <xf numFmtId="37" fontId="18" fillId="0" borderId="10" xfId="0" applyFont="1" applyBorder="1"/>
    <xf numFmtId="168" fontId="21" fillId="0" borderId="11" xfId="0" applyNumberFormat="1" applyFont="1" applyBorder="1" applyAlignment="1">
      <alignment horizontal="right"/>
    </xf>
    <xf numFmtId="37" fontId="21" fillId="0" borderId="11" xfId="0" quotePrefix="1" applyFont="1" applyBorder="1" applyAlignment="1">
      <alignment horizontal="right"/>
    </xf>
    <xf numFmtId="184" fontId="21" fillId="0" borderId="41" xfId="0" applyNumberFormat="1" applyFont="1" applyBorder="1" applyAlignment="1">
      <alignment horizontal="center"/>
    </xf>
    <xf numFmtId="184" fontId="21" fillId="0" borderId="11" xfId="0" applyNumberFormat="1" applyFont="1" applyBorder="1" applyAlignment="1">
      <alignment horizontal="center"/>
    </xf>
    <xf numFmtId="184" fontId="21" fillId="0" borderId="42" xfId="0" applyNumberFormat="1" applyFont="1" applyBorder="1" applyAlignment="1">
      <alignment horizontal="center"/>
    </xf>
    <xf numFmtId="0" fontId="21" fillId="0" borderId="11" xfId="0" applyNumberFormat="1" applyFont="1" applyBorder="1" applyAlignment="1">
      <alignment horizontal="right"/>
    </xf>
    <xf numFmtId="184" fontId="21" fillId="0" borderId="12" xfId="0" applyNumberFormat="1" applyFont="1" applyBorder="1" applyAlignment="1">
      <alignment horizontal="center"/>
    </xf>
    <xf numFmtId="184" fontId="21" fillId="0" borderId="33" xfId="0" applyNumberFormat="1" applyFont="1" applyBorder="1" applyAlignment="1">
      <alignment horizontal="center"/>
    </xf>
    <xf numFmtId="37" fontId="21" fillId="0" borderId="41" xfId="0" applyFont="1" applyBorder="1" applyAlignment="1">
      <alignment horizontal="right"/>
    </xf>
    <xf numFmtId="37" fontId="21" fillId="0" borderId="42" xfId="0" applyFont="1" applyBorder="1" applyAlignment="1">
      <alignment horizontal="right"/>
    </xf>
    <xf numFmtId="3" fontId="2" fillId="0" borderId="15" xfId="0" applyNumberFormat="1" applyFont="1" applyFill="1" applyBorder="1"/>
    <xf numFmtId="37" fontId="105" fillId="0" borderId="0" xfId="0" applyFont="1" applyFill="1" applyBorder="1" applyAlignment="1">
      <alignment horizontal="right"/>
    </xf>
    <xf numFmtId="37" fontId="105" fillId="0" borderId="0" xfId="0" applyFont="1" applyFill="1" applyBorder="1"/>
    <xf numFmtId="37" fontId="9" fillId="16" borderId="0" xfId="54" applyNumberFormat="1" applyFill="1" applyBorder="1" applyAlignment="1" applyProtection="1">
      <alignment horizontal="left"/>
    </xf>
    <xf numFmtId="178" fontId="0" fillId="0" borderId="0" xfId="78" applyNumberFormat="1" applyFont="1"/>
    <xf numFmtId="37" fontId="37" fillId="0" borderId="7" xfId="0" applyFont="1" applyFill="1" applyBorder="1"/>
    <xf numFmtId="39" fontId="37" fillId="0" borderId="7" xfId="0" applyNumberFormat="1" applyFont="1" applyFill="1" applyBorder="1"/>
    <xf numFmtId="37" fontId="37" fillId="0" borderId="24" xfId="0" applyFont="1" applyFill="1" applyBorder="1" applyAlignment="1">
      <alignment horizontal="right"/>
    </xf>
    <xf numFmtId="37" fontId="37" fillId="0" borderId="7" xfId="0" applyFont="1" applyFill="1" applyBorder="1" applyAlignment="1">
      <alignment horizontal="right"/>
    </xf>
    <xf numFmtId="37" fontId="37" fillId="0" borderId="25" xfId="0" applyFont="1" applyFill="1" applyBorder="1" applyAlignment="1">
      <alignment horizontal="right"/>
    </xf>
    <xf numFmtId="37" fontId="37" fillId="0" borderId="46" xfId="0" applyFont="1" applyFill="1" applyBorder="1"/>
    <xf numFmtId="37" fontId="106" fillId="0" borderId="0" xfId="0" applyFont="1" applyFill="1" applyBorder="1" applyAlignment="1">
      <alignment horizontal="right"/>
    </xf>
    <xf numFmtId="3" fontId="2" fillId="0" borderId="0" xfId="0" applyNumberFormat="1" applyFont="1" applyFill="1" applyBorder="1"/>
    <xf numFmtId="167" fontId="0" fillId="0" borderId="16" xfId="0" applyNumberFormat="1" applyFill="1" applyBorder="1"/>
    <xf numFmtId="37" fontId="0" fillId="0" borderId="34" xfId="0" applyFill="1" applyBorder="1"/>
    <xf numFmtId="37" fontId="0" fillId="0" borderId="17" xfId="0" applyFill="1" applyBorder="1"/>
    <xf numFmtId="167" fontId="0" fillId="0" borderId="0" xfId="0" applyNumberFormat="1" applyFill="1" applyBorder="1"/>
    <xf numFmtId="195" fontId="105" fillId="0" borderId="0" xfId="0" applyNumberFormat="1" applyFont="1" applyBorder="1" applyAlignment="1">
      <alignment horizontal="right"/>
    </xf>
    <xf numFmtId="195" fontId="2" fillId="0" borderId="45" xfId="0" applyNumberFormat="1" applyFont="1" applyBorder="1" applyAlignment="1">
      <alignment horizontal="right"/>
    </xf>
    <xf numFmtId="195" fontId="2" fillId="0" borderId="0" xfId="0" applyNumberFormat="1" applyFont="1" applyBorder="1" applyAlignment="1">
      <alignment horizontal="right"/>
    </xf>
    <xf numFmtId="195" fontId="2" fillId="0" borderId="14" xfId="0" applyNumberFormat="1" applyFont="1" applyBorder="1" applyAlignment="1">
      <alignment horizontal="right"/>
    </xf>
    <xf numFmtId="37" fontId="2" fillId="0" borderId="13" xfId="0" applyFont="1" applyFill="1" applyBorder="1" applyAlignment="1">
      <alignment horizontal="left" indent="1"/>
    </xf>
    <xf numFmtId="167" fontId="37" fillId="17" borderId="10" xfId="0" applyNumberFormat="1" applyFont="1" applyFill="1" applyBorder="1"/>
    <xf numFmtId="167" fontId="37" fillId="17" borderId="11" xfId="0" applyNumberFormat="1" applyFont="1" applyFill="1" applyBorder="1"/>
    <xf numFmtId="167" fontId="37" fillId="17" borderId="11" xfId="78" applyNumberFormat="1" applyFont="1" applyFill="1" applyBorder="1"/>
    <xf numFmtId="167" fontId="37" fillId="17" borderId="41" xfId="78" applyNumberFormat="1" applyFont="1" applyFill="1" applyBorder="1" applyAlignment="1">
      <alignment horizontal="right"/>
    </xf>
    <xf numFmtId="167" fontId="37" fillId="17" borderId="11" xfId="78" applyNumberFormat="1" applyFont="1" applyFill="1" applyBorder="1" applyAlignment="1">
      <alignment horizontal="right"/>
    </xf>
    <xf numFmtId="167" fontId="37" fillId="17" borderId="42" xfId="78" applyNumberFormat="1" applyFont="1" applyFill="1" applyBorder="1" applyAlignment="1">
      <alignment horizontal="right"/>
    </xf>
    <xf numFmtId="167" fontId="37" fillId="17" borderId="33" xfId="78" applyNumberFormat="1" applyFont="1" applyFill="1" applyBorder="1"/>
    <xf numFmtId="4" fontId="37" fillId="17" borderId="11" xfId="78" applyNumberFormat="1" applyFont="1" applyFill="1" applyBorder="1" applyAlignment="1">
      <alignment horizontal="right"/>
    </xf>
    <xf numFmtId="4" fontId="41" fillId="17" borderId="11" xfId="0" applyNumberFormat="1" applyFont="1" applyFill="1" applyBorder="1" applyAlignment="1" applyProtection="1">
      <alignment horizontal="right"/>
    </xf>
    <xf numFmtId="167" fontId="41" fillId="17" borderId="33" xfId="0" applyNumberFormat="1" applyFont="1" applyFill="1" applyBorder="1" applyProtection="1"/>
    <xf numFmtId="167" fontId="41" fillId="17" borderId="11" xfId="0" applyNumberFormat="1" applyFont="1" applyFill="1" applyBorder="1" applyAlignment="1" applyProtection="1">
      <alignment horizontal="right"/>
    </xf>
    <xf numFmtId="167" fontId="41" fillId="17" borderId="33" xfId="0" applyNumberFormat="1" applyFont="1" applyFill="1" applyBorder="1" applyAlignment="1" applyProtection="1">
      <alignment horizontal="right"/>
    </xf>
    <xf numFmtId="3" fontId="2" fillId="0" borderId="13" xfId="0" applyNumberFormat="1" applyFont="1" applyFill="1" applyBorder="1"/>
    <xf numFmtId="37" fontId="0" fillId="0" borderId="45" xfId="0" applyFill="1" applyBorder="1"/>
    <xf numFmtId="167" fontId="2" fillId="0" borderId="45" xfId="0" applyNumberFormat="1" applyFont="1" applyFill="1" applyBorder="1" applyAlignment="1" applyProtection="1">
      <alignment horizontal="right"/>
    </xf>
    <xf numFmtId="167" fontId="38" fillId="0" borderId="11" xfId="3" applyNumberFormat="1" applyFont="1" applyFill="1" applyBorder="1"/>
    <xf numFmtId="167" fontId="38" fillId="0" borderId="33" xfId="3" applyNumberFormat="1" applyFont="1" applyFill="1" applyBorder="1"/>
    <xf numFmtId="37" fontId="21" fillId="0" borderId="45" xfId="0" applyNumberFormat="1" applyFont="1" applyFill="1" applyBorder="1" applyAlignment="1" applyProtection="1">
      <alignment horizontal="right"/>
    </xf>
    <xf numFmtId="37" fontId="37" fillId="0" borderId="45" xfId="0" applyNumberFormat="1" applyFont="1" applyBorder="1" applyAlignment="1" applyProtection="1">
      <alignment horizontal="right"/>
    </xf>
    <xf numFmtId="37" fontId="2" fillId="0" borderId="45" xfId="0" applyNumberFormat="1" applyFont="1" applyFill="1" applyBorder="1" applyAlignment="1">
      <alignment horizontal="right"/>
    </xf>
    <xf numFmtId="37" fontId="2" fillId="0" borderId="46" xfId="0" applyNumberFormat="1" applyFont="1" applyFill="1" applyBorder="1" applyAlignment="1">
      <alignment horizontal="right"/>
    </xf>
    <xf numFmtId="165" fontId="37" fillId="0" borderId="46" xfId="32" applyNumberFormat="1" applyFont="1" applyFill="1" applyBorder="1" applyAlignment="1">
      <alignment horizontal="right"/>
    </xf>
    <xf numFmtId="37" fontId="2" fillId="0" borderId="45" xfId="0" applyNumberFormat="1" applyFont="1" applyFill="1" applyBorder="1" applyAlignment="1" applyProtection="1">
      <alignment horizontal="right"/>
    </xf>
    <xf numFmtId="37" fontId="21" fillId="0" borderId="46" xfId="0" applyNumberFormat="1" applyFont="1" applyFill="1" applyBorder="1" applyAlignment="1">
      <alignment horizontal="right"/>
    </xf>
    <xf numFmtId="37" fontId="37" fillId="0" borderId="46" xfId="32" applyNumberFormat="1" applyFont="1" applyFill="1" applyBorder="1" applyAlignment="1">
      <alignment horizontal="right"/>
    </xf>
    <xf numFmtId="37" fontId="21" fillId="16" borderId="45" xfId="0" applyNumberFormat="1" applyFont="1" applyFill="1" applyBorder="1" applyAlignment="1">
      <alignment horizontal="right"/>
    </xf>
    <xf numFmtId="37" fontId="21" fillId="16" borderId="46" xfId="0" applyNumberFormat="1" applyFont="1" applyFill="1" applyBorder="1" applyAlignment="1">
      <alignment horizontal="right"/>
    </xf>
    <xf numFmtId="165" fontId="37" fillId="0" borderId="53" xfId="32" applyNumberFormat="1" applyFont="1" applyFill="1" applyBorder="1" applyAlignment="1">
      <alignment horizontal="right"/>
    </xf>
    <xf numFmtId="200" fontId="49" fillId="0" borderId="45" xfId="0" quotePrefix="1" applyNumberFormat="1" applyFont="1" applyBorder="1" applyAlignment="1" applyProtection="1">
      <alignment horizontal="right"/>
    </xf>
    <xf numFmtId="195" fontId="37" fillId="0" borderId="45" xfId="0" applyNumberFormat="1" applyFont="1" applyBorder="1" applyAlignment="1" applyProtection="1">
      <alignment horizontal="right"/>
    </xf>
    <xf numFmtId="186" fontId="21" fillId="0" borderId="45" xfId="0" applyNumberFormat="1" applyFont="1" applyBorder="1" applyAlignment="1">
      <alignment horizontal="right"/>
    </xf>
    <xf numFmtId="39" fontId="21" fillId="0" borderId="45" xfId="0" applyNumberFormat="1" applyFont="1" applyFill="1" applyBorder="1" applyAlignment="1">
      <alignment horizontal="right"/>
    </xf>
    <xf numFmtId="201" fontId="21" fillId="0" borderId="45" xfId="63" applyNumberFormat="1" applyFont="1" applyFill="1" applyBorder="1" applyAlignment="1">
      <alignment horizontal="right"/>
    </xf>
    <xf numFmtId="37" fontId="2" fillId="0" borderId="15" xfId="0" applyFont="1" applyFill="1" applyBorder="1"/>
    <xf numFmtId="37" fontId="2" fillId="0" borderId="16" xfId="0" applyFont="1" applyFill="1" applyBorder="1"/>
    <xf numFmtId="39" fontId="2" fillId="0" borderId="16" xfId="0" applyNumberFormat="1" applyFont="1" applyFill="1" applyBorder="1"/>
    <xf numFmtId="37" fontId="2" fillId="0" borderId="40" xfId="0" applyFont="1" applyFill="1" applyBorder="1" applyAlignment="1">
      <alignment horizontal="right"/>
    </xf>
    <xf numFmtId="37" fontId="2" fillId="0" borderId="16" xfId="0" applyFont="1" applyFill="1" applyBorder="1" applyAlignment="1">
      <alignment horizontal="right"/>
    </xf>
    <xf numFmtId="37" fontId="2" fillId="0" borderId="32" xfId="0" applyFont="1" applyFill="1" applyBorder="1" applyAlignment="1">
      <alignment horizontal="right"/>
    </xf>
    <xf numFmtId="37" fontId="2" fillId="0" borderId="34" xfId="0" applyFont="1" applyFill="1" applyBorder="1"/>
    <xf numFmtId="37" fontId="2" fillId="0" borderId="34" xfId="0" applyFont="1" applyFill="1" applyBorder="1" applyAlignment="1">
      <alignment horizontal="right"/>
    </xf>
    <xf numFmtId="37" fontId="2" fillId="0" borderId="15" xfId="0" applyFont="1" applyFill="1" applyBorder="1" applyAlignment="1">
      <alignment horizontal="right"/>
    </xf>
    <xf numFmtId="37" fontId="2" fillId="0" borderId="17" xfId="0" applyFont="1" applyFill="1" applyBorder="1" applyAlignment="1">
      <alignment horizontal="right"/>
    </xf>
    <xf numFmtId="167" fontId="103" fillId="0" borderId="0" xfId="0" applyNumberFormat="1" applyFont="1" applyBorder="1"/>
    <xf numFmtId="37" fontId="107" fillId="22" borderId="10" xfId="0" applyFont="1" applyFill="1" applyBorder="1"/>
    <xf numFmtId="37" fontId="107" fillId="22" borderId="11" xfId="0" applyFont="1" applyFill="1" applyBorder="1"/>
    <xf numFmtId="37" fontId="108" fillId="22" borderId="11" xfId="0" applyFont="1" applyFill="1" applyBorder="1" applyAlignment="1">
      <alignment horizontal="centerContinuous"/>
    </xf>
    <xf numFmtId="37" fontId="107" fillId="22" borderId="33" xfId="0" applyFont="1" applyFill="1" applyBorder="1" applyAlignment="1">
      <alignment horizontal="center" vertical="center" wrapText="1"/>
    </xf>
    <xf numFmtId="37" fontId="108" fillId="0" borderId="0" xfId="0" applyFont="1"/>
    <xf numFmtId="37" fontId="108" fillId="0" borderId="13" xfId="0" applyFont="1" applyBorder="1"/>
    <xf numFmtId="37" fontId="108" fillId="0" borderId="0" xfId="0" applyFont="1" applyBorder="1"/>
    <xf numFmtId="37" fontId="107" fillId="0" borderId="45" xfId="0" applyFont="1" applyFill="1" applyBorder="1" applyAlignment="1">
      <alignment vertical="center" wrapText="1"/>
    </xf>
    <xf numFmtId="37" fontId="108" fillId="0" borderId="0" xfId="0" applyFont="1" applyBorder="1" applyAlignment="1">
      <alignment horizontal="center"/>
    </xf>
    <xf numFmtId="165" fontId="0" fillId="0" borderId="0" xfId="0" applyNumberFormat="1"/>
    <xf numFmtId="167" fontId="41" fillId="17" borderId="28" xfId="0" applyNumberFormat="1" applyFont="1" applyFill="1" applyBorder="1" applyProtection="1"/>
    <xf numFmtId="167" fontId="41" fillId="0" borderId="33" xfId="0" applyNumberFormat="1" applyFont="1" applyFill="1" applyBorder="1" applyProtection="1"/>
    <xf numFmtId="167" fontId="0" fillId="0" borderId="45" xfId="0" applyNumberFormat="1" applyBorder="1"/>
    <xf numFmtId="167" fontId="0" fillId="0" borderId="34" xfId="0" applyNumberFormat="1" applyBorder="1"/>
    <xf numFmtId="167" fontId="41" fillId="17" borderId="28" xfId="0" applyNumberFormat="1" applyFont="1" applyFill="1" applyBorder="1" applyAlignment="1" applyProtection="1">
      <alignment horizontal="right"/>
    </xf>
    <xf numFmtId="167" fontId="41" fillId="0" borderId="33" xfId="0" applyNumberFormat="1" applyFont="1" applyFill="1" applyBorder="1" applyAlignment="1" applyProtection="1">
      <alignment horizontal="right"/>
    </xf>
    <xf numFmtId="37" fontId="109" fillId="23" borderId="68" xfId="0" applyFont="1" applyFill="1" applyBorder="1"/>
    <xf numFmtId="37" fontId="109" fillId="23" borderId="69" xfId="0" applyFont="1" applyFill="1" applyBorder="1"/>
    <xf numFmtId="37" fontId="11" fillId="23" borderId="68" xfId="0" applyFont="1" applyFill="1" applyBorder="1" applyAlignment="1">
      <alignment horizontal="centerContinuous"/>
    </xf>
    <xf numFmtId="37" fontId="11" fillId="23" borderId="69" xfId="0" applyFont="1" applyFill="1" applyBorder="1" applyAlignment="1">
      <alignment horizontal="centerContinuous"/>
    </xf>
    <xf numFmtId="37" fontId="109" fillId="23" borderId="69" xfId="0" applyFont="1" applyFill="1" applyBorder="1" applyAlignment="1">
      <alignment horizontal="centerContinuous"/>
    </xf>
    <xf numFmtId="37" fontId="109" fillId="23" borderId="70" xfId="0" applyFont="1" applyFill="1" applyBorder="1" applyAlignment="1">
      <alignment horizontal="centerContinuous"/>
    </xf>
    <xf numFmtId="37" fontId="11" fillId="23" borderId="68" xfId="0" applyFont="1" applyFill="1" applyBorder="1"/>
    <xf numFmtId="37" fontId="11" fillId="23" borderId="69" xfId="0" applyFont="1" applyFill="1" applyBorder="1"/>
    <xf numFmtId="37" fontId="11" fillId="23" borderId="68" xfId="0" applyFont="1" applyFill="1" applyBorder="1" applyAlignment="1">
      <alignment horizontal="center"/>
    </xf>
    <xf numFmtId="37" fontId="11" fillId="23" borderId="69" xfId="0" applyFont="1" applyFill="1" applyBorder="1" applyAlignment="1">
      <alignment horizontal="center"/>
    </xf>
    <xf numFmtId="37" fontId="11" fillId="23" borderId="70" xfId="0" applyFont="1" applyFill="1" applyBorder="1" applyAlignment="1">
      <alignment horizontal="center"/>
    </xf>
    <xf numFmtId="37" fontId="0" fillId="0" borderId="68" xfId="0" applyBorder="1"/>
    <xf numFmtId="37" fontId="0" fillId="0" borderId="69" xfId="0" applyBorder="1"/>
    <xf numFmtId="37" fontId="0" fillId="0" borderId="69" xfId="0" applyBorder="1" applyAlignment="1">
      <alignment horizontal="center"/>
    </xf>
    <xf numFmtId="37" fontId="0" fillId="0" borderId="70" xfId="0" applyBorder="1" applyAlignment="1">
      <alignment horizontal="center"/>
    </xf>
    <xf numFmtId="37" fontId="0" fillId="0" borderId="71" xfId="0" applyBorder="1"/>
    <xf numFmtId="37" fontId="0" fillId="0" borderId="0" xfId="0" applyBorder="1" applyAlignment="1">
      <alignment horizontal="center"/>
    </xf>
    <xf numFmtId="167" fontId="0" fillId="0" borderId="0" xfId="0" applyNumberFormat="1" applyBorder="1" applyAlignment="1">
      <alignment horizontal="center"/>
    </xf>
    <xf numFmtId="167" fontId="0" fillId="0" borderId="72" xfId="0" applyNumberFormat="1" applyBorder="1" applyAlignment="1">
      <alignment horizontal="center"/>
    </xf>
    <xf numFmtId="37" fontId="108" fillId="0" borderId="71" xfId="0" applyFont="1" applyBorder="1"/>
    <xf numFmtId="37" fontId="0" fillId="0" borderId="72" xfId="0" applyBorder="1" applyAlignment="1">
      <alignment horizontal="center"/>
    </xf>
    <xf numFmtId="37" fontId="0" fillId="0" borderId="73" xfId="0" applyBorder="1"/>
    <xf numFmtId="37" fontId="0" fillId="0" borderId="74" xfId="0" applyBorder="1"/>
    <xf numFmtId="7" fontId="0" fillId="0" borderId="74" xfId="0" applyNumberFormat="1" applyBorder="1" applyAlignment="1">
      <alignment horizontal="center"/>
    </xf>
    <xf numFmtId="7" fontId="0" fillId="0" borderId="75" xfId="0" applyNumberFormat="1" applyBorder="1" applyAlignment="1">
      <alignment horizontal="center"/>
    </xf>
    <xf numFmtId="2" fontId="21" fillId="0" borderId="0" xfId="78" applyNumberFormat="1" applyFont="1" applyBorder="1"/>
    <xf numFmtId="167" fontId="92" fillId="0" borderId="45" xfId="78" applyNumberFormat="1" applyFont="1" applyBorder="1" applyAlignment="1">
      <alignment horizontal="right"/>
    </xf>
    <xf numFmtId="167" fontId="2" fillId="0" borderId="45" xfId="0" applyNumberFormat="1" applyFont="1" applyBorder="1" applyAlignment="1">
      <alignment horizontal="right"/>
    </xf>
    <xf numFmtId="37" fontId="0" fillId="0" borderId="0" xfId="0"/>
    <xf numFmtId="196" fontId="2" fillId="0" borderId="45" xfId="0" applyNumberFormat="1" applyFont="1" applyBorder="1"/>
    <xf numFmtId="196" fontId="2" fillId="0" borderId="13" xfId="0" applyNumberFormat="1" applyFont="1" applyBorder="1"/>
    <xf numFmtId="196" fontId="2" fillId="0" borderId="14" xfId="0" applyNumberFormat="1" applyFont="1" applyBorder="1"/>
    <xf numFmtId="37" fontId="0" fillId="0" borderId="0" xfId="0"/>
    <xf numFmtId="37" fontId="0" fillId="0" borderId="0" xfId="0"/>
    <xf numFmtId="37" fontId="100" fillId="0" borderId="39" xfId="0" applyFont="1" applyBorder="1"/>
    <xf numFmtId="167" fontId="2" fillId="0" borderId="45" xfId="0" applyNumberFormat="1" applyFont="1" applyFill="1" applyBorder="1" applyProtection="1"/>
    <xf numFmtId="37" fontId="0" fillId="0" borderId="45" xfId="0" applyFont="1" applyBorder="1"/>
    <xf numFmtId="37" fontId="123" fillId="0" borderId="0" xfId="0" applyFont="1"/>
    <xf numFmtId="167" fontId="124" fillId="0" borderId="0" xfId="78" applyNumberFormat="1" applyFont="1" applyBorder="1" applyAlignment="1">
      <alignment horizontal="right"/>
    </xf>
    <xf numFmtId="167" fontId="0" fillId="0" borderId="0" xfId="0" applyNumberFormat="1" applyFont="1" applyFill="1" applyBorder="1"/>
    <xf numFmtId="37" fontId="0" fillId="0" borderId="0" xfId="0"/>
    <xf numFmtId="37" fontId="0" fillId="0" borderId="0" xfId="0" applyAlignment="1">
      <alignment horizontal="left" indent="1"/>
    </xf>
    <xf numFmtId="37" fontId="11" fillId="0" borderId="9" xfId="0" applyFont="1" applyFill="1" applyBorder="1"/>
    <xf numFmtId="37" fontId="11" fillId="0" borderId="9" xfId="0" applyFont="1" applyBorder="1"/>
    <xf numFmtId="37" fontId="0" fillId="0" borderId="0" xfId="0" applyAlignment="1">
      <alignment horizontal="left"/>
    </xf>
    <xf numFmtId="37" fontId="11" fillId="31" borderId="82" xfId="0" applyFont="1" applyFill="1" applyBorder="1"/>
    <xf numFmtId="37" fontId="0" fillId="31" borderId="83" xfId="0" applyFill="1" applyBorder="1"/>
    <xf numFmtId="37" fontId="0" fillId="31" borderId="84" xfId="0" applyFill="1" applyBorder="1"/>
    <xf numFmtId="37" fontId="0" fillId="0" borderId="0" xfId="0" applyFont="1" applyBorder="1" applyAlignment="1">
      <alignment horizontal="left" indent="1"/>
    </xf>
    <xf numFmtId="7" fontId="11" fillId="0" borderId="0" xfId="0" applyNumberFormat="1" applyFont="1"/>
    <xf numFmtId="37" fontId="0" fillId="0" borderId="0" xfId="0" applyFont="1" applyAlignment="1">
      <alignment horizontal="left" indent="1"/>
    </xf>
    <xf numFmtId="37" fontId="0" fillId="0" borderId="0" xfId="0" applyFont="1" applyFill="1" applyBorder="1" applyAlignment="1">
      <alignment horizontal="left" indent="1"/>
    </xf>
    <xf numFmtId="37" fontId="11" fillId="0" borderId="0" xfId="0" applyFont="1" applyFill="1" applyBorder="1" applyAlignment="1">
      <alignment horizontal="left"/>
    </xf>
    <xf numFmtId="37" fontId="0" fillId="0" borderId="0" xfId="0"/>
    <xf numFmtId="177" fontId="90" fillId="16" borderId="0" xfId="38" applyNumberFormat="1" applyFont="1" applyFill="1" applyBorder="1" applyProtection="1"/>
    <xf numFmtId="37" fontId="0" fillId="0" borderId="0" xfId="0"/>
    <xf numFmtId="37" fontId="100" fillId="0" borderId="10" xfId="0" applyFont="1" applyBorder="1"/>
    <xf numFmtId="165" fontId="21" fillId="0" borderId="0" xfId="63" applyNumberFormat="1" applyFont="1" applyFill="1" applyBorder="1" applyAlignment="1">
      <alignment horizontal="right"/>
    </xf>
    <xf numFmtId="167" fontId="2" fillId="0" borderId="16" xfId="0" applyNumberFormat="1" applyFont="1" applyFill="1" applyBorder="1" applyAlignment="1">
      <alignment horizontal="right"/>
    </xf>
    <xf numFmtId="200" fontId="37" fillId="0" borderId="34" xfId="0" applyNumberFormat="1" applyFont="1" applyFill="1" applyBorder="1" applyAlignment="1" applyProtection="1">
      <alignment horizontal="right"/>
    </xf>
    <xf numFmtId="37" fontId="2" fillId="0" borderId="0" xfId="0" applyFont="1" applyBorder="1" applyAlignment="1" applyProtection="1">
      <alignment horizontal="right"/>
    </xf>
    <xf numFmtId="3" fontId="125" fillId="0" borderId="0" xfId="0" applyNumberFormat="1" applyFont="1" applyBorder="1" applyProtection="1"/>
    <xf numFmtId="183" fontId="35" fillId="14" borderId="3" xfId="0" applyNumberFormat="1" applyFont="1" applyFill="1" applyBorder="1" applyProtection="1"/>
    <xf numFmtId="37" fontId="0" fillId="0" borderId="0" xfId="0"/>
    <xf numFmtId="37" fontId="2" fillId="0" borderId="16" xfId="0" applyFont="1" applyBorder="1"/>
    <xf numFmtId="37" fontId="2" fillId="0" borderId="11" xfId="0" applyFont="1" applyFill="1" applyBorder="1"/>
    <xf numFmtId="37" fontId="2" fillId="0" borderId="16" xfId="0" applyFont="1" applyBorder="1" applyProtection="1"/>
    <xf numFmtId="37" fontId="0" fillId="0" borderId="0" xfId="0" applyNumberFormat="1"/>
    <xf numFmtId="167" fontId="21" fillId="0" borderId="45" xfId="0" applyNumberFormat="1" applyFont="1" applyFill="1" applyBorder="1" applyAlignment="1">
      <alignment horizontal="right"/>
    </xf>
    <xf numFmtId="37" fontId="0" fillId="0" borderId="0" xfId="0"/>
    <xf numFmtId="37" fontId="0" fillId="0" borderId="0" xfId="0"/>
    <xf numFmtId="10" fontId="14" fillId="0" borderId="0" xfId="78" applyNumberFormat="1" applyFont="1" applyFill="1" applyBorder="1"/>
    <xf numFmtId="10" fontId="14" fillId="0" borderId="0" xfId="0" applyNumberFormat="1" applyFont="1" applyFill="1" applyBorder="1"/>
    <xf numFmtId="167" fontId="0" fillId="0" borderId="0" xfId="78" applyNumberFormat="1" applyFont="1" applyFill="1" applyBorder="1"/>
    <xf numFmtId="10" fontId="87" fillId="0" borderId="0" xfId="78" applyNumberFormat="1" applyFont="1" applyFill="1" applyBorder="1"/>
    <xf numFmtId="10" fontId="6" fillId="0" borderId="0" xfId="78" applyNumberFormat="1" applyFont="1" applyFill="1" applyBorder="1"/>
    <xf numFmtId="10" fontId="93" fillId="0" borderId="0" xfId="0" applyNumberFormat="1" applyFont="1" applyFill="1" applyBorder="1"/>
    <xf numFmtId="10" fontId="0" fillId="0" borderId="0" xfId="78" applyNumberFormat="1" applyFont="1" applyFill="1" applyBorder="1"/>
    <xf numFmtId="10" fontId="35" fillId="0" borderId="26" xfId="0" applyNumberFormat="1" applyFont="1" applyFill="1" applyBorder="1" applyProtection="1"/>
    <xf numFmtId="195" fontId="21" fillId="0" borderId="26" xfId="0" applyNumberFormat="1" applyFont="1" applyFill="1" applyBorder="1" applyProtection="1"/>
    <xf numFmtId="195" fontId="35" fillId="0" borderId="26" xfId="0" applyNumberFormat="1" applyFont="1" applyFill="1" applyBorder="1" applyProtection="1"/>
    <xf numFmtId="3" fontId="21" fillId="0" borderId="14" xfId="0" applyNumberFormat="1" applyFont="1" applyBorder="1"/>
    <xf numFmtId="39" fontId="0" fillId="0" borderId="0" xfId="0" applyNumberFormat="1" applyFont="1" applyBorder="1"/>
    <xf numFmtId="10" fontId="18" fillId="0" borderId="45" xfId="0" applyNumberFormat="1" applyFont="1" applyBorder="1" applyAlignment="1">
      <alignment horizontal="right"/>
    </xf>
    <xf numFmtId="178" fontId="89" fillId="0" borderId="45" xfId="78" applyNumberFormat="1" applyFont="1" applyBorder="1" applyAlignment="1">
      <alignment horizontal="right"/>
    </xf>
    <xf numFmtId="37" fontId="0" fillId="0" borderId="0" xfId="0"/>
    <xf numFmtId="169" fontId="92" fillId="0" borderId="0" xfId="78" applyNumberFormat="1" applyFont="1" applyBorder="1" applyAlignment="1">
      <alignment horizontal="right"/>
    </xf>
    <xf numFmtId="37" fontId="2" fillId="0" borderId="0" xfId="78" applyNumberFormat="1" applyFont="1" applyBorder="1"/>
    <xf numFmtId="184" fontId="21" fillId="0" borderId="0" xfId="78" applyNumberFormat="1" applyFont="1" applyFill="1" applyBorder="1"/>
    <xf numFmtId="184" fontId="21" fillId="0" borderId="0" xfId="0" applyNumberFormat="1" applyFont="1" applyFill="1" applyBorder="1"/>
    <xf numFmtId="167" fontId="0" fillId="0" borderId="0" xfId="0" applyNumberFormat="1" applyFont="1" applyFill="1"/>
    <xf numFmtId="37" fontId="0" fillId="0" borderId="0" xfId="0"/>
    <xf numFmtId="167" fontId="0" fillId="0" borderId="13" xfId="0" applyNumberFormat="1" applyBorder="1"/>
    <xf numFmtId="167" fontId="0" fillId="0" borderId="15" xfId="0" applyNumberFormat="1" applyBorder="1"/>
    <xf numFmtId="164" fontId="2" fillId="0" borderId="0" xfId="0" applyNumberFormat="1" applyFont="1" applyFill="1" applyBorder="1" applyAlignment="1" applyProtection="1">
      <alignment horizontal="right"/>
    </xf>
    <xf numFmtId="40" fontId="89" fillId="0" borderId="0" xfId="38" applyFont="1" applyFill="1" applyBorder="1" applyAlignment="1" applyProtection="1">
      <alignment horizontal="right"/>
    </xf>
    <xf numFmtId="167" fontId="18" fillId="0" borderId="45" xfId="78" applyNumberFormat="1" applyFont="1" applyFill="1" applyBorder="1" applyAlignment="1">
      <alignment horizontal="right"/>
    </xf>
    <xf numFmtId="169" fontId="38" fillId="0" borderId="11" xfId="78" applyNumberFormat="1" applyFont="1" applyBorder="1" applyAlignment="1">
      <alignment horizontal="right"/>
    </xf>
    <xf numFmtId="39" fontId="0" fillId="0" borderId="0" xfId="0" applyNumberFormat="1" applyBorder="1"/>
    <xf numFmtId="167" fontId="0" fillId="0" borderId="69" xfId="0" applyNumberFormat="1" applyBorder="1" applyAlignment="1">
      <alignment horizontal="center"/>
    </xf>
    <xf numFmtId="167" fontId="0" fillId="0" borderId="74" xfId="0" applyNumberFormat="1" applyBorder="1" applyAlignment="1">
      <alignment horizontal="center"/>
    </xf>
    <xf numFmtId="37" fontId="0" fillId="0" borderId="70" xfId="0" applyBorder="1"/>
    <xf numFmtId="37" fontId="0" fillId="0" borderId="72" xfId="0" applyBorder="1"/>
    <xf numFmtId="37" fontId="0" fillId="0" borderId="75" xfId="0" applyBorder="1"/>
    <xf numFmtId="37" fontId="0" fillId="0" borderId="0" xfId="0"/>
    <xf numFmtId="37" fontId="0" fillId="0" borderId="0" xfId="0" quotePrefix="1"/>
    <xf numFmtId="167" fontId="21" fillId="0" borderId="44" xfId="0" applyNumberFormat="1" applyFont="1" applyFill="1" applyBorder="1" applyAlignment="1" applyProtection="1">
      <alignment horizontal="right"/>
    </xf>
    <xf numFmtId="37" fontId="0" fillId="0" borderId="0" xfId="0"/>
    <xf numFmtId="37" fontId="0" fillId="0" borderId="0" xfId="0"/>
    <xf numFmtId="37" fontId="2" fillId="0" borderId="39" xfId="0" applyFont="1" applyBorder="1" applyAlignment="1">
      <alignment horizontal="left"/>
    </xf>
    <xf numFmtId="167" fontId="11" fillId="0" borderId="0" xfId="0" applyNumberFormat="1" applyFont="1" applyBorder="1"/>
    <xf numFmtId="12" fontId="98" fillId="0" borderId="0" xfId="0" applyNumberFormat="1" applyFont="1"/>
    <xf numFmtId="200" fontId="37" fillId="0" borderId="53" xfId="0" applyNumberFormat="1" applyFont="1" applyBorder="1"/>
    <xf numFmtId="175" fontId="21" fillId="0" borderId="19" xfId="38" applyNumberFormat="1" applyFont="1" applyBorder="1"/>
    <xf numFmtId="37" fontId="0" fillId="0" borderId="0" xfId="0"/>
    <xf numFmtId="37" fontId="0" fillId="0" borderId="0" xfId="0"/>
    <xf numFmtId="169" fontId="35" fillId="0" borderId="0" xfId="0" applyNumberFormat="1" applyFont="1" applyFill="1" applyBorder="1" applyAlignment="1" applyProtection="1">
      <alignment horizontal="right"/>
    </xf>
    <xf numFmtId="40" fontId="2" fillId="0" borderId="13" xfId="38" applyFont="1" applyBorder="1"/>
    <xf numFmtId="167" fontId="21" fillId="0" borderId="0" xfId="63" applyNumberFormat="1" applyFont="1" applyFill="1" applyBorder="1" applyAlignment="1">
      <alignment horizontal="right"/>
    </xf>
    <xf numFmtId="167" fontId="21" fillId="0" borderId="45" xfId="63" applyNumberFormat="1" applyFont="1" applyFill="1" applyBorder="1" applyAlignment="1">
      <alignment horizontal="right"/>
    </xf>
    <xf numFmtId="167" fontId="21" fillId="0" borderId="14" xfId="63" applyNumberFormat="1" applyFont="1" applyFill="1" applyBorder="1" applyAlignment="1">
      <alignment horizontal="right"/>
    </xf>
    <xf numFmtId="10" fontId="0" fillId="0" borderId="11" xfId="0" applyNumberFormat="1" applyFont="1" applyFill="1" applyBorder="1"/>
    <xf numFmtId="37" fontId="0" fillId="0" borderId="16" xfId="0" applyFont="1" applyBorder="1"/>
    <xf numFmtId="10" fontId="0" fillId="0" borderId="11" xfId="0" applyNumberFormat="1" applyFont="1" applyBorder="1"/>
    <xf numFmtId="37" fontId="2" fillId="0" borderId="85" xfId="0" applyFont="1" applyFill="1" applyBorder="1" applyAlignment="1">
      <alignment horizontal="right"/>
    </xf>
    <xf numFmtId="195" fontId="38" fillId="0" borderId="14" xfId="0" applyNumberFormat="1" applyFont="1" applyBorder="1" applyAlignment="1">
      <alignment horizontal="right"/>
    </xf>
    <xf numFmtId="195" fontId="38" fillId="0" borderId="38" xfId="0" applyNumberFormat="1" applyFont="1" applyBorder="1" applyAlignment="1">
      <alignment horizontal="right"/>
    </xf>
    <xf numFmtId="200" fontId="21" fillId="0" borderId="14" xfId="0" quotePrefix="1" applyNumberFormat="1" applyFont="1" applyBorder="1" applyAlignment="1">
      <alignment horizontal="right"/>
    </xf>
    <xf numFmtId="3" fontId="92" fillId="0" borderId="0" xfId="78" applyNumberFormat="1" applyFont="1" applyBorder="1" applyAlignment="1">
      <alignment horizontal="right"/>
    </xf>
    <xf numFmtId="37" fontId="0" fillId="0" borderId="0" xfId="0"/>
    <xf numFmtId="37" fontId="0" fillId="0" borderId="0" xfId="0"/>
    <xf numFmtId="167" fontId="2" fillId="0" borderId="13" xfId="0" applyNumberFormat="1" applyFont="1" applyBorder="1" applyAlignment="1">
      <alignment horizontal="left"/>
    </xf>
    <xf numFmtId="1" fontId="2" fillId="0" borderId="0" xfId="0" applyNumberFormat="1" applyFont="1" applyBorder="1" applyAlignment="1" applyProtection="1">
      <alignment horizontal="right"/>
    </xf>
    <xf numFmtId="3" fontId="2" fillId="0" borderId="0" xfId="0" applyNumberFormat="1" applyFont="1" applyBorder="1" applyAlignment="1" applyProtection="1">
      <alignment horizontal="right"/>
    </xf>
    <xf numFmtId="3" fontId="2" fillId="0" borderId="45" xfId="0" applyNumberFormat="1" applyFont="1" applyBorder="1" applyAlignment="1" applyProtection="1">
      <alignment horizontal="right"/>
    </xf>
    <xf numFmtId="37" fontId="0" fillId="0" borderId="0" xfId="0"/>
    <xf numFmtId="167" fontId="26" fillId="0" borderId="0" xfId="0" applyNumberFormat="1" applyFont="1" applyBorder="1"/>
    <xf numFmtId="37" fontId="2" fillId="0" borderId="14" xfId="0" applyFont="1" applyBorder="1"/>
    <xf numFmtId="37" fontId="151" fillId="0" borderId="0" xfId="0" applyFont="1" applyBorder="1"/>
    <xf numFmtId="37" fontId="151" fillId="0" borderId="0" xfId="0" applyFont="1"/>
    <xf numFmtId="37" fontId="152" fillId="17" borderId="19" xfId="0" applyFont="1" applyFill="1" applyBorder="1"/>
    <xf numFmtId="7" fontId="35" fillId="14" borderId="3" xfId="0" applyNumberFormat="1" applyFont="1" applyFill="1" applyBorder="1" applyProtection="1"/>
    <xf numFmtId="167" fontId="10" fillId="0" borderId="0" xfId="0" applyNumberFormat="1" applyFont="1"/>
    <xf numFmtId="2" fontId="89" fillId="0" borderId="0" xfId="0" applyNumberFormat="1" applyFont="1" applyFill="1" applyBorder="1" applyAlignment="1" applyProtection="1">
      <alignment horizontal="right"/>
    </xf>
    <xf numFmtId="10" fontId="2" fillId="0" borderId="0" xfId="0" applyNumberFormat="1" applyFont="1" applyFill="1" applyBorder="1" applyAlignment="1" applyProtection="1">
      <alignment horizontal="right"/>
    </xf>
    <xf numFmtId="10" fontId="18" fillId="0" borderId="13" xfId="78" applyNumberFormat="1" applyFont="1" applyBorder="1"/>
    <xf numFmtId="167" fontId="41" fillId="17" borderId="13" xfId="0" applyNumberFormat="1" applyFont="1" applyFill="1" applyBorder="1" applyProtection="1"/>
    <xf numFmtId="5" fontId="92" fillId="0" borderId="13" xfId="78" applyNumberFormat="1" applyFont="1" applyBorder="1"/>
    <xf numFmtId="10" fontId="40" fillId="0" borderId="13" xfId="78" applyNumberFormat="1" applyFont="1" applyBorder="1" applyAlignment="1">
      <alignment horizontal="right"/>
    </xf>
    <xf numFmtId="167" fontId="37" fillId="17" borderId="13" xfId="78" applyNumberFormat="1" applyFont="1" applyFill="1" applyBorder="1" applyAlignment="1">
      <alignment horizontal="right"/>
    </xf>
    <xf numFmtId="173" fontId="92" fillId="0" borderId="13" xfId="78" applyNumberFormat="1" applyFont="1" applyBorder="1" applyAlignment="1">
      <alignment horizontal="right"/>
    </xf>
    <xf numFmtId="37" fontId="123" fillId="0" borderId="13" xfId="0" applyFont="1" applyBorder="1"/>
    <xf numFmtId="37" fontId="100" fillId="0" borderId="13" xfId="0" applyFont="1" applyBorder="1" applyAlignment="1">
      <alignment horizontal="right"/>
    </xf>
    <xf numFmtId="37" fontId="18" fillId="0" borderId="13" xfId="0" applyFont="1" applyBorder="1" applyAlignment="1">
      <alignment horizontal="right"/>
    </xf>
    <xf numFmtId="37" fontId="37" fillId="0" borderId="85" xfId="0" applyFont="1" applyFill="1" applyBorder="1" applyAlignment="1">
      <alignment horizontal="right"/>
    </xf>
    <xf numFmtId="167" fontId="39" fillId="0" borderId="85" xfId="78" applyNumberFormat="1" applyFont="1" applyFill="1" applyBorder="1" applyAlignment="1">
      <alignment horizontal="right"/>
    </xf>
    <xf numFmtId="37" fontId="0" fillId="0" borderId="0" xfId="0"/>
    <xf numFmtId="37" fontId="0" fillId="0" borderId="0" xfId="0"/>
    <xf numFmtId="37" fontId="21" fillId="0" borderId="85" xfId="0" applyFont="1" applyFill="1" applyBorder="1" applyAlignment="1" applyProtection="1">
      <alignment horizontal="right"/>
    </xf>
    <xf numFmtId="200" fontId="21" fillId="0" borderId="85" xfId="0" applyNumberFormat="1" applyFont="1" applyBorder="1" applyAlignment="1" applyProtection="1">
      <alignment horizontal="right"/>
    </xf>
    <xf numFmtId="37" fontId="21" fillId="0" borderId="85" xfId="0" applyFont="1" applyFill="1" applyBorder="1" applyAlignment="1">
      <alignment horizontal="right"/>
    </xf>
    <xf numFmtId="37" fontId="37" fillId="0" borderId="85" xfId="0" applyFont="1" applyBorder="1" applyAlignment="1" applyProtection="1">
      <alignment horizontal="right"/>
    </xf>
    <xf numFmtId="195" fontId="38" fillId="0" borderId="85" xfId="0" applyNumberFormat="1" applyFont="1" applyBorder="1" applyAlignment="1">
      <alignment horizontal="right"/>
    </xf>
    <xf numFmtId="167" fontId="21" fillId="0" borderId="85" xfId="0" applyNumberFormat="1" applyFont="1" applyFill="1" applyBorder="1" applyAlignment="1">
      <alignment horizontal="right"/>
    </xf>
    <xf numFmtId="37" fontId="21" fillId="0" borderId="85" xfId="0" applyFont="1" applyBorder="1" applyAlignment="1">
      <alignment horizontal="right"/>
    </xf>
    <xf numFmtId="200" fontId="21" fillId="0" borderId="85" xfId="0" quotePrefix="1" applyNumberFormat="1" applyFont="1" applyBorder="1" applyAlignment="1">
      <alignment horizontal="right"/>
    </xf>
    <xf numFmtId="37" fontId="2" fillId="0" borderId="85" xfId="0" applyFont="1" applyFill="1" applyBorder="1" applyAlignment="1" applyProtection="1">
      <alignment horizontal="right"/>
    </xf>
    <xf numFmtId="37" fontId="21" fillId="16" borderId="85" xfId="0" applyFont="1" applyFill="1" applyBorder="1" applyAlignment="1">
      <alignment horizontal="right"/>
    </xf>
    <xf numFmtId="195" fontId="21" fillId="0" borderId="85" xfId="0" applyNumberFormat="1" applyFont="1" applyFill="1" applyBorder="1" applyAlignment="1">
      <alignment horizontal="right"/>
    </xf>
    <xf numFmtId="195" fontId="21" fillId="0" borderId="85" xfId="0" applyNumberFormat="1" applyFont="1" applyBorder="1" applyAlignment="1">
      <alignment horizontal="right"/>
    </xf>
    <xf numFmtId="191" fontId="21" fillId="0" borderId="85" xfId="63" applyFont="1" applyFill="1" applyBorder="1" applyAlignment="1">
      <alignment horizontal="right"/>
    </xf>
    <xf numFmtId="195" fontId="2" fillId="0" borderId="85" xfId="0" applyNumberFormat="1" applyFont="1" applyBorder="1" applyAlignment="1">
      <alignment horizontal="right"/>
    </xf>
    <xf numFmtId="167" fontId="21" fillId="0" borderId="85" xfId="0" applyNumberFormat="1" applyFont="1" applyBorder="1" applyAlignment="1">
      <alignment horizontal="right"/>
    </xf>
    <xf numFmtId="167" fontId="21" fillId="0" borderId="85" xfId="63" applyNumberFormat="1" applyFont="1" applyFill="1" applyBorder="1" applyAlignment="1">
      <alignment horizontal="right"/>
    </xf>
    <xf numFmtId="201" fontId="21" fillId="0" borderId="85" xfId="38" applyNumberFormat="1" applyFont="1" applyBorder="1" applyAlignment="1">
      <alignment horizontal="right"/>
    </xf>
    <xf numFmtId="37" fontId="94" fillId="0" borderId="12" xfId="0" applyFont="1" applyBorder="1" applyAlignment="1">
      <alignment horizontal="right"/>
    </xf>
    <xf numFmtId="8" fontId="35" fillId="0" borderId="85" xfId="0" applyNumberFormat="1" applyFont="1" applyBorder="1" applyAlignment="1">
      <alignment horizontal="right"/>
    </xf>
    <xf numFmtId="165" fontId="21" fillId="0" borderId="85" xfId="0" applyNumberFormat="1" applyFont="1" applyBorder="1" applyAlignment="1">
      <alignment horizontal="right"/>
    </xf>
    <xf numFmtId="37" fontId="35" fillId="0" borderId="85" xfId="0" applyFont="1" applyBorder="1" applyAlignment="1">
      <alignment horizontal="right"/>
    </xf>
    <xf numFmtId="8" fontId="35" fillId="0" borderId="85" xfId="0" applyNumberFormat="1" applyFont="1" applyFill="1" applyBorder="1" applyAlignment="1">
      <alignment horizontal="right"/>
    </xf>
    <xf numFmtId="37" fontId="38" fillId="0" borderId="85" xfId="0" applyFont="1" applyFill="1" applyBorder="1" applyAlignment="1">
      <alignment horizontal="right"/>
    </xf>
    <xf numFmtId="37" fontId="38" fillId="0" borderId="38" xfId="0" applyFont="1" applyFill="1" applyBorder="1" applyAlignment="1">
      <alignment horizontal="right"/>
    </xf>
    <xf numFmtId="37" fontId="39" fillId="0" borderId="85" xfId="0" applyFont="1" applyFill="1" applyBorder="1" applyAlignment="1">
      <alignment horizontal="right"/>
    </xf>
    <xf numFmtId="37" fontId="2" fillId="16" borderId="38" xfId="0" applyFont="1" applyFill="1" applyBorder="1" applyAlignment="1">
      <alignment horizontal="right"/>
    </xf>
    <xf numFmtId="200" fontId="49" fillId="0" borderId="85" xfId="0" quotePrefix="1" applyNumberFormat="1" applyFont="1" applyBorder="1" applyAlignment="1" applyProtection="1">
      <alignment horizontal="right"/>
    </xf>
    <xf numFmtId="195" fontId="37" fillId="0" borderId="85" xfId="0" applyNumberFormat="1" applyFont="1" applyBorder="1" applyAlignment="1" applyProtection="1">
      <alignment horizontal="right"/>
    </xf>
    <xf numFmtId="186" fontId="21" fillId="0" borderId="85" xfId="0" applyNumberFormat="1" applyFont="1" applyBorder="1" applyAlignment="1">
      <alignment horizontal="right"/>
    </xf>
    <xf numFmtId="39" fontId="21" fillId="0" borderId="85" xfId="0" applyNumberFormat="1" applyFont="1" applyFill="1" applyBorder="1" applyAlignment="1">
      <alignment horizontal="right"/>
    </xf>
    <xf numFmtId="167" fontId="2" fillId="0" borderId="85" xfId="0" applyNumberFormat="1" applyFont="1" applyBorder="1" applyAlignment="1">
      <alignment horizontal="right"/>
    </xf>
    <xf numFmtId="196" fontId="2" fillId="0" borderId="17" xfId="38" applyNumberFormat="1" applyFont="1" applyBorder="1" applyAlignment="1">
      <alignment horizontal="right"/>
    </xf>
    <xf numFmtId="201" fontId="21" fillId="0" borderId="85" xfId="63" applyNumberFormat="1" applyFont="1" applyFill="1" applyBorder="1" applyAlignment="1">
      <alignment horizontal="right"/>
    </xf>
    <xf numFmtId="37" fontId="100" fillId="0" borderId="0" xfId="0" applyNumberFormat="1" applyFont="1" applyFill="1" applyBorder="1"/>
    <xf numFmtId="38" fontId="100" fillId="0" borderId="0" xfId="38" applyNumberFormat="1" applyFont="1" applyFill="1" applyBorder="1"/>
    <xf numFmtId="37" fontId="100" fillId="0" borderId="7" xfId="0" applyFont="1" applyFill="1" applyBorder="1"/>
    <xf numFmtId="37" fontId="2" fillId="0" borderId="39" xfId="0" applyFont="1" applyBorder="1"/>
    <xf numFmtId="37" fontId="35" fillId="0" borderId="12" xfId="0" applyFont="1" applyFill="1" applyBorder="1"/>
    <xf numFmtId="37" fontId="100" fillId="0" borderId="85" xfId="0" applyFont="1" applyFill="1" applyBorder="1" applyAlignment="1" applyProtection="1">
      <alignment horizontal="right"/>
    </xf>
    <xf numFmtId="37" fontId="100" fillId="0" borderId="85" xfId="0" applyFont="1" applyFill="1" applyBorder="1" applyAlignment="1">
      <alignment horizontal="right"/>
    </xf>
    <xf numFmtId="37" fontId="37" fillId="0" borderId="85" xfId="0" applyFont="1" applyFill="1" applyBorder="1" applyAlignment="1" applyProtection="1">
      <alignment horizontal="right"/>
    </xf>
    <xf numFmtId="37" fontId="100" fillId="0" borderId="38" xfId="0" applyFont="1" applyFill="1" applyBorder="1" applyAlignment="1">
      <alignment horizontal="right"/>
    </xf>
    <xf numFmtId="37" fontId="35" fillId="0" borderId="16" xfId="0" applyNumberFormat="1" applyFont="1" applyFill="1" applyBorder="1"/>
    <xf numFmtId="195" fontId="105" fillId="0" borderId="85" xfId="0" applyNumberFormat="1" applyFont="1" applyFill="1" applyBorder="1" applyAlignment="1">
      <alignment horizontal="right"/>
    </xf>
    <xf numFmtId="37" fontId="94" fillId="0" borderId="10" xfId="0" applyFont="1" applyBorder="1" applyAlignment="1">
      <alignment horizontal="right"/>
    </xf>
    <xf numFmtId="8" fontId="35" fillId="0" borderId="13" xfId="0" applyNumberFormat="1" applyFont="1" applyFill="1" applyBorder="1" applyAlignment="1">
      <alignment horizontal="right"/>
    </xf>
    <xf numFmtId="4" fontId="18" fillId="0" borderId="0" xfId="0" applyNumberFormat="1" applyFont="1" applyFill="1" applyBorder="1"/>
    <xf numFmtId="37" fontId="2" fillId="0" borderId="13" xfId="0" applyFont="1" applyBorder="1" applyAlignment="1">
      <alignment horizontal="left"/>
    </xf>
    <xf numFmtId="167" fontId="18" fillId="0" borderId="45" xfId="0" applyNumberFormat="1" applyFont="1" applyBorder="1" applyAlignment="1">
      <alignment horizontal="right"/>
    </xf>
    <xf numFmtId="167" fontId="39" fillId="0" borderId="38" xfId="78" applyNumberFormat="1" applyFont="1" applyFill="1" applyBorder="1" applyAlignment="1">
      <alignment horizontal="right"/>
    </xf>
    <xf numFmtId="167" fontId="2" fillId="0" borderId="45" xfId="0" applyNumberFormat="1" applyFont="1" applyFill="1" applyBorder="1" applyAlignment="1">
      <alignment horizontal="right"/>
    </xf>
    <xf numFmtId="167" fontId="2" fillId="0" borderId="0" xfId="0" applyNumberFormat="1" applyFont="1" applyFill="1" applyBorder="1" applyAlignment="1">
      <alignment horizontal="right"/>
    </xf>
    <xf numFmtId="3" fontId="2" fillId="0" borderId="0" xfId="0" applyNumberFormat="1" applyFont="1" applyFill="1" applyBorder="1" applyAlignment="1">
      <alignment horizontal="right"/>
    </xf>
    <xf numFmtId="37" fontId="35" fillId="0" borderId="0" xfId="0" applyNumberFormat="1" applyFont="1" applyFill="1" applyBorder="1"/>
    <xf numFmtId="37" fontId="21" fillId="0" borderId="39" xfId="0" applyNumberFormat="1" applyFont="1" applyFill="1" applyBorder="1"/>
    <xf numFmtId="37" fontId="21" fillId="0" borderId="7" xfId="0" applyNumberFormat="1" applyFont="1" applyFill="1" applyBorder="1"/>
    <xf numFmtId="37" fontId="21" fillId="0" borderId="38" xfId="0" applyNumberFormat="1" applyFont="1" applyFill="1" applyBorder="1"/>
    <xf numFmtId="165" fontId="35" fillId="0" borderId="0" xfId="0" applyNumberFormat="1" applyFont="1" applyFill="1" applyBorder="1"/>
    <xf numFmtId="165" fontId="21" fillId="0" borderId="85" xfId="0" applyNumberFormat="1" applyFont="1" applyFill="1" applyBorder="1" applyAlignment="1">
      <alignment horizontal="right"/>
    </xf>
    <xf numFmtId="37" fontId="35" fillId="0" borderId="85" xfId="0" applyFont="1" applyFill="1" applyBorder="1" applyAlignment="1">
      <alignment horizontal="right"/>
    </xf>
    <xf numFmtId="37" fontId="2" fillId="16" borderId="0" xfId="0" applyFont="1" applyFill="1" applyBorder="1" applyAlignment="1">
      <alignment horizontal="right"/>
    </xf>
    <xf numFmtId="0" fontId="4" fillId="0" borderId="0" xfId="68"/>
    <xf numFmtId="37" fontId="0" fillId="0" borderId="0" xfId="0"/>
    <xf numFmtId="37" fontId="2" fillId="0" borderId="22" xfId="0" applyFont="1" applyBorder="1" applyAlignment="1">
      <alignment horizontal="left" indent="1"/>
    </xf>
    <xf numFmtId="37" fontId="2" fillId="0" borderId="44" xfId="0" applyFont="1" applyBorder="1"/>
    <xf numFmtId="37" fontId="2" fillId="0" borderId="9" xfId="0" applyFont="1" applyBorder="1"/>
    <xf numFmtId="200" fontId="2" fillId="0" borderId="9" xfId="0" applyNumberFormat="1" applyFont="1" applyBorder="1" applyAlignment="1">
      <alignment horizontal="right"/>
    </xf>
    <xf numFmtId="37" fontId="2" fillId="0" borderId="22" xfId="0" applyFont="1" applyBorder="1" applyAlignment="1">
      <alignment horizontal="right"/>
    </xf>
    <xf numFmtId="37" fontId="2" fillId="0" borderId="9" xfId="0" applyFont="1" applyFill="1" applyBorder="1" applyAlignment="1">
      <alignment horizontal="right"/>
    </xf>
    <xf numFmtId="37" fontId="2" fillId="0" borderId="9" xfId="0" applyFont="1" applyBorder="1" applyAlignment="1">
      <alignment horizontal="right"/>
    </xf>
    <xf numFmtId="165" fontId="2" fillId="0" borderId="23" xfId="0" applyNumberFormat="1" applyFont="1" applyBorder="1" applyAlignment="1" applyProtection="1">
      <alignment horizontal="right"/>
    </xf>
    <xf numFmtId="200" fontId="2" fillId="0" borderId="47" xfId="0" applyNumberFormat="1" applyFont="1" applyBorder="1" applyAlignment="1">
      <alignment horizontal="right"/>
    </xf>
    <xf numFmtId="200" fontId="2" fillId="0" borderId="86" xfId="0" applyNumberFormat="1" applyFont="1" applyBorder="1" applyAlignment="1">
      <alignment horizontal="right"/>
    </xf>
    <xf numFmtId="200" fontId="2" fillId="0" borderId="44" xfId="0" applyNumberFormat="1" applyFont="1" applyBorder="1" applyAlignment="1">
      <alignment horizontal="right"/>
    </xf>
    <xf numFmtId="200" fontId="2" fillId="0" borderId="43" xfId="0" applyNumberFormat="1" applyFont="1" applyBorder="1" applyAlignment="1">
      <alignment horizontal="right"/>
    </xf>
    <xf numFmtId="200" fontId="2" fillId="0" borderId="87" xfId="0" applyNumberFormat="1" applyFont="1" applyBorder="1" applyAlignment="1">
      <alignment horizontal="right"/>
    </xf>
    <xf numFmtId="37" fontId="2" fillId="0" borderId="24" xfId="0" applyFont="1" applyBorder="1" applyAlignment="1">
      <alignment horizontal="left" indent="1"/>
    </xf>
    <xf numFmtId="37" fontId="2" fillId="0" borderId="38" xfId="0" applyFont="1" applyBorder="1"/>
    <xf numFmtId="37" fontId="2" fillId="0" borderId="7" xfId="0" applyFont="1" applyBorder="1"/>
    <xf numFmtId="200" fontId="2" fillId="0" borderId="7" xfId="0" applyNumberFormat="1" applyFont="1" applyBorder="1" applyAlignment="1">
      <alignment horizontal="right"/>
    </xf>
    <xf numFmtId="37" fontId="2" fillId="0" borderId="24" xfId="0" applyFont="1" applyBorder="1" applyAlignment="1">
      <alignment horizontal="right"/>
    </xf>
    <xf numFmtId="165" fontId="2" fillId="0" borderId="25" xfId="0" applyNumberFormat="1" applyFont="1" applyBorder="1" applyAlignment="1" applyProtection="1">
      <alignment horizontal="right"/>
    </xf>
    <xf numFmtId="200" fontId="2" fillId="0" borderId="46" xfId="0" applyNumberFormat="1" applyFont="1" applyBorder="1" applyAlignment="1">
      <alignment horizontal="right"/>
    </xf>
    <xf numFmtId="200" fontId="2" fillId="0" borderId="88" xfId="0" applyNumberFormat="1" applyFont="1" applyBorder="1" applyAlignment="1">
      <alignment horizontal="right"/>
    </xf>
    <xf numFmtId="200" fontId="2" fillId="0" borderId="38" xfId="0" applyNumberFormat="1" applyFont="1" applyBorder="1" applyAlignment="1">
      <alignment horizontal="right"/>
    </xf>
    <xf numFmtId="200" fontId="2" fillId="0" borderId="39" xfId="0" applyNumberFormat="1" applyFont="1" applyBorder="1" applyAlignment="1">
      <alignment horizontal="right"/>
    </xf>
    <xf numFmtId="200" fontId="2" fillId="0" borderId="89" xfId="0" applyNumberFormat="1" applyFont="1" applyBorder="1" applyAlignment="1">
      <alignment horizontal="right"/>
    </xf>
    <xf numFmtId="3" fontId="21" fillId="0" borderId="0" xfId="78" applyNumberFormat="1" applyFont="1" applyBorder="1"/>
    <xf numFmtId="37" fontId="0" fillId="0" borderId="0" xfId="0"/>
    <xf numFmtId="200" fontId="21" fillId="32" borderId="7" xfId="0" applyNumberFormat="1" applyFont="1" applyFill="1" applyBorder="1"/>
    <xf numFmtId="37" fontId="100" fillId="32" borderId="0" xfId="0" applyNumberFormat="1" applyFont="1" applyFill="1" applyBorder="1"/>
    <xf numFmtId="37" fontId="100" fillId="32" borderId="0" xfId="0" applyFont="1" applyFill="1" applyBorder="1"/>
    <xf numFmtId="37" fontId="35" fillId="32" borderId="0" xfId="0" applyFont="1" applyFill="1" applyBorder="1"/>
    <xf numFmtId="37" fontId="21" fillId="32" borderId="13" xfId="0" applyFont="1" applyFill="1" applyBorder="1" applyAlignment="1">
      <alignment horizontal="right"/>
    </xf>
    <xf numFmtId="167" fontId="101" fillId="32" borderId="0" xfId="0" applyNumberFormat="1" applyFont="1" applyFill="1" applyBorder="1" applyAlignment="1" applyProtection="1">
      <alignment horizontal="right"/>
    </xf>
    <xf numFmtId="10" fontId="100" fillId="32" borderId="0" xfId="0" applyNumberFormat="1" applyFont="1" applyFill="1" applyBorder="1" applyAlignment="1" applyProtection="1">
      <alignment horizontal="right"/>
    </xf>
    <xf numFmtId="37" fontId="0" fillId="0" borderId="0" xfId="0"/>
    <xf numFmtId="3" fontId="2" fillId="0" borderId="0" xfId="0" applyNumberFormat="1" applyFont="1" applyFill="1" applyBorder="1" applyProtection="1"/>
    <xf numFmtId="174" fontId="0" fillId="0" borderId="0" xfId="0" applyNumberFormat="1" applyAlignment="1">
      <alignment horizontal="center"/>
    </xf>
    <xf numFmtId="37" fontId="0" fillId="0" borderId="21" xfId="0" applyBorder="1"/>
    <xf numFmtId="37" fontId="0" fillId="0" borderId="8" xfId="0" applyBorder="1"/>
    <xf numFmtId="167" fontId="0" fillId="0" borderId="8" xfId="0" applyNumberFormat="1" applyBorder="1" applyAlignment="1">
      <alignment horizontal="center"/>
    </xf>
    <xf numFmtId="37" fontId="0" fillId="0" borderId="90" xfId="0" applyBorder="1"/>
    <xf numFmtId="37" fontId="0" fillId="0" borderId="29" xfId="0" applyBorder="1"/>
    <xf numFmtId="3" fontId="125" fillId="32" borderId="0" xfId="0" applyNumberFormat="1" applyFont="1" applyFill="1" applyBorder="1" applyProtection="1"/>
    <xf numFmtId="37" fontId="0" fillId="0" borderId="68" xfId="0" applyBorder="1" applyAlignment="1">
      <alignment horizontal="center"/>
    </xf>
    <xf numFmtId="167" fontId="0" fillId="0" borderId="71" xfId="0" applyNumberFormat="1" applyBorder="1" applyAlignment="1">
      <alignment horizontal="center"/>
    </xf>
    <xf numFmtId="37" fontId="0" fillId="0" borderId="71" xfId="0" applyBorder="1" applyAlignment="1">
      <alignment horizontal="center"/>
    </xf>
    <xf numFmtId="7" fontId="0" fillId="0" borderId="73" xfId="0" applyNumberFormat="1" applyBorder="1" applyAlignment="1">
      <alignment horizontal="center"/>
    </xf>
    <xf numFmtId="37" fontId="109" fillId="23" borderId="68" xfId="0" applyFont="1" applyFill="1" applyBorder="1" applyAlignment="1">
      <alignment horizontal="centerContinuous"/>
    </xf>
    <xf numFmtId="174" fontId="0" fillId="0" borderId="0" xfId="0" applyNumberFormat="1" applyFill="1" applyBorder="1" applyAlignment="1">
      <alignment horizontal="center"/>
    </xf>
    <xf numFmtId="167" fontId="0" fillId="0" borderId="0" xfId="78" applyNumberFormat="1" applyFont="1" applyAlignment="1">
      <alignment horizontal="center"/>
    </xf>
    <xf numFmtId="167" fontId="0" fillId="0" borderId="0" xfId="78" applyNumberFormat="1" applyFont="1" applyBorder="1" applyAlignment="1">
      <alignment horizontal="center"/>
    </xf>
    <xf numFmtId="167" fontId="0" fillId="0" borderId="72" xfId="78" applyNumberFormat="1" applyFont="1" applyBorder="1" applyAlignment="1">
      <alignment horizontal="center"/>
    </xf>
    <xf numFmtId="7" fontId="0" fillId="0" borderId="0" xfId="0" applyNumberFormat="1" applyBorder="1" applyAlignment="1">
      <alignment horizontal="center"/>
    </xf>
    <xf numFmtId="167" fontId="21" fillId="0" borderId="62" xfId="0" applyNumberFormat="1" applyFont="1" applyBorder="1"/>
    <xf numFmtId="37" fontId="0" fillId="0" borderId="62" xfId="0" applyFont="1" applyBorder="1"/>
    <xf numFmtId="10" fontId="14" fillId="0" borderId="62" xfId="78" applyNumberFormat="1" applyFont="1" applyBorder="1"/>
    <xf numFmtId="10" fontId="0" fillId="0" borderId="62" xfId="0" applyNumberFormat="1" applyFont="1" applyBorder="1"/>
    <xf numFmtId="10" fontId="21" fillId="0" borderId="62" xfId="0" applyNumberFormat="1" applyFont="1" applyBorder="1"/>
    <xf numFmtId="167" fontId="0" fillId="0" borderId="62" xfId="78" applyNumberFormat="1" applyFont="1" applyBorder="1"/>
    <xf numFmtId="10" fontId="87" fillId="0" borderId="62" xfId="78" applyNumberFormat="1" applyFont="1" applyBorder="1"/>
    <xf numFmtId="10" fontId="88" fillId="0" borderId="62" xfId="78" applyNumberFormat="1" applyFont="1" applyBorder="1"/>
    <xf numFmtId="10" fontId="6" fillId="0" borderId="62" xfId="78" applyNumberFormat="1" applyFont="1" applyBorder="1"/>
    <xf numFmtId="10" fontId="38" fillId="0" borderId="62" xfId="0" applyNumberFormat="1" applyFont="1" applyFill="1" applyBorder="1" applyProtection="1"/>
    <xf numFmtId="37" fontId="0" fillId="0" borderId="62" xfId="0" applyBorder="1"/>
    <xf numFmtId="10" fontId="93" fillId="0" borderId="62" xfId="0" applyNumberFormat="1" applyFont="1" applyBorder="1"/>
    <xf numFmtId="10" fontId="0" fillId="0" borderId="62" xfId="78" applyNumberFormat="1" applyFont="1" applyBorder="1"/>
    <xf numFmtId="5" fontId="0" fillId="0" borderId="62" xfId="78" applyNumberFormat="1" applyFont="1" applyBorder="1"/>
    <xf numFmtId="7" fontId="0" fillId="0" borderId="62" xfId="78" applyNumberFormat="1" applyFont="1" applyBorder="1"/>
    <xf numFmtId="195" fontId="21" fillId="0" borderId="62" xfId="0" applyNumberFormat="1" applyFont="1" applyBorder="1"/>
    <xf numFmtId="9" fontId="21" fillId="0" borderId="62" xfId="78" applyFont="1" applyBorder="1"/>
    <xf numFmtId="5" fontId="21" fillId="0" borderId="62" xfId="0" applyNumberFormat="1" applyFont="1" applyFill="1" applyBorder="1" applyProtection="1"/>
    <xf numFmtId="37" fontId="14" fillId="0" borderId="62" xfId="0" applyFont="1" applyBorder="1"/>
    <xf numFmtId="37" fontId="153" fillId="0" borderId="0" xfId="0" applyFont="1" applyFill="1" applyBorder="1" applyAlignment="1">
      <alignment horizontal="right"/>
    </xf>
    <xf numFmtId="167" fontId="0" fillId="32" borderId="16" xfId="0" applyNumberFormat="1" applyFont="1" applyFill="1" applyBorder="1"/>
    <xf numFmtId="167" fontId="0" fillId="32" borderId="0" xfId="0" applyNumberFormat="1" applyFont="1" applyFill="1" applyBorder="1"/>
    <xf numFmtId="39" fontId="0" fillId="0" borderId="0" xfId="0" applyNumberFormat="1" applyFont="1" applyAlignment="1">
      <alignment horizontal="center"/>
    </xf>
    <xf numFmtId="37" fontId="0" fillId="0" borderId="0" xfId="0"/>
    <xf numFmtId="37" fontId="0" fillId="0" borderId="0" xfId="0"/>
    <xf numFmtId="2" fontId="0" fillId="0" borderId="0" xfId="78" applyNumberFormat="1" applyFont="1" applyAlignment="1">
      <alignment horizontal="center"/>
    </xf>
    <xf numFmtId="183" fontId="0" fillId="0" borderId="0" xfId="78" applyNumberFormat="1" applyFont="1"/>
    <xf numFmtId="9" fontId="11" fillId="0" borderId="0" xfId="78" applyFont="1" applyAlignment="1">
      <alignment horizontal="center"/>
    </xf>
    <xf numFmtId="169" fontId="0" fillId="0" borderId="0" xfId="78" applyNumberFormat="1" applyFont="1" applyAlignment="1">
      <alignment horizontal="center"/>
    </xf>
    <xf numFmtId="10" fontId="35" fillId="35" borderId="3" xfId="0" applyNumberFormat="1" applyFont="1" applyFill="1" applyBorder="1" applyProtection="1"/>
    <xf numFmtId="167" fontId="0" fillId="0" borderId="8" xfId="78" applyNumberFormat="1" applyFont="1" applyBorder="1" applyAlignment="1">
      <alignment horizontal="center"/>
    </xf>
    <xf numFmtId="37" fontId="35" fillId="0" borderId="11" xfId="0" applyFont="1" applyFill="1" applyBorder="1"/>
    <xf numFmtId="37" fontId="100" fillId="34" borderId="0" xfId="0" applyFont="1" applyFill="1" applyBorder="1" applyAlignment="1">
      <alignment horizontal="right"/>
    </xf>
    <xf numFmtId="10" fontId="35" fillId="0" borderId="0" xfId="0" applyNumberFormat="1" applyFont="1" applyFill="1" applyBorder="1" applyAlignment="1" applyProtection="1">
      <alignment horizontal="right"/>
    </xf>
    <xf numFmtId="169" fontId="21" fillId="0" borderId="0" xfId="0" applyNumberFormat="1" applyFont="1" applyBorder="1" applyProtection="1"/>
    <xf numFmtId="2" fontId="21" fillId="0" borderId="0" xfId="0" applyNumberFormat="1" applyFont="1" applyProtection="1"/>
    <xf numFmtId="0" fontId="4" fillId="21" borderId="0" xfId="228" applyFont="1" applyFill="1" applyAlignment="1">
      <alignment vertical="top"/>
    </xf>
    <xf numFmtId="0" fontId="4" fillId="21" borderId="0" xfId="68" applyFill="1" applyAlignment="1">
      <alignment vertical="top"/>
    </xf>
    <xf numFmtId="0" fontId="4" fillId="21" borderId="0" xfId="68" applyFill="1"/>
    <xf numFmtId="0" fontId="27" fillId="21" borderId="0" xfId="228" applyFont="1" applyFill="1" applyAlignment="1">
      <alignment horizontal="left" vertical="top"/>
    </xf>
    <xf numFmtId="0" fontId="4" fillId="21" borderId="0" xfId="68" applyFont="1" applyFill="1" applyAlignment="1">
      <alignment vertical="top"/>
    </xf>
    <xf numFmtId="0" fontId="79" fillId="21" borderId="0" xfId="228" applyFont="1" applyFill="1" applyAlignment="1">
      <alignment vertical="top"/>
    </xf>
    <xf numFmtId="37" fontId="0" fillId="21" borderId="0" xfId="0" applyFill="1" applyAlignment="1">
      <alignment vertical="top"/>
    </xf>
    <xf numFmtId="37" fontId="155" fillId="21" borderId="0" xfId="0" applyFont="1" applyFill="1" applyAlignment="1">
      <alignment vertical="top"/>
    </xf>
    <xf numFmtId="37" fontId="156" fillId="21" borderId="0" xfId="0" applyFont="1" applyFill="1" applyAlignment="1">
      <alignment vertical="top"/>
    </xf>
    <xf numFmtId="37" fontId="155" fillId="21" borderId="91" xfId="0" applyFont="1" applyFill="1" applyBorder="1" applyAlignment="1">
      <alignment vertical="top"/>
    </xf>
    <xf numFmtId="2" fontId="4" fillId="0" borderId="0" xfId="68" applyNumberFormat="1" applyAlignment="1">
      <alignment horizontal="left"/>
    </xf>
    <xf numFmtId="0" fontId="4" fillId="0" borderId="0" xfId="68" applyNumberFormat="1" applyAlignment="1">
      <alignment horizontal="left"/>
    </xf>
    <xf numFmtId="1" fontId="4" fillId="0" borderId="0" xfId="68" applyNumberFormat="1" applyAlignment="1">
      <alignment horizontal="left"/>
    </xf>
    <xf numFmtId="0" fontId="4" fillId="0" borderId="0" xfId="68" applyFont="1"/>
    <xf numFmtId="220" fontId="4" fillId="0" borderId="0" xfId="68" applyNumberFormat="1" applyAlignment="1">
      <alignment horizontal="left"/>
    </xf>
    <xf numFmtId="49" fontId="4" fillId="0" borderId="0" xfId="68" applyNumberFormat="1"/>
    <xf numFmtId="0" fontId="157" fillId="0" borderId="0" xfId="68" applyFont="1" applyAlignment="1">
      <alignment wrapText="1"/>
    </xf>
    <xf numFmtId="0" fontId="157" fillId="0" borderId="0" xfId="68" applyFont="1" applyAlignment="1">
      <alignment horizontal="left" wrapText="1" indent="3"/>
    </xf>
    <xf numFmtId="0" fontId="157" fillId="0" borderId="0" xfId="68" applyFont="1" applyAlignment="1">
      <alignment horizontal="left" wrapText="1" indent="1"/>
    </xf>
    <xf numFmtId="0" fontId="159" fillId="0" borderId="0" xfId="68" applyFont="1" applyAlignment="1">
      <alignment wrapText="1"/>
    </xf>
    <xf numFmtId="37" fontId="0" fillId="21" borderId="96" xfId="0" applyFill="1" applyBorder="1" applyAlignment="1">
      <alignment vertical="top"/>
    </xf>
    <xf numFmtId="37" fontId="155" fillId="21" borderId="0" xfId="0" applyFont="1" applyFill="1" applyAlignment="1">
      <alignment vertical="top"/>
    </xf>
    <xf numFmtId="37" fontId="155" fillId="21" borderId="92" xfId="0" applyFont="1" applyFill="1" applyBorder="1" applyAlignment="1">
      <alignment vertical="top"/>
    </xf>
    <xf numFmtId="37" fontId="155" fillId="21" borderId="93" xfId="0" applyFont="1" applyFill="1" applyBorder="1" applyAlignment="1">
      <alignment vertical="top"/>
    </xf>
    <xf numFmtId="37" fontId="155" fillId="21" borderId="94" xfId="0" applyFont="1" applyFill="1" applyBorder="1" applyAlignment="1">
      <alignment vertical="top"/>
    </xf>
    <xf numFmtId="37" fontId="156" fillId="21" borderId="0" xfId="0" applyFont="1" applyFill="1" applyAlignment="1">
      <alignment vertical="top"/>
    </xf>
    <xf numFmtId="37" fontId="0" fillId="21" borderId="0" xfId="0" applyFill="1" applyAlignment="1">
      <alignment vertical="top"/>
    </xf>
    <xf numFmtId="37" fontId="0" fillId="21" borderId="95" xfId="0" applyFill="1" applyBorder="1" applyAlignment="1">
      <alignment vertical="top"/>
    </xf>
  </cellXfs>
  <cellStyles count="229">
    <cellStyle name=" 1" xfId="1"/>
    <cellStyle name="%" xfId="2"/>
    <cellStyle name="******************************************" xfId="3"/>
    <cellStyle name="****************************************** 2" xfId="106"/>
    <cellStyle name="****************************************** 2 2" xfId="107"/>
    <cellStyle name="****************************************** 3" xfId="108"/>
    <cellStyle name="****************************************** 4" xfId="109"/>
    <cellStyle name="******************************************_ESRX_4Q13_earnings" xfId="110"/>
    <cellStyle name="_COV_A_Nov20 2 2" xfId="111"/>
    <cellStyle name="_RRS1" xfId="112"/>
    <cellStyle name="_RRS1_1" xfId="113"/>
    <cellStyle name="_RRS1_Annual" xfId="114"/>
    <cellStyle name="_RRS1_Balance Sheet" xfId="115"/>
    <cellStyle name="_RRS1_Cash Flow" xfId="116"/>
    <cellStyle name="_RRS2" xfId="117"/>
    <cellStyle name="_RRS3" xfId="118"/>
    <cellStyle name="_RRS3_Segments" xfId="119"/>
    <cellStyle name="_RRS4" xfId="120"/>
    <cellStyle name="_RRS4_Segments" xfId="121"/>
    <cellStyle name="_RRS9" xfId="122"/>
    <cellStyle name="_RRS9_Segments" xfId="123"/>
    <cellStyle name="_SUMMARY " xfId="4"/>
    <cellStyle name="_SUMMARY _RRS1" xfId="124"/>
    <cellStyle name="_SUMMARY _RRST1" xfId="125"/>
    <cellStyle name="_SUMMARY _Segments" xfId="126"/>
    <cellStyle name="=C:\WINNT35\SYSTEM32\COMMAND.COM" xfId="127"/>
    <cellStyle name="0" xfId="128"/>
    <cellStyle name="0%" xfId="129"/>
    <cellStyle name="0.0" xfId="130"/>
    <cellStyle name="0.0%" xfId="131"/>
    <cellStyle name="0.0_AMGN_012607" xfId="132"/>
    <cellStyle name="0.00" xfId="133"/>
    <cellStyle name="0.00%" xfId="134"/>
    <cellStyle name="0.00_AMGN_012607" xfId="135"/>
    <cellStyle name="0_AMGN_012607" xfId="136"/>
    <cellStyle name="0_AMGN_041806" xfId="137"/>
    <cellStyle name="0_AMGNnewEPOmodeexUSl" xfId="138"/>
    <cellStyle name="0_AMGNnewEPOmodel" xfId="139"/>
    <cellStyle name="0_AMGNnewEPOmodel (3)" xfId="140"/>
    <cellStyle name="0_Annual" xfId="141"/>
    <cellStyle name="0_Balance Sheet" xfId="142"/>
    <cellStyle name="0_BIOD_080608_RL" xfId="143"/>
    <cellStyle name="0_Capex &amp; Depreciation " xfId="5"/>
    <cellStyle name="0_Capex &amp; Depreciation _RRS1" xfId="144"/>
    <cellStyle name="0_Capex &amp; Depreciation _RRST1" xfId="145"/>
    <cellStyle name="0_Cashflow" xfId="146"/>
    <cellStyle name="0_Changes to Model" xfId="147"/>
    <cellStyle name="0_CVTX_073007" xfId="148"/>
    <cellStyle name="0_Genzyme_071406" xfId="149"/>
    <cellStyle name="0_ILEX_110404" xfId="150"/>
    <cellStyle name="0_IMCL.o" xfId="151"/>
    <cellStyle name="0_meh" xfId="152"/>
    <cellStyle name="0_Quarterly" xfId="153"/>
    <cellStyle name="0_Quarterly " xfId="6"/>
    <cellStyle name="0_Valuing BP " xfId="7"/>
    <cellStyle name="0_Valuing BP _RRS1" xfId="154"/>
    <cellStyle name="0_Valuing BP _RRST1" xfId="155"/>
    <cellStyle name="0_XNPT_020106" xfId="156"/>
    <cellStyle name="0_XNPT_021407" xfId="157"/>
    <cellStyle name="0_XNPT_110206" xfId="158"/>
    <cellStyle name="1dec" xfId="159"/>
    <cellStyle name="20% - Accent1" xfId="8" builtinId="30" customBuiltin="1"/>
    <cellStyle name="20% - Accent2" xfId="9" builtinId="34" customBuiltin="1"/>
    <cellStyle name="20% - Accent3" xfId="10" builtinId="38" customBuiltin="1"/>
    <cellStyle name="20% - Accent4" xfId="11" builtinId="42" customBuiltin="1"/>
    <cellStyle name="20% - Accent5" xfId="12" builtinId="46" customBuiltin="1"/>
    <cellStyle name="20% - Accent6" xfId="13" builtinId="50" customBuiltin="1"/>
    <cellStyle name="40% - Accent1" xfId="14" builtinId="31" customBuiltin="1"/>
    <cellStyle name="40% - Accent2" xfId="15" builtinId="35" customBuiltin="1"/>
    <cellStyle name="40% - Accent3" xfId="16" builtinId="39" customBuiltin="1"/>
    <cellStyle name="40% - Accent4" xfId="17" builtinId="43" customBuiltin="1"/>
    <cellStyle name="40% - Accent5" xfId="18" builtinId="47" customBuiltin="1"/>
    <cellStyle name="40% - Accent6" xfId="19" builtinId="51" customBuiltin="1"/>
    <cellStyle name="60% - Accent1" xfId="20" builtinId="32" customBuiltin="1"/>
    <cellStyle name="60% - Accent2" xfId="21" builtinId="36" customBuiltin="1"/>
    <cellStyle name="60% - Accent3" xfId="22" builtinId="40" customBuiltin="1"/>
    <cellStyle name="60% - Accent4" xfId="23" builtinId="44" customBuiltin="1"/>
    <cellStyle name="60% - Accent5" xfId="24" builtinId="48" customBuiltin="1"/>
    <cellStyle name="60% - Accent6" xfId="25" builtinId="52" customBuiltin="1"/>
    <cellStyle name="752131" xfId="160"/>
    <cellStyle name="Accent1" xfId="26" builtinId="29" customBuiltin="1"/>
    <cellStyle name="Accent2" xfId="27" builtinId="33" customBuiltin="1"/>
    <cellStyle name="Accent3" xfId="28" builtinId="37" customBuiltin="1"/>
    <cellStyle name="Accent4" xfId="29" builtinId="41" customBuiltin="1"/>
    <cellStyle name="Accent5" xfId="30" builtinId="45" customBuiltin="1"/>
    <cellStyle name="Accent6" xfId="31" builtinId="49" customBuiltin="1"/>
    <cellStyle name="ales" xfId="161"/>
    <cellStyle name="Analyzer-MAJOR-Metric Names-Right Aligned" xfId="162"/>
    <cellStyle name="Analyzer-Metric Names" xfId="163"/>
    <cellStyle name="Analyzer-Metric-Growth &amp; Margin%-Numbers" xfId="164"/>
    <cellStyle name="Analyzer-Non MW Links-Numbers" xfId="165"/>
    <cellStyle name="Analyzer-Period Table" xfId="166"/>
    <cellStyle name="Background 3" xfId="32"/>
    <cellStyle name="Bad" xfId="94" builtinId="27" hidden="1"/>
    <cellStyle name="Blue" xfId="33"/>
    <cellStyle name="c_HardInc " xfId="34"/>
    <cellStyle name="c_HardInc _RRS1" xfId="35"/>
    <cellStyle name="c_HardInc _RRST1" xfId="36"/>
    <cellStyle name="Calculation" xfId="98" builtinId="22" hidden="1"/>
    <cellStyle name="Changeable" xfId="167"/>
    <cellStyle name="Check Cell" xfId="100" builtinId="23" hidden="1"/>
    <cellStyle name="Colhead_left" xfId="168"/>
    <cellStyle name="ColHeading" xfId="37"/>
    <cellStyle name="colheadleft" xfId="169"/>
    <cellStyle name="colheadright" xfId="170"/>
    <cellStyle name="Comma" xfId="38" builtinId="3"/>
    <cellStyle name="Comma  - Style1" xfId="171"/>
    <cellStyle name="Comma  - Style2" xfId="172"/>
    <cellStyle name="Comma  - Style3" xfId="173"/>
    <cellStyle name="Comma  - Style4" xfId="174"/>
    <cellStyle name="Comma  - Style5" xfId="175"/>
    <cellStyle name="Comma  - Style6" xfId="176"/>
    <cellStyle name="Comma  - Style7" xfId="177"/>
    <cellStyle name="Comma  - Style8" xfId="178"/>
    <cellStyle name="Comma [1]" xfId="179"/>
    <cellStyle name="Comma 2" xfId="39"/>
    <cellStyle name="Comma 2 2" xfId="105"/>
    <cellStyle name="Comma 2 3" xfId="180"/>
    <cellStyle name="Comma 3" xfId="40"/>
    <cellStyle name="Comma 32" xfId="181"/>
    <cellStyle name="Comma 4" xfId="182"/>
    <cellStyle name="Company" xfId="41"/>
    <cellStyle name="CurRatio" xfId="42"/>
    <cellStyle name="Currency" xfId="43" builtinId="4"/>
    <cellStyle name="Currency 2" xfId="44"/>
    <cellStyle name="Currency 3" xfId="45"/>
    <cellStyle name="Currency 3 2" xfId="104"/>
    <cellStyle name="Currency 4" xfId="183"/>
    <cellStyle name="Currency 5" xfId="184"/>
    <cellStyle name="Currency 6" xfId="185"/>
    <cellStyle name="currency(Dol)" xfId="186"/>
    <cellStyle name="Date" xfId="187"/>
    <cellStyle name="Date1" xfId="46"/>
    <cellStyle name="Date2" xfId="188"/>
    <cellStyle name="Dollars" xfId="189"/>
    <cellStyle name="Download" xfId="190"/>
    <cellStyle name="Explanatory Text" xfId="47" builtinId="53" customBuiltin="1"/>
    <cellStyle name="Fail" xfId="48"/>
    <cellStyle name="FiscalPeriod" xfId="49"/>
    <cellStyle name="Footnote" xfId="191"/>
    <cellStyle name="Good" xfId="93" builtinId="26" hidden="1"/>
    <cellStyle name="head1" xfId="192"/>
    <cellStyle name="head2" xfId="193"/>
    <cellStyle name="Header1" xfId="194"/>
    <cellStyle name="Header2" xfId="195"/>
    <cellStyle name="Heading" xfId="196"/>
    <cellStyle name="Heading 1" xfId="50" builtinId="16" customBuiltin="1"/>
    <cellStyle name="Heading 2" xfId="92" builtinId="17" hidden="1"/>
    <cellStyle name="Heading 3" xfId="51" builtinId="18" customBuiltin="1"/>
    <cellStyle name="Heading 4" xfId="52" builtinId="19" customBuiltin="1"/>
    <cellStyle name="Hidden" xfId="53"/>
    <cellStyle name="Hyperlink" xfId="54" builtinId="8"/>
    <cellStyle name="Hyperlink_MCK" xfId="55"/>
    <cellStyle name="Input" xfId="96" builtinId="20" hidden="1"/>
    <cellStyle name="Input 2" xfId="56"/>
    <cellStyle name="Integer" xfId="57"/>
    <cellStyle name="Item" xfId="58"/>
    <cellStyle name="ItemTypeClass" xfId="59"/>
    <cellStyle name="KP_Normal" xfId="197"/>
    <cellStyle name="Linked Cell" xfId="99" builtinId="24" hidden="1"/>
    <cellStyle name="MetricLabel" xfId="60"/>
    <cellStyle name="MetricLabelBlue" xfId="61"/>
    <cellStyle name="MetricValue" xfId="62"/>
    <cellStyle name="Multiple" xfId="63"/>
    <cellStyle name="Neutral" xfId="95" builtinId="28" hidden="1"/>
    <cellStyle name="Normal" xfId="0" builtinId="0"/>
    <cellStyle name="Normal - Style1" xfId="198"/>
    <cellStyle name="Normal 2" xfId="64"/>
    <cellStyle name="Normal 3" xfId="65"/>
    <cellStyle name="Normal 4" xfId="66"/>
    <cellStyle name="Normal 4 2" xfId="67"/>
    <cellStyle name="Normal 4 3" xfId="103"/>
    <cellStyle name="Normal 5" xfId="68"/>
    <cellStyle name="Normal 6" xfId="69"/>
    <cellStyle name="Normal 7" xfId="70"/>
    <cellStyle name="Normal_AGNwk-old" xfId="71"/>
    <cellStyle name="Normal_DisclaimerSheet Samples" xfId="228"/>
    <cellStyle name="Normal_DLTR" xfId="72"/>
    <cellStyle name="Normal_LH_110209" xfId="73"/>
    <cellStyle name="Normal_MCK" xfId="74"/>
    <cellStyle name="Normal_sheet" xfId="75"/>
    <cellStyle name="Normalny_Ferrum . Valuation . CA IB . 8" xfId="199"/>
    <cellStyle name="Note" xfId="102" builtinId="10" hidden="1"/>
    <cellStyle name="Numdec1" xfId="200"/>
    <cellStyle name="Numdec1bold" xfId="201"/>
    <cellStyle name="Œ…‹æØ‚è [0.00]_GE 3 MINIMUM" xfId="202"/>
    <cellStyle name="Œ…‹æØ‚è_GE 3 MINIMUM" xfId="203"/>
    <cellStyle name="outh America" xfId="204"/>
    <cellStyle name="Output" xfId="97" builtinId="21" hidden="1"/>
    <cellStyle name="p " xfId="76"/>
    <cellStyle name="Pass" xfId="77"/>
    <cellStyle name="Pctdec1itals" xfId="205"/>
    <cellStyle name="Percent" xfId="78" builtinId="5"/>
    <cellStyle name="Percent 1" xfId="206"/>
    <cellStyle name="Percent 2" xfId="79"/>
    <cellStyle name="Percent 2 2" xfId="207"/>
    <cellStyle name="Percent 3" xfId="80"/>
    <cellStyle name="PercentChange" xfId="81"/>
    <cellStyle name="PeriodActualQuarter" xfId="82"/>
    <cellStyle name="PeriodActualYear" xfId="83"/>
    <cellStyle name="PeriodEstimatedQuarter" xfId="84"/>
    <cellStyle name="price_New Header" xfId="208"/>
    <cellStyle name="RatioX" xfId="209"/>
    <cellStyle name="Right" xfId="210"/>
    <cellStyle name="RRSInstruction" xfId="85"/>
    <cellStyle name="RRSInstruction 2" xfId="211"/>
    <cellStyle name="s_HardInc " xfId="86"/>
    <cellStyle name="s_HardInc _RRS1" xfId="87"/>
    <cellStyle name="s_HardInc _RRST1" xfId="212"/>
    <cellStyle name="s_Valuation " xfId="88"/>
    <cellStyle name="s_Valuation _RRS1" xfId="213"/>
    <cellStyle name="s_Valuation _RRST1" xfId="214"/>
    <cellStyle name="SectionHeading" xfId="215"/>
    <cellStyle name="ssp " xfId="89"/>
    <cellStyle name="Style 1" xfId="216"/>
    <cellStyle name="Style 2" xfId="217"/>
    <cellStyle name="Style 26" xfId="218"/>
    <cellStyle name="Style 27" xfId="219"/>
    <cellStyle name="Subhead" xfId="220"/>
    <cellStyle name="Subheadbldun" xfId="221"/>
    <cellStyle name="Subtotal_left" xfId="222"/>
    <cellStyle name="Title" xfId="90" builtinId="15" customBuiltin="1"/>
    <cellStyle name="title1" xfId="223"/>
    <cellStyle name="title2" xfId="224"/>
    <cellStyle name="Titles" xfId="225"/>
    <cellStyle name="Top Line" xfId="226"/>
    <cellStyle name="Total" xfId="91" builtinId="25" customBuiltin="1"/>
    <cellStyle name="Upload Only" xfId="227"/>
    <cellStyle name="Warning Text" xfId="101" builtinId="11" hidde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32C464"/>
      <rgbColor rgb="00CCFFFF"/>
      <rgbColor rgb="00660066"/>
      <rgbColor rgb="00F37B53"/>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3399FF"/>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CE6F1"/>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externalLinks/externalLink1.xml" Type="http://schemas.openxmlformats.org/officeDocument/2006/relationships/externalLink"/>
<Relationship Id="rId17" Target="externalLinks/externalLink2.xml" Type="http://schemas.openxmlformats.org/officeDocument/2006/relationships/externalLink"/>
<Relationship Id="rId18" Target="externalLinks/externalLink3.xml" Type="http://schemas.openxmlformats.org/officeDocument/2006/relationships/externalLink"/>
<Relationship Id="rId19" Target="externalLinks/externalLink4.xml" Type="http://schemas.openxmlformats.org/officeDocument/2006/relationships/externalLink"/>
<Relationship Id="rId2" Target="worksheets/sheet2.xml" Type="http://schemas.openxmlformats.org/officeDocument/2006/relationships/worksheet"/>
<Relationship Id="rId20" Target="externalLinks/externalLink5.xml" Type="http://schemas.openxmlformats.org/officeDocument/2006/relationships/externalLink"/>
<Relationship Id="rId21" Target="externalLinks/externalLink6.xml" Type="http://schemas.openxmlformats.org/officeDocument/2006/relationships/externalLink"/>
<Relationship Id="rId22" Target="externalLinks/externalLink7.xml" Type="http://schemas.openxmlformats.org/officeDocument/2006/relationships/externalLink"/>
<Relationship Id="rId23" Target="externalLinks/externalLink8.xml" Type="http://schemas.openxmlformats.org/officeDocument/2006/relationships/externalLink"/>
<Relationship Id="rId24" Target="externalLinks/externalLink9.xml" Type="http://schemas.openxmlformats.org/officeDocument/2006/relationships/externalLink"/>
<Relationship Id="rId25" Target="externalLinks/externalLink10.xml" Type="http://schemas.openxmlformats.org/officeDocument/2006/relationships/externalLink"/>
<Relationship Id="rId26" Target="externalLinks/externalLink11.xml" Type="http://schemas.openxmlformats.org/officeDocument/2006/relationships/externalLink"/>
<Relationship Id="rId27" Target="externalLinks/externalLink12.xml" Type="http://schemas.openxmlformats.org/officeDocument/2006/relationships/externalLink"/>
<Relationship Id="rId28" Target="externalLinks/externalLink13.xml" Type="http://schemas.openxmlformats.org/officeDocument/2006/relationships/externalLink"/>
<Relationship Id="rId29" Target="externalLinks/externalLink14.xml" Type="http://schemas.openxmlformats.org/officeDocument/2006/relationships/externalLink"/>
<Relationship Id="rId3" Target="worksheets/sheet3.xml" Type="http://schemas.openxmlformats.org/officeDocument/2006/relationships/worksheet"/>
<Relationship Id="rId30" Target="externalLinks/externalLink15.xml" Type="http://schemas.openxmlformats.org/officeDocument/2006/relationships/externalLink"/>
<Relationship Id="rId31" Target="externalLinks/externalLink16.xml" Type="http://schemas.openxmlformats.org/officeDocument/2006/relationships/externalLink"/>
<Relationship Id="rId32" Target="theme/theme1.xml" Type="http://schemas.openxmlformats.org/officeDocument/2006/relationships/theme"/>
<Relationship Id="rId33" Target="styles.xml" Type="http://schemas.openxmlformats.org/officeDocument/2006/relationships/styles"/>
<Relationship Id="rId34" Target="sharedStrings.xml" Type="http://schemas.openxmlformats.org/officeDocument/2006/relationships/sharedStrings"/>
<Relationship Id="rId35" Target="calcChain.xml" Type="http://schemas.openxmlformats.org/officeDocument/2006/relationships/calcChain"/>
<Relationship Id="rId36" Target="../customXml/item1.xml" Type="http://schemas.openxmlformats.org/officeDocument/2006/relationships/customXml"/>
<Relationship Id="rId37" Target="../customXml/item2.xml" Type="http://schemas.openxmlformats.org/officeDocument/2006/relationships/customXml"/>
<Relationship Id="rId38"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3.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4.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5.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6.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7.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8.xml.rels><?xml version="1.0" encoding="UTF-8" standalone="yes"?>
<Relationships xmlns="http://schemas.openxmlformats.org/package/2006/relationships">
<Relationship Id="rId1" Target="../media/image4.jpe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1</xdr:col>
      <xdr:colOff>104775</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2</xdr:col>
      <xdr:colOff>228600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181</xdr:row>
      <xdr:rowOff>0</xdr:rowOff>
    </xdr:from>
    <xdr:to>
      <xdr:col>9</xdr:col>
      <xdr:colOff>114300</xdr:colOff>
      <xdr:row>204</xdr:row>
      <xdr:rowOff>104775</xdr:rowOff>
    </xdr:to>
    <xdr:pic>
      <xdr:nvPicPr>
        <xdr:cNvPr id="9693185" name="Picture 1" descr="C:\Users\marrosen\AppData\Local\Temp\MercuryPriceRatingHistoryChart\WBA.O_2018_03_26_18_45_24.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0987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5</xdr:col>
      <xdr:colOff>323850</xdr:colOff>
      <xdr:row>0</xdr:row>
      <xdr:rowOff>9525</xdr:rowOff>
    </xdr:from>
    <xdr:to>
      <xdr:col>6</xdr:col>
      <xdr:colOff>333375</xdr:colOff>
      <xdr:row>0</xdr:row>
      <xdr:rowOff>609600</xdr:rowOff>
    </xdr:to>
    <xdr:pic>
      <xdr:nvPicPr>
        <xdr:cNvPr id="219253"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19725" y="9525"/>
          <a:ext cx="19050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99</xdr:col>
      <xdr:colOff>161925</xdr:colOff>
      <xdr:row>3</xdr:row>
      <xdr:rowOff>38100</xdr:rowOff>
    </xdr:from>
    <xdr:to>
      <xdr:col>117</xdr:col>
      <xdr:colOff>323850</xdr:colOff>
      <xdr:row>4</xdr:row>
      <xdr:rowOff>142875</xdr:rowOff>
    </xdr:to>
    <xdr:pic>
      <xdr:nvPicPr>
        <xdr:cNvPr id="8790762" name="Picture 35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2619375" y="52387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99</xdr:col>
      <xdr:colOff>152400</xdr:colOff>
      <xdr:row>195</xdr:row>
      <xdr:rowOff>28575</xdr:rowOff>
    </xdr:from>
    <xdr:to>
      <xdr:col>117</xdr:col>
      <xdr:colOff>323850</xdr:colOff>
      <xdr:row>196</xdr:row>
      <xdr:rowOff>133350</xdr:rowOff>
    </xdr:to>
    <xdr:pic>
      <xdr:nvPicPr>
        <xdr:cNvPr id="8790763" name="Picture 35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2609850" y="1806892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99</xdr:col>
      <xdr:colOff>171450</xdr:colOff>
      <xdr:row>350</xdr:row>
      <xdr:rowOff>19050</xdr:rowOff>
    </xdr:from>
    <xdr:to>
      <xdr:col>117</xdr:col>
      <xdr:colOff>323850</xdr:colOff>
      <xdr:row>351</xdr:row>
      <xdr:rowOff>123825</xdr:rowOff>
    </xdr:to>
    <xdr:pic>
      <xdr:nvPicPr>
        <xdr:cNvPr id="8790764" name="Picture 35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2628900" y="3534727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99</xdr:col>
      <xdr:colOff>85725</xdr:colOff>
      <xdr:row>3</xdr:row>
      <xdr:rowOff>28575</xdr:rowOff>
    </xdr:from>
    <xdr:to>
      <xdr:col>117</xdr:col>
      <xdr:colOff>323850</xdr:colOff>
      <xdr:row>4</xdr:row>
      <xdr:rowOff>133350</xdr:rowOff>
    </xdr:to>
    <xdr:pic>
      <xdr:nvPicPr>
        <xdr:cNvPr id="6827307"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53749575" y="46672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99</xdr:col>
      <xdr:colOff>85725</xdr:colOff>
      <xdr:row>3</xdr:row>
      <xdr:rowOff>28575</xdr:rowOff>
    </xdr:from>
    <xdr:to>
      <xdr:col>117</xdr:col>
      <xdr:colOff>323850</xdr:colOff>
      <xdr:row>4</xdr:row>
      <xdr:rowOff>133350</xdr:rowOff>
    </xdr:to>
    <xdr:pic>
      <xdr:nvPicPr>
        <xdr:cNvPr id="9487619"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2457450" y="46672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99</xdr:col>
      <xdr:colOff>85725</xdr:colOff>
      <xdr:row>3</xdr:row>
      <xdr:rowOff>28575</xdr:rowOff>
    </xdr:from>
    <xdr:to>
      <xdr:col>117</xdr:col>
      <xdr:colOff>323850</xdr:colOff>
      <xdr:row>4</xdr:row>
      <xdr:rowOff>133350</xdr:rowOff>
    </xdr:to>
    <xdr:pic>
      <xdr:nvPicPr>
        <xdr:cNvPr id="9590904"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2457450" y="46672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99</xdr:col>
      <xdr:colOff>85725</xdr:colOff>
      <xdr:row>3</xdr:row>
      <xdr:rowOff>28575</xdr:rowOff>
    </xdr:from>
    <xdr:to>
      <xdr:col>102</xdr:col>
      <xdr:colOff>323850</xdr:colOff>
      <xdr:row>4</xdr:row>
      <xdr:rowOff>133350</xdr:rowOff>
    </xdr:to>
    <xdr:pic>
      <xdr:nvPicPr>
        <xdr:cNvPr id="9556202"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3362325" y="46672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99</xdr:col>
      <xdr:colOff>85725</xdr:colOff>
      <xdr:row>3</xdr:row>
      <xdr:rowOff>28575</xdr:rowOff>
    </xdr:from>
    <xdr:to>
      <xdr:col>102</xdr:col>
      <xdr:colOff>323850</xdr:colOff>
      <xdr:row>4</xdr:row>
      <xdr:rowOff>133350</xdr:rowOff>
    </xdr:to>
    <xdr:pic>
      <xdr:nvPicPr>
        <xdr:cNvPr id="9556203"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3362325" y="46672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23</xdr:col>
      <xdr:colOff>180975</xdr:colOff>
      <xdr:row>3</xdr:row>
      <xdr:rowOff>0</xdr:rowOff>
    </xdr:from>
    <xdr:to>
      <xdr:col>30</xdr:col>
      <xdr:colOff>161925</xdr:colOff>
      <xdr:row>4</xdr:row>
      <xdr:rowOff>104775</xdr:rowOff>
    </xdr:to>
    <xdr:pic>
      <xdr:nvPicPr>
        <xdr:cNvPr id="6744730" name="Picture 7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5076825" y="466725"/>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file://///MSAD/ROOT/NA/NY/LIB/ER/HEALTH/Goldwasser/Companies/PBMs/Comps.xls"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HEALTH/Goldwasser/Models/Clients/Rlink/MHS.xls" TargetMode="External" Type="http://schemas.microsoft.com/office/2006/relationships/xlExternalLinkPath/xlAlternateStartup"/>
</Relationships>

</file>

<file path=xl/externalLinks/_rels/externalLink3.xml.rels><?xml version="1.0" encoding="UTF-8" standalone="yes"?>
<Relationships xmlns="http://schemas.openxmlformats.org/package/2006/relationships">
<Relationship Id="rId1" Target="RETAIL/Hardlines/Companies/SHLD/SHLD.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RETAIL/Food%20and%20Drug/Companies/SVU/Other%20SVU.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Documents%20and%20Settings/rickgold/Local%20Settings/Temporary%20Internet%20Files/OLKF6/PHCC%20Model%207.14.05.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HEALTH/Goldwasser/Distributors/ABC/Model/ABC_110809.xls" TargetMode="External" Type="http://schemas.microsoft.com/office/2006/relationships/xlExternalLinkPath/xlAlternateStartup"/>
</Relationships>

</file>

<file path=xl/externalLinks/_rels/externalLink7.xml.rels><?xml version="1.0" encoding="UTF-8" standalone="yes"?>
<Relationships xmlns="http://schemas.openxmlformats.org/package/2006/relationships">
<Relationship Id="rId1" Target="HEALTH/Goldwasser/Models/Clients/CVS.N.xls" TargetMode="External" Type="http://schemas.microsoft.com/office/2006/relationships/xlExternalLinkPath/xlAlternateStartup"/>
</Relationships>

</file>

<file path=xl/externalLinks/_rels/externalLink8.xml.rels><?xml version="1.0" encoding="UTF-8" standalone="yes"?>
<Relationships xmlns="http://schemas.openxmlformats.org/package/2006/relationships">
<Relationship Id="rId1" Target="HEALTH/Goldwasser/Models/Clients/Rlink/AMRI%2008%2003%2015%201230.xls" TargetMode="External" Type="http://schemas.microsoft.com/office/2006/relationships/xlExternalLinkPath/xlAlternateStartup"/>
</Relationships>

</file>

<file path=xl/externalLinks/_rels/externalLink9.xml.rels><?xml version="1.0" encoding="UTF-8" standalone="yes"?>
<Relationships xmlns="http://schemas.openxmlformats.org/package/2006/relationships">
<Relationship Id="rId1" Target="HEALTH/Pharma/Risinger/models/AGN/AGNwk.xls" TargetMode="External" Type="http://schemas.microsoft.com/office/2006/relationships/xlExternalLinkPath/xlStartup"/>
</Relationships>

</file>

<file path=xl/externalLinks/_rels/externalLink10.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Documents%20and%20Settings/rickgold/Local%20Settings/Temporary%20Internet%20Files/OLKF6/PHCC%20Model%207.14.05.xls" TargetMode="External" Type="http://schemas.microsoft.com/office/2006/relationships/xlExternalLinkPath/xlStartup"/>
</Relationships>

</file>

<file path=xl/externalLinks/_rels/externalLink12.xml.rels><?xml version="1.0" encoding="UTF-8" standalone="yes"?>
<Relationships xmlns="http://schemas.openxmlformats.org/package/2006/relationships">
<Relationship Id="rId1" Target="Documents%20and%20Settings/catheloh/Local%20Settings/Temporary%20Internet%20Files/OLK30/Deferred%20tax%20analysis4.xls" TargetMode="External" Type="http://schemas.microsoft.com/office/2006/relationships/xlExternalLinkPath/xlStartup"/>
</Relationships>

</file>

<file path=xl/externalLinks/_rels/externalLink13.xml.rels><?xml version="1.0" encoding="UTF-8" standalone="yes"?>
<Relationships xmlns="http://schemas.openxmlformats.org/package/2006/relationships">
<Relationship Id="rId1" Target="file:///A:/KIM/PELICAN/NON_CORE/DCF7.XLS" TargetMode="External" Type="http://schemas.openxmlformats.org/officeDocument/2006/relationships/externalLinkPath"/>
</Relationships>

</file>

<file path=xl/externalLinks/_rels/externalLink14.xml.rels><?xml version="1.0" encoding="UTF-8" standalone="yes"?>
<Relationships xmlns="http://schemas.openxmlformats.org/package/2006/relationships">
<Relationship Id="rId1" Target="file:///G:/M&amp;AHEALT/PROJECTS/CAREMATR/HIST20.XLS" TargetMode="External" Type="http://schemas.openxmlformats.org/officeDocument/2006/relationships/externalLinkPath"/>
</Relationships>

</file>

<file path=xl/externalLinks/_rels/externalLink15.xml.rels><?xml version="1.0" encoding="UTF-8" standalone="yes"?>
<Relationships xmlns="http://schemas.openxmlformats.org/package/2006/relationships">
<Relationship Id="rId1" Target="file://///nydfs1/root/KIM/NOAH/LBO_2.XLS" TargetMode="External" Type="http://schemas.openxmlformats.org/officeDocument/2006/relationships/externalLinkPath"/>
</Relationships>

</file>

<file path=xl/externalLinks/_rels/externalLink16.xml.rels><?xml version="1.0" encoding="UTF-8" standalone="yes"?>
<Relationships xmlns="http://schemas.openxmlformats.org/package/2006/relationships">
<Relationship Id="rId1" Target="HEALTH/Goldwasser/Models/Clients/Rlink/WAG%20Pharmacy%20Buildup%20v13.xls"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ket Share"/>
      <sheetName val="Sheet1"/>
      <sheetName val="Pricing Exhibits"/>
      <sheetName val="New Bear Case"/>
      <sheetName val="Generic EPS Table"/>
      <sheetName val="__FDSCACHE__"/>
      <sheetName val="Growth"/>
      <sheetName val="MW-Cache"/>
      <sheetName val="Scenario Analysis"/>
      <sheetName val="ESRX Charts"/>
      <sheetName val="MHS Charts"/>
      <sheetName val="ESRX Ownership"/>
      <sheetName val="MHS Ownership"/>
      <sheetName val="marketing deck (2)"/>
      <sheetName val="marketing deck"/>
      <sheetName val="Quarterly Updates"/>
      <sheetName val="Retention"/>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__FDSCACHE__"/>
      <sheetName val="Model"/>
      <sheetName val="Revenue"/>
      <sheetName val="gross margins"/>
      <sheetName val="Per claim analysis"/>
      <sheetName val="Guidance"/>
      <sheetName val="Debt"/>
      <sheetName val="Rebates &amp; Copays"/>
      <sheetName val="Scenarios"/>
      <sheetName val="Specialty"/>
      <sheetName val="Valuation"/>
      <sheetName val="MW-Cache"/>
      <sheetName val="mwareSettings"/>
      <sheetName val="Variance"/>
      <sheetName val="mwareDates"/>
      <sheetName val="MWA RR"/>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ummary of Recent Results"/>
      <sheetName val="Open Platform"/>
      <sheetName val="Pro Forma Income Statement"/>
      <sheetName val="mwareValPrintout"/>
      <sheetName val="Pro Forma Balance Sheet"/>
      <sheetName val="Pro Forma Cash Flow"/>
      <sheetName val="RNOA -- ROE"/>
      <sheetName val="Valuation"/>
      <sheetName val="SHLD Sum of Parts"/>
      <sheetName val="Pension_mware"/>
      <sheetName val="OPEB_mware"/>
      <sheetName val="Stores"/>
      <sheetName val="Pro Forma Lease Template"/>
      <sheetName val="mwareDates"/>
      <sheetName val="mwareSettings"/>
      <sheetName val="Sheet3"/>
      <sheetName val="Income Statement"/>
      <sheetName val="MW-Cache"/>
      <sheetName val="Balance Sheet"/>
      <sheetName val="Cash Flow"/>
      <sheetName val="Valsum"/>
      <sheetName val="__FDSCACHE__"/>
      <sheetName val="Pensions - Revised"/>
      <sheetName val="MWA RR"/>
      <sheetName val="MW Valuation"/>
      <sheetName val="Leased Stores"/>
      <sheetName val="mwareDates_39143_3681577"/>
      <sheetName val="Covenant"/>
      <sheetName val="Lease Template"/>
      <sheetName val="RevBreakdown"/>
      <sheetName val="__APW_ACTIVE_FIELD_RESTORE__"/>
      <sheetName val="Scenario_after_AR_sale"/>
      <sheetName val="Sheet2"/>
      <sheetName val="mwarePreview"/>
      <sheetName val="SHLD Scenario 2 (w Canada sold)"/>
      <sheetName val="MWare_Cached"/>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pply Chain Services Metrics"/>
      <sheetName val="UNFI"/>
      <sheetName val="Sheet1"/>
      <sheetName val="Sheet2"/>
      <sheetName val="Sheet3"/>
      <sheetName val="#REF"/>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Model"/>
      <sheetName val="Revenue"/>
      <sheetName val="Aetna"/>
      <sheetName val="Assumptions"/>
      <sheetName val="Shares"/>
      <sheetName val="Options Expensing"/>
      <sheetName val="Debt"/>
      <sheetName val="Disclaimer"/>
      <sheetName val="__FDSCACHE__"/>
      <sheetName val="DCF"/>
      <sheetName val="WACC"/>
      <sheetName val="WC"/>
      <sheetName val="Valuation"/>
      <sheetName val="New Products"/>
      <sheetName val="Valuation Matrix"/>
      <sheetName val="Products"/>
      <sheetName val="Charts"/>
      <sheetName val="CUS Image(OLD)"/>
      <sheetName val="CUS Image"/>
      <sheetName val="Module1"/>
      <sheetName val="Module2"/>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structions"/>
      <sheetName val="Model"/>
      <sheetName val="Deep dive assumptions"/>
      <sheetName val="Guidance"/>
      <sheetName val="__FDSCACHE__"/>
      <sheetName val="Valuation"/>
      <sheetName val="Distribution"/>
      <sheetName val="Debt"/>
      <sheetName val="Earnings Table"/>
      <sheetName val="Pharmerica - Discontinued 3-08"/>
      <sheetName val="mwareDates"/>
      <sheetName val="mwareSettings"/>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CircularReferenceAlert"/>
      <sheetName val="Cover"/>
      <sheetName val="IS"/>
      <sheetName val="BS and CFS"/>
      <sheetName val="Guidance"/>
      <sheetName val="PBM"/>
      <sheetName val="Retail"/>
      <sheetName val="OCR"/>
      <sheetName val="Debt"/>
      <sheetName val="Key Inputs and Scenarios"/>
      <sheetName val="MW-Cache"/>
      <sheetName val="Leases"/>
      <sheetName val="IndexInformation"/>
      <sheetName val="ModPubIndex"/>
      <sheetName val="Variance"/>
      <sheetName val="Valuations"/>
      <sheetName val="RNOA"/>
      <sheetName val="SheetVisibilityStatus"/>
      <sheetName val="CVS.N"/>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__FDSCACHE__"/>
      <sheetName val="Model"/>
      <sheetName val="Variance"/>
      <sheetName val="Model Change Variance"/>
      <sheetName val="Guidance"/>
      <sheetName val="Reclassified Segments"/>
      <sheetName val="Scenarios"/>
      <sheetName val="Debt"/>
      <sheetName val="mwareDates"/>
      <sheetName val="MWA RR"/>
      <sheetName val="DCF"/>
      <sheetName val="SOTP"/>
      <sheetName val="Bridge"/>
      <sheetName val="Summary Charts"/>
      <sheetName val="Margin Expansion"/>
      <sheetName val="Summary Tables"/>
      <sheetName val="Segment Summary"/>
      <sheetName val="MW-Cache"/>
      <sheetName val="mwareSettings"/>
      <sheetName val="OsoBio"/>
      <sheetName val="Old Segments"/>
      <sheetName val="Old Scenarios"/>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__FDSCACHE__"/>
      <sheetName val="COVER SHEET"/>
      <sheetName val="MW-Cache"/>
      <sheetName val="consensus"/>
      <sheetName val="DCF"/>
      <sheetName val="IS-ANNUAL"/>
      <sheetName val="CFBS"/>
      <sheetName val="PIPELINE"/>
      <sheetName val="REV-ANNUAL"/>
      <sheetName val="Para IV"/>
      <sheetName val="PIPELINE_UNADJ"/>
      <sheetName val="DEBT"/>
      <sheetName val="IS-QTRLY"/>
      <sheetName val="REV-QTRLY"/>
      <sheetName val="FOOTNOTES"/>
      <sheetName val="AGREEMENTS"/>
      <sheetName val="MGMT PROJECTIONS"/>
      <sheetName val="patent expirations"/>
      <sheetName val="Var-YOY"/>
      <sheetName val="Var-Seq"/>
      <sheetName val="revenue snapshot"/>
      <sheetName val="rev contribution analysis"/>
      <sheetName val="rev change analysis"/>
      <sheetName val="2015 rev change"/>
      <sheetName val="Gaap Adj"/>
      <sheetName val="mwareDates"/>
      <sheetName val="MWA RR"/>
      <sheetName val="mwareSettings"/>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P"/>
      <sheetName val="Market_Share"/>
      <sheetName val="Assumptions"/>
      <sheetName val="Summary"/>
      <sheetName val="Consol_Income"/>
      <sheetName val="Rate Case"/>
      <sheetName val="Balance Sheet"/>
      <sheetName val="Sheet9"/>
      <sheetName val="Leases"/>
      <sheetName val="Graph"/>
      <sheetName val="Income"/>
      <sheetName val="Financial Summary"/>
      <sheetName val="Exclusion List"/>
      <sheetName val="CFOld"/>
      <sheetName val="PLOld"/>
      <sheetName val="Headline"/>
      <sheetName val="MTT old"/>
      <sheetName val="BizJet Deliveries"/>
      <sheetName val="DOMNETREV1002B"/>
      <sheetName val="Cash flow"/>
      <sheetName val="Profit &amp; Loss"/>
      <sheetName val="Inputs, sensitivity &amp; val"/>
      <sheetName val="c1"/>
      <sheetName val="Monthly figures"/>
      <sheetName val="Consolidated"/>
      <sheetName val="Sainsbury"/>
      <sheetName val="CENMODEL"/>
      <sheetName val="Customize Your Statement"/>
      <sheetName val="KQ"/>
    </sheetNames>
    <definedNames>
      <definedName name="Download_series"/>
      <definedName name="Update_This"/>
    </defined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Model"/>
      <sheetName val="Revenue"/>
      <sheetName val="Aetna"/>
      <sheetName val="Assumptions"/>
      <sheetName val="Shares"/>
      <sheetName val="Options Expensing"/>
      <sheetName val="Debt"/>
      <sheetName val="Disclaimer"/>
      <sheetName val="__FDSCACHE__"/>
      <sheetName val="DCF"/>
      <sheetName val="WACC"/>
      <sheetName val="WC"/>
      <sheetName val="Valuation"/>
      <sheetName val="New Products"/>
      <sheetName val="Valuation Matrix"/>
      <sheetName val="Products"/>
      <sheetName val="Charts"/>
      <sheetName val="CUS Image(OLD)"/>
      <sheetName val="CUS Image"/>
      <sheetName val="Module1"/>
      <sheetName val="Module2"/>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S"/>
      <sheetName val="Analysis"/>
      <sheetName val="Print Macro"/>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cs for Sensitivy"/>
      <sheetName val="Financials"/>
      <sheetName val="Hist Inputs"/>
      <sheetName val="DCF7"/>
    </sheetNames>
    <definedNames>
      <definedName name="Print_ibt"/>
      <definedName name="Print_image"/>
      <definedName name="Print_valmat"/>
    </defined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HIST20"/>
      <sheetName val="Graphs"/>
      <sheetName val="14150"/>
      <sheetName val="Hist Inputs"/>
    </sheetNames>
    <definedNames>
      <definedName name="Print_Valmax"/>
    </defined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sheetName val="LBO_2"/>
    </sheetNames>
    <definedNames>
      <definedName name="PrintModelReports"/>
      <definedName name="PrintPreviewModelReports"/>
    </definedNames>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up"/>
      <sheetName val="Script Metrics"/>
      <sheetName val="Synergies"/>
      <sheetName val="WAG Generic Synergies"/>
      <sheetName val="GM Build Seq"/>
      <sheetName val="GM Build"/>
      <sheetName val="Script Charts"/>
      <sheetName val="ACA Impact"/>
      <sheetName val="Part D Pref Impact"/>
      <sheetName val="ESRX Impact"/>
      <sheetName val="GWP-WLine"/>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mailto:Ricky.Goldwasser@morganstanley.com" TargetMode="External" Type="http://schemas.openxmlformats.org/officeDocument/2006/relationships/hyperlink"/>
<Relationship Id="rId2" Target="mailto:Andrew.Schenker@morganstanley.com" TargetMode="External" Type="http://schemas.openxmlformats.org/officeDocument/2006/relationships/hyperlink"/>
<Relationship Id="rId3" Target="mailto:Liza.Garcia@morganstanley.com" TargetMode="External" Type="http://schemas.openxmlformats.org/officeDocument/2006/relationships/hyperlink"/>
<Relationship Id="rId4" Target="mailto:Rose.Lauricella@morganstanley.com" TargetMode="External" Type="http://schemas.openxmlformats.org/officeDocument/2006/relationships/hyperlink"/>
<Relationship Id="rId5" Target="mailto:Mark.Rosenblum@morganstanley.com" TargetMode="External" Type="http://schemas.openxmlformats.org/officeDocument/2006/relationships/hyperlink"/>
<Relationship Id="rId6" Target="../printerSettings/printerSettings3.bin" Type="http://schemas.openxmlformats.org/officeDocument/2006/relationships/printerSettings"/>
<Relationship Id="rId7" Target="../drawings/drawing2.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printerSettings/printerSettings5.bin" Type="http://schemas.openxmlformats.org/officeDocument/2006/relationships/printerSettings"/>
<Relationship Id="rId3" Target="../printerSettings/printerSettings6.bin" Type="http://schemas.openxmlformats.org/officeDocument/2006/relationships/printerSettings"/>
<Relationship Id="rId4" Target="../drawings/drawing3.xml" Type="http://schemas.openxmlformats.org/officeDocument/2006/relationships/drawing"/>
<Relationship Id="rId5" Target="../drawings/vmlDrawing1.vml" Type="http://schemas.openxmlformats.org/officeDocument/2006/relationships/vmlDrawing"/>
<Relationship Id="rId6"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drawing4.xml" Type="http://schemas.openxmlformats.org/officeDocument/2006/relationships/drawing"/>
<Relationship Id="rId3" Target="../drawings/vmlDrawing2.vml" Type="http://schemas.openxmlformats.org/officeDocument/2006/relationships/vmlDrawing"/>
<Relationship Id="rId4" Target="../comments2.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drawing5.xml" Type="http://schemas.openxmlformats.org/officeDocument/2006/relationships/drawing"/>
<Relationship Id="rId3" Target="../drawings/vmlDrawing3.vml" Type="http://schemas.openxmlformats.org/officeDocument/2006/relationships/vmlDrawing"/>
<Relationship Id="rId4" Target="../comments3.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drawing6.xml" Type="http://schemas.openxmlformats.org/officeDocument/2006/relationships/drawing"/>
<Relationship Id="rId3" Target="../drawings/vmlDrawing4.vml" Type="http://schemas.openxmlformats.org/officeDocument/2006/relationships/vmlDrawing"/>
<Relationship Id="rId4" Target="../comments4.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drawing7.xml" Type="http://schemas.openxmlformats.org/officeDocument/2006/relationships/drawing"/>
<Relationship Id="rId3" Target="../drawings/vmlDrawing5.vml" Type="http://schemas.openxmlformats.org/officeDocument/2006/relationships/vmlDrawing"/>
<Relationship Id="rId4" Target="../comments5.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drawing8.xml" Type="http://schemas.openxmlformats.org/officeDocument/2006/relationships/drawing"/>
<Relationship Id="rId3" Target="../drawings/vmlDrawing6.vml" Type="http://schemas.openxmlformats.org/officeDocument/2006/relationships/vmlDrawing"/>
<Relationship Id="rId4" Target="../comments6.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8"/>
  <sheetViews>
    <sheetView showGridLines="0" tabSelected="1" workbookViewId="0">
      <selection activeCell="Z1" sqref="Z1"/>
    </sheetView>
  </sheetViews>
  <sheetFormatPr defaultRowHeight="12.75"/>
  <cols>
    <col min="1" max="1" width="25.83203125" style="2403" customWidth="1"/>
    <col min="2" max="5" width="9.33203125" style="2403"/>
    <col min="6" max="6" width="18.83203125" style="2403" customWidth="1"/>
    <col min="7" max="256" width="9.33203125" style="2403"/>
    <col min="257" max="257" width="117.5" style="2403" customWidth="1"/>
    <col min="258" max="512" width="9.33203125" style="2403"/>
    <col min="513" max="513" width="117.5" style="2403" customWidth="1"/>
    <col min="514" max="768" width="9.33203125" style="2403"/>
    <col min="769" max="769" width="117.5" style="2403" customWidth="1"/>
    <col min="770" max="1024" width="9.33203125" style="2403"/>
    <col min="1025" max="1025" width="117.5" style="2403" customWidth="1"/>
    <col min="1026" max="1280" width="9.33203125" style="2403"/>
    <col min="1281" max="1281" width="117.5" style="2403" customWidth="1"/>
    <col min="1282" max="1536" width="9.33203125" style="2403"/>
    <col min="1537" max="1537" width="117.5" style="2403" customWidth="1"/>
    <col min="1538" max="1792" width="9.33203125" style="2403"/>
    <col min="1793" max="1793" width="117.5" style="2403" customWidth="1"/>
    <col min="1794" max="2048" width="9.33203125" style="2403"/>
    <col min="2049" max="2049" width="117.5" style="2403" customWidth="1"/>
    <col min="2050" max="2304" width="9.33203125" style="2403"/>
    <col min="2305" max="2305" width="117.5" style="2403" customWidth="1"/>
    <col min="2306" max="2560" width="9.33203125" style="2403"/>
    <col min="2561" max="2561" width="117.5" style="2403" customWidth="1"/>
    <col min="2562" max="2816" width="9.33203125" style="2403"/>
    <col min="2817" max="2817" width="117.5" style="2403" customWidth="1"/>
    <col min="2818" max="3072" width="9.33203125" style="2403"/>
    <col min="3073" max="3073" width="117.5" style="2403" customWidth="1"/>
    <col min="3074" max="3328" width="9.33203125" style="2403"/>
    <col min="3329" max="3329" width="117.5" style="2403" customWidth="1"/>
    <col min="3330" max="3584" width="9.33203125" style="2403"/>
    <col min="3585" max="3585" width="117.5" style="2403" customWidth="1"/>
    <col min="3586" max="3840" width="9.33203125" style="2403"/>
    <col min="3841" max="3841" width="117.5" style="2403" customWidth="1"/>
    <col min="3842" max="4096" width="9.33203125" style="2403"/>
    <col min="4097" max="4097" width="117.5" style="2403" customWidth="1"/>
    <col min="4098" max="4352" width="9.33203125" style="2403"/>
    <col min="4353" max="4353" width="117.5" style="2403" customWidth="1"/>
    <col min="4354" max="4608" width="9.33203125" style="2403"/>
    <col min="4609" max="4609" width="117.5" style="2403" customWidth="1"/>
    <col min="4610" max="4864" width="9.33203125" style="2403"/>
    <col min="4865" max="4865" width="117.5" style="2403" customWidth="1"/>
    <col min="4866" max="5120" width="9.33203125" style="2403"/>
    <col min="5121" max="5121" width="117.5" style="2403" customWidth="1"/>
    <col min="5122" max="5376" width="9.33203125" style="2403"/>
    <col min="5377" max="5377" width="117.5" style="2403" customWidth="1"/>
    <col min="5378" max="5632" width="9.33203125" style="2403"/>
    <col min="5633" max="5633" width="117.5" style="2403" customWidth="1"/>
    <col min="5634" max="5888" width="9.33203125" style="2403"/>
    <col min="5889" max="5889" width="117.5" style="2403" customWidth="1"/>
    <col min="5890" max="6144" width="9.33203125" style="2403"/>
    <col min="6145" max="6145" width="117.5" style="2403" customWidth="1"/>
    <col min="6146" max="6400" width="9.33203125" style="2403"/>
    <col min="6401" max="6401" width="117.5" style="2403" customWidth="1"/>
    <col min="6402" max="6656" width="9.33203125" style="2403"/>
    <col min="6657" max="6657" width="117.5" style="2403" customWidth="1"/>
    <col min="6658" max="6912" width="9.33203125" style="2403"/>
    <col min="6913" max="6913" width="117.5" style="2403" customWidth="1"/>
    <col min="6914" max="7168" width="9.33203125" style="2403"/>
    <col min="7169" max="7169" width="117.5" style="2403" customWidth="1"/>
    <col min="7170" max="7424" width="9.33203125" style="2403"/>
    <col min="7425" max="7425" width="117.5" style="2403" customWidth="1"/>
    <col min="7426" max="7680" width="9.33203125" style="2403"/>
    <col min="7681" max="7681" width="117.5" style="2403" customWidth="1"/>
    <col min="7682" max="7936" width="9.33203125" style="2403"/>
    <col min="7937" max="7937" width="117.5" style="2403" customWidth="1"/>
    <col min="7938" max="8192" width="9.33203125" style="2403"/>
    <col min="8193" max="8193" width="117.5" style="2403" customWidth="1"/>
    <col min="8194" max="8448" width="9.33203125" style="2403"/>
    <col min="8449" max="8449" width="117.5" style="2403" customWidth="1"/>
    <col min="8450" max="8704" width="9.33203125" style="2403"/>
    <col min="8705" max="8705" width="117.5" style="2403" customWidth="1"/>
    <col min="8706" max="8960" width="9.33203125" style="2403"/>
    <col min="8961" max="8961" width="117.5" style="2403" customWidth="1"/>
    <col min="8962" max="9216" width="9.33203125" style="2403"/>
    <col min="9217" max="9217" width="117.5" style="2403" customWidth="1"/>
    <col min="9218" max="9472" width="9.33203125" style="2403"/>
    <col min="9473" max="9473" width="117.5" style="2403" customWidth="1"/>
    <col min="9474" max="9728" width="9.33203125" style="2403"/>
    <col min="9729" max="9729" width="117.5" style="2403" customWidth="1"/>
    <col min="9730" max="9984" width="9.33203125" style="2403"/>
    <col min="9985" max="9985" width="117.5" style="2403" customWidth="1"/>
    <col min="9986" max="10240" width="9.33203125" style="2403"/>
    <col min="10241" max="10241" width="117.5" style="2403" customWidth="1"/>
    <col min="10242" max="10496" width="9.33203125" style="2403"/>
    <col min="10497" max="10497" width="117.5" style="2403" customWidth="1"/>
    <col min="10498" max="10752" width="9.33203125" style="2403"/>
    <col min="10753" max="10753" width="117.5" style="2403" customWidth="1"/>
    <col min="10754" max="11008" width="9.33203125" style="2403"/>
    <col min="11009" max="11009" width="117.5" style="2403" customWidth="1"/>
    <col min="11010" max="11264" width="9.33203125" style="2403"/>
    <col min="11265" max="11265" width="117.5" style="2403" customWidth="1"/>
    <col min="11266" max="11520" width="9.33203125" style="2403"/>
    <col min="11521" max="11521" width="117.5" style="2403" customWidth="1"/>
    <col min="11522" max="11776" width="9.33203125" style="2403"/>
    <col min="11777" max="11777" width="117.5" style="2403" customWidth="1"/>
    <col min="11778" max="12032" width="9.33203125" style="2403"/>
    <col min="12033" max="12033" width="117.5" style="2403" customWidth="1"/>
    <col min="12034" max="12288" width="9.33203125" style="2403"/>
    <col min="12289" max="12289" width="117.5" style="2403" customWidth="1"/>
    <col min="12290" max="12544" width="9.33203125" style="2403"/>
    <col min="12545" max="12545" width="117.5" style="2403" customWidth="1"/>
    <col min="12546" max="12800" width="9.33203125" style="2403"/>
    <col min="12801" max="12801" width="117.5" style="2403" customWidth="1"/>
    <col min="12802" max="13056" width="9.33203125" style="2403"/>
    <col min="13057" max="13057" width="117.5" style="2403" customWidth="1"/>
    <col min="13058" max="13312" width="9.33203125" style="2403"/>
    <col min="13313" max="13313" width="117.5" style="2403" customWidth="1"/>
    <col min="13314" max="13568" width="9.33203125" style="2403"/>
    <col min="13569" max="13569" width="117.5" style="2403" customWidth="1"/>
    <col min="13570" max="13824" width="9.33203125" style="2403"/>
    <col min="13825" max="13825" width="117.5" style="2403" customWidth="1"/>
    <col min="13826" max="14080" width="9.33203125" style="2403"/>
    <col min="14081" max="14081" width="117.5" style="2403" customWidth="1"/>
    <col min="14082" max="14336" width="9.33203125" style="2403"/>
    <col min="14337" max="14337" width="117.5" style="2403" customWidth="1"/>
    <col min="14338" max="14592" width="9.33203125" style="2403"/>
    <col min="14593" max="14593" width="117.5" style="2403" customWidth="1"/>
    <col min="14594" max="14848" width="9.33203125" style="2403"/>
    <col min="14849" max="14849" width="117.5" style="2403" customWidth="1"/>
    <col min="14850" max="15104" width="9.33203125" style="2403"/>
    <col min="15105" max="15105" width="117.5" style="2403" customWidth="1"/>
    <col min="15106" max="15360" width="9.33203125" style="2403"/>
    <col min="15361" max="15361" width="117.5" style="2403" customWidth="1"/>
    <col min="15362" max="15616" width="9.33203125" style="2403"/>
    <col min="15617" max="15617" width="117.5" style="2403" customWidth="1"/>
    <col min="15618" max="15872" width="9.33203125" style="2403"/>
    <col min="15873" max="15873" width="117.5" style="2403" customWidth="1"/>
    <col min="15874" max="16128" width="9.33203125" style="2403"/>
    <col min="16129" max="16129" width="117.5" style="2403" customWidth="1"/>
    <col min="16130" max="16384" width="9.33203125" style="2403"/>
  </cols>
  <sheetData>
    <row r="1" spans="1:8" ht="30" customHeight="1">
      <c r="A1" s="2401"/>
      <c r="B1" s="2402"/>
      <c r="C1" s="2402"/>
      <c r="D1" s="2402"/>
      <c r="E1" s="2402"/>
      <c r="F1" s="2402"/>
      <c r="G1" s="2402"/>
      <c r="H1" s="2402"/>
    </row>
    <row r="2" spans="1:8" ht="14.25">
      <c r="A2" s="2404" t="s">
        <v>638</v>
      </c>
      <c r="B2" s="2402"/>
      <c r="C2" s="2402"/>
      <c r="D2" s="2402"/>
      <c r="E2" s="2402"/>
      <c r="F2" s="2402"/>
      <c r="G2" s="2402"/>
      <c r="H2" s="2402"/>
    </row>
    <row r="3" spans="1:8" ht="14.25">
      <c r="A3" s="2404" t="s">
        <v>639</v>
      </c>
      <c r="B3" s="2402"/>
      <c r="C3" s="2402"/>
      <c r="D3" s="2402"/>
      <c r="E3" s="2402"/>
      <c r="F3" s="2402"/>
      <c r="G3" s="2402"/>
      <c r="H3" s="2402"/>
    </row>
    <row r="4" spans="1:8" ht="14.25">
      <c r="A4" s="2404" t="s">
        <v>640</v>
      </c>
      <c r="B4" s="2402"/>
      <c r="C4" s="2402"/>
      <c r="D4" s="2402"/>
      <c r="E4" s="2402"/>
      <c r="F4" s="2402"/>
      <c r="G4" s="2402"/>
      <c r="H4" s="2402"/>
    </row>
    <row r="5" spans="1:8" ht="14.25">
      <c r="A5" s="2404" t="s">
        <v>641</v>
      </c>
      <c r="B5" s="2402"/>
      <c r="C5" s="2402"/>
      <c r="D5" s="2402"/>
      <c r="E5" s="2402"/>
      <c r="F5" s="2402"/>
      <c r="G5" s="2402"/>
      <c r="H5" s="2402"/>
    </row>
    <row r="6" spans="1:8" ht="14.25">
      <c r="A6" s="2404"/>
      <c r="B6" s="2402"/>
      <c r="C6" s="2402"/>
      <c r="D6" s="2402"/>
      <c r="E6" s="2402"/>
      <c r="F6" s="2402"/>
      <c r="G6" s="2402"/>
      <c r="H6" s="2402"/>
    </row>
    <row r="7" spans="1:8">
      <c r="A7" s="2401" t="s">
        <v>642</v>
      </c>
      <c r="B7" s="2402"/>
      <c r="C7" s="2402"/>
      <c r="D7" s="2402"/>
      <c r="E7" s="2402"/>
      <c r="F7" s="2402"/>
      <c r="G7" s="2402"/>
      <c r="H7" s="2402"/>
    </row>
    <row r="8" spans="1:8">
      <c r="A8" s="2401" t="s">
        <v>643</v>
      </c>
      <c r="B8" s="2402"/>
      <c r="C8" s="2402"/>
      <c r="D8" s="2402"/>
      <c r="E8" s="2402"/>
      <c r="F8" s="2402"/>
      <c r="G8" s="2402"/>
      <c r="H8" s="2402"/>
    </row>
    <row r="9" spans="1:8">
      <c r="A9" s="2401"/>
      <c r="B9" s="2402"/>
      <c r="C9" s="2402"/>
      <c r="D9" s="2402"/>
      <c r="E9" s="2402"/>
      <c r="F9" s="2402"/>
      <c r="G9" s="2402"/>
      <c r="H9" s="2402"/>
    </row>
    <row r="10" spans="1:8">
      <c r="A10" s="2405" t="s">
        <v>644</v>
      </c>
      <c r="B10" s="2402"/>
      <c r="C10" s="2402"/>
      <c r="D10" s="2402"/>
      <c r="E10" s="2402"/>
      <c r="F10" s="2402"/>
      <c r="G10" s="2402"/>
      <c r="H10" s="2402"/>
    </row>
    <row r="11" spans="1:8">
      <c r="A11" s="2405" t="s">
        <v>645</v>
      </c>
      <c r="B11" s="2402"/>
      <c r="C11" s="2402"/>
      <c r="D11" s="2402"/>
      <c r="E11" s="2402"/>
      <c r="F11" s="2402"/>
      <c r="G11" s="2402"/>
      <c r="H11" s="2402"/>
    </row>
    <row r="12" spans="1:8">
      <c r="A12" s="2405" t="s">
        <v>646</v>
      </c>
      <c r="B12" s="2402"/>
      <c r="C12" s="2402"/>
      <c r="D12" s="2402"/>
      <c r="E12" s="2402"/>
      <c r="F12" s="2402"/>
      <c r="G12" s="2402"/>
      <c r="H12" s="2402"/>
    </row>
    <row r="13" spans="1:8">
      <c r="A13" s="2405" t="s">
        <v>647</v>
      </c>
      <c r="B13" s="2402"/>
      <c r="C13" s="2402"/>
      <c r="D13" s="2402"/>
      <c r="E13" s="2402"/>
      <c r="F13" s="2402"/>
      <c r="G13" s="2402"/>
      <c r="H13" s="2402"/>
    </row>
    <row r="14" spans="1:8">
      <c r="A14" s="2405" t="s">
        <v>648</v>
      </c>
      <c r="B14" s="2402"/>
      <c r="C14" s="2402"/>
      <c r="D14" s="2402"/>
      <c r="E14" s="2402"/>
      <c r="F14" s="2402"/>
      <c r="G14" s="2402"/>
      <c r="H14" s="2402"/>
    </row>
    <row r="15" spans="1:8">
      <c r="A15" s="2405" t="s">
        <v>649</v>
      </c>
      <c r="B15" s="2402"/>
      <c r="C15" s="2402"/>
      <c r="D15" s="2402"/>
      <c r="E15" s="2402"/>
      <c r="F15" s="2402"/>
      <c r="G15" s="2402"/>
      <c r="H15" s="2402"/>
    </row>
    <row r="16" spans="1:8">
      <c r="A16" s="2405"/>
      <c r="B16" s="2402"/>
      <c r="C16" s="2402"/>
      <c r="D16" s="2402"/>
      <c r="E16" s="2402"/>
      <c r="F16" s="2402"/>
      <c r="G16" s="2402"/>
      <c r="H16" s="2402"/>
    </row>
    <row r="17" spans="1:8">
      <c r="A17" s="2405" t="s">
        <v>635</v>
      </c>
      <c r="B17" s="2402"/>
      <c r="C17" s="2402"/>
      <c r="D17" s="2402"/>
      <c r="E17" s="2402"/>
      <c r="F17" s="2402"/>
      <c r="G17" s="2402"/>
      <c r="H17" s="2402"/>
    </row>
    <row r="18" spans="1:8">
      <c r="A18" s="2405"/>
      <c r="B18" s="2402"/>
      <c r="C18" s="2402"/>
      <c r="D18" s="2402"/>
      <c r="E18" s="2402"/>
      <c r="F18" s="2402"/>
      <c r="G18" s="2402"/>
      <c r="H18" s="2402"/>
    </row>
    <row r="19" spans="1:8">
      <c r="A19" s="2405" t="s">
        <v>636</v>
      </c>
      <c r="B19" s="2402"/>
      <c r="C19" s="2402"/>
      <c r="D19" s="2402"/>
      <c r="E19" s="2402"/>
      <c r="F19" s="2402"/>
      <c r="G19" s="2402"/>
      <c r="H19" s="2402"/>
    </row>
    <row r="20" spans="1:8">
      <c r="A20" s="2401"/>
      <c r="B20" s="2402"/>
      <c r="C20" s="2402"/>
      <c r="D20" s="2402"/>
      <c r="E20" s="2402"/>
      <c r="F20" s="2402"/>
      <c r="G20" s="2402"/>
      <c r="H20" s="2402"/>
    </row>
    <row r="21" spans="1:8">
      <c r="A21" s="2406" t="s">
        <v>637</v>
      </c>
      <c r="B21" s="2402"/>
      <c r="C21" s="2402"/>
      <c r="D21" s="2402"/>
      <c r="E21" s="2402"/>
      <c r="F21" s="2402"/>
      <c r="G21" s="2402"/>
      <c r="H21" s="2402"/>
    </row>
    <row r="22" spans="1:8">
      <c r="A22" s="2407"/>
      <c r="B22" s="2407"/>
      <c r="C22" s="2407"/>
      <c r="D22" s="2407"/>
      <c r="E22" s="2407"/>
      <c r="F22" s="2407"/>
      <c r="G22" s="2407"/>
      <c r="H22" s="2407"/>
    </row>
    <row r="23" spans="1:8">
      <c r="A23" s="2408" t="s">
        <v>932</v>
      </c>
      <c r="B23" s="2407"/>
      <c r="C23" s="2407"/>
      <c r="D23" s="2407"/>
      <c r="E23" s="2407"/>
      <c r="F23" s="2407"/>
      <c r="G23" s="2407"/>
      <c r="H23" s="2407"/>
    </row>
    <row r="24" spans="1:8">
      <c r="A24" s="2408" t="s">
        <v>933</v>
      </c>
      <c r="B24" s="2407"/>
      <c r="C24" s="2407"/>
      <c r="D24" s="2407"/>
      <c r="E24" s="2407"/>
      <c r="F24" s="2407"/>
      <c r="G24" s="2407"/>
      <c r="H24" s="2407"/>
    </row>
    <row r="25" spans="1:8">
      <c r="A25" s="2408" t="s">
        <v>934</v>
      </c>
      <c r="B25" s="2407"/>
      <c r="C25" s="2407"/>
      <c r="D25" s="2407"/>
      <c r="E25" s="2407"/>
      <c r="F25" s="2407"/>
      <c r="G25" s="2407"/>
      <c r="H25" s="2407"/>
    </row>
    <row r="26" spans="1:8">
      <c r="A26" s="2408" t="s">
        <v>935</v>
      </c>
      <c r="B26" s="2407"/>
      <c r="C26" s="2407"/>
      <c r="D26" s="2407"/>
      <c r="E26" s="2407"/>
      <c r="F26" s="2407"/>
      <c r="G26" s="2407"/>
      <c r="H26" s="2407"/>
    </row>
    <row r="27" spans="1:8">
      <c r="A27" s="2407"/>
      <c r="B27" s="2407"/>
      <c r="C27" s="2407"/>
      <c r="D27" s="2407"/>
      <c r="E27" s="2407"/>
      <c r="F27" s="2407"/>
      <c r="G27" s="2407"/>
      <c r="H27" s="2407"/>
    </row>
    <row r="28" spans="1:8">
      <c r="A28" s="2407"/>
      <c r="B28" s="2407"/>
      <c r="C28" s="2407"/>
      <c r="D28" s="2407"/>
      <c r="E28" s="2407"/>
      <c r="F28" s="2407"/>
      <c r="G28" s="2407"/>
      <c r="H28" s="2407"/>
    </row>
    <row r="29" spans="1:8">
      <c r="A29" s="2408" t="s">
        <v>927</v>
      </c>
      <c r="B29" s="2407"/>
      <c r="C29" s="2407"/>
      <c r="D29" s="2407"/>
      <c r="E29" s="2407"/>
      <c r="F29" s="2407"/>
      <c r="G29" s="2407"/>
      <c r="H29" s="2407"/>
    </row>
    <row r="30" spans="1:8">
      <c r="A30" s="2408" t="s">
        <v>928</v>
      </c>
      <c r="B30" s="2407"/>
      <c r="C30" s="2407"/>
      <c r="D30" s="2407"/>
      <c r="E30" s="2407"/>
      <c r="F30" s="2407"/>
      <c r="G30" s="2407"/>
      <c r="H30" s="2407"/>
    </row>
    <row r="31" spans="1:8">
      <c r="A31" s="2408" t="s">
        <v>929</v>
      </c>
      <c r="B31" s="2407"/>
      <c r="C31" s="2407"/>
      <c r="D31" s="2407"/>
      <c r="E31" s="2407"/>
      <c r="F31" s="2407"/>
      <c r="G31" s="2407"/>
      <c r="H31" s="2407"/>
    </row>
    <row r="32" spans="1:8">
      <c r="A32" s="2408" t="s">
        <v>930</v>
      </c>
      <c r="B32" s="2407"/>
      <c r="C32" s="2407"/>
      <c r="D32" s="2407"/>
      <c r="E32" s="2407"/>
      <c r="F32" s="2407"/>
      <c r="G32" s="2407"/>
      <c r="H32" s="2407"/>
    </row>
    <row r="33" spans="1:8">
      <c r="A33" s="2408" t="s">
        <v>931</v>
      </c>
      <c r="B33" s="2407"/>
      <c r="C33" s="2407"/>
      <c r="D33" s="2407"/>
      <c r="E33" s="2407"/>
      <c r="F33" s="2407"/>
      <c r="G33" s="2407"/>
      <c r="H33" s="2407"/>
    </row>
    <row r="34" spans="1:8">
      <c r="A34" s="2407"/>
      <c r="B34" s="2407"/>
      <c r="C34" s="2407"/>
      <c r="D34" s="2407"/>
      <c r="E34" s="2407"/>
      <c r="F34" s="2407"/>
      <c r="G34" s="2407"/>
      <c r="H34" s="2407"/>
    </row>
    <row r="35" spans="1:8">
      <c r="A35" s="2408" t="s">
        <v>923</v>
      </c>
      <c r="B35" s="2407"/>
      <c r="C35" s="2407"/>
      <c r="D35" s="2407"/>
      <c r="E35" s="2407"/>
      <c r="F35" s="2407"/>
      <c r="G35" s="2407"/>
      <c r="H35" s="2407"/>
    </row>
    <row r="36" spans="1:8">
      <c r="A36" s="2408" t="s">
        <v>924</v>
      </c>
      <c r="B36" s="2407"/>
      <c r="C36" s="2407"/>
      <c r="D36" s="2407"/>
      <c r="E36" s="2407"/>
      <c r="F36" s="2407"/>
      <c r="G36" s="2407"/>
      <c r="H36" s="2407"/>
    </row>
    <row r="37" spans="1:8">
      <c r="A37" s="2408" t="s">
        <v>925</v>
      </c>
      <c r="B37" s="2407"/>
      <c r="C37" s="2407"/>
      <c r="D37" s="2407"/>
      <c r="E37" s="2407"/>
      <c r="F37" s="2407"/>
      <c r="G37" s="2407"/>
      <c r="H37" s="2407"/>
    </row>
    <row r="38" spans="1:8">
      <c r="A38" s="2408" t="s">
        <v>926</v>
      </c>
      <c r="B38" s="2407"/>
      <c r="C38" s="2407"/>
      <c r="D38" s="2407"/>
      <c r="E38" s="2407"/>
      <c r="F38" s="2407"/>
      <c r="G38" s="2407"/>
      <c r="H38" s="2407"/>
    </row>
    <row r="39" spans="1:8">
      <c r="A39" s="2407"/>
      <c r="B39" s="2407"/>
      <c r="C39" s="2407"/>
      <c r="D39" s="2407"/>
      <c r="E39" s="2407"/>
      <c r="F39" s="2407"/>
      <c r="G39" s="2407"/>
      <c r="H39" s="2407"/>
    </row>
    <row r="40" spans="1:8">
      <c r="A40" s="2408" t="s">
        <v>917</v>
      </c>
      <c r="B40" s="2407"/>
      <c r="C40" s="2407"/>
      <c r="D40" s="2407"/>
      <c r="E40" s="2407"/>
      <c r="F40" s="2407"/>
      <c r="G40" s="2407"/>
      <c r="H40" s="2407"/>
    </row>
    <row r="41" spans="1:8">
      <c r="A41" s="2408" t="s">
        <v>918</v>
      </c>
      <c r="B41" s="2407"/>
      <c r="C41" s="2407"/>
      <c r="D41" s="2407"/>
      <c r="E41" s="2407"/>
      <c r="F41" s="2407"/>
      <c r="G41" s="2407"/>
      <c r="H41" s="2407"/>
    </row>
    <row r="42" spans="1:8">
      <c r="A42" s="2408" t="s">
        <v>919</v>
      </c>
      <c r="B42" s="2407"/>
      <c r="C42" s="2407"/>
      <c r="D42" s="2407"/>
      <c r="E42" s="2407"/>
      <c r="F42" s="2407"/>
      <c r="G42" s="2407"/>
      <c r="H42" s="2407"/>
    </row>
    <row r="43" spans="1:8">
      <c r="A43" s="2408" t="s">
        <v>920</v>
      </c>
      <c r="B43" s="2407"/>
      <c r="C43" s="2407"/>
      <c r="D43" s="2407"/>
      <c r="E43" s="2407"/>
      <c r="F43" s="2407"/>
      <c r="G43" s="2407"/>
      <c r="H43" s="2407"/>
    </row>
    <row r="44" spans="1:8">
      <c r="A44" s="2408" t="s">
        <v>921</v>
      </c>
      <c r="B44" s="2407"/>
      <c r="C44" s="2407"/>
      <c r="D44" s="2407"/>
      <c r="E44" s="2407"/>
      <c r="F44" s="2407"/>
      <c r="G44" s="2407"/>
      <c r="H44" s="2407"/>
    </row>
    <row r="45" spans="1:8">
      <c r="A45" s="2408" t="s">
        <v>922</v>
      </c>
      <c r="B45" s="2407"/>
      <c r="C45" s="2407"/>
      <c r="D45" s="2407"/>
      <c r="E45" s="2407"/>
      <c r="F45" s="2407"/>
      <c r="G45" s="2407"/>
      <c r="H45" s="2407"/>
    </row>
    <row r="46" spans="1:8">
      <c r="A46" s="2407"/>
      <c r="B46" s="2407"/>
      <c r="C46" s="2407"/>
      <c r="D46" s="2407"/>
      <c r="E46" s="2407"/>
      <c r="F46" s="2407"/>
      <c r="G46" s="2407"/>
      <c r="H46" s="2407"/>
    </row>
    <row r="47" spans="1:8" ht="15.75">
      <c r="A47" s="2409" t="s">
        <v>650</v>
      </c>
      <c r="B47" s="2407"/>
      <c r="C47" s="2407"/>
      <c r="D47" s="2407"/>
      <c r="E47" s="2407"/>
      <c r="F47" s="2407"/>
      <c r="G47" s="2407"/>
      <c r="H47" s="2407"/>
    </row>
    <row r="48" spans="1:8">
      <c r="A48" s="2407"/>
      <c r="B48" s="2407"/>
      <c r="C48" s="2407"/>
      <c r="D48" s="2407"/>
      <c r="E48" s="2407"/>
      <c r="F48" s="2407"/>
      <c r="G48" s="2407"/>
      <c r="H48" s="2407"/>
    </row>
    <row r="49" spans="1:8">
      <c r="A49" s="2408" t="s">
        <v>913</v>
      </c>
      <c r="B49" s="2407"/>
      <c r="C49" s="2407"/>
      <c r="D49" s="2407"/>
      <c r="E49" s="2407"/>
      <c r="F49" s="2407"/>
      <c r="G49" s="2407"/>
      <c r="H49" s="2407"/>
    </row>
    <row r="50" spans="1:8">
      <c r="A50" s="2408" t="s">
        <v>914</v>
      </c>
      <c r="B50" s="2407"/>
      <c r="C50" s="2407"/>
      <c r="D50" s="2407"/>
      <c r="E50" s="2407"/>
      <c r="F50" s="2407"/>
      <c r="G50" s="2407"/>
      <c r="H50" s="2407"/>
    </row>
    <row r="51" spans="1:8">
      <c r="A51" s="2408" t="s">
        <v>915</v>
      </c>
      <c r="B51" s="2407"/>
      <c r="C51" s="2407"/>
      <c r="D51" s="2407"/>
      <c r="E51" s="2407"/>
      <c r="F51" s="2407"/>
      <c r="G51" s="2407"/>
      <c r="H51" s="2407"/>
    </row>
    <row r="52" spans="1:8">
      <c r="A52" s="2408" t="s">
        <v>916</v>
      </c>
      <c r="B52" s="2407"/>
      <c r="C52" s="2407"/>
      <c r="D52" s="2407"/>
      <c r="E52" s="2407"/>
      <c r="F52" s="2407"/>
      <c r="G52" s="2407"/>
      <c r="H52" s="2407"/>
    </row>
    <row r="53" spans="1:8">
      <c r="A53" s="2407"/>
      <c r="B53" s="2407"/>
      <c r="C53" s="2407"/>
      <c r="D53" s="2407"/>
      <c r="E53" s="2407"/>
      <c r="F53" s="2407"/>
      <c r="G53" s="2407"/>
      <c r="H53" s="2407"/>
    </row>
    <row r="54" spans="1:8">
      <c r="A54" s="2408" t="s">
        <v>651</v>
      </c>
      <c r="B54" s="2407"/>
      <c r="C54" s="2407"/>
      <c r="D54" s="2407"/>
      <c r="E54" s="2407"/>
      <c r="F54" s="2407"/>
      <c r="G54" s="2407"/>
      <c r="H54" s="2407"/>
    </row>
    <row r="55" spans="1:8">
      <c r="A55" s="2407"/>
      <c r="B55" s="2407"/>
      <c r="C55" s="2407"/>
      <c r="D55" s="2407"/>
      <c r="E55" s="2407"/>
      <c r="F55" s="2407"/>
      <c r="G55" s="2407"/>
      <c r="H55" s="2407"/>
    </row>
    <row r="56" spans="1:8" ht="15.75">
      <c r="A56" s="2409" t="s">
        <v>652</v>
      </c>
      <c r="B56" s="2407"/>
      <c r="C56" s="2407"/>
      <c r="D56" s="2407"/>
      <c r="E56" s="2407"/>
      <c r="F56" s="2407"/>
      <c r="G56" s="2407"/>
      <c r="H56" s="2407"/>
    </row>
    <row r="57" spans="1:8">
      <c r="A57" s="2407"/>
      <c r="B57" s="2407"/>
      <c r="C57" s="2407"/>
      <c r="D57" s="2407"/>
      <c r="E57" s="2407"/>
      <c r="F57" s="2407"/>
      <c r="G57" s="2407"/>
      <c r="H57" s="2407"/>
    </row>
    <row r="58" spans="1:8">
      <c r="A58" s="2408" t="s">
        <v>911</v>
      </c>
      <c r="B58" s="2407"/>
      <c r="C58" s="2407"/>
      <c r="D58" s="2407"/>
      <c r="E58" s="2407"/>
      <c r="F58" s="2407"/>
      <c r="G58" s="2407"/>
      <c r="H58" s="2407"/>
    </row>
    <row r="59" spans="1:8">
      <c r="A59" s="2408" t="s">
        <v>912</v>
      </c>
      <c r="B59" s="2407"/>
      <c r="C59" s="2407"/>
      <c r="D59" s="2407"/>
      <c r="E59" s="2407"/>
      <c r="F59" s="2407"/>
      <c r="G59" s="2407"/>
      <c r="H59" s="2407"/>
    </row>
    <row r="60" spans="1:8">
      <c r="A60" s="2407"/>
      <c r="B60" s="2407"/>
      <c r="C60" s="2407"/>
      <c r="D60" s="2407"/>
      <c r="E60" s="2407"/>
      <c r="F60" s="2407"/>
      <c r="G60" s="2407"/>
      <c r="H60" s="2407"/>
    </row>
    <row r="61" spans="1:8" ht="15.75">
      <c r="A61" s="2409" t="s">
        <v>653</v>
      </c>
      <c r="B61" s="2407"/>
      <c r="C61" s="2407"/>
      <c r="D61" s="2407"/>
      <c r="E61" s="2407"/>
      <c r="F61" s="2407"/>
      <c r="G61" s="2407"/>
      <c r="H61" s="2407"/>
    </row>
    <row r="62" spans="1:8">
      <c r="A62" s="2407"/>
      <c r="B62" s="2407"/>
      <c r="C62" s="2407"/>
      <c r="D62" s="2407"/>
      <c r="E62" s="2407"/>
      <c r="F62" s="2407"/>
      <c r="G62" s="2407"/>
      <c r="H62" s="2407"/>
    </row>
    <row r="63" spans="1:8">
      <c r="A63" s="2408" t="s">
        <v>909</v>
      </c>
      <c r="B63" s="2407"/>
      <c r="C63" s="2407"/>
      <c r="D63" s="2407"/>
      <c r="E63" s="2407"/>
      <c r="F63" s="2407"/>
      <c r="G63" s="2407"/>
      <c r="H63" s="2407"/>
    </row>
    <row r="64" spans="1:8">
      <c r="A64" s="2408" t="s">
        <v>910</v>
      </c>
      <c r="B64" s="2407"/>
      <c r="C64" s="2407"/>
      <c r="D64" s="2407"/>
      <c r="E64" s="2407"/>
      <c r="F64" s="2407"/>
      <c r="G64" s="2407"/>
      <c r="H64" s="2407"/>
    </row>
    <row r="65" spans="1:8">
      <c r="A65" s="2407"/>
      <c r="B65" s="2407"/>
      <c r="C65" s="2407"/>
      <c r="D65" s="2407"/>
      <c r="E65" s="2407"/>
      <c r="F65" s="2407"/>
      <c r="G65" s="2407"/>
      <c r="H65" s="2407"/>
    </row>
    <row r="66" spans="1:8">
      <c r="A66" s="2408" t="s">
        <v>907</v>
      </c>
      <c r="B66" s="2407"/>
      <c r="C66" s="2407"/>
      <c r="D66" s="2407"/>
      <c r="E66" s="2407"/>
      <c r="F66" s="2407"/>
      <c r="G66" s="2407"/>
      <c r="H66" s="2407"/>
    </row>
    <row r="67" spans="1:8">
      <c r="A67" s="2408" t="s">
        <v>908</v>
      </c>
      <c r="B67" s="2407"/>
      <c r="C67" s="2407"/>
      <c r="D67" s="2407"/>
      <c r="E67" s="2407"/>
      <c r="F67" s="2407"/>
      <c r="G67" s="2407"/>
      <c r="H67" s="2407"/>
    </row>
    <row r="68" spans="1:8">
      <c r="A68" s="2407"/>
      <c r="B68" s="2407"/>
      <c r="C68" s="2407"/>
      <c r="D68" s="2407"/>
      <c r="E68" s="2407"/>
      <c r="F68" s="2407"/>
      <c r="G68" s="2407"/>
      <c r="H68" s="2407"/>
    </row>
    <row r="69" spans="1:8">
      <c r="A69" s="2408" t="s">
        <v>905</v>
      </c>
      <c r="B69" s="2407"/>
      <c r="C69" s="2407"/>
      <c r="D69" s="2407"/>
      <c r="E69" s="2407"/>
      <c r="F69" s="2407"/>
      <c r="G69" s="2407"/>
      <c r="H69" s="2407"/>
    </row>
    <row r="70" spans="1:8">
      <c r="A70" s="2408" t="s">
        <v>906</v>
      </c>
      <c r="B70" s="2407"/>
      <c r="C70" s="2407"/>
      <c r="D70" s="2407"/>
      <c r="E70" s="2407"/>
      <c r="F70" s="2407"/>
      <c r="G70" s="2407"/>
      <c r="H70" s="2407"/>
    </row>
    <row r="71" spans="1:8">
      <c r="A71" s="2407"/>
      <c r="B71" s="2407"/>
      <c r="C71" s="2407"/>
      <c r="D71" s="2407"/>
      <c r="E71" s="2407"/>
      <c r="F71" s="2407"/>
      <c r="G71" s="2407"/>
      <c r="H71" s="2407"/>
    </row>
    <row r="72" spans="1:8">
      <c r="A72" s="2408" t="s">
        <v>903</v>
      </c>
      <c r="B72" s="2407"/>
      <c r="C72" s="2407"/>
      <c r="D72" s="2407"/>
      <c r="E72" s="2407"/>
      <c r="F72" s="2407"/>
      <c r="G72" s="2407"/>
      <c r="H72" s="2407"/>
    </row>
    <row r="73" spans="1:8">
      <c r="A73" s="2408" t="s">
        <v>904</v>
      </c>
      <c r="B73" s="2407"/>
      <c r="C73" s="2407"/>
      <c r="D73" s="2407"/>
      <c r="E73" s="2407"/>
      <c r="F73" s="2407"/>
      <c r="G73" s="2407"/>
      <c r="H73" s="2407"/>
    </row>
    <row r="74" spans="1:8">
      <c r="A74" s="2407"/>
      <c r="B74" s="2407"/>
      <c r="C74" s="2407"/>
      <c r="D74" s="2407"/>
      <c r="E74" s="2407"/>
      <c r="F74" s="2407"/>
      <c r="G74" s="2407"/>
      <c r="H74" s="2407"/>
    </row>
    <row r="75" spans="1:8">
      <c r="A75" s="2408" t="s">
        <v>900</v>
      </c>
      <c r="B75" s="2407"/>
      <c r="C75" s="2407"/>
      <c r="D75" s="2407"/>
      <c r="E75" s="2407"/>
      <c r="F75" s="2407"/>
      <c r="G75" s="2407"/>
      <c r="H75" s="2407"/>
    </row>
    <row r="76" spans="1:8">
      <c r="A76" s="2408" t="s">
        <v>901</v>
      </c>
      <c r="B76" s="2407"/>
      <c r="C76" s="2407"/>
      <c r="D76" s="2407"/>
      <c r="E76" s="2407"/>
      <c r="F76" s="2407"/>
      <c r="G76" s="2407"/>
      <c r="H76" s="2407"/>
    </row>
    <row r="77" spans="1:8">
      <c r="A77" s="2408" t="s">
        <v>902</v>
      </c>
      <c r="B77" s="2407"/>
      <c r="C77" s="2407"/>
      <c r="D77" s="2407"/>
      <c r="E77" s="2407"/>
      <c r="F77" s="2407"/>
      <c r="G77" s="2407"/>
      <c r="H77" s="2407"/>
    </row>
    <row r="78" spans="1:8">
      <c r="A78" s="2407"/>
      <c r="B78" s="2407"/>
      <c r="C78" s="2407"/>
      <c r="D78" s="2407"/>
      <c r="E78" s="2407"/>
      <c r="F78" s="2407"/>
      <c r="G78" s="2407"/>
      <c r="H78" s="2407"/>
    </row>
    <row r="79" spans="1:8">
      <c r="A79" s="2408" t="s">
        <v>897</v>
      </c>
      <c r="B79" s="2407"/>
      <c r="C79" s="2407"/>
      <c r="D79" s="2407"/>
      <c r="E79" s="2407"/>
      <c r="F79" s="2407"/>
      <c r="G79" s="2407"/>
      <c r="H79" s="2407"/>
    </row>
    <row r="80" spans="1:8">
      <c r="A80" s="2408" t="s">
        <v>898</v>
      </c>
      <c r="B80" s="2407"/>
      <c r="C80" s="2407"/>
      <c r="D80" s="2407"/>
      <c r="E80" s="2407"/>
      <c r="F80" s="2407"/>
      <c r="G80" s="2407"/>
      <c r="H80" s="2407"/>
    </row>
    <row r="81" spans="1:8">
      <c r="A81" s="2408" t="s">
        <v>899</v>
      </c>
      <c r="B81" s="2407"/>
      <c r="C81" s="2407"/>
      <c r="D81" s="2407"/>
      <c r="E81" s="2407"/>
      <c r="F81" s="2407"/>
      <c r="G81" s="2407"/>
      <c r="H81" s="2407"/>
    </row>
    <row r="82" spans="1:8">
      <c r="A82" s="2407"/>
      <c r="B82" s="2407"/>
      <c r="C82" s="2407"/>
      <c r="D82" s="2407"/>
      <c r="E82" s="2407"/>
      <c r="F82" s="2407"/>
      <c r="G82" s="2407"/>
      <c r="H82" s="2407"/>
    </row>
    <row r="83" spans="1:8">
      <c r="A83" s="2408" t="s">
        <v>654</v>
      </c>
      <c r="B83" s="2407"/>
      <c r="C83" s="2407"/>
      <c r="D83" s="2407"/>
      <c r="E83" s="2407"/>
      <c r="F83" s="2407"/>
      <c r="G83" s="2407"/>
      <c r="H83" s="2407"/>
    </row>
    <row r="84" spans="1:8">
      <c r="A84" s="2407"/>
      <c r="B84" s="2407"/>
      <c r="C84" s="2407"/>
      <c r="D84" s="2407"/>
      <c r="E84" s="2407"/>
      <c r="F84" s="2407"/>
      <c r="G84" s="2407"/>
      <c r="H84" s="2407"/>
    </row>
    <row r="85" spans="1:8">
      <c r="A85" s="2408" t="s">
        <v>892</v>
      </c>
      <c r="B85" s="2407"/>
      <c r="C85" s="2407"/>
      <c r="D85" s="2407"/>
      <c r="E85" s="2407"/>
      <c r="F85" s="2407"/>
      <c r="G85" s="2407"/>
      <c r="H85" s="2407"/>
    </row>
    <row r="86" spans="1:8">
      <c r="A86" s="2408" t="s">
        <v>893</v>
      </c>
      <c r="B86" s="2407"/>
      <c r="C86" s="2407"/>
      <c r="D86" s="2407"/>
      <c r="E86" s="2407"/>
      <c r="F86" s="2407"/>
      <c r="G86" s="2407"/>
      <c r="H86" s="2407"/>
    </row>
    <row r="87" spans="1:8">
      <c r="A87" s="2408" t="s">
        <v>894</v>
      </c>
      <c r="B87" s="2407"/>
      <c r="C87" s="2407"/>
      <c r="D87" s="2407"/>
      <c r="E87" s="2407"/>
      <c r="F87" s="2407"/>
      <c r="G87" s="2407"/>
      <c r="H87" s="2407"/>
    </row>
    <row r="88" spans="1:8">
      <c r="A88" s="2408" t="s">
        <v>895</v>
      </c>
      <c r="B88" s="2407"/>
      <c r="C88" s="2407"/>
      <c r="D88" s="2407"/>
      <c r="E88" s="2407"/>
      <c r="F88" s="2407"/>
      <c r="G88" s="2407"/>
      <c r="H88" s="2407"/>
    </row>
    <row r="89" spans="1:8">
      <c r="A89" s="2408" t="s">
        <v>896</v>
      </c>
      <c r="B89" s="2407"/>
      <c r="C89" s="2407"/>
      <c r="D89" s="2407"/>
      <c r="E89" s="2407"/>
      <c r="F89" s="2407"/>
      <c r="G89" s="2407"/>
      <c r="H89" s="2407"/>
    </row>
    <row r="90" spans="1:8">
      <c r="A90" s="2408" t="s">
        <v>779</v>
      </c>
      <c r="B90" s="2407"/>
      <c r="C90" s="2407"/>
      <c r="D90" s="2407"/>
      <c r="E90" s="2407"/>
      <c r="F90" s="2407"/>
      <c r="G90" s="2407"/>
      <c r="H90" s="2407"/>
    </row>
    <row r="91" spans="1:8">
      <c r="A91" s="2407"/>
      <c r="B91" s="2407"/>
      <c r="C91" s="2407"/>
      <c r="D91" s="2407"/>
      <c r="E91" s="2407"/>
      <c r="F91" s="2407"/>
      <c r="G91" s="2407"/>
      <c r="H91" s="2407"/>
    </row>
    <row r="92" spans="1:8">
      <c r="A92" s="2408" t="s">
        <v>885</v>
      </c>
      <c r="B92" s="2407"/>
      <c r="C92" s="2407"/>
      <c r="D92" s="2407"/>
      <c r="E92" s="2407"/>
      <c r="F92" s="2407"/>
      <c r="G92" s="2407"/>
      <c r="H92" s="2407"/>
    </row>
    <row r="93" spans="1:8">
      <c r="A93" s="2408" t="s">
        <v>886</v>
      </c>
      <c r="B93" s="2407"/>
      <c r="C93" s="2407"/>
      <c r="D93" s="2407"/>
      <c r="E93" s="2407"/>
      <c r="F93" s="2407"/>
      <c r="G93" s="2407"/>
      <c r="H93" s="2407"/>
    </row>
    <row r="94" spans="1:8">
      <c r="A94" s="2408" t="s">
        <v>887</v>
      </c>
      <c r="B94" s="2407"/>
      <c r="C94" s="2407"/>
      <c r="D94" s="2407"/>
      <c r="E94" s="2407"/>
      <c r="F94" s="2407"/>
      <c r="G94" s="2407"/>
      <c r="H94" s="2407"/>
    </row>
    <row r="95" spans="1:8">
      <c r="A95" s="2408" t="s">
        <v>888</v>
      </c>
      <c r="B95" s="2407"/>
      <c r="C95" s="2407"/>
      <c r="D95" s="2407"/>
      <c r="E95" s="2407"/>
      <c r="F95" s="2407"/>
      <c r="G95" s="2407"/>
      <c r="H95" s="2407"/>
    </row>
    <row r="96" spans="1:8">
      <c r="A96" s="2408" t="s">
        <v>889</v>
      </c>
      <c r="B96" s="2407"/>
      <c r="C96" s="2407"/>
      <c r="D96" s="2407"/>
      <c r="E96" s="2407"/>
      <c r="F96" s="2407"/>
      <c r="G96" s="2407"/>
      <c r="H96" s="2407"/>
    </row>
    <row r="97" spans="1:8">
      <c r="A97" s="2408" t="s">
        <v>890</v>
      </c>
      <c r="B97" s="2407"/>
      <c r="C97" s="2407"/>
      <c r="D97" s="2407"/>
      <c r="E97" s="2407"/>
      <c r="F97" s="2407"/>
      <c r="G97" s="2407"/>
      <c r="H97" s="2407"/>
    </row>
    <row r="98" spans="1:8">
      <c r="A98" s="2408" t="s">
        <v>891</v>
      </c>
      <c r="B98" s="2407"/>
      <c r="C98" s="2407"/>
      <c r="D98" s="2407"/>
      <c r="E98" s="2407"/>
      <c r="F98" s="2407"/>
      <c r="G98" s="2407"/>
      <c r="H98" s="2407"/>
    </row>
    <row r="99" spans="1:8">
      <c r="A99" s="2407"/>
      <c r="B99" s="2407"/>
      <c r="C99" s="2407"/>
      <c r="D99" s="2407"/>
      <c r="E99" s="2407"/>
      <c r="F99" s="2407"/>
      <c r="G99" s="2407"/>
      <c r="H99" s="2407"/>
    </row>
    <row r="100" spans="1:8">
      <c r="A100" s="2408" t="s">
        <v>883</v>
      </c>
      <c r="B100" s="2407"/>
      <c r="C100" s="2407"/>
      <c r="D100" s="2407"/>
      <c r="E100" s="2407"/>
      <c r="F100" s="2407"/>
      <c r="G100" s="2407"/>
      <c r="H100" s="2407"/>
    </row>
    <row r="101" spans="1:8">
      <c r="A101" s="2408" t="s">
        <v>884</v>
      </c>
      <c r="B101" s="2407"/>
      <c r="C101" s="2407"/>
      <c r="D101" s="2407"/>
      <c r="E101" s="2407"/>
      <c r="F101" s="2407"/>
      <c r="G101" s="2407"/>
      <c r="H101" s="2407"/>
    </row>
    <row r="102" spans="1:8">
      <c r="A102" s="2407"/>
      <c r="B102" s="2407"/>
      <c r="C102" s="2407"/>
      <c r="D102" s="2407"/>
      <c r="E102" s="2407"/>
      <c r="F102" s="2407"/>
      <c r="G102" s="2407"/>
      <c r="H102" s="2407"/>
    </row>
    <row r="103" spans="1:8" ht="15.75">
      <c r="A103" s="2409" t="s">
        <v>655</v>
      </c>
      <c r="B103" s="2407"/>
      <c r="C103" s="2407"/>
      <c r="D103" s="2407"/>
      <c r="E103" s="2407"/>
      <c r="F103" s="2407"/>
      <c r="G103" s="2407"/>
      <c r="H103" s="2407"/>
    </row>
    <row r="104" spans="1:8">
      <c r="A104" s="2407"/>
      <c r="B104" s="2407"/>
      <c r="C104" s="2407"/>
      <c r="D104" s="2407"/>
      <c r="E104" s="2407"/>
      <c r="F104" s="2407"/>
      <c r="G104" s="2407"/>
      <c r="H104" s="2407"/>
    </row>
    <row r="105" spans="1:8">
      <c r="A105" s="2408" t="s">
        <v>874</v>
      </c>
      <c r="B105" s="2407"/>
      <c r="C105" s="2407"/>
      <c r="D105" s="2407"/>
      <c r="E105" s="2407"/>
      <c r="F105" s="2407"/>
      <c r="G105" s="2407"/>
      <c r="H105" s="2407"/>
    </row>
    <row r="106" spans="1:8">
      <c r="A106" s="2408" t="s">
        <v>875</v>
      </c>
      <c r="B106" s="2407"/>
      <c r="C106" s="2407"/>
      <c r="D106" s="2407"/>
      <c r="E106" s="2407"/>
      <c r="F106" s="2407"/>
      <c r="G106" s="2407"/>
      <c r="H106" s="2407"/>
    </row>
    <row r="107" spans="1:8">
      <c r="A107" s="2408" t="s">
        <v>876</v>
      </c>
      <c r="B107" s="2407"/>
      <c r="C107" s="2407"/>
      <c r="D107" s="2407"/>
      <c r="E107" s="2407"/>
      <c r="F107" s="2407"/>
      <c r="G107" s="2407"/>
      <c r="H107" s="2407"/>
    </row>
    <row r="108" spans="1:8">
      <c r="A108" s="2408" t="s">
        <v>877</v>
      </c>
      <c r="B108" s="2407"/>
      <c r="C108" s="2407"/>
      <c r="D108" s="2407"/>
      <c r="E108" s="2407"/>
      <c r="F108" s="2407"/>
      <c r="G108" s="2407"/>
      <c r="H108" s="2407"/>
    </row>
    <row r="109" spans="1:8">
      <c r="A109" s="2408" t="s">
        <v>878</v>
      </c>
      <c r="B109" s="2407"/>
      <c r="C109" s="2407"/>
      <c r="D109" s="2407"/>
      <c r="E109" s="2407"/>
      <c r="F109" s="2407"/>
      <c r="G109" s="2407"/>
      <c r="H109" s="2407"/>
    </row>
    <row r="110" spans="1:8">
      <c r="A110" s="2408" t="s">
        <v>879</v>
      </c>
      <c r="B110" s="2407"/>
      <c r="C110" s="2407"/>
      <c r="D110" s="2407"/>
      <c r="E110" s="2407"/>
      <c r="F110" s="2407"/>
      <c r="G110" s="2407"/>
      <c r="H110" s="2407"/>
    </row>
    <row r="111" spans="1:8">
      <c r="A111" s="2408" t="s">
        <v>880</v>
      </c>
      <c r="B111" s="2407"/>
      <c r="C111" s="2407"/>
      <c r="D111" s="2407"/>
      <c r="E111" s="2407"/>
      <c r="F111" s="2407"/>
      <c r="G111" s="2407"/>
      <c r="H111" s="2407"/>
    </row>
    <row r="112" spans="1:8">
      <c r="A112" s="2408" t="s">
        <v>881</v>
      </c>
      <c r="B112" s="2407"/>
      <c r="C112" s="2407"/>
      <c r="D112" s="2407"/>
      <c r="E112" s="2407"/>
      <c r="F112" s="2407"/>
      <c r="G112" s="2407"/>
      <c r="H112" s="2407"/>
    </row>
    <row r="113" spans="1:8">
      <c r="A113" s="2408" t="s">
        <v>882</v>
      </c>
      <c r="B113" s="2407"/>
      <c r="C113" s="2407"/>
      <c r="D113" s="2407"/>
      <c r="E113" s="2407"/>
      <c r="F113" s="2407"/>
      <c r="G113" s="2407"/>
      <c r="H113" s="2407"/>
    </row>
    <row r="114" spans="1:8">
      <c r="A114" s="2407"/>
      <c r="B114" s="2407"/>
      <c r="C114" s="2407"/>
      <c r="D114" s="2407"/>
      <c r="E114" s="2407"/>
      <c r="F114" s="2407"/>
      <c r="G114" s="2407"/>
      <c r="H114" s="2407"/>
    </row>
    <row r="115" spans="1:8" ht="15.75">
      <c r="A115" s="2426" t="s">
        <v>656</v>
      </c>
      <c r="B115" s="2426"/>
      <c r="C115" s="2426"/>
      <c r="D115" s="2426"/>
      <c r="E115" s="2426"/>
      <c r="F115" s="2426"/>
      <c r="G115" s="2426"/>
      <c r="H115" s="2426"/>
    </row>
    <row r="116" spans="1:8">
      <c r="A116" s="2422" t="s">
        <v>657</v>
      </c>
      <c r="B116" s="2422"/>
      <c r="C116" s="2422"/>
      <c r="D116" s="2422"/>
      <c r="E116" s="2422"/>
      <c r="F116" s="2422"/>
      <c r="G116" s="2422"/>
      <c r="H116" s="2422"/>
    </row>
    <row r="117" spans="1:8">
      <c r="A117" s="2427"/>
      <c r="B117" s="2427"/>
      <c r="C117" s="2427"/>
      <c r="D117" s="2427"/>
      <c r="E117" s="2427"/>
      <c r="F117" s="2427"/>
      <c r="G117" s="2427"/>
      <c r="H117" s="2427"/>
    </row>
    <row r="118" spans="1:8">
      <c r="A118" s="2422" t="s">
        <v>872</v>
      </c>
      <c r="B118" s="2422"/>
      <c r="C118" s="2422"/>
      <c r="D118" s="2422"/>
      <c r="E118" s="2422"/>
      <c r="F118" s="2422"/>
      <c r="G118" s="2422"/>
      <c r="H118" s="2422"/>
    </row>
    <row r="119" spans="1:8">
      <c r="A119" s="2408" t="s">
        <v>873</v>
      </c>
      <c r="B119" s="2408"/>
      <c r="C119" s="2408"/>
      <c r="D119" s="2408"/>
      <c r="E119" s="2408"/>
      <c r="F119" s="2408"/>
      <c r="G119" s="2408"/>
      <c r="H119" s="2408"/>
    </row>
    <row r="120" spans="1:8">
      <c r="A120" s="2427"/>
      <c r="B120" s="2427"/>
      <c r="C120" s="2427"/>
      <c r="D120" s="2427"/>
      <c r="E120" s="2427"/>
      <c r="F120" s="2427"/>
      <c r="G120" s="2427"/>
      <c r="H120" s="2427"/>
    </row>
    <row r="121" spans="1:8">
      <c r="A121" s="2422" t="s">
        <v>865</v>
      </c>
      <c r="B121" s="2422"/>
      <c r="C121" s="2422"/>
      <c r="D121" s="2422"/>
      <c r="E121" s="2422"/>
      <c r="F121" s="2422"/>
      <c r="G121" s="2422"/>
      <c r="H121" s="2422"/>
    </row>
    <row r="122" spans="1:8">
      <c r="A122" s="2408" t="s">
        <v>866</v>
      </c>
      <c r="B122" s="2408"/>
      <c r="C122" s="2408"/>
      <c r="D122" s="2408"/>
      <c r="E122" s="2408"/>
      <c r="F122" s="2408"/>
      <c r="G122" s="2408"/>
      <c r="H122" s="2408"/>
    </row>
    <row r="123" spans="1:8">
      <c r="A123" s="2408" t="s">
        <v>867</v>
      </c>
      <c r="B123" s="2408"/>
      <c r="C123" s="2408"/>
      <c r="D123" s="2408"/>
      <c r="E123" s="2408"/>
      <c r="F123" s="2408"/>
      <c r="G123" s="2408"/>
      <c r="H123" s="2408"/>
    </row>
    <row r="124" spans="1:8">
      <c r="A124" s="2408" t="s">
        <v>868</v>
      </c>
      <c r="B124" s="2408"/>
      <c r="C124" s="2408"/>
      <c r="D124" s="2408"/>
      <c r="E124" s="2408"/>
      <c r="F124" s="2408"/>
      <c r="G124" s="2408"/>
      <c r="H124" s="2408"/>
    </row>
    <row r="125" spans="1:8">
      <c r="A125" s="2408" t="s">
        <v>869</v>
      </c>
      <c r="B125" s="2408"/>
      <c r="C125" s="2408"/>
      <c r="D125" s="2408"/>
      <c r="E125" s="2408"/>
      <c r="F125" s="2408"/>
      <c r="G125" s="2408"/>
      <c r="H125" s="2408"/>
    </row>
    <row r="126" spans="1:8">
      <c r="A126" s="2408" t="s">
        <v>870</v>
      </c>
      <c r="B126" s="2408"/>
      <c r="C126" s="2408"/>
      <c r="D126" s="2408"/>
      <c r="E126" s="2408"/>
      <c r="F126" s="2408"/>
      <c r="G126" s="2408"/>
      <c r="H126" s="2408"/>
    </row>
    <row r="127" spans="1:8">
      <c r="A127" s="2408" t="s">
        <v>871</v>
      </c>
      <c r="B127" s="2408"/>
      <c r="C127" s="2408"/>
      <c r="D127" s="2408"/>
      <c r="E127" s="2408"/>
      <c r="F127" s="2408"/>
      <c r="G127" s="2408"/>
      <c r="H127" s="2408"/>
    </row>
    <row r="128" spans="1:8">
      <c r="A128" s="2428"/>
      <c r="B128" s="2428"/>
      <c r="C128" s="2428"/>
      <c r="D128" s="2428"/>
      <c r="E128" s="2428"/>
      <c r="F128" s="2428"/>
      <c r="G128" s="2428"/>
      <c r="H128" s="2428"/>
    </row>
    <row r="129" spans="1:8">
      <c r="A129" s="2410"/>
      <c r="B129" s="2423" t="s">
        <v>658</v>
      </c>
      <c r="C129" s="2424"/>
      <c r="D129" s="2423" t="s">
        <v>659</v>
      </c>
      <c r="E129" s="2425"/>
      <c r="F129" s="2424"/>
      <c r="G129" s="2423" t="s">
        <v>660</v>
      </c>
      <c r="H129" s="2424"/>
    </row>
    <row r="130" spans="1:8">
      <c r="A130" s="2410" t="s">
        <v>661</v>
      </c>
      <c r="B130" s="2410" t="s">
        <v>461</v>
      </c>
      <c r="C130" s="2410" t="s">
        <v>49</v>
      </c>
      <c r="D130" s="2410" t="s">
        <v>461</v>
      </c>
      <c r="E130" s="2410" t="s">
        <v>662</v>
      </c>
      <c r="F130" s="2410" t="s">
        <v>663</v>
      </c>
      <c r="G130" s="2410" t="s">
        <v>461</v>
      </c>
      <c r="H130" s="2410" t="s">
        <v>664</v>
      </c>
    </row>
    <row r="131" spans="1:8">
      <c r="A131" s="2410" t="s">
        <v>665</v>
      </c>
      <c r="B131" s="2410">
        <v>1175</v>
      </c>
      <c r="C131" s="2410">
        <v>0.37</v>
      </c>
      <c r="D131" s="2410">
        <v>315</v>
      </c>
      <c r="E131" s="2410">
        <v>0.41</v>
      </c>
      <c r="F131" s="2410">
        <v>0.27</v>
      </c>
      <c r="G131" s="2410">
        <v>555</v>
      </c>
      <c r="H131" s="2410">
        <v>0.39</v>
      </c>
    </row>
    <row r="132" spans="1:8">
      <c r="A132" s="2410" t="s">
        <v>666</v>
      </c>
      <c r="B132" s="2410">
        <v>1369</v>
      </c>
      <c r="C132" s="2410">
        <v>0.43</v>
      </c>
      <c r="D132" s="2410">
        <v>357</v>
      </c>
      <c r="E132" s="2410">
        <v>0.47</v>
      </c>
      <c r="F132" s="2410">
        <v>0.26</v>
      </c>
      <c r="G132" s="2410">
        <v>643</v>
      </c>
      <c r="H132" s="2410">
        <v>0.45</v>
      </c>
    </row>
    <row r="133" spans="1:8">
      <c r="A133" s="2410" t="s">
        <v>667</v>
      </c>
      <c r="B133" s="2410">
        <v>53</v>
      </c>
      <c r="C133" s="2410">
        <v>0.02</v>
      </c>
      <c r="D133" s="2410">
        <v>5</v>
      </c>
      <c r="E133" s="2410">
        <v>0.01</v>
      </c>
      <c r="F133" s="2410">
        <v>0.09</v>
      </c>
      <c r="G133" s="2410">
        <v>7</v>
      </c>
      <c r="H133" s="2410">
        <v>0</v>
      </c>
    </row>
    <row r="134" spans="1:8">
      <c r="A134" s="2410" t="s">
        <v>668</v>
      </c>
      <c r="B134" s="2410">
        <v>552</v>
      </c>
      <c r="C134" s="2410">
        <v>0.18</v>
      </c>
      <c r="D134" s="2410">
        <v>87</v>
      </c>
      <c r="E134" s="2410">
        <v>0.11</v>
      </c>
      <c r="F134" s="2410">
        <v>0.16</v>
      </c>
      <c r="G134" s="2410">
        <v>222</v>
      </c>
      <c r="H134" s="2410">
        <v>0.16</v>
      </c>
    </row>
    <row r="135" spans="1:8">
      <c r="A135" s="2410" t="s">
        <v>392</v>
      </c>
      <c r="B135" s="2410">
        <v>3149</v>
      </c>
      <c r="C135" s="2410"/>
      <c r="D135" s="2410">
        <v>764</v>
      </c>
      <c r="E135" s="2410"/>
      <c r="F135" s="2410"/>
      <c r="G135" s="2410">
        <v>1427</v>
      </c>
      <c r="H135" s="2410"/>
    </row>
    <row r="136" spans="1:8">
      <c r="A136" s="2421"/>
      <c r="B136" s="2421"/>
      <c r="C136" s="2421"/>
      <c r="D136" s="2421"/>
      <c r="E136" s="2421"/>
      <c r="F136" s="2421"/>
      <c r="G136" s="2421"/>
      <c r="H136" s="2421"/>
    </row>
    <row r="137" spans="1:8">
      <c r="A137" s="2422" t="s">
        <v>861</v>
      </c>
      <c r="B137" s="2422"/>
      <c r="C137" s="2422"/>
      <c r="D137" s="2422"/>
      <c r="E137" s="2422"/>
      <c r="F137" s="2422"/>
      <c r="G137" s="2422"/>
      <c r="H137" s="2422"/>
    </row>
    <row r="138" spans="1:8">
      <c r="A138" s="2408" t="s">
        <v>862</v>
      </c>
      <c r="B138" s="2408"/>
      <c r="C138" s="2408"/>
      <c r="D138" s="2408"/>
      <c r="E138" s="2408"/>
      <c r="F138" s="2408"/>
      <c r="G138" s="2408"/>
      <c r="H138" s="2408"/>
    </row>
    <row r="139" spans="1:8">
      <c r="A139" s="2408" t="s">
        <v>863</v>
      </c>
      <c r="B139" s="2408"/>
      <c r="C139" s="2408"/>
      <c r="D139" s="2408"/>
      <c r="E139" s="2408"/>
      <c r="F139" s="2408"/>
      <c r="G139" s="2408"/>
      <c r="H139" s="2408"/>
    </row>
    <row r="140" spans="1:8">
      <c r="A140" s="2408" t="s">
        <v>864</v>
      </c>
      <c r="B140" s="2408"/>
      <c r="C140" s="2408"/>
      <c r="D140" s="2408"/>
      <c r="E140" s="2408"/>
      <c r="F140" s="2408"/>
      <c r="G140" s="2408"/>
      <c r="H140" s="2408"/>
    </row>
    <row r="141" spans="1:8">
      <c r="A141" s="2407"/>
      <c r="B141" s="2407"/>
      <c r="C141" s="2407"/>
      <c r="D141" s="2407"/>
      <c r="E141" s="2407"/>
      <c r="F141" s="2407"/>
      <c r="G141" s="2407"/>
      <c r="H141" s="2407"/>
    </row>
    <row r="142" spans="1:8" ht="15.75">
      <c r="A142" s="2409" t="s">
        <v>669</v>
      </c>
      <c r="B142" s="2407"/>
      <c r="C142" s="2407"/>
      <c r="D142" s="2407"/>
      <c r="E142" s="2407"/>
      <c r="F142" s="2407"/>
      <c r="G142" s="2407"/>
      <c r="H142" s="2407"/>
    </row>
    <row r="143" spans="1:8">
      <c r="A143" s="2407"/>
      <c r="B143" s="2407"/>
      <c r="C143" s="2407"/>
      <c r="D143" s="2407"/>
      <c r="E143" s="2407"/>
      <c r="F143" s="2407"/>
      <c r="G143" s="2407"/>
      <c r="H143" s="2407"/>
    </row>
    <row r="144" spans="1:8">
      <c r="A144" s="2408" t="s">
        <v>859</v>
      </c>
      <c r="B144" s="2407"/>
      <c r="C144" s="2407"/>
      <c r="D144" s="2407"/>
      <c r="E144" s="2407"/>
      <c r="F144" s="2407"/>
      <c r="G144" s="2407"/>
      <c r="H144" s="2407"/>
    </row>
    <row r="145" spans="1:8">
      <c r="A145" s="2408" t="s">
        <v>860</v>
      </c>
      <c r="B145" s="2407"/>
      <c r="C145" s="2407"/>
      <c r="D145" s="2407"/>
      <c r="E145" s="2407"/>
      <c r="F145" s="2407"/>
      <c r="G145" s="2407"/>
      <c r="H145" s="2407"/>
    </row>
    <row r="146" spans="1:8">
      <c r="A146" s="2407"/>
      <c r="B146" s="2407"/>
      <c r="C146" s="2407"/>
      <c r="D146" s="2407"/>
      <c r="E146" s="2407"/>
      <c r="F146" s="2407"/>
      <c r="G146" s="2407"/>
      <c r="H146" s="2407"/>
    </row>
    <row r="147" spans="1:8">
      <c r="A147" s="2408" t="s">
        <v>856</v>
      </c>
      <c r="B147" s="2407"/>
      <c r="C147" s="2407"/>
      <c r="D147" s="2407"/>
      <c r="E147" s="2407"/>
      <c r="F147" s="2407"/>
      <c r="G147" s="2407"/>
      <c r="H147" s="2407"/>
    </row>
    <row r="148" spans="1:8">
      <c r="A148" s="2408" t="s">
        <v>857</v>
      </c>
      <c r="B148" s="2407"/>
      <c r="C148" s="2407"/>
      <c r="D148" s="2407"/>
      <c r="E148" s="2407"/>
      <c r="F148" s="2407"/>
      <c r="G148" s="2407"/>
      <c r="H148" s="2407"/>
    </row>
    <row r="149" spans="1:8">
      <c r="A149" s="2408" t="s">
        <v>858</v>
      </c>
      <c r="B149" s="2407"/>
      <c r="C149" s="2407"/>
      <c r="D149" s="2407"/>
      <c r="E149" s="2407"/>
      <c r="F149" s="2407"/>
      <c r="G149" s="2407"/>
      <c r="H149" s="2407"/>
    </row>
    <row r="150" spans="1:8">
      <c r="A150" s="2407"/>
      <c r="B150" s="2407"/>
      <c r="C150" s="2407"/>
      <c r="D150" s="2407"/>
      <c r="E150" s="2407"/>
      <c r="F150" s="2407"/>
      <c r="G150" s="2407"/>
      <c r="H150" s="2407"/>
    </row>
    <row r="151" spans="1:8">
      <c r="A151" s="2408" t="s">
        <v>853</v>
      </c>
      <c r="B151" s="2407"/>
      <c r="C151" s="2407"/>
      <c r="D151" s="2407"/>
      <c r="E151" s="2407"/>
      <c r="F151" s="2407"/>
      <c r="G151" s="2407"/>
      <c r="H151" s="2407"/>
    </row>
    <row r="152" spans="1:8">
      <c r="A152" s="2408" t="s">
        <v>854</v>
      </c>
      <c r="B152" s="2407"/>
      <c r="C152" s="2407"/>
      <c r="D152" s="2407"/>
      <c r="E152" s="2407"/>
      <c r="F152" s="2407"/>
      <c r="G152" s="2407"/>
      <c r="H152" s="2407"/>
    </row>
    <row r="153" spans="1:8">
      <c r="A153" s="2408" t="s">
        <v>855</v>
      </c>
      <c r="B153" s="2407"/>
      <c r="C153" s="2407"/>
      <c r="D153" s="2407"/>
      <c r="E153" s="2407"/>
      <c r="F153" s="2407"/>
      <c r="G153" s="2407"/>
      <c r="H153" s="2407"/>
    </row>
    <row r="154" spans="1:8">
      <c r="A154" s="2407"/>
      <c r="B154" s="2407"/>
      <c r="C154" s="2407"/>
      <c r="D154" s="2407"/>
      <c r="E154" s="2407"/>
      <c r="F154" s="2407"/>
      <c r="G154" s="2407"/>
      <c r="H154" s="2407"/>
    </row>
    <row r="155" spans="1:8">
      <c r="A155" s="2408" t="s">
        <v>850</v>
      </c>
      <c r="B155" s="2407"/>
      <c r="C155" s="2407"/>
      <c r="D155" s="2407"/>
      <c r="E155" s="2407"/>
      <c r="F155" s="2407"/>
      <c r="G155" s="2407"/>
      <c r="H155" s="2407"/>
    </row>
    <row r="156" spans="1:8">
      <c r="A156" s="2408" t="s">
        <v>851</v>
      </c>
      <c r="B156" s="2407"/>
      <c r="C156" s="2407"/>
      <c r="D156" s="2407"/>
      <c r="E156" s="2407"/>
      <c r="F156" s="2407"/>
      <c r="G156" s="2407"/>
      <c r="H156" s="2407"/>
    </row>
    <row r="157" spans="1:8">
      <c r="A157" s="2408" t="s">
        <v>852</v>
      </c>
      <c r="B157" s="2407"/>
      <c r="C157" s="2407"/>
      <c r="D157" s="2407"/>
      <c r="E157" s="2407"/>
      <c r="F157" s="2407"/>
      <c r="G157" s="2407"/>
      <c r="H157" s="2407"/>
    </row>
    <row r="158" spans="1:8">
      <c r="A158" s="2407"/>
      <c r="B158" s="2407"/>
      <c r="C158" s="2407"/>
      <c r="D158" s="2407"/>
      <c r="E158" s="2407"/>
      <c r="F158" s="2407"/>
      <c r="G158" s="2407"/>
      <c r="H158" s="2407"/>
    </row>
    <row r="159" spans="1:8">
      <c r="A159" s="2408" t="s">
        <v>848</v>
      </c>
      <c r="B159" s="2407"/>
      <c r="C159" s="2407"/>
      <c r="D159" s="2407"/>
      <c r="E159" s="2407"/>
      <c r="F159" s="2407"/>
      <c r="G159" s="2407"/>
      <c r="H159" s="2407"/>
    </row>
    <row r="160" spans="1:8">
      <c r="A160" s="2408" t="s">
        <v>849</v>
      </c>
      <c r="B160" s="2407"/>
      <c r="C160" s="2407"/>
      <c r="D160" s="2407"/>
      <c r="E160" s="2407"/>
      <c r="F160" s="2407"/>
      <c r="G160" s="2407"/>
      <c r="H160" s="2407"/>
    </row>
    <row r="161" spans="1:8">
      <c r="A161" s="2407"/>
      <c r="B161" s="2407"/>
      <c r="C161" s="2407"/>
      <c r="D161" s="2407"/>
      <c r="E161" s="2407"/>
      <c r="F161" s="2407"/>
      <c r="G161" s="2407"/>
      <c r="H161" s="2407"/>
    </row>
    <row r="162" spans="1:8" ht="15.75">
      <c r="A162" s="2409" t="s">
        <v>670</v>
      </c>
      <c r="B162" s="2407"/>
      <c r="C162" s="2407"/>
      <c r="D162" s="2407"/>
      <c r="E162" s="2407"/>
      <c r="F162" s="2407"/>
      <c r="G162" s="2407"/>
      <c r="H162" s="2407"/>
    </row>
    <row r="163" spans="1:8">
      <c r="A163" s="2407"/>
      <c r="B163" s="2407"/>
      <c r="C163" s="2407"/>
      <c r="D163" s="2407"/>
      <c r="E163" s="2407"/>
      <c r="F163" s="2407"/>
      <c r="G163" s="2407"/>
      <c r="H163" s="2407"/>
    </row>
    <row r="164" spans="1:8">
      <c r="A164" s="2408" t="s">
        <v>846</v>
      </c>
      <c r="B164" s="2407"/>
      <c r="C164" s="2407"/>
      <c r="D164" s="2407"/>
      <c r="E164" s="2407"/>
      <c r="F164" s="2407"/>
      <c r="G164" s="2407"/>
      <c r="H164" s="2407"/>
    </row>
    <row r="165" spans="1:8">
      <c r="A165" s="2408" t="s">
        <v>847</v>
      </c>
      <c r="B165" s="2407"/>
      <c r="C165" s="2407"/>
      <c r="D165" s="2407"/>
      <c r="E165" s="2407"/>
      <c r="F165" s="2407"/>
      <c r="G165" s="2407"/>
      <c r="H165" s="2407"/>
    </row>
    <row r="166" spans="1:8">
      <c r="A166" s="2407"/>
      <c r="B166" s="2407"/>
      <c r="C166" s="2407"/>
      <c r="D166" s="2407"/>
      <c r="E166" s="2407"/>
      <c r="F166" s="2407"/>
      <c r="G166" s="2407"/>
      <c r="H166" s="2407"/>
    </row>
    <row r="167" spans="1:8">
      <c r="A167" s="2408" t="s">
        <v>844</v>
      </c>
      <c r="B167" s="2407"/>
      <c r="C167" s="2407"/>
      <c r="D167" s="2407"/>
      <c r="E167" s="2407"/>
      <c r="F167" s="2407"/>
      <c r="G167" s="2407"/>
      <c r="H167" s="2407"/>
    </row>
    <row r="168" spans="1:8">
      <c r="A168" s="2408" t="s">
        <v>845</v>
      </c>
      <c r="B168" s="2407"/>
      <c r="C168" s="2407"/>
      <c r="D168" s="2407"/>
      <c r="E168" s="2407"/>
      <c r="F168" s="2407"/>
      <c r="G168" s="2407"/>
      <c r="H168" s="2407"/>
    </row>
    <row r="169" spans="1:8">
      <c r="A169" s="2407"/>
      <c r="B169" s="2407"/>
      <c r="C169" s="2407"/>
      <c r="D169" s="2407"/>
      <c r="E169" s="2407"/>
      <c r="F169" s="2407"/>
      <c r="G169" s="2407"/>
      <c r="H169" s="2407"/>
    </row>
    <row r="170" spans="1:8">
      <c r="A170" s="2408" t="s">
        <v>842</v>
      </c>
      <c r="B170" s="2407"/>
      <c r="C170" s="2407"/>
      <c r="D170" s="2407"/>
      <c r="E170" s="2407"/>
      <c r="F170" s="2407"/>
      <c r="G170" s="2407"/>
      <c r="H170" s="2407"/>
    </row>
    <row r="171" spans="1:8">
      <c r="A171" s="2408" t="s">
        <v>843</v>
      </c>
      <c r="B171" s="2407"/>
      <c r="C171" s="2407"/>
      <c r="D171" s="2407"/>
      <c r="E171" s="2407"/>
      <c r="F171" s="2407"/>
      <c r="G171" s="2407"/>
      <c r="H171" s="2407"/>
    </row>
    <row r="172" spans="1:8">
      <c r="A172" s="2407"/>
      <c r="B172" s="2407"/>
      <c r="C172" s="2407"/>
      <c r="D172" s="2407"/>
      <c r="E172" s="2407"/>
      <c r="F172" s="2407"/>
      <c r="G172" s="2407"/>
      <c r="H172" s="2407"/>
    </row>
    <row r="173" spans="1:8">
      <c r="A173" s="2408" t="s">
        <v>839</v>
      </c>
      <c r="B173" s="2407"/>
      <c r="C173" s="2407"/>
      <c r="D173" s="2407"/>
      <c r="E173" s="2407"/>
      <c r="F173" s="2407"/>
      <c r="G173" s="2407"/>
      <c r="H173" s="2407"/>
    </row>
    <row r="174" spans="1:8">
      <c r="A174" s="2408" t="s">
        <v>840</v>
      </c>
      <c r="B174" s="2407"/>
      <c r="C174" s="2407"/>
      <c r="D174" s="2407"/>
      <c r="E174" s="2407"/>
      <c r="F174" s="2407"/>
      <c r="G174" s="2407"/>
      <c r="H174" s="2407"/>
    </row>
    <row r="175" spans="1:8">
      <c r="A175" s="2408" t="s">
        <v>841</v>
      </c>
      <c r="B175" s="2407"/>
      <c r="C175" s="2407"/>
      <c r="D175" s="2407"/>
      <c r="E175" s="2407"/>
      <c r="F175" s="2407"/>
      <c r="G175" s="2407"/>
      <c r="H175" s="2407"/>
    </row>
    <row r="176" spans="1:8">
      <c r="A176" s="2407"/>
      <c r="B176" s="2407"/>
      <c r="C176" s="2407"/>
      <c r="D176" s="2407"/>
      <c r="E176" s="2407"/>
      <c r="F176" s="2407"/>
      <c r="G176" s="2407"/>
      <c r="H176" s="2407"/>
    </row>
    <row r="177" spans="1:8">
      <c r="A177" s="2407"/>
      <c r="B177" s="2407"/>
      <c r="C177" s="2407"/>
      <c r="D177" s="2407"/>
      <c r="E177" s="2407"/>
      <c r="F177" s="2407"/>
      <c r="G177" s="2407"/>
      <c r="H177" s="2407"/>
    </row>
    <row r="178" spans="1:8">
      <c r="A178" s="2408" t="s">
        <v>671</v>
      </c>
      <c r="B178" s="2407"/>
      <c r="C178" s="2407"/>
      <c r="D178" s="2407"/>
      <c r="E178" s="2407"/>
      <c r="F178" s="2407"/>
      <c r="G178" s="2407"/>
      <c r="H178" s="2407"/>
    </row>
    <row r="179" spans="1:8">
      <c r="A179" s="2407"/>
      <c r="B179" s="2407"/>
      <c r="C179" s="2407"/>
      <c r="D179" s="2407"/>
      <c r="E179" s="2407"/>
      <c r="F179" s="2407"/>
      <c r="G179" s="2407"/>
      <c r="H179" s="2407"/>
    </row>
    <row r="180" spans="1:8" ht="15.75">
      <c r="A180" s="2409" t="s">
        <v>672</v>
      </c>
      <c r="B180" s="2407"/>
      <c r="C180" s="2407"/>
      <c r="D180" s="2407"/>
      <c r="E180" s="2407"/>
      <c r="F180" s="2407"/>
      <c r="G180" s="2407"/>
      <c r="H180" s="2407"/>
    </row>
    <row r="181" spans="1:8">
      <c r="A181" s="2407"/>
      <c r="B181" s="2407"/>
      <c r="C181" s="2407"/>
      <c r="D181" s="2407"/>
      <c r="E181" s="2407"/>
      <c r="F181" s="2407"/>
      <c r="G181" s="2407"/>
      <c r="H181" s="2407"/>
    </row>
    <row r="182" spans="1:8">
      <c r="A182" s="2407"/>
      <c r="B182" s="2407"/>
      <c r="C182" s="2407"/>
      <c r="D182" s="2407"/>
      <c r="E182" s="2407"/>
      <c r="F182" s="2407"/>
      <c r="G182" s="2407"/>
      <c r="H182" s="2407"/>
    </row>
    <row r="183" spans="1:8">
      <c r="A183" s="2407"/>
      <c r="B183" s="2407"/>
      <c r="C183" s="2407"/>
      <c r="D183" s="2407"/>
      <c r="E183" s="2407"/>
      <c r="F183" s="2407"/>
      <c r="G183" s="2407"/>
      <c r="H183" s="2407"/>
    </row>
    <row r="184" spans="1:8">
      <c r="A184" s="2407"/>
      <c r="B184" s="2407"/>
      <c r="C184" s="2407"/>
      <c r="D184" s="2407"/>
      <c r="E184" s="2407"/>
      <c r="F184" s="2407"/>
      <c r="G184" s="2407"/>
      <c r="H184" s="2407"/>
    </row>
    <row r="185" spans="1:8">
      <c r="A185" s="2407"/>
      <c r="B185" s="2407"/>
      <c r="C185" s="2407"/>
      <c r="D185" s="2407"/>
      <c r="E185" s="2407"/>
      <c r="F185" s="2407"/>
      <c r="G185" s="2407"/>
      <c r="H185" s="2407"/>
    </row>
    <row r="186" spans="1:8">
      <c r="A186" s="2407"/>
      <c r="B186" s="2407"/>
      <c r="C186" s="2407"/>
      <c r="D186" s="2407"/>
      <c r="E186" s="2407"/>
      <c r="F186" s="2407"/>
      <c r="G186" s="2407"/>
      <c r="H186" s="2407"/>
    </row>
    <row r="187" spans="1:8">
      <c r="A187" s="2407"/>
      <c r="B187" s="2407"/>
      <c r="C187" s="2407"/>
      <c r="D187" s="2407"/>
      <c r="E187" s="2407"/>
      <c r="F187" s="2407"/>
      <c r="G187" s="2407"/>
      <c r="H187" s="2407"/>
    </row>
    <row r="188" spans="1:8">
      <c r="A188" s="2407"/>
      <c r="B188" s="2407"/>
      <c r="C188" s="2407"/>
      <c r="D188" s="2407"/>
      <c r="E188" s="2407"/>
      <c r="F188" s="2407"/>
      <c r="G188" s="2407"/>
      <c r="H188" s="2407"/>
    </row>
    <row r="189" spans="1:8">
      <c r="A189" s="2407"/>
      <c r="B189" s="2407"/>
      <c r="C189" s="2407"/>
      <c r="D189" s="2407"/>
      <c r="E189" s="2407"/>
      <c r="F189" s="2407"/>
      <c r="G189" s="2407"/>
      <c r="H189" s="2407"/>
    </row>
    <row r="190" spans="1:8">
      <c r="A190" s="2407"/>
      <c r="B190" s="2407"/>
      <c r="C190" s="2407"/>
      <c r="D190" s="2407"/>
      <c r="E190" s="2407"/>
      <c r="F190" s="2407"/>
      <c r="G190" s="2407"/>
      <c r="H190" s="2407"/>
    </row>
    <row r="191" spans="1:8">
      <c r="A191" s="2407"/>
      <c r="B191" s="2407"/>
      <c r="C191" s="2407"/>
      <c r="D191" s="2407"/>
      <c r="E191" s="2407"/>
      <c r="F191" s="2407"/>
      <c r="G191" s="2407"/>
      <c r="H191" s="2407"/>
    </row>
    <row r="192" spans="1:8">
      <c r="A192" s="2407"/>
      <c r="B192" s="2407"/>
      <c r="C192" s="2407"/>
      <c r="D192" s="2407"/>
      <c r="E192" s="2407"/>
      <c r="F192" s="2407"/>
      <c r="G192" s="2407"/>
      <c r="H192" s="2407"/>
    </row>
    <row r="193" spans="1:8">
      <c r="A193" s="2407"/>
      <c r="B193" s="2407"/>
      <c r="C193" s="2407"/>
      <c r="D193" s="2407"/>
      <c r="E193" s="2407"/>
      <c r="F193" s="2407"/>
      <c r="G193" s="2407"/>
      <c r="H193" s="2407"/>
    </row>
    <row r="194" spans="1:8">
      <c r="A194" s="2407"/>
      <c r="B194" s="2407"/>
      <c r="C194" s="2407"/>
      <c r="D194" s="2407"/>
      <c r="E194" s="2407"/>
      <c r="F194" s="2407"/>
      <c r="G194" s="2407"/>
      <c r="H194" s="2407"/>
    </row>
    <row r="195" spans="1:8">
      <c r="A195" s="2407"/>
      <c r="B195" s="2407"/>
      <c r="C195" s="2407"/>
      <c r="D195" s="2407"/>
      <c r="E195" s="2407"/>
      <c r="F195" s="2407"/>
      <c r="G195" s="2407"/>
      <c r="H195" s="2407"/>
    </row>
    <row r="196" spans="1:8">
      <c r="A196" s="2407"/>
      <c r="B196" s="2407"/>
      <c r="C196" s="2407"/>
      <c r="D196" s="2407"/>
      <c r="E196" s="2407"/>
      <c r="F196" s="2407"/>
      <c r="G196" s="2407"/>
      <c r="H196" s="2407"/>
    </row>
    <row r="197" spans="1:8">
      <c r="A197" s="2407"/>
      <c r="B197" s="2407"/>
      <c r="C197" s="2407"/>
      <c r="D197" s="2407"/>
      <c r="E197" s="2407"/>
      <c r="F197" s="2407"/>
      <c r="G197" s="2407"/>
      <c r="H197" s="2407"/>
    </row>
    <row r="198" spans="1:8">
      <c r="A198" s="2407"/>
      <c r="B198" s="2407"/>
      <c r="C198" s="2407"/>
      <c r="D198" s="2407"/>
      <c r="E198" s="2407"/>
      <c r="F198" s="2407"/>
      <c r="G198" s="2407"/>
      <c r="H198" s="2407"/>
    </row>
    <row r="199" spans="1:8">
      <c r="A199" s="2407"/>
      <c r="B199" s="2407"/>
      <c r="C199" s="2407"/>
      <c r="D199" s="2407"/>
      <c r="E199" s="2407"/>
      <c r="F199" s="2407"/>
      <c r="G199" s="2407"/>
      <c r="H199" s="2407"/>
    </row>
    <row r="200" spans="1:8">
      <c r="A200" s="2407"/>
      <c r="B200" s="2407"/>
      <c r="C200" s="2407"/>
      <c r="D200" s="2407"/>
      <c r="E200" s="2407"/>
      <c r="F200" s="2407"/>
      <c r="G200" s="2407"/>
      <c r="H200" s="2407"/>
    </row>
    <row r="201" spans="1:8">
      <c r="A201" s="2407"/>
      <c r="B201" s="2407"/>
      <c r="C201" s="2407"/>
      <c r="D201" s="2407"/>
      <c r="E201" s="2407"/>
      <c r="F201" s="2407"/>
      <c r="G201" s="2407"/>
      <c r="H201" s="2407"/>
    </row>
    <row r="202" spans="1:8">
      <c r="A202" s="2407"/>
      <c r="B202" s="2407"/>
      <c r="C202" s="2407"/>
      <c r="D202" s="2407"/>
      <c r="E202" s="2407"/>
      <c r="F202" s="2407"/>
      <c r="G202" s="2407"/>
      <c r="H202" s="2407"/>
    </row>
    <row r="203" spans="1:8">
      <c r="A203" s="2407"/>
      <c r="B203" s="2407"/>
      <c r="C203" s="2407"/>
      <c r="D203" s="2407"/>
      <c r="E203" s="2407"/>
      <c r="F203" s="2407"/>
      <c r="G203" s="2407"/>
      <c r="H203" s="2407"/>
    </row>
    <row r="204" spans="1:8">
      <c r="A204" s="2407"/>
      <c r="B204" s="2407"/>
      <c r="C204" s="2407"/>
      <c r="D204" s="2407"/>
      <c r="E204" s="2407"/>
      <c r="F204" s="2407"/>
      <c r="G204" s="2407"/>
      <c r="H204" s="2407"/>
    </row>
    <row r="205" spans="1:8">
      <c r="A205" s="2407"/>
      <c r="B205" s="2407"/>
      <c r="C205" s="2407"/>
      <c r="D205" s="2407"/>
      <c r="E205" s="2407"/>
      <c r="F205" s="2407"/>
      <c r="G205" s="2407"/>
      <c r="H205" s="2407"/>
    </row>
    <row r="206" spans="1:8">
      <c r="A206" s="2407"/>
      <c r="B206" s="2407"/>
      <c r="C206" s="2407"/>
      <c r="D206" s="2407"/>
      <c r="E206" s="2407"/>
      <c r="F206" s="2407"/>
      <c r="G206" s="2407"/>
      <c r="H206" s="2407"/>
    </row>
    <row r="207" spans="1:8" ht="15.75">
      <c r="A207" s="2409" t="s">
        <v>673</v>
      </c>
      <c r="B207" s="2407"/>
      <c r="C207" s="2407"/>
      <c r="D207" s="2407"/>
      <c r="E207" s="2407"/>
      <c r="F207" s="2407"/>
      <c r="G207" s="2407"/>
      <c r="H207" s="2407"/>
    </row>
    <row r="208" spans="1:8">
      <c r="A208" s="2407"/>
      <c r="B208" s="2407"/>
      <c r="C208" s="2407"/>
      <c r="D208" s="2407"/>
      <c r="E208" s="2407"/>
      <c r="F208" s="2407"/>
      <c r="G208" s="2407"/>
      <c r="H208" s="2407"/>
    </row>
    <row r="209" spans="1:8">
      <c r="A209" s="2408" t="s">
        <v>834</v>
      </c>
      <c r="B209" s="2407"/>
      <c r="C209" s="2407"/>
      <c r="D209" s="2407"/>
      <c r="E209" s="2407"/>
      <c r="F209" s="2407"/>
      <c r="G209" s="2407"/>
      <c r="H209" s="2407"/>
    </row>
    <row r="210" spans="1:8">
      <c r="A210" s="2408" t="s">
        <v>835</v>
      </c>
      <c r="B210" s="2407"/>
      <c r="C210" s="2407"/>
      <c r="D210" s="2407"/>
      <c r="E210" s="2407"/>
      <c r="F210" s="2407"/>
      <c r="G210" s="2407"/>
      <c r="H210" s="2407"/>
    </row>
    <row r="211" spans="1:8">
      <c r="A211" s="2408" t="s">
        <v>836</v>
      </c>
      <c r="B211" s="2407"/>
      <c r="C211" s="2407"/>
      <c r="D211" s="2407"/>
      <c r="E211" s="2407"/>
      <c r="F211" s="2407"/>
      <c r="G211" s="2407"/>
      <c r="H211" s="2407"/>
    </row>
    <row r="212" spans="1:8">
      <c r="A212" s="2408" t="s">
        <v>837</v>
      </c>
      <c r="B212" s="2407"/>
      <c r="C212" s="2407"/>
      <c r="D212" s="2407"/>
      <c r="E212" s="2407"/>
      <c r="F212" s="2407"/>
      <c r="G212" s="2407"/>
      <c r="H212" s="2407"/>
    </row>
    <row r="213" spans="1:8">
      <c r="A213" s="2408" t="s">
        <v>838</v>
      </c>
      <c r="B213" s="2407"/>
      <c r="C213" s="2407"/>
      <c r="D213" s="2407"/>
      <c r="E213" s="2407"/>
      <c r="F213" s="2407"/>
      <c r="G213" s="2407"/>
      <c r="H213" s="2407"/>
    </row>
    <row r="214" spans="1:8">
      <c r="A214" s="2407"/>
      <c r="B214" s="2407"/>
      <c r="C214" s="2407"/>
      <c r="D214" s="2407"/>
      <c r="E214" s="2407"/>
      <c r="F214" s="2407"/>
      <c r="G214" s="2407"/>
      <c r="H214" s="2407"/>
    </row>
    <row r="215" spans="1:8">
      <c r="A215" s="2408" t="s">
        <v>831</v>
      </c>
      <c r="B215" s="2407"/>
      <c r="C215" s="2407"/>
      <c r="D215" s="2407"/>
      <c r="E215" s="2407"/>
      <c r="F215" s="2407"/>
      <c r="G215" s="2407"/>
      <c r="H215" s="2407"/>
    </row>
    <row r="216" spans="1:8">
      <c r="A216" s="2408" t="s">
        <v>832</v>
      </c>
      <c r="B216" s="2407"/>
      <c r="C216" s="2407"/>
      <c r="D216" s="2407"/>
      <c r="E216" s="2407"/>
      <c r="F216" s="2407"/>
      <c r="G216" s="2407"/>
      <c r="H216" s="2407"/>
    </row>
    <row r="217" spans="1:8">
      <c r="A217" s="2408" t="s">
        <v>833</v>
      </c>
      <c r="B217" s="2407"/>
      <c r="C217" s="2407"/>
      <c r="D217" s="2407"/>
      <c r="E217" s="2407"/>
      <c r="F217" s="2407"/>
      <c r="G217" s="2407"/>
      <c r="H217" s="2407"/>
    </row>
    <row r="218" spans="1:8" ht="15.75">
      <c r="A218" s="2409" t="s">
        <v>674</v>
      </c>
      <c r="B218" s="2407"/>
      <c r="C218" s="2407"/>
      <c r="D218" s="2407"/>
      <c r="E218" s="2407"/>
      <c r="F218" s="2407"/>
      <c r="G218" s="2407"/>
      <c r="H218" s="2407"/>
    </row>
    <row r="219" spans="1:8">
      <c r="A219" s="2407"/>
      <c r="B219" s="2407"/>
      <c r="C219" s="2407"/>
      <c r="D219" s="2407"/>
      <c r="E219" s="2407"/>
      <c r="F219" s="2407"/>
      <c r="G219" s="2407"/>
      <c r="H219" s="2407"/>
    </row>
    <row r="220" spans="1:8">
      <c r="A220" s="2408" t="s">
        <v>829</v>
      </c>
      <c r="B220" s="2407"/>
      <c r="C220" s="2407"/>
      <c r="D220" s="2407"/>
      <c r="E220" s="2407"/>
      <c r="F220" s="2407"/>
      <c r="G220" s="2407"/>
      <c r="H220" s="2407"/>
    </row>
    <row r="221" spans="1:8">
      <c r="A221" s="2408" t="s">
        <v>830</v>
      </c>
      <c r="B221" s="2407"/>
      <c r="C221" s="2407"/>
      <c r="D221" s="2407"/>
      <c r="E221" s="2407"/>
      <c r="F221" s="2407"/>
      <c r="G221" s="2407"/>
      <c r="H221" s="2407"/>
    </row>
    <row r="222" spans="1:8">
      <c r="A222" s="2407"/>
      <c r="B222" s="2407"/>
      <c r="C222" s="2407"/>
      <c r="D222" s="2407"/>
      <c r="E222" s="2407"/>
      <c r="F222" s="2407"/>
      <c r="G222" s="2407"/>
      <c r="H222" s="2407"/>
    </row>
    <row r="223" spans="1:8">
      <c r="A223" s="2408" t="s">
        <v>822</v>
      </c>
      <c r="B223" s="2407"/>
      <c r="C223" s="2407"/>
      <c r="D223" s="2407"/>
      <c r="E223" s="2407"/>
      <c r="F223" s="2407"/>
      <c r="G223" s="2407"/>
      <c r="H223" s="2407"/>
    </row>
    <row r="224" spans="1:8">
      <c r="A224" s="2408" t="s">
        <v>823</v>
      </c>
      <c r="B224" s="2407"/>
      <c r="C224" s="2407"/>
      <c r="D224" s="2407"/>
      <c r="E224" s="2407"/>
      <c r="F224" s="2407"/>
      <c r="G224" s="2407"/>
      <c r="H224" s="2407"/>
    </row>
    <row r="225" spans="1:8">
      <c r="A225" s="2408" t="s">
        <v>824</v>
      </c>
      <c r="B225" s="2407"/>
      <c r="C225" s="2407"/>
      <c r="D225" s="2407"/>
      <c r="E225" s="2407"/>
      <c r="F225" s="2407"/>
      <c r="G225" s="2407"/>
      <c r="H225" s="2407"/>
    </row>
    <row r="226" spans="1:8">
      <c r="A226" s="2408" t="s">
        <v>825</v>
      </c>
      <c r="B226" s="2407"/>
      <c r="C226" s="2407"/>
      <c r="D226" s="2407"/>
      <c r="E226" s="2407"/>
      <c r="F226" s="2407"/>
      <c r="G226" s="2407"/>
      <c r="H226" s="2407"/>
    </row>
    <row r="227" spans="1:8">
      <c r="A227" s="2408" t="s">
        <v>826</v>
      </c>
      <c r="B227" s="2407"/>
      <c r="C227" s="2407"/>
      <c r="D227" s="2407"/>
      <c r="E227" s="2407"/>
      <c r="F227" s="2407"/>
      <c r="G227" s="2407"/>
      <c r="H227" s="2407"/>
    </row>
    <row r="228" spans="1:8">
      <c r="A228" s="2408" t="s">
        <v>827</v>
      </c>
      <c r="B228" s="2407"/>
      <c r="C228" s="2407"/>
      <c r="D228" s="2407"/>
      <c r="E228" s="2407"/>
      <c r="F228" s="2407"/>
      <c r="G228" s="2407"/>
      <c r="H228" s="2407"/>
    </row>
    <row r="229" spans="1:8">
      <c r="A229" s="2408" t="s">
        <v>828</v>
      </c>
      <c r="B229" s="2407"/>
      <c r="C229" s="2407"/>
      <c r="D229" s="2407"/>
      <c r="E229" s="2407"/>
      <c r="F229" s="2407"/>
      <c r="G229" s="2407"/>
      <c r="H229" s="2407"/>
    </row>
    <row r="230" spans="1:8">
      <c r="A230" s="2407"/>
      <c r="B230" s="2407"/>
      <c r="C230" s="2407"/>
      <c r="D230" s="2407"/>
      <c r="E230" s="2407"/>
      <c r="F230" s="2407"/>
      <c r="G230" s="2407"/>
      <c r="H230" s="2407"/>
    </row>
    <row r="231" spans="1:8">
      <c r="A231" s="2408" t="s">
        <v>819</v>
      </c>
      <c r="B231" s="2407"/>
      <c r="C231" s="2407"/>
      <c r="D231" s="2407"/>
      <c r="E231" s="2407"/>
      <c r="F231" s="2407"/>
      <c r="G231" s="2407"/>
      <c r="H231" s="2407"/>
    </row>
    <row r="232" spans="1:8">
      <c r="A232" s="2408" t="s">
        <v>820</v>
      </c>
      <c r="B232" s="2407"/>
      <c r="C232" s="2407"/>
      <c r="D232" s="2407"/>
      <c r="E232" s="2407"/>
      <c r="F232" s="2407"/>
      <c r="G232" s="2407"/>
      <c r="H232" s="2407"/>
    </row>
    <row r="233" spans="1:8">
      <c r="A233" s="2408" t="s">
        <v>821</v>
      </c>
      <c r="B233" s="2407"/>
      <c r="C233" s="2407"/>
      <c r="D233" s="2407"/>
      <c r="E233" s="2407"/>
      <c r="F233" s="2407"/>
      <c r="G233" s="2407"/>
      <c r="H233" s="2407"/>
    </row>
    <row r="234" spans="1:8">
      <c r="A234" s="2407"/>
      <c r="B234" s="2407"/>
      <c r="C234" s="2407"/>
      <c r="D234" s="2407"/>
      <c r="E234" s="2407"/>
      <c r="F234" s="2407"/>
      <c r="G234" s="2407"/>
      <c r="H234" s="2407"/>
    </row>
    <row r="235" spans="1:8">
      <c r="A235" s="2408" t="s">
        <v>814</v>
      </c>
      <c r="B235" s="2407"/>
      <c r="C235" s="2407"/>
      <c r="D235" s="2407"/>
      <c r="E235" s="2407"/>
      <c r="F235" s="2407"/>
      <c r="G235" s="2407"/>
      <c r="H235" s="2407"/>
    </row>
    <row r="236" spans="1:8">
      <c r="A236" s="2408" t="s">
        <v>815</v>
      </c>
      <c r="B236" s="2407"/>
      <c r="C236" s="2407"/>
      <c r="D236" s="2407"/>
      <c r="E236" s="2407"/>
      <c r="F236" s="2407"/>
      <c r="G236" s="2407"/>
      <c r="H236" s="2407"/>
    </row>
    <row r="237" spans="1:8">
      <c r="A237" s="2408" t="s">
        <v>816</v>
      </c>
      <c r="B237" s="2407"/>
      <c r="C237" s="2407"/>
      <c r="D237" s="2407"/>
      <c r="E237" s="2407"/>
      <c r="F237" s="2407"/>
      <c r="G237" s="2407"/>
      <c r="H237" s="2407"/>
    </row>
    <row r="238" spans="1:8">
      <c r="A238" s="2408" t="s">
        <v>817</v>
      </c>
      <c r="B238" s="2407"/>
      <c r="C238" s="2407"/>
      <c r="D238" s="2407"/>
      <c r="E238" s="2407"/>
      <c r="F238" s="2407"/>
      <c r="G238" s="2407"/>
      <c r="H238" s="2407"/>
    </row>
    <row r="239" spans="1:8">
      <c r="A239" s="2408" t="s">
        <v>818</v>
      </c>
      <c r="B239" s="2407"/>
      <c r="C239" s="2407"/>
      <c r="D239" s="2407"/>
      <c r="E239" s="2407"/>
      <c r="F239" s="2407"/>
      <c r="G239" s="2407"/>
      <c r="H239" s="2407"/>
    </row>
    <row r="240" spans="1:8">
      <c r="A240" s="2407"/>
      <c r="B240" s="2407"/>
      <c r="C240" s="2407"/>
      <c r="D240" s="2407"/>
      <c r="E240" s="2407"/>
      <c r="F240" s="2407"/>
      <c r="G240" s="2407"/>
      <c r="H240" s="2407"/>
    </row>
    <row r="241" spans="1:8">
      <c r="A241" s="2408" t="s">
        <v>808</v>
      </c>
      <c r="B241" s="2407"/>
      <c r="C241" s="2407"/>
      <c r="D241" s="2407"/>
      <c r="E241" s="2407"/>
      <c r="F241" s="2407"/>
      <c r="G241" s="2407"/>
      <c r="H241" s="2407"/>
    </row>
    <row r="242" spans="1:8">
      <c r="A242" s="2408" t="s">
        <v>809</v>
      </c>
      <c r="B242" s="2407"/>
      <c r="C242" s="2407"/>
      <c r="D242" s="2407"/>
      <c r="E242" s="2407"/>
      <c r="F242" s="2407"/>
      <c r="G242" s="2407"/>
      <c r="H242" s="2407"/>
    </row>
    <row r="243" spans="1:8">
      <c r="A243" s="2408" t="s">
        <v>810</v>
      </c>
      <c r="B243" s="2407"/>
      <c r="C243" s="2407"/>
      <c r="D243" s="2407"/>
      <c r="E243" s="2407"/>
      <c r="F243" s="2407"/>
      <c r="G243" s="2407"/>
      <c r="H243" s="2407"/>
    </row>
    <row r="244" spans="1:8">
      <c r="A244" s="2408" t="s">
        <v>811</v>
      </c>
      <c r="B244" s="2407"/>
      <c r="C244" s="2407"/>
      <c r="D244" s="2407"/>
      <c r="E244" s="2407"/>
      <c r="F244" s="2407"/>
      <c r="G244" s="2407"/>
      <c r="H244" s="2407"/>
    </row>
    <row r="245" spans="1:8">
      <c r="A245" s="2408" t="s">
        <v>812</v>
      </c>
      <c r="B245" s="2407"/>
      <c r="C245" s="2407"/>
      <c r="D245" s="2407"/>
      <c r="E245" s="2407"/>
      <c r="F245" s="2407"/>
      <c r="G245" s="2407"/>
      <c r="H245" s="2407"/>
    </row>
    <row r="246" spans="1:8">
      <c r="A246" s="2408" t="s">
        <v>813</v>
      </c>
      <c r="B246" s="2407"/>
      <c r="C246" s="2407"/>
      <c r="D246" s="2407"/>
      <c r="E246" s="2407"/>
      <c r="F246" s="2407"/>
      <c r="G246" s="2407"/>
      <c r="H246" s="2407"/>
    </row>
    <row r="247" spans="1:8">
      <c r="A247" s="2407"/>
      <c r="B247" s="2407"/>
      <c r="C247" s="2407"/>
      <c r="D247" s="2407"/>
      <c r="E247" s="2407"/>
      <c r="F247" s="2407"/>
      <c r="G247" s="2407"/>
      <c r="H247" s="2407"/>
    </row>
    <row r="248" spans="1:8">
      <c r="A248" s="2408" t="s">
        <v>798</v>
      </c>
      <c r="B248" s="2407"/>
      <c r="C248" s="2407"/>
      <c r="D248" s="2407"/>
      <c r="E248" s="2407"/>
      <c r="F248" s="2407"/>
      <c r="G248" s="2407"/>
      <c r="H248" s="2407"/>
    </row>
    <row r="249" spans="1:8">
      <c r="A249" s="2408" t="s">
        <v>799</v>
      </c>
      <c r="B249" s="2407"/>
      <c r="C249" s="2407"/>
      <c r="D249" s="2407"/>
      <c r="E249" s="2407"/>
      <c r="F249" s="2407"/>
      <c r="G249" s="2407"/>
      <c r="H249" s="2407"/>
    </row>
    <row r="250" spans="1:8">
      <c r="A250" s="2408" t="s">
        <v>800</v>
      </c>
      <c r="B250" s="2407"/>
      <c r="C250" s="2407"/>
      <c r="D250" s="2407"/>
      <c r="E250" s="2407"/>
      <c r="F250" s="2407"/>
      <c r="G250" s="2407"/>
      <c r="H250" s="2407"/>
    </row>
    <row r="251" spans="1:8">
      <c r="A251" s="2408" t="s">
        <v>801</v>
      </c>
      <c r="B251" s="2407"/>
      <c r="C251" s="2407"/>
      <c r="D251" s="2407"/>
      <c r="E251" s="2407"/>
      <c r="F251" s="2407"/>
      <c r="G251" s="2407"/>
      <c r="H251" s="2407"/>
    </row>
    <row r="252" spans="1:8">
      <c r="A252" s="2408" t="s">
        <v>802</v>
      </c>
      <c r="B252" s="2407"/>
      <c r="C252" s="2407"/>
      <c r="D252" s="2407"/>
      <c r="E252" s="2407"/>
      <c r="F252" s="2407"/>
      <c r="G252" s="2407"/>
      <c r="H252" s="2407"/>
    </row>
    <row r="253" spans="1:8">
      <c r="A253" s="2408" t="s">
        <v>803</v>
      </c>
      <c r="B253" s="2407"/>
      <c r="C253" s="2407"/>
      <c r="D253" s="2407"/>
      <c r="E253" s="2407"/>
      <c r="F253" s="2407"/>
      <c r="G253" s="2407"/>
      <c r="H253" s="2407"/>
    </row>
    <row r="254" spans="1:8">
      <c r="A254" s="2408" t="s">
        <v>804</v>
      </c>
      <c r="B254" s="2407"/>
      <c r="C254" s="2407"/>
      <c r="D254" s="2407"/>
      <c r="E254" s="2407"/>
      <c r="F254" s="2407"/>
      <c r="G254" s="2407"/>
      <c r="H254" s="2407"/>
    </row>
    <row r="255" spans="1:8">
      <c r="A255" s="2408" t="s">
        <v>805</v>
      </c>
      <c r="B255" s="2407"/>
      <c r="C255" s="2407"/>
      <c r="D255" s="2407"/>
      <c r="E255" s="2407"/>
      <c r="F255" s="2407"/>
      <c r="G255" s="2407"/>
      <c r="H255" s="2407"/>
    </row>
    <row r="256" spans="1:8">
      <c r="A256" s="2408" t="s">
        <v>806</v>
      </c>
      <c r="B256" s="2407"/>
      <c r="C256" s="2407"/>
      <c r="D256" s="2407"/>
      <c r="E256" s="2407"/>
      <c r="F256" s="2407"/>
      <c r="G256" s="2407"/>
      <c r="H256" s="2407"/>
    </row>
    <row r="257" spans="1:8">
      <c r="A257" s="2408" t="s">
        <v>807</v>
      </c>
      <c r="B257" s="2407"/>
      <c r="C257" s="2407"/>
      <c r="D257" s="2407"/>
      <c r="E257" s="2407"/>
      <c r="F257" s="2407"/>
      <c r="G257" s="2407"/>
      <c r="H257" s="2407"/>
    </row>
    <row r="258" spans="1:8">
      <c r="A258" s="2407"/>
      <c r="B258" s="2407"/>
      <c r="C258" s="2407"/>
      <c r="D258" s="2407"/>
      <c r="E258" s="2407"/>
      <c r="F258" s="2407"/>
      <c r="G258" s="2407"/>
      <c r="H258" s="2407"/>
    </row>
    <row r="259" spans="1:8">
      <c r="A259" s="2408" t="s">
        <v>796</v>
      </c>
      <c r="B259" s="2407"/>
      <c r="C259" s="2407"/>
      <c r="D259" s="2407"/>
      <c r="E259" s="2407"/>
      <c r="F259" s="2407"/>
      <c r="G259" s="2407"/>
      <c r="H259" s="2407"/>
    </row>
    <row r="260" spans="1:8">
      <c r="A260" s="2408" t="s">
        <v>797</v>
      </c>
      <c r="B260" s="2407"/>
      <c r="C260" s="2407"/>
      <c r="D260" s="2407"/>
      <c r="E260" s="2407"/>
      <c r="F260" s="2407"/>
      <c r="G260" s="2407"/>
      <c r="H260" s="2407"/>
    </row>
    <row r="261" spans="1:8">
      <c r="A261" s="2407"/>
      <c r="B261" s="2407"/>
      <c r="C261" s="2407"/>
      <c r="D261" s="2407"/>
      <c r="E261" s="2407"/>
      <c r="F261" s="2407"/>
      <c r="G261" s="2407"/>
      <c r="H261" s="2407"/>
    </row>
    <row r="262" spans="1:8">
      <c r="A262" s="2408" t="s">
        <v>780</v>
      </c>
      <c r="B262" s="2407"/>
      <c r="C262" s="2407"/>
      <c r="D262" s="2407"/>
      <c r="E262" s="2407"/>
      <c r="F262" s="2407"/>
      <c r="G262" s="2407"/>
      <c r="H262" s="2407"/>
    </row>
    <row r="263" spans="1:8">
      <c r="A263" s="2408" t="s">
        <v>781</v>
      </c>
      <c r="B263" s="2407"/>
      <c r="C263" s="2407"/>
      <c r="D263" s="2407"/>
      <c r="E263" s="2407"/>
      <c r="F263" s="2407"/>
      <c r="G263" s="2407"/>
      <c r="H263" s="2407"/>
    </row>
    <row r="264" spans="1:8">
      <c r="A264" s="2408" t="s">
        <v>782</v>
      </c>
      <c r="B264" s="2407"/>
      <c r="C264" s="2407"/>
      <c r="D264" s="2407"/>
      <c r="E264" s="2407"/>
      <c r="F264" s="2407"/>
      <c r="G264" s="2407"/>
      <c r="H264" s="2407"/>
    </row>
    <row r="265" spans="1:8">
      <c r="A265" s="2408" t="s">
        <v>783</v>
      </c>
      <c r="B265" s="2407"/>
      <c r="C265" s="2407"/>
      <c r="D265" s="2407"/>
      <c r="E265" s="2407"/>
      <c r="F265" s="2407"/>
      <c r="G265" s="2407"/>
      <c r="H265" s="2407"/>
    </row>
    <row r="266" spans="1:8">
      <c r="A266" s="2408" t="s">
        <v>784</v>
      </c>
      <c r="B266" s="2407"/>
      <c r="C266" s="2407"/>
      <c r="D266" s="2407"/>
      <c r="E266" s="2407"/>
      <c r="F266" s="2407"/>
      <c r="G266" s="2407"/>
      <c r="H266" s="2407"/>
    </row>
    <row r="267" spans="1:8">
      <c r="A267" s="2408" t="s">
        <v>785</v>
      </c>
      <c r="B267" s="2407"/>
      <c r="C267" s="2407"/>
      <c r="D267" s="2407"/>
      <c r="E267" s="2407"/>
      <c r="F267" s="2407"/>
      <c r="G267" s="2407"/>
      <c r="H267" s="2407"/>
    </row>
    <row r="268" spans="1:8">
      <c r="A268" s="2408" t="s">
        <v>786</v>
      </c>
      <c r="B268" s="2407"/>
      <c r="C268" s="2407"/>
      <c r="D268" s="2407"/>
      <c r="E268" s="2407"/>
      <c r="F268" s="2407"/>
      <c r="G268" s="2407"/>
      <c r="H268" s="2407"/>
    </row>
    <row r="269" spans="1:8">
      <c r="A269" s="2408" t="s">
        <v>787</v>
      </c>
      <c r="B269" s="2407"/>
      <c r="C269" s="2407"/>
      <c r="D269" s="2407"/>
      <c r="E269" s="2407"/>
      <c r="F269" s="2407"/>
      <c r="G269" s="2407"/>
      <c r="H269" s="2407"/>
    </row>
    <row r="270" spans="1:8">
      <c r="A270" s="2408" t="s">
        <v>788</v>
      </c>
      <c r="B270" s="2407"/>
      <c r="C270" s="2407"/>
      <c r="D270" s="2407"/>
      <c r="E270" s="2407"/>
      <c r="F270" s="2407"/>
      <c r="G270" s="2407"/>
      <c r="H270" s="2407"/>
    </row>
    <row r="271" spans="1:8">
      <c r="A271" s="2408" t="s">
        <v>789</v>
      </c>
      <c r="B271" s="2407"/>
      <c r="C271" s="2407"/>
      <c r="D271" s="2407"/>
      <c r="E271" s="2407"/>
      <c r="F271" s="2407"/>
      <c r="G271" s="2407"/>
      <c r="H271" s="2407"/>
    </row>
    <row r="272" spans="1:8">
      <c r="A272" s="2408" t="s">
        <v>790</v>
      </c>
      <c r="B272" s="2407"/>
      <c r="C272" s="2407"/>
      <c r="D272" s="2407"/>
      <c r="E272" s="2407"/>
      <c r="F272" s="2407"/>
      <c r="G272" s="2407"/>
      <c r="H272" s="2407"/>
    </row>
    <row r="273" spans="1:8">
      <c r="A273" s="2408" t="s">
        <v>791</v>
      </c>
      <c r="B273" s="2407"/>
      <c r="C273" s="2407"/>
      <c r="D273" s="2407"/>
      <c r="E273" s="2407"/>
      <c r="F273" s="2407"/>
      <c r="G273" s="2407"/>
      <c r="H273" s="2407"/>
    </row>
    <row r="274" spans="1:8">
      <c r="A274" s="2408" t="s">
        <v>792</v>
      </c>
      <c r="B274" s="2407"/>
      <c r="C274" s="2407"/>
      <c r="D274" s="2407"/>
      <c r="E274" s="2407"/>
      <c r="F274" s="2407"/>
      <c r="G274" s="2407"/>
      <c r="H274" s="2407"/>
    </row>
    <row r="275" spans="1:8">
      <c r="A275" s="2408" t="s">
        <v>793</v>
      </c>
      <c r="B275" s="2407"/>
      <c r="C275" s="2407"/>
      <c r="D275" s="2407"/>
      <c r="E275" s="2407"/>
      <c r="F275" s="2407"/>
      <c r="G275" s="2407"/>
      <c r="H275" s="2407"/>
    </row>
    <row r="276" spans="1:8">
      <c r="A276" s="2408" t="s">
        <v>794</v>
      </c>
      <c r="B276" s="2407"/>
      <c r="C276" s="2407"/>
      <c r="D276" s="2407"/>
      <c r="E276" s="2407"/>
      <c r="F276" s="2407"/>
      <c r="G276" s="2407"/>
      <c r="H276" s="2407"/>
    </row>
    <row r="277" spans="1:8">
      <c r="A277" s="2408" t="s">
        <v>795</v>
      </c>
      <c r="B277" s="2407"/>
      <c r="C277" s="2407"/>
      <c r="D277" s="2407"/>
      <c r="E277" s="2407"/>
      <c r="F277" s="2407"/>
      <c r="G277" s="2407"/>
      <c r="H277" s="2407"/>
    </row>
    <row r="278" spans="1:8">
      <c r="A278" s="2407"/>
      <c r="B278" s="2407"/>
      <c r="C278" s="2407"/>
      <c r="D278" s="2407"/>
      <c r="E278" s="2407"/>
      <c r="F278" s="2407"/>
      <c r="G278" s="2407"/>
      <c r="H278" s="2407"/>
    </row>
    <row r="279" spans="1:8">
      <c r="A279" s="2408" t="s">
        <v>773</v>
      </c>
      <c r="B279" s="2407"/>
      <c r="C279" s="2407"/>
      <c r="D279" s="2407"/>
      <c r="E279" s="2407"/>
      <c r="F279" s="2407"/>
      <c r="G279" s="2407"/>
      <c r="H279" s="2407"/>
    </row>
    <row r="280" spans="1:8">
      <c r="A280" s="2408" t="s">
        <v>774</v>
      </c>
      <c r="B280" s="2407"/>
      <c r="C280" s="2407"/>
      <c r="D280" s="2407"/>
      <c r="E280" s="2407"/>
      <c r="F280" s="2407"/>
      <c r="G280" s="2407"/>
      <c r="H280" s="2407"/>
    </row>
    <row r="281" spans="1:8">
      <c r="A281" s="2408" t="s">
        <v>775</v>
      </c>
      <c r="B281" s="2407"/>
      <c r="C281" s="2407"/>
      <c r="D281" s="2407"/>
      <c r="E281" s="2407"/>
      <c r="F281" s="2407"/>
      <c r="G281" s="2407"/>
      <c r="H281" s="2407"/>
    </row>
    <row r="282" spans="1:8">
      <c r="A282" s="2408" t="s">
        <v>776</v>
      </c>
      <c r="B282" s="2407"/>
      <c r="C282" s="2407"/>
      <c r="D282" s="2407"/>
      <c r="E282" s="2407"/>
      <c r="F282" s="2407"/>
      <c r="G282" s="2407"/>
      <c r="H282" s="2407"/>
    </row>
    <row r="283" spans="1:8">
      <c r="A283" s="2408" t="s">
        <v>777</v>
      </c>
      <c r="B283" s="2407"/>
      <c r="C283" s="2407"/>
      <c r="D283" s="2407"/>
      <c r="E283" s="2407"/>
      <c r="F283" s="2407"/>
      <c r="G283" s="2407"/>
      <c r="H283" s="2407"/>
    </row>
    <row r="284" spans="1:8">
      <c r="A284" s="2408" t="s">
        <v>778</v>
      </c>
      <c r="B284" s="2407"/>
      <c r="C284" s="2407"/>
      <c r="D284" s="2407"/>
      <c r="E284" s="2407"/>
      <c r="F284" s="2407"/>
      <c r="G284" s="2407"/>
      <c r="H284" s="2407"/>
    </row>
    <row r="285" spans="1:8">
      <c r="A285" s="2408" t="s">
        <v>779</v>
      </c>
      <c r="B285" s="2407"/>
      <c r="C285" s="2407"/>
      <c r="D285" s="2407"/>
      <c r="E285" s="2407"/>
      <c r="F285" s="2407"/>
      <c r="G285" s="2407"/>
      <c r="H285" s="2407"/>
    </row>
    <row r="286" spans="1:8">
      <c r="A286" s="2407"/>
      <c r="B286" s="2407"/>
      <c r="C286" s="2407"/>
      <c r="D286" s="2407"/>
      <c r="E286" s="2407"/>
      <c r="F286" s="2407"/>
      <c r="G286" s="2407"/>
      <c r="H286" s="2407"/>
    </row>
    <row r="287" spans="1:8">
      <c r="A287" s="2408" t="s">
        <v>764</v>
      </c>
      <c r="B287" s="2407"/>
      <c r="C287" s="2407"/>
      <c r="D287" s="2407"/>
      <c r="E287" s="2407"/>
      <c r="F287" s="2407"/>
      <c r="G287" s="2407"/>
      <c r="H287" s="2407"/>
    </row>
    <row r="288" spans="1:8">
      <c r="A288" s="2408" t="s">
        <v>765</v>
      </c>
      <c r="B288" s="2407"/>
      <c r="C288" s="2407"/>
      <c r="D288" s="2407"/>
      <c r="E288" s="2407"/>
      <c r="F288" s="2407"/>
      <c r="G288" s="2407"/>
      <c r="H288" s="2407"/>
    </row>
    <row r="289" spans="1:8">
      <c r="A289" s="2408" t="s">
        <v>766</v>
      </c>
      <c r="B289" s="2407"/>
      <c r="C289" s="2407"/>
      <c r="D289" s="2407"/>
      <c r="E289" s="2407"/>
      <c r="F289" s="2407"/>
      <c r="G289" s="2407"/>
      <c r="H289" s="2407"/>
    </row>
    <row r="290" spans="1:8">
      <c r="A290" s="2408" t="s">
        <v>767</v>
      </c>
      <c r="B290" s="2407"/>
      <c r="C290" s="2407"/>
      <c r="D290" s="2407"/>
      <c r="E290" s="2407"/>
      <c r="F290" s="2407"/>
      <c r="G290" s="2407"/>
      <c r="H290" s="2407"/>
    </row>
    <row r="291" spans="1:8">
      <c r="A291" s="2408" t="s">
        <v>768</v>
      </c>
      <c r="B291" s="2407"/>
      <c r="C291" s="2407"/>
      <c r="D291" s="2407"/>
      <c r="E291" s="2407"/>
      <c r="F291" s="2407"/>
      <c r="G291" s="2407"/>
      <c r="H291" s="2407"/>
    </row>
    <row r="292" spans="1:8">
      <c r="A292" s="2408" t="s">
        <v>769</v>
      </c>
      <c r="B292" s="2407"/>
      <c r="C292" s="2407"/>
      <c r="D292" s="2407"/>
      <c r="E292" s="2407"/>
      <c r="F292" s="2407"/>
      <c r="G292" s="2407"/>
      <c r="H292" s="2407"/>
    </row>
    <row r="293" spans="1:8">
      <c r="A293" s="2408" t="s">
        <v>770</v>
      </c>
      <c r="B293" s="2407"/>
      <c r="C293" s="2407"/>
      <c r="D293" s="2407"/>
      <c r="E293" s="2407"/>
      <c r="F293" s="2407"/>
      <c r="G293" s="2407"/>
      <c r="H293" s="2407"/>
    </row>
    <row r="294" spans="1:8">
      <c r="A294" s="2408" t="s">
        <v>771</v>
      </c>
      <c r="B294" s="2407"/>
      <c r="C294" s="2407"/>
      <c r="D294" s="2407"/>
      <c r="E294" s="2407"/>
      <c r="F294" s="2407"/>
      <c r="G294" s="2407"/>
      <c r="H294" s="2407"/>
    </row>
    <row r="295" spans="1:8">
      <c r="A295" s="2408" t="s">
        <v>772</v>
      </c>
      <c r="B295" s="2407"/>
      <c r="C295" s="2407"/>
      <c r="D295" s="2407"/>
      <c r="E295" s="2407"/>
      <c r="F295" s="2407"/>
      <c r="G295" s="2407"/>
      <c r="H295" s="2407"/>
    </row>
    <row r="296" spans="1:8">
      <c r="A296" s="2407"/>
      <c r="B296" s="2407"/>
      <c r="C296" s="2407"/>
      <c r="D296" s="2407"/>
      <c r="E296" s="2407"/>
      <c r="F296" s="2407"/>
      <c r="G296" s="2407"/>
      <c r="H296" s="2407"/>
    </row>
    <row r="297" spans="1:8">
      <c r="A297" s="2408" t="s">
        <v>757</v>
      </c>
      <c r="B297" s="2407"/>
      <c r="C297" s="2407"/>
      <c r="D297" s="2407"/>
      <c r="E297" s="2407"/>
      <c r="F297" s="2407"/>
      <c r="G297" s="2407"/>
      <c r="H297" s="2407"/>
    </row>
    <row r="298" spans="1:8">
      <c r="A298" s="2408" t="s">
        <v>758</v>
      </c>
      <c r="B298" s="2407"/>
      <c r="C298" s="2407"/>
      <c r="D298" s="2407"/>
      <c r="E298" s="2407"/>
      <c r="F298" s="2407"/>
      <c r="G298" s="2407"/>
      <c r="H298" s="2407"/>
    </row>
    <row r="299" spans="1:8">
      <c r="A299" s="2408" t="s">
        <v>759</v>
      </c>
      <c r="B299" s="2407"/>
      <c r="C299" s="2407"/>
      <c r="D299" s="2407"/>
      <c r="E299" s="2407"/>
      <c r="F299" s="2407"/>
      <c r="G299" s="2407"/>
      <c r="H299" s="2407"/>
    </row>
    <row r="300" spans="1:8">
      <c r="A300" s="2408" t="s">
        <v>760</v>
      </c>
      <c r="B300" s="2407"/>
      <c r="C300" s="2407"/>
      <c r="D300" s="2407"/>
      <c r="E300" s="2407"/>
      <c r="F300" s="2407"/>
      <c r="G300" s="2407"/>
      <c r="H300" s="2407"/>
    </row>
    <row r="301" spans="1:8">
      <c r="A301" s="2408" t="s">
        <v>761</v>
      </c>
      <c r="B301" s="2407"/>
      <c r="C301" s="2407"/>
      <c r="D301" s="2407"/>
      <c r="E301" s="2407"/>
      <c r="F301" s="2407"/>
      <c r="G301" s="2407"/>
      <c r="H301" s="2407"/>
    </row>
    <row r="302" spans="1:8">
      <c r="A302" s="2408" t="s">
        <v>762</v>
      </c>
      <c r="B302" s="2407"/>
      <c r="C302" s="2407"/>
      <c r="D302" s="2407"/>
      <c r="E302" s="2407"/>
      <c r="F302" s="2407"/>
      <c r="G302" s="2407"/>
      <c r="H302" s="2407"/>
    </row>
    <row r="303" spans="1:8">
      <c r="A303" s="2408" t="s">
        <v>763</v>
      </c>
      <c r="B303" s="2407"/>
      <c r="C303" s="2407"/>
      <c r="D303" s="2407"/>
      <c r="E303" s="2407"/>
      <c r="F303" s="2407"/>
      <c r="G303" s="2407"/>
      <c r="H303" s="2407"/>
    </row>
    <row r="304" spans="1:8">
      <c r="A304" s="2407"/>
      <c r="B304" s="2407"/>
      <c r="C304" s="2407"/>
      <c r="D304" s="2407"/>
      <c r="E304" s="2407"/>
      <c r="F304" s="2407"/>
      <c r="G304" s="2407"/>
      <c r="H304" s="2407"/>
    </row>
    <row r="305" spans="1:8">
      <c r="A305" s="2408" t="s">
        <v>754</v>
      </c>
      <c r="B305" s="2407"/>
      <c r="C305" s="2407"/>
      <c r="D305" s="2407"/>
      <c r="E305" s="2407"/>
      <c r="F305" s="2407"/>
      <c r="G305" s="2407"/>
      <c r="H305" s="2407"/>
    </row>
    <row r="306" spans="1:8">
      <c r="A306" s="2408" t="s">
        <v>755</v>
      </c>
      <c r="B306" s="2407"/>
      <c r="C306" s="2407"/>
      <c r="D306" s="2407"/>
      <c r="E306" s="2407"/>
      <c r="F306" s="2407"/>
      <c r="G306" s="2407"/>
      <c r="H306" s="2407"/>
    </row>
    <row r="307" spans="1:8">
      <c r="A307" s="2408" t="s">
        <v>756</v>
      </c>
      <c r="B307" s="2407"/>
      <c r="C307" s="2407"/>
      <c r="D307" s="2407"/>
      <c r="E307" s="2407"/>
      <c r="F307" s="2407"/>
      <c r="G307" s="2407"/>
      <c r="H307" s="2407"/>
    </row>
    <row r="308" spans="1:8">
      <c r="A308" s="2407"/>
      <c r="B308" s="2407"/>
      <c r="C308" s="2407"/>
      <c r="D308" s="2407"/>
      <c r="E308" s="2407"/>
      <c r="F308" s="2407"/>
      <c r="G308" s="2407"/>
      <c r="H308" s="2407"/>
    </row>
    <row r="309" spans="1:8">
      <c r="A309" s="2408" t="s">
        <v>752</v>
      </c>
      <c r="B309" s="2407"/>
      <c r="C309" s="2407"/>
      <c r="D309" s="2407"/>
      <c r="E309" s="2407"/>
      <c r="F309" s="2407"/>
      <c r="G309" s="2407"/>
      <c r="H309" s="2407"/>
    </row>
    <row r="310" spans="1:8">
      <c r="A310" s="2408" t="s">
        <v>753</v>
      </c>
      <c r="B310" s="2407"/>
      <c r="C310" s="2407"/>
      <c r="D310" s="2407"/>
      <c r="E310" s="2407"/>
      <c r="F310" s="2407"/>
      <c r="G310" s="2407"/>
      <c r="H310" s="2407"/>
    </row>
    <row r="311" spans="1:8">
      <c r="A311" s="2407"/>
      <c r="B311" s="2407"/>
      <c r="C311" s="2407"/>
      <c r="D311" s="2407"/>
      <c r="E311" s="2407"/>
      <c r="F311" s="2407"/>
      <c r="G311" s="2407"/>
      <c r="H311" s="2407"/>
    </row>
    <row r="312" spans="1:8">
      <c r="A312" s="2408" t="s">
        <v>739</v>
      </c>
      <c r="B312" s="2407"/>
      <c r="C312" s="2407"/>
      <c r="D312" s="2407"/>
      <c r="E312" s="2407"/>
      <c r="F312" s="2407"/>
      <c r="G312" s="2407"/>
      <c r="H312" s="2407"/>
    </row>
    <row r="313" spans="1:8">
      <c r="A313" s="2408" t="s">
        <v>740</v>
      </c>
      <c r="B313" s="2407"/>
      <c r="C313" s="2407"/>
      <c r="D313" s="2407"/>
      <c r="E313" s="2407"/>
      <c r="F313" s="2407"/>
      <c r="G313" s="2407"/>
      <c r="H313" s="2407"/>
    </row>
    <row r="314" spans="1:8">
      <c r="A314" s="2408" t="s">
        <v>741</v>
      </c>
      <c r="B314" s="2407"/>
      <c r="C314" s="2407"/>
      <c r="D314" s="2407"/>
      <c r="E314" s="2407"/>
      <c r="F314" s="2407"/>
      <c r="G314" s="2407"/>
      <c r="H314" s="2407"/>
    </row>
    <row r="315" spans="1:8">
      <c r="A315" s="2408" t="s">
        <v>742</v>
      </c>
      <c r="B315" s="2407"/>
      <c r="C315" s="2407"/>
      <c r="D315" s="2407"/>
      <c r="E315" s="2407"/>
      <c r="F315" s="2407"/>
      <c r="G315" s="2407"/>
      <c r="H315" s="2407"/>
    </row>
    <row r="316" spans="1:8">
      <c r="A316" s="2408" t="s">
        <v>743</v>
      </c>
      <c r="B316" s="2407"/>
      <c r="C316" s="2407"/>
      <c r="D316" s="2407"/>
      <c r="E316" s="2407"/>
      <c r="F316" s="2407"/>
      <c r="G316" s="2407"/>
      <c r="H316" s="2407"/>
    </row>
    <row r="317" spans="1:8">
      <c r="A317" s="2408" t="s">
        <v>744</v>
      </c>
      <c r="B317" s="2407"/>
      <c r="C317" s="2407"/>
      <c r="D317" s="2407"/>
      <c r="E317" s="2407"/>
      <c r="F317" s="2407"/>
      <c r="G317" s="2407"/>
      <c r="H317" s="2407"/>
    </row>
    <row r="318" spans="1:8">
      <c r="A318" s="2408" t="s">
        <v>745</v>
      </c>
      <c r="B318" s="2407"/>
      <c r="C318" s="2407"/>
      <c r="D318" s="2407"/>
      <c r="E318" s="2407"/>
      <c r="F318" s="2407"/>
      <c r="G318" s="2407"/>
      <c r="H318" s="2407"/>
    </row>
    <row r="319" spans="1:8">
      <c r="A319" s="2408" t="s">
        <v>746</v>
      </c>
      <c r="B319" s="2407"/>
      <c r="C319" s="2407"/>
      <c r="D319" s="2407"/>
      <c r="E319" s="2407"/>
      <c r="F319" s="2407"/>
      <c r="G319" s="2407"/>
      <c r="H319" s="2407"/>
    </row>
    <row r="320" spans="1:8">
      <c r="A320" s="2408" t="s">
        <v>747</v>
      </c>
      <c r="B320" s="2407"/>
      <c r="C320" s="2407"/>
      <c r="D320" s="2407"/>
      <c r="E320" s="2407"/>
      <c r="F320" s="2407"/>
      <c r="G320" s="2407"/>
      <c r="H320" s="2407"/>
    </row>
    <row r="321" spans="1:8">
      <c r="A321" s="2408" t="s">
        <v>748</v>
      </c>
      <c r="B321" s="2407"/>
      <c r="C321" s="2407"/>
      <c r="D321" s="2407"/>
      <c r="E321" s="2407"/>
      <c r="F321" s="2407"/>
      <c r="G321" s="2407"/>
      <c r="H321" s="2407"/>
    </row>
    <row r="322" spans="1:8">
      <c r="A322" s="2408" t="s">
        <v>749</v>
      </c>
      <c r="B322" s="2407"/>
      <c r="C322" s="2407"/>
      <c r="D322" s="2407"/>
      <c r="E322" s="2407"/>
      <c r="F322" s="2407"/>
      <c r="G322" s="2407"/>
      <c r="H322" s="2407"/>
    </row>
    <row r="323" spans="1:8">
      <c r="A323" s="2408" t="s">
        <v>750</v>
      </c>
      <c r="B323" s="2407"/>
      <c r="C323" s="2407"/>
      <c r="D323" s="2407"/>
      <c r="E323" s="2407"/>
      <c r="F323" s="2407"/>
      <c r="G323" s="2407"/>
      <c r="H323" s="2407"/>
    </row>
    <row r="324" spans="1:8">
      <c r="A324" s="2408" t="s">
        <v>751</v>
      </c>
      <c r="B324" s="2407"/>
      <c r="C324" s="2407"/>
      <c r="D324" s="2407"/>
      <c r="E324" s="2407"/>
      <c r="F324" s="2407"/>
      <c r="G324" s="2407"/>
      <c r="H324" s="2407"/>
    </row>
    <row r="325" spans="1:8">
      <c r="A325" s="2407"/>
      <c r="B325" s="2407"/>
      <c r="C325" s="2407"/>
      <c r="D325" s="2407"/>
      <c r="E325" s="2407"/>
      <c r="F325" s="2407"/>
      <c r="G325" s="2407"/>
      <c r="H325" s="2407"/>
    </row>
    <row r="326" spans="1:8">
      <c r="A326" s="2408" t="s">
        <v>731</v>
      </c>
      <c r="B326" s="2407"/>
      <c r="C326" s="2407"/>
      <c r="D326" s="2407"/>
      <c r="E326" s="2407"/>
      <c r="F326" s="2407"/>
      <c r="G326" s="2407"/>
      <c r="H326" s="2407"/>
    </row>
    <row r="327" spans="1:8">
      <c r="A327" s="2408" t="s">
        <v>732</v>
      </c>
      <c r="B327" s="2407"/>
      <c r="C327" s="2407"/>
      <c r="D327" s="2407"/>
      <c r="E327" s="2407"/>
      <c r="F327" s="2407"/>
      <c r="G327" s="2407"/>
      <c r="H327" s="2407"/>
    </row>
    <row r="328" spans="1:8">
      <c r="A328" s="2408" t="s">
        <v>733</v>
      </c>
      <c r="B328" s="2407"/>
      <c r="C328" s="2407"/>
      <c r="D328" s="2407"/>
      <c r="E328" s="2407"/>
      <c r="F328" s="2407"/>
      <c r="G328" s="2407"/>
      <c r="H328" s="2407"/>
    </row>
    <row r="329" spans="1:8">
      <c r="A329" s="2408" t="s">
        <v>734</v>
      </c>
      <c r="B329" s="2407"/>
      <c r="C329" s="2407"/>
      <c r="D329" s="2407"/>
      <c r="E329" s="2407"/>
      <c r="F329" s="2407"/>
      <c r="G329" s="2407"/>
      <c r="H329" s="2407"/>
    </row>
    <row r="330" spans="1:8">
      <c r="A330" s="2408" t="s">
        <v>735</v>
      </c>
      <c r="B330" s="2407"/>
      <c r="C330" s="2407"/>
      <c r="D330" s="2407"/>
      <c r="E330" s="2407"/>
      <c r="F330" s="2407"/>
      <c r="G330" s="2407"/>
      <c r="H330" s="2407"/>
    </row>
    <row r="331" spans="1:8">
      <c r="A331" s="2408" t="s">
        <v>736</v>
      </c>
      <c r="B331" s="2407"/>
      <c r="C331" s="2407"/>
      <c r="D331" s="2407"/>
      <c r="E331" s="2407"/>
      <c r="F331" s="2407"/>
      <c r="G331" s="2407"/>
      <c r="H331" s="2407"/>
    </row>
    <row r="332" spans="1:8">
      <c r="A332" s="2408" t="s">
        <v>737</v>
      </c>
      <c r="B332" s="2407"/>
      <c r="C332" s="2407"/>
      <c r="D332" s="2407"/>
      <c r="E332" s="2407"/>
      <c r="F332" s="2407"/>
      <c r="G332" s="2407"/>
      <c r="H332" s="2407"/>
    </row>
    <row r="333" spans="1:8">
      <c r="A333" s="2408" t="s">
        <v>738</v>
      </c>
      <c r="B333" s="2407"/>
      <c r="C333" s="2407"/>
      <c r="D333" s="2407"/>
      <c r="E333" s="2407"/>
      <c r="F333" s="2407"/>
      <c r="G333" s="2407"/>
      <c r="H333" s="2407"/>
    </row>
    <row r="334" spans="1:8">
      <c r="A334" s="2407"/>
      <c r="B334" s="2407"/>
      <c r="C334" s="2407"/>
      <c r="D334" s="2407"/>
      <c r="E334" s="2407"/>
      <c r="F334" s="2407"/>
      <c r="G334" s="2407"/>
      <c r="H334" s="2407"/>
    </row>
    <row r="335" spans="1:8">
      <c r="A335" s="2408" t="s">
        <v>696</v>
      </c>
      <c r="B335" s="2407"/>
      <c r="C335" s="2407"/>
      <c r="D335" s="2407"/>
      <c r="E335" s="2407"/>
      <c r="F335" s="2407"/>
      <c r="G335" s="2407"/>
      <c r="H335" s="2407"/>
    </row>
    <row r="336" spans="1:8">
      <c r="A336" s="2408" t="s">
        <v>697</v>
      </c>
      <c r="B336" s="2407"/>
      <c r="C336" s="2407"/>
      <c r="D336" s="2407"/>
      <c r="E336" s="2407"/>
      <c r="F336" s="2407"/>
      <c r="G336" s="2407"/>
      <c r="H336" s="2407"/>
    </row>
    <row r="337" spans="1:8">
      <c r="A337" s="2408" t="s">
        <v>698</v>
      </c>
      <c r="B337" s="2407"/>
      <c r="C337" s="2407"/>
      <c r="D337" s="2407"/>
      <c r="E337" s="2407"/>
      <c r="F337" s="2407"/>
      <c r="G337" s="2407"/>
      <c r="H337" s="2407"/>
    </row>
    <row r="338" spans="1:8">
      <c r="A338" s="2408" t="s">
        <v>699</v>
      </c>
      <c r="B338" s="2407"/>
      <c r="C338" s="2407"/>
      <c r="D338" s="2407"/>
      <c r="E338" s="2407"/>
      <c r="F338" s="2407"/>
      <c r="G338" s="2407"/>
      <c r="H338" s="2407"/>
    </row>
    <row r="339" spans="1:8">
      <c r="A339" s="2408" t="s">
        <v>700</v>
      </c>
      <c r="B339" s="2407"/>
      <c r="C339" s="2407"/>
      <c r="D339" s="2407"/>
      <c r="E339" s="2407"/>
      <c r="F339" s="2407"/>
      <c r="G339" s="2407"/>
      <c r="H339" s="2407"/>
    </row>
    <row r="340" spans="1:8">
      <c r="A340" s="2408" t="s">
        <v>701</v>
      </c>
      <c r="B340" s="2407"/>
      <c r="C340" s="2407"/>
      <c r="D340" s="2407"/>
      <c r="E340" s="2407"/>
      <c r="F340" s="2407"/>
      <c r="G340" s="2407"/>
      <c r="H340" s="2407"/>
    </row>
    <row r="341" spans="1:8">
      <c r="A341" s="2408" t="s">
        <v>702</v>
      </c>
      <c r="B341" s="2407"/>
      <c r="C341" s="2407"/>
      <c r="D341" s="2407"/>
      <c r="E341" s="2407"/>
      <c r="F341" s="2407"/>
      <c r="G341" s="2407"/>
      <c r="H341" s="2407"/>
    </row>
    <row r="342" spans="1:8">
      <c r="A342" s="2408" t="s">
        <v>703</v>
      </c>
      <c r="B342" s="2407"/>
      <c r="C342" s="2407"/>
      <c r="D342" s="2407"/>
      <c r="E342" s="2407"/>
      <c r="F342" s="2407"/>
      <c r="G342" s="2407"/>
      <c r="H342" s="2407"/>
    </row>
    <row r="343" spans="1:8">
      <c r="A343" s="2408" t="s">
        <v>704</v>
      </c>
      <c r="B343" s="2407"/>
      <c r="C343" s="2407"/>
      <c r="D343" s="2407"/>
      <c r="E343" s="2407"/>
      <c r="F343" s="2407"/>
      <c r="G343" s="2407"/>
      <c r="H343" s="2407"/>
    </row>
    <row r="344" spans="1:8">
      <c r="A344" s="2408" t="s">
        <v>705</v>
      </c>
      <c r="B344" s="2407"/>
      <c r="C344" s="2407"/>
      <c r="D344" s="2407"/>
      <c r="E344" s="2407"/>
      <c r="F344" s="2407"/>
      <c r="G344" s="2407"/>
      <c r="H344" s="2407"/>
    </row>
    <row r="345" spans="1:8">
      <c r="A345" s="2408" t="s">
        <v>706</v>
      </c>
      <c r="B345" s="2407"/>
      <c r="C345" s="2407"/>
      <c r="D345" s="2407"/>
      <c r="E345" s="2407"/>
      <c r="F345" s="2407"/>
      <c r="G345" s="2407"/>
      <c r="H345" s="2407"/>
    </row>
    <row r="346" spans="1:8">
      <c r="A346" s="2408" t="s">
        <v>707</v>
      </c>
      <c r="B346" s="2407"/>
      <c r="C346" s="2407"/>
      <c r="D346" s="2407"/>
      <c r="E346" s="2407"/>
      <c r="F346" s="2407"/>
      <c r="G346" s="2407"/>
      <c r="H346" s="2407"/>
    </row>
    <row r="347" spans="1:8">
      <c r="A347" s="2408" t="s">
        <v>708</v>
      </c>
      <c r="B347" s="2407"/>
      <c r="C347" s="2407"/>
      <c r="D347" s="2407"/>
      <c r="E347" s="2407"/>
      <c r="F347" s="2407"/>
      <c r="G347" s="2407"/>
      <c r="H347" s="2407"/>
    </row>
    <row r="348" spans="1:8">
      <c r="A348" s="2408" t="s">
        <v>709</v>
      </c>
      <c r="B348" s="2407"/>
      <c r="C348" s="2407"/>
      <c r="D348" s="2407"/>
      <c r="E348" s="2407"/>
      <c r="F348" s="2407"/>
      <c r="G348" s="2407"/>
      <c r="H348" s="2407"/>
    </row>
    <row r="349" spans="1:8">
      <c r="A349" s="2408" t="s">
        <v>710</v>
      </c>
      <c r="B349" s="2407"/>
      <c r="C349" s="2407"/>
      <c r="D349" s="2407"/>
      <c r="E349" s="2407"/>
      <c r="F349" s="2407"/>
      <c r="G349" s="2407"/>
      <c r="H349" s="2407"/>
    </row>
    <row r="350" spans="1:8">
      <c r="A350" s="2408" t="s">
        <v>711</v>
      </c>
      <c r="B350" s="2407"/>
      <c r="C350" s="2407"/>
      <c r="D350" s="2407"/>
      <c r="E350" s="2407"/>
      <c r="F350" s="2407"/>
      <c r="G350" s="2407"/>
      <c r="H350" s="2407"/>
    </row>
    <row r="351" spans="1:8">
      <c r="A351" s="2408" t="s">
        <v>712</v>
      </c>
      <c r="B351" s="2407"/>
      <c r="C351" s="2407"/>
      <c r="D351" s="2407"/>
      <c r="E351" s="2407"/>
      <c r="F351" s="2407"/>
      <c r="G351" s="2407"/>
      <c r="H351" s="2407"/>
    </row>
    <row r="352" spans="1:8">
      <c r="A352" s="2408" t="s">
        <v>713</v>
      </c>
      <c r="B352" s="2407"/>
      <c r="C352" s="2407"/>
      <c r="D352" s="2407"/>
      <c r="E352" s="2407"/>
      <c r="F352" s="2407"/>
      <c r="G352" s="2407"/>
      <c r="H352" s="2407"/>
    </row>
    <row r="353" spans="1:8">
      <c r="A353" s="2408" t="s">
        <v>714</v>
      </c>
      <c r="B353" s="2407"/>
      <c r="C353" s="2407"/>
      <c r="D353" s="2407"/>
      <c r="E353" s="2407"/>
      <c r="F353" s="2407"/>
      <c r="G353" s="2407"/>
      <c r="H353" s="2407"/>
    </row>
    <row r="354" spans="1:8">
      <c r="A354" s="2408" t="s">
        <v>715</v>
      </c>
      <c r="B354" s="2407"/>
      <c r="C354" s="2407"/>
      <c r="D354" s="2407"/>
      <c r="E354" s="2407"/>
      <c r="F354" s="2407"/>
      <c r="G354" s="2407"/>
      <c r="H354" s="2407"/>
    </row>
    <row r="355" spans="1:8">
      <c r="A355" s="2408" t="s">
        <v>716</v>
      </c>
      <c r="B355" s="2407"/>
      <c r="C355" s="2407"/>
      <c r="D355" s="2407"/>
      <c r="E355" s="2407"/>
      <c r="F355" s="2407"/>
      <c r="G355" s="2407"/>
      <c r="H355" s="2407"/>
    </row>
    <row r="356" spans="1:8">
      <c r="A356" s="2408" t="s">
        <v>717</v>
      </c>
      <c r="B356" s="2407"/>
      <c r="C356" s="2407"/>
      <c r="D356" s="2407"/>
      <c r="E356" s="2407"/>
      <c r="F356" s="2407"/>
      <c r="G356" s="2407"/>
      <c r="H356" s="2407"/>
    </row>
    <row r="357" spans="1:8">
      <c r="A357" s="2408" t="s">
        <v>718</v>
      </c>
      <c r="B357" s="2407"/>
      <c r="C357" s="2407"/>
      <c r="D357" s="2407"/>
      <c r="E357" s="2407"/>
      <c r="F357" s="2407"/>
      <c r="G357" s="2407"/>
      <c r="H357" s="2407"/>
    </row>
    <row r="358" spans="1:8">
      <c r="A358" s="2408" t="s">
        <v>719</v>
      </c>
      <c r="B358" s="2407"/>
      <c r="C358" s="2407"/>
      <c r="D358" s="2407"/>
      <c r="E358" s="2407"/>
      <c r="F358" s="2407"/>
      <c r="G358" s="2407"/>
      <c r="H358" s="2407"/>
    </row>
    <row r="359" spans="1:8">
      <c r="A359" s="2408" t="s">
        <v>720</v>
      </c>
      <c r="B359" s="2407"/>
      <c r="C359" s="2407"/>
      <c r="D359" s="2407"/>
      <c r="E359" s="2407"/>
      <c r="F359" s="2407"/>
      <c r="G359" s="2407"/>
      <c r="H359" s="2407"/>
    </row>
    <row r="360" spans="1:8">
      <c r="A360" s="2408" t="s">
        <v>721</v>
      </c>
      <c r="B360" s="2407"/>
      <c r="C360" s="2407"/>
      <c r="D360" s="2407"/>
      <c r="E360" s="2407"/>
      <c r="F360" s="2407"/>
      <c r="G360" s="2407"/>
      <c r="H360" s="2407"/>
    </row>
    <row r="361" spans="1:8">
      <c r="A361" s="2408" t="s">
        <v>722</v>
      </c>
      <c r="B361" s="2407"/>
      <c r="C361" s="2407"/>
      <c r="D361" s="2407"/>
      <c r="E361" s="2407"/>
      <c r="F361" s="2407"/>
      <c r="G361" s="2407"/>
      <c r="H361" s="2407"/>
    </row>
    <row r="362" spans="1:8">
      <c r="A362" s="2408" t="s">
        <v>723</v>
      </c>
      <c r="B362" s="2407"/>
      <c r="C362" s="2407"/>
      <c r="D362" s="2407"/>
      <c r="E362" s="2407"/>
      <c r="F362" s="2407"/>
      <c r="G362" s="2407"/>
      <c r="H362" s="2407"/>
    </row>
    <row r="363" spans="1:8">
      <c r="A363" s="2408" t="s">
        <v>724</v>
      </c>
      <c r="B363" s="2407"/>
      <c r="C363" s="2407"/>
      <c r="D363" s="2407"/>
      <c r="E363" s="2407"/>
      <c r="F363" s="2407"/>
      <c r="G363" s="2407"/>
      <c r="H363" s="2407"/>
    </row>
    <row r="364" spans="1:8">
      <c r="A364" s="2408" t="s">
        <v>725</v>
      </c>
      <c r="B364" s="2407"/>
      <c r="C364" s="2407"/>
      <c r="D364" s="2407"/>
      <c r="E364" s="2407"/>
      <c r="F364" s="2407"/>
      <c r="G364" s="2407"/>
      <c r="H364" s="2407"/>
    </row>
    <row r="365" spans="1:8">
      <c r="A365" s="2408" t="s">
        <v>726</v>
      </c>
      <c r="B365" s="2407"/>
      <c r="C365" s="2407"/>
      <c r="D365" s="2407"/>
      <c r="E365" s="2407"/>
      <c r="F365" s="2407"/>
      <c r="G365" s="2407"/>
      <c r="H365" s="2407"/>
    </row>
    <row r="366" spans="1:8">
      <c r="A366" s="2408" t="s">
        <v>727</v>
      </c>
      <c r="B366" s="2407"/>
      <c r="C366" s="2407"/>
      <c r="D366" s="2407"/>
      <c r="E366" s="2407"/>
      <c r="F366" s="2407"/>
      <c r="G366" s="2407"/>
      <c r="H366" s="2407"/>
    </row>
    <row r="367" spans="1:8">
      <c r="A367" s="2408" t="s">
        <v>728</v>
      </c>
      <c r="B367" s="2407"/>
      <c r="C367" s="2407"/>
      <c r="D367" s="2407"/>
      <c r="E367" s="2407"/>
      <c r="F367" s="2407"/>
      <c r="G367" s="2407"/>
      <c r="H367" s="2407"/>
    </row>
    <row r="368" spans="1:8">
      <c r="A368" s="2408" t="s">
        <v>729</v>
      </c>
      <c r="B368" s="2407"/>
      <c r="C368" s="2407"/>
      <c r="D368" s="2407"/>
      <c r="E368" s="2407"/>
      <c r="F368" s="2407"/>
      <c r="G368" s="2407"/>
      <c r="H368" s="2407"/>
    </row>
    <row r="369" spans="1:8">
      <c r="A369" s="2408" t="s">
        <v>730</v>
      </c>
      <c r="B369" s="2407"/>
      <c r="C369" s="2407"/>
      <c r="D369" s="2407"/>
      <c r="E369" s="2407"/>
      <c r="F369" s="2407"/>
      <c r="G369" s="2407"/>
      <c r="H369" s="2407"/>
    </row>
    <row r="370" spans="1:8">
      <c r="A370" s="2407"/>
      <c r="B370" s="2407"/>
      <c r="C370" s="2407"/>
      <c r="D370" s="2407"/>
      <c r="E370" s="2407"/>
      <c r="F370" s="2407"/>
      <c r="G370" s="2407"/>
      <c r="H370" s="2407"/>
    </row>
    <row r="371" spans="1:8">
      <c r="A371" s="2408" t="s">
        <v>688</v>
      </c>
      <c r="B371" s="2407"/>
      <c r="C371" s="2407"/>
      <c r="D371" s="2407"/>
      <c r="E371" s="2407"/>
      <c r="F371" s="2407"/>
      <c r="G371" s="2407"/>
      <c r="H371" s="2407"/>
    </row>
    <row r="372" spans="1:8">
      <c r="A372" s="2408" t="s">
        <v>692</v>
      </c>
      <c r="B372" s="2407"/>
      <c r="C372" s="2407"/>
      <c r="D372" s="2407"/>
      <c r="E372" s="2407"/>
      <c r="F372" s="2407"/>
      <c r="G372" s="2407"/>
      <c r="H372" s="2407"/>
    </row>
    <row r="373" spans="1:8">
      <c r="A373" s="2408" t="s">
        <v>693</v>
      </c>
      <c r="B373" s="2407"/>
      <c r="C373" s="2407"/>
      <c r="D373" s="2407"/>
      <c r="E373" s="2407"/>
      <c r="F373" s="2407"/>
      <c r="G373" s="2407"/>
      <c r="H373" s="2407"/>
    </row>
    <row r="374" spans="1:8">
      <c r="A374" s="2408" t="s">
        <v>694</v>
      </c>
      <c r="B374" s="2407"/>
      <c r="C374" s="2407"/>
      <c r="D374" s="2407"/>
      <c r="E374" s="2407"/>
      <c r="F374" s="2407"/>
      <c r="G374" s="2407"/>
      <c r="H374" s="2407"/>
    </row>
    <row r="375" spans="1:8">
      <c r="A375" s="2408" t="s">
        <v>695</v>
      </c>
      <c r="B375" s="2407"/>
      <c r="C375" s="2407"/>
      <c r="D375" s="2407"/>
      <c r="E375" s="2407"/>
      <c r="F375" s="2407"/>
      <c r="G375" s="2407"/>
      <c r="H375" s="2407"/>
    </row>
    <row r="376" spans="1:8">
      <c r="A376" s="2407"/>
      <c r="B376" s="2407"/>
      <c r="C376" s="2407"/>
      <c r="D376" s="2407"/>
      <c r="E376" s="2407"/>
      <c r="F376" s="2407"/>
      <c r="G376" s="2407"/>
      <c r="H376" s="2407"/>
    </row>
    <row r="377" spans="1:8">
      <c r="A377" s="2408" t="s">
        <v>688</v>
      </c>
      <c r="B377" s="2407"/>
      <c r="C377" s="2407"/>
      <c r="D377" s="2407"/>
      <c r="E377" s="2407"/>
      <c r="F377" s="2407"/>
      <c r="G377" s="2407"/>
      <c r="H377" s="2407"/>
    </row>
    <row r="378" spans="1:8">
      <c r="A378" s="2408" t="s">
        <v>689</v>
      </c>
      <c r="B378" s="2407"/>
      <c r="C378" s="2407"/>
      <c r="D378" s="2407"/>
      <c r="E378" s="2407"/>
      <c r="F378" s="2407"/>
      <c r="G378" s="2407"/>
      <c r="H378" s="2407"/>
    </row>
    <row r="379" spans="1:8">
      <c r="A379" s="2408" t="s">
        <v>690</v>
      </c>
      <c r="B379" s="2407"/>
      <c r="C379" s="2407"/>
      <c r="D379" s="2407"/>
      <c r="E379" s="2407"/>
      <c r="F379" s="2407"/>
      <c r="G379" s="2407"/>
      <c r="H379" s="2407"/>
    </row>
    <row r="380" spans="1:8">
      <c r="A380" s="2408" t="s">
        <v>691</v>
      </c>
      <c r="B380" s="2407"/>
      <c r="C380" s="2407"/>
      <c r="D380" s="2407"/>
      <c r="E380" s="2407"/>
      <c r="F380" s="2407"/>
      <c r="G380" s="2407"/>
      <c r="H380" s="2407"/>
    </row>
    <row r="381" spans="1:8">
      <c r="A381" s="2407"/>
      <c r="B381" s="2407"/>
      <c r="C381" s="2407"/>
      <c r="D381" s="2407"/>
      <c r="E381" s="2407"/>
      <c r="F381" s="2407"/>
      <c r="G381" s="2407"/>
      <c r="H381" s="2407"/>
    </row>
    <row r="382" spans="1:8">
      <c r="A382" s="2408" t="s">
        <v>682</v>
      </c>
      <c r="B382" s="2407"/>
      <c r="C382" s="2407"/>
      <c r="D382" s="2407"/>
      <c r="E382" s="2407"/>
      <c r="F382" s="2407"/>
      <c r="G382" s="2407"/>
      <c r="H382" s="2407"/>
    </row>
    <row r="383" spans="1:8">
      <c r="A383" s="2408" t="s">
        <v>683</v>
      </c>
      <c r="B383" s="2407"/>
      <c r="C383" s="2407"/>
      <c r="D383" s="2407"/>
      <c r="E383" s="2407"/>
      <c r="F383" s="2407"/>
      <c r="G383" s="2407"/>
      <c r="H383" s="2407"/>
    </row>
    <row r="384" spans="1:8">
      <c r="A384" s="2408" t="s">
        <v>684</v>
      </c>
      <c r="B384" s="2407"/>
      <c r="C384" s="2407"/>
      <c r="D384" s="2407"/>
      <c r="E384" s="2407"/>
      <c r="F384" s="2407"/>
      <c r="G384" s="2407"/>
      <c r="H384" s="2407"/>
    </row>
    <row r="385" spans="1:8">
      <c r="A385" s="2408" t="s">
        <v>685</v>
      </c>
      <c r="B385" s="2407"/>
      <c r="C385" s="2407"/>
      <c r="D385" s="2407"/>
      <c r="E385" s="2407"/>
      <c r="F385" s="2407"/>
      <c r="G385" s="2407"/>
      <c r="H385" s="2407"/>
    </row>
    <row r="386" spans="1:8">
      <c r="A386" s="2408" t="s">
        <v>686</v>
      </c>
      <c r="B386" s="2407"/>
      <c r="C386" s="2407"/>
      <c r="D386" s="2407"/>
      <c r="E386" s="2407"/>
      <c r="F386" s="2407"/>
      <c r="G386" s="2407"/>
      <c r="H386" s="2407"/>
    </row>
    <row r="387" spans="1:8">
      <c r="A387" s="2408" t="s">
        <v>687</v>
      </c>
      <c r="B387" s="2407"/>
      <c r="C387" s="2407"/>
      <c r="D387" s="2407"/>
      <c r="E387" s="2407"/>
      <c r="F387" s="2407"/>
      <c r="G387" s="2407"/>
      <c r="H387" s="2407"/>
    </row>
    <row r="388" spans="1:8">
      <c r="A388" s="2407"/>
      <c r="B388" s="2407"/>
      <c r="C388" s="2407"/>
      <c r="D388" s="2407"/>
      <c r="E388" s="2407"/>
      <c r="F388" s="2407"/>
      <c r="G388" s="2407"/>
      <c r="H388" s="2407"/>
    </row>
    <row r="389" spans="1:8">
      <c r="A389" s="2408" t="s">
        <v>677</v>
      </c>
      <c r="B389" s="2407"/>
      <c r="C389" s="2407"/>
      <c r="D389" s="2407"/>
      <c r="E389" s="2407"/>
      <c r="F389" s="2407"/>
      <c r="G389" s="2407"/>
      <c r="H389" s="2407"/>
    </row>
    <row r="390" spans="1:8">
      <c r="A390" s="2408" t="s">
        <v>678</v>
      </c>
      <c r="B390" s="2407"/>
      <c r="C390" s="2407"/>
      <c r="D390" s="2407"/>
      <c r="E390" s="2407"/>
      <c r="F390" s="2407"/>
      <c r="G390" s="2407"/>
      <c r="H390" s="2407"/>
    </row>
    <row r="391" spans="1:8">
      <c r="A391" s="2408" t="s">
        <v>679</v>
      </c>
      <c r="B391" s="2407"/>
      <c r="C391" s="2407"/>
      <c r="D391" s="2407"/>
      <c r="E391" s="2407"/>
      <c r="F391" s="2407"/>
      <c r="G391" s="2407"/>
      <c r="H391" s="2407"/>
    </row>
    <row r="392" spans="1:8">
      <c r="A392" s="2408" t="s">
        <v>680</v>
      </c>
      <c r="B392" s="2407"/>
      <c r="C392" s="2407"/>
      <c r="D392" s="2407"/>
      <c r="E392" s="2407"/>
      <c r="F392" s="2407"/>
      <c r="G392" s="2407"/>
      <c r="H392" s="2407"/>
    </row>
    <row r="393" spans="1:8">
      <c r="A393" s="2408" t="s">
        <v>681</v>
      </c>
      <c r="B393" s="2407"/>
      <c r="C393" s="2407"/>
      <c r="D393" s="2407"/>
      <c r="E393" s="2407"/>
      <c r="F393" s="2407"/>
      <c r="G393" s="2407"/>
      <c r="H393" s="2407"/>
    </row>
    <row r="394" spans="1:8">
      <c r="A394" s="2407"/>
      <c r="B394" s="2407"/>
      <c r="C394" s="2407"/>
      <c r="D394" s="2407"/>
      <c r="E394" s="2407"/>
      <c r="F394" s="2407"/>
      <c r="G394" s="2407"/>
      <c r="H394" s="2407"/>
    </row>
    <row r="395" spans="1:8">
      <c r="A395" s="2408" t="s">
        <v>675</v>
      </c>
      <c r="B395" s="2407"/>
      <c r="C395" s="2407"/>
      <c r="D395" s="2407"/>
      <c r="E395" s="2407"/>
      <c r="F395" s="2407"/>
      <c r="G395" s="2407"/>
      <c r="H395" s="2407"/>
    </row>
    <row r="396" spans="1:8">
      <c r="A396" s="2408" t="s">
        <v>676</v>
      </c>
      <c r="B396" s="2407"/>
      <c r="C396" s="2407"/>
      <c r="D396" s="2407"/>
      <c r="E396" s="2407"/>
      <c r="F396" s="2407"/>
      <c r="G396" s="2407"/>
      <c r="H396" s="2407"/>
    </row>
    <row r="398" spans="1:8">
      <c r="A398" s="2403" t="s">
        <v>936</v>
      </c>
    </row>
  </sheetData>
  <mergeCells count="12">
    <mergeCell ref="A121:H121"/>
    <mergeCell ref="A128:H128"/>
    <mergeCell ref="A115:H115"/>
    <mergeCell ref="A116:H116"/>
    <mergeCell ref="A117:H117"/>
    <mergeCell ref="A118:H118"/>
    <mergeCell ref="A120:H120"/>
    <mergeCell ref="A136:H136"/>
    <mergeCell ref="A137:H137"/>
    <mergeCell ref="B129:C129"/>
    <mergeCell ref="D129:F129"/>
    <mergeCell ref="G129:H129"/>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11"/>
  <sheetViews>
    <sheetView showGridLines="0" showRowColHeaders="0" workbookViewId="0">
      <selection activeCell="N1" sqref="N1"/>
    </sheetView>
  </sheetViews>
  <sheetFormatPr defaultRowHeight="12.75"/>
  <cols>
    <col min="1" max="1" width="9.33203125" style="2311"/>
    <col min="2" max="2" width="103" style="2311" customWidth="1"/>
    <col min="3" max="257" width="9.33203125" style="2311"/>
    <col min="258" max="258" width="103" style="2311" customWidth="1"/>
    <col min="259" max="513" width="9.33203125" style="2311"/>
    <col min="514" max="514" width="103" style="2311" customWidth="1"/>
    <col min="515" max="769" width="9.33203125" style="2311"/>
    <col min="770" max="770" width="103" style="2311" customWidth="1"/>
    <col min="771" max="1025" width="9.33203125" style="2311"/>
    <col min="1026" max="1026" width="103" style="2311" customWidth="1"/>
    <col min="1027" max="1281" width="9.33203125" style="2311"/>
    <col min="1282" max="1282" width="103" style="2311" customWidth="1"/>
    <col min="1283" max="1537" width="9.33203125" style="2311"/>
    <col min="1538" max="1538" width="103" style="2311" customWidth="1"/>
    <col min="1539" max="1793" width="9.33203125" style="2311"/>
    <col min="1794" max="1794" width="103" style="2311" customWidth="1"/>
    <col min="1795" max="2049" width="9.33203125" style="2311"/>
    <col min="2050" max="2050" width="103" style="2311" customWidth="1"/>
    <col min="2051" max="2305" width="9.33203125" style="2311"/>
    <col min="2306" max="2306" width="103" style="2311" customWidth="1"/>
    <col min="2307" max="2561" width="9.33203125" style="2311"/>
    <col min="2562" max="2562" width="103" style="2311" customWidth="1"/>
    <col min="2563" max="2817" width="9.33203125" style="2311"/>
    <col min="2818" max="2818" width="103" style="2311" customWidth="1"/>
    <col min="2819" max="3073" width="9.33203125" style="2311"/>
    <col min="3074" max="3074" width="103" style="2311" customWidth="1"/>
    <col min="3075" max="3329" width="9.33203125" style="2311"/>
    <col min="3330" max="3330" width="103" style="2311" customWidth="1"/>
    <col min="3331" max="3585" width="9.33203125" style="2311"/>
    <col min="3586" max="3586" width="103" style="2311" customWidth="1"/>
    <col min="3587" max="3841" width="9.33203125" style="2311"/>
    <col min="3842" max="3842" width="103" style="2311" customWidth="1"/>
    <col min="3843" max="4097" width="9.33203125" style="2311"/>
    <col min="4098" max="4098" width="103" style="2311" customWidth="1"/>
    <col min="4099" max="4353" width="9.33203125" style="2311"/>
    <col min="4354" max="4354" width="103" style="2311" customWidth="1"/>
    <col min="4355" max="4609" width="9.33203125" style="2311"/>
    <col min="4610" max="4610" width="103" style="2311" customWidth="1"/>
    <col min="4611" max="4865" width="9.33203125" style="2311"/>
    <col min="4866" max="4866" width="103" style="2311" customWidth="1"/>
    <col min="4867" max="5121" width="9.33203125" style="2311"/>
    <col min="5122" max="5122" width="103" style="2311" customWidth="1"/>
    <col min="5123" max="5377" width="9.33203125" style="2311"/>
    <col min="5378" max="5378" width="103" style="2311" customWidth="1"/>
    <col min="5379" max="5633" width="9.33203125" style="2311"/>
    <col min="5634" max="5634" width="103" style="2311" customWidth="1"/>
    <col min="5635" max="5889" width="9.33203125" style="2311"/>
    <col min="5890" max="5890" width="103" style="2311" customWidth="1"/>
    <col min="5891" max="6145" width="9.33203125" style="2311"/>
    <col min="6146" max="6146" width="103" style="2311" customWidth="1"/>
    <col min="6147" max="6401" width="9.33203125" style="2311"/>
    <col min="6402" max="6402" width="103" style="2311" customWidth="1"/>
    <col min="6403" max="6657" width="9.33203125" style="2311"/>
    <col min="6658" max="6658" width="103" style="2311" customWidth="1"/>
    <col min="6659" max="6913" width="9.33203125" style="2311"/>
    <col min="6914" max="6914" width="103" style="2311" customWidth="1"/>
    <col min="6915" max="7169" width="9.33203125" style="2311"/>
    <col min="7170" max="7170" width="103" style="2311" customWidth="1"/>
    <col min="7171" max="7425" width="9.33203125" style="2311"/>
    <col min="7426" max="7426" width="103" style="2311" customWidth="1"/>
    <col min="7427" max="7681" width="9.33203125" style="2311"/>
    <col min="7682" max="7682" width="103" style="2311" customWidth="1"/>
    <col min="7683" max="7937" width="9.33203125" style="2311"/>
    <col min="7938" max="7938" width="103" style="2311" customWidth="1"/>
    <col min="7939" max="8193" width="9.33203125" style="2311"/>
    <col min="8194" max="8194" width="103" style="2311" customWidth="1"/>
    <col min="8195" max="8449" width="9.33203125" style="2311"/>
    <col min="8450" max="8450" width="103" style="2311" customWidth="1"/>
    <col min="8451" max="8705" width="9.33203125" style="2311"/>
    <col min="8706" max="8706" width="103" style="2311" customWidth="1"/>
    <col min="8707" max="8961" width="9.33203125" style="2311"/>
    <col min="8962" max="8962" width="103" style="2311" customWidth="1"/>
    <col min="8963" max="9217" width="9.33203125" style="2311"/>
    <col min="9218" max="9218" width="103" style="2311" customWidth="1"/>
    <col min="9219" max="9473" width="9.33203125" style="2311"/>
    <col min="9474" max="9474" width="103" style="2311" customWidth="1"/>
    <col min="9475" max="9729" width="9.33203125" style="2311"/>
    <col min="9730" max="9730" width="103" style="2311" customWidth="1"/>
    <col min="9731" max="9985" width="9.33203125" style="2311"/>
    <col min="9986" max="9986" width="103" style="2311" customWidth="1"/>
    <col min="9987" max="10241" width="9.33203125" style="2311"/>
    <col min="10242" max="10242" width="103" style="2311" customWidth="1"/>
    <col min="10243" max="10497" width="9.33203125" style="2311"/>
    <col min="10498" max="10498" width="103" style="2311" customWidth="1"/>
    <col min="10499" max="10753" width="9.33203125" style="2311"/>
    <col min="10754" max="10754" width="103" style="2311" customWidth="1"/>
    <col min="10755" max="11009" width="9.33203125" style="2311"/>
    <col min="11010" max="11010" width="103" style="2311" customWidth="1"/>
    <col min="11011" max="11265" width="9.33203125" style="2311"/>
    <col min="11266" max="11266" width="103" style="2311" customWidth="1"/>
    <col min="11267" max="11521" width="9.33203125" style="2311"/>
    <col min="11522" max="11522" width="103" style="2311" customWidth="1"/>
    <col min="11523" max="11777" width="9.33203125" style="2311"/>
    <col min="11778" max="11778" width="103" style="2311" customWidth="1"/>
    <col min="11779" max="12033" width="9.33203125" style="2311"/>
    <col min="12034" max="12034" width="103" style="2311" customWidth="1"/>
    <col min="12035" max="12289" width="9.33203125" style="2311"/>
    <col min="12290" max="12290" width="103" style="2311" customWidth="1"/>
    <col min="12291" max="12545" width="9.33203125" style="2311"/>
    <col min="12546" max="12546" width="103" style="2311" customWidth="1"/>
    <col min="12547" max="12801" width="9.33203125" style="2311"/>
    <col min="12802" max="12802" width="103" style="2311" customWidth="1"/>
    <col min="12803" max="13057" width="9.33203125" style="2311"/>
    <col min="13058" max="13058" width="103" style="2311" customWidth="1"/>
    <col min="13059" max="13313" width="9.33203125" style="2311"/>
    <col min="13314" max="13314" width="103" style="2311" customWidth="1"/>
    <col min="13315" max="13569" width="9.33203125" style="2311"/>
    <col min="13570" max="13570" width="103" style="2311" customWidth="1"/>
    <col min="13571" max="13825" width="9.33203125" style="2311"/>
    <col min="13826" max="13826" width="103" style="2311" customWidth="1"/>
    <col min="13827" max="14081" width="9.33203125" style="2311"/>
    <col min="14082" max="14082" width="103" style="2311" customWidth="1"/>
    <col min="14083" max="14337" width="9.33203125" style="2311"/>
    <col min="14338" max="14338" width="103" style="2311" customWidth="1"/>
    <col min="14339" max="14593" width="9.33203125" style="2311"/>
    <col min="14594" max="14594" width="103" style="2311" customWidth="1"/>
    <col min="14595" max="14849" width="9.33203125" style="2311"/>
    <col min="14850" max="14850" width="103" style="2311" customWidth="1"/>
    <col min="14851" max="15105" width="9.33203125" style="2311"/>
    <col min="15106" max="15106" width="103" style="2311" customWidth="1"/>
    <col min="15107" max="15361" width="9.33203125" style="2311"/>
    <col min="15362" max="15362" width="103" style="2311" customWidth="1"/>
    <col min="15363" max="15617" width="9.33203125" style="2311"/>
    <col min="15618" max="15618" width="103" style="2311" customWidth="1"/>
    <col min="15619" max="15873" width="9.33203125" style="2311"/>
    <col min="15874" max="15874" width="103" style="2311" customWidth="1"/>
    <col min="15875" max="16129" width="9.33203125" style="2311"/>
    <col min="16130" max="16130" width="103" style="2311" customWidth="1"/>
    <col min="16131" max="16384" width="9.33203125" style="2311"/>
  </cols>
  <sheetData>
    <row r="1" spans="2:2" ht="32.25" customHeight="1"/>
    <row r="2" spans="2:2" ht="72" hidden="1">
      <c r="B2" s="2417" t="s">
        <v>999</v>
      </c>
    </row>
    <row r="3" spans="2:2" ht="72">
      <c r="B3" s="2417" t="s">
        <v>1000</v>
      </c>
    </row>
    <row r="4" spans="2:2" ht="18" hidden="1">
      <c r="B4" s="2417"/>
    </row>
    <row r="5" spans="2:2" ht="54" hidden="1">
      <c r="B5" s="2417" t="s">
        <v>1001</v>
      </c>
    </row>
    <row r="6" spans="2:2" ht="7.5" customHeight="1">
      <c r="B6" s="2417"/>
    </row>
    <row r="7" spans="2:2" ht="18">
      <c r="B7" s="2418" t="s">
        <v>1002</v>
      </c>
    </row>
    <row r="8" spans="2:2" ht="18">
      <c r="B8" s="2418" t="s">
        <v>1004</v>
      </c>
    </row>
    <row r="9" spans="2:2" ht="18">
      <c r="B9" s="2418" t="s">
        <v>1005</v>
      </c>
    </row>
    <row r="10" spans="2:2" ht="18">
      <c r="B10" s="2419"/>
    </row>
    <row r="11" spans="2:2" ht="54">
      <c r="B11" s="2420" t="s">
        <v>1003</v>
      </c>
    </row>
  </sheetData>
  <dataConsolidate/>
  <pageMargins left="0.75" right="0.75" top="1" bottom="1" header="0.5" footer="0.5"/>
  <pageSetup orientation="portrait" horizont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25"/>
  <sheetViews>
    <sheetView zoomScaleNormal="100" workbookViewId="0">
      <selection activeCell="D1" sqref="D1"/>
    </sheetView>
  </sheetViews>
  <sheetFormatPr defaultColWidth="10.6640625" defaultRowHeight="12.75"/>
  <cols>
    <col min="1" max="1" width="9" style="1006" customWidth="1"/>
    <col min="2" max="2" width="32.6640625" style="1029" customWidth="1"/>
    <col min="3" max="3" width="7.33203125" style="1029" customWidth="1"/>
    <col min="4" max="4" width="32.6640625" style="1029" customWidth="1"/>
    <col min="5" max="5" width="7.5" style="1006" customWidth="1"/>
    <col min="6" max="6" width="33.1640625" style="1006" customWidth="1"/>
    <col min="7" max="7" width="7.5" style="1006" customWidth="1"/>
    <col min="8" max="8" width="33.1640625" style="1006" customWidth="1"/>
    <col min="9" max="9" width="6.5" style="1006" customWidth="1"/>
    <col min="10" max="10" width="7.5" style="1006" customWidth="1"/>
    <col min="11" max="16384" width="10.6640625" style="1006"/>
  </cols>
  <sheetData>
    <row r="1" spans="1:9" ht="65.25" customHeight="1">
      <c r="A1" s="1003"/>
      <c r="B1" s="1004"/>
      <c r="C1" s="1004"/>
      <c r="D1" s="1004"/>
      <c r="E1" s="1005"/>
      <c r="F1" s="1005"/>
      <c r="G1" s="1005"/>
      <c r="H1" s="1005"/>
      <c r="I1" s="1005"/>
    </row>
    <row r="2" spans="1:9" ht="21.75" customHeight="1">
      <c r="A2" s="1007" t="s">
        <v>54</v>
      </c>
      <c r="B2" s="1008"/>
      <c r="C2" s="1008"/>
      <c r="D2" s="1008"/>
      <c r="E2" s="1008"/>
      <c r="F2" s="1007"/>
      <c r="G2" s="1007"/>
      <c r="H2" s="1007"/>
      <c r="I2" s="1009"/>
    </row>
    <row r="3" spans="1:9" ht="21" customHeight="1">
      <c r="A3" s="1010" t="s">
        <v>51</v>
      </c>
      <c r="B3" s="1008"/>
      <c r="C3" s="1008"/>
      <c r="D3" s="1008"/>
      <c r="E3" s="1008"/>
      <c r="F3" s="1010"/>
      <c r="G3" s="1010"/>
      <c r="H3" s="1010"/>
      <c r="I3" s="1009"/>
    </row>
    <row r="4" spans="1:9" ht="21" customHeight="1">
      <c r="A4" s="1011" t="s">
        <v>294</v>
      </c>
      <c r="B4" s="1008"/>
      <c r="C4" s="1008"/>
      <c r="D4" s="1008"/>
      <c r="E4" s="1008"/>
      <c r="F4" s="1012"/>
      <c r="G4" s="1012"/>
      <c r="H4" s="1012"/>
      <c r="I4" s="1013"/>
    </row>
    <row r="5" spans="1:9" ht="21" customHeight="1">
      <c r="A5" s="1690" t="s">
        <v>1006</v>
      </c>
      <c r="B5" s="1008"/>
      <c r="C5" s="1008"/>
      <c r="D5" s="1008"/>
      <c r="E5" s="1008"/>
      <c r="F5" s="1012"/>
      <c r="G5" s="1012"/>
      <c r="H5" s="1012"/>
      <c r="I5" s="1013"/>
    </row>
    <row r="6" spans="1:9">
      <c r="A6" s="1014">
        <f>70</f>
        <v>70</v>
      </c>
      <c r="B6" s="1015"/>
      <c r="C6" s="1015"/>
      <c r="D6" s="1015"/>
      <c r="E6" s="1016"/>
      <c r="F6" s="1016"/>
      <c r="G6" s="1016"/>
      <c r="H6" s="1016"/>
      <c r="I6" s="1016"/>
    </row>
    <row r="7" spans="1:9" ht="15.75">
      <c r="A7" s="1017" t="s">
        <v>114</v>
      </c>
      <c r="B7" s="1016"/>
      <c r="C7" s="1016"/>
      <c r="D7" s="1017" t="s">
        <v>523</v>
      </c>
      <c r="E7" s="1016"/>
      <c r="F7" s="1017" t="s">
        <v>593</v>
      </c>
      <c r="G7" s="1017"/>
      <c r="H7" s="1017" t="s">
        <v>606</v>
      </c>
      <c r="I7" s="1016"/>
    </row>
    <row r="8" spans="1:9" ht="15.75">
      <c r="A8" s="1018" t="s">
        <v>115</v>
      </c>
      <c r="B8" s="1016"/>
      <c r="C8" s="1016"/>
      <c r="D8" s="1017" t="s">
        <v>476</v>
      </c>
      <c r="E8" s="1016"/>
      <c r="F8" s="1017" t="s">
        <v>476</v>
      </c>
      <c r="G8" s="1017"/>
      <c r="H8" s="1017" t="s">
        <v>476</v>
      </c>
      <c r="I8" s="1016"/>
    </row>
    <row r="9" spans="1:9" ht="15.75">
      <c r="A9" s="1017" t="s">
        <v>116</v>
      </c>
      <c r="B9" s="1016"/>
      <c r="C9" s="1016"/>
      <c r="D9" s="1017" t="s">
        <v>524</v>
      </c>
      <c r="E9" s="1016"/>
      <c r="F9" s="1017" t="s">
        <v>595</v>
      </c>
      <c r="G9" s="1017"/>
      <c r="H9" s="1017" t="s">
        <v>607</v>
      </c>
      <c r="I9" s="1016"/>
    </row>
    <row r="10" spans="1:9">
      <c r="A10" s="1019" t="s">
        <v>117</v>
      </c>
      <c r="B10" s="1016"/>
      <c r="C10" s="1016"/>
      <c r="D10" s="2013" t="s">
        <v>525</v>
      </c>
      <c r="E10" s="1016"/>
      <c r="F10" s="2013" t="s">
        <v>594</v>
      </c>
      <c r="G10" s="2013"/>
      <c r="H10" s="2013" t="s">
        <v>608</v>
      </c>
      <c r="I10" s="1016"/>
    </row>
    <row r="11" spans="1:9" ht="15.75">
      <c r="A11" s="1020"/>
      <c r="B11" s="1016"/>
      <c r="C11" s="1016"/>
      <c r="D11" s="1016"/>
      <c r="E11" s="1021"/>
      <c r="F11" s="1022"/>
      <c r="G11" s="1022"/>
      <c r="H11" s="1022"/>
      <c r="I11" s="1016"/>
    </row>
    <row r="12" spans="1:9" ht="15.75">
      <c r="A12" s="1020"/>
      <c r="B12" s="1017"/>
      <c r="C12" s="1017"/>
      <c r="D12" s="1017"/>
      <c r="E12" s="1016"/>
      <c r="F12" s="1016"/>
      <c r="G12" s="1016"/>
      <c r="H12" s="1016"/>
      <c r="I12" s="1016"/>
    </row>
    <row r="13" spans="1:9" ht="12.75" customHeight="1">
      <c r="A13" s="1034" t="s">
        <v>118</v>
      </c>
      <c r="B13" s="1017"/>
      <c r="C13" s="1016"/>
      <c r="D13" s="1034" t="s">
        <v>119</v>
      </c>
      <c r="E13" s="1016"/>
      <c r="F13" s="1016"/>
      <c r="G13" s="1016"/>
      <c r="H13" s="1016"/>
      <c r="I13" s="1016"/>
    </row>
    <row r="14" spans="1:9" ht="12.75" customHeight="1">
      <c r="A14" s="1034" t="s">
        <v>120</v>
      </c>
      <c r="B14" s="1017"/>
      <c r="C14" s="1016"/>
      <c r="D14" s="1023"/>
      <c r="E14" s="1016"/>
      <c r="F14" s="1016"/>
      <c r="G14" s="1016"/>
      <c r="H14" s="1016"/>
      <c r="I14" s="1016"/>
    </row>
    <row r="15" spans="1:9" ht="12.75" customHeight="1">
      <c r="A15" s="1034" t="s">
        <v>121</v>
      </c>
      <c r="B15" s="1019"/>
      <c r="C15" s="1016"/>
      <c r="D15" s="1023"/>
      <c r="E15" s="1016"/>
      <c r="F15" s="1016"/>
      <c r="G15" s="1016"/>
      <c r="H15" s="1016"/>
      <c r="I15" s="1016"/>
    </row>
    <row r="16" spans="1:9" ht="12.75" customHeight="1">
      <c r="A16"/>
      <c r="B16" s="1016"/>
      <c r="C16" s="1016"/>
      <c r="D16" s="1023"/>
      <c r="E16" s="1016"/>
      <c r="F16" s="1016"/>
      <c r="G16" s="1016"/>
      <c r="H16" s="1016"/>
      <c r="I16" s="1016"/>
    </row>
    <row r="17" spans="1:35" ht="16.5" thickBot="1">
      <c r="A17" s="1024"/>
      <c r="B17" s="1025"/>
      <c r="C17" s="1025"/>
      <c r="D17" s="1026"/>
      <c r="E17" s="1025"/>
      <c r="F17" s="1025"/>
      <c r="G17" s="1025"/>
      <c r="H17" s="1025"/>
      <c r="I17" s="1025"/>
      <c r="J17" s="1027"/>
      <c r="K17" s="1027"/>
    </row>
    <row r="18" spans="1:35" ht="15.75">
      <c r="A18" s="1028"/>
      <c r="E18" s="1030"/>
      <c r="I18" s="1031"/>
      <c r="J18" s="1030"/>
      <c r="K18" s="1030"/>
    </row>
    <row r="19" spans="1:35" ht="15.75">
      <c r="A19" s="1028"/>
      <c r="B19" s="1006"/>
      <c r="C19" s="1006"/>
      <c r="D19" s="1006"/>
    </row>
    <row r="21" spans="1:35">
      <c r="B21" s="1006"/>
      <c r="C21" s="1006"/>
      <c r="D21" s="1006"/>
    </row>
    <row r="25" spans="1:35">
      <c r="F25" s="1032"/>
      <c r="G25" s="1032"/>
      <c r="H25" s="1032"/>
      <c r="L25" s="1033"/>
      <c r="M25" s="1033"/>
      <c r="N25" s="1033"/>
      <c r="O25" s="1033"/>
      <c r="P25" s="1033"/>
      <c r="Q25" s="1033"/>
      <c r="R25" s="1033"/>
      <c r="S25" s="1033"/>
      <c r="T25" s="1033"/>
      <c r="U25" s="1033"/>
      <c r="V25" s="1033"/>
      <c r="W25" s="1033"/>
      <c r="X25" s="1033"/>
      <c r="Y25" s="1033"/>
      <c r="Z25" s="1033"/>
      <c r="AA25" s="1033"/>
      <c r="AB25" s="1033"/>
      <c r="AC25" s="1033"/>
      <c r="AD25" s="1033"/>
      <c r="AE25" s="1033"/>
      <c r="AF25" s="1033"/>
      <c r="AG25" s="1033"/>
      <c r="AH25" s="1033"/>
      <c r="AI25" s="1033"/>
    </row>
  </sheetData>
  <phoneticPr fontId="17" type="noConversion"/>
  <hyperlinks>
    <hyperlink ref="A10" r:id="rId1"/>
    <hyperlink ref="A13" location="Model!B9" display="Go to Income Statement"/>
    <hyperlink ref="A14" location="Model!B159" display="Go to Balance Sheet"/>
    <hyperlink ref="A15" location="Model!B325" display="Go to Cash Flow Statement"/>
    <hyperlink ref="M10" r:id="rId2" display="Andrew.Schenker@morganstanley.com"/>
    <hyperlink ref="D13" location="Scenarios!A1" display="Go to Scenarios"/>
    <hyperlink ref="F10" r:id="rId3"/>
    <hyperlink ref="H10" r:id="rId4"/>
    <hyperlink ref="D10" r:id="rId5"/>
  </hyperlinks>
  <pageMargins left="0.75" right="0.75" top="1" bottom="1" header="0.5" footer="0.5"/>
  <pageSetup paperSize="5" orientation="landscape" horizontalDpi="300" verticalDpi="300" r:id="rId6"/>
  <headerFooter alignWithMargins="0"/>
  <drawing r:id="rId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codeName="Sheet4">
    <pageSetUpPr fitToPage="1"/>
  </sheetPr>
  <dimension ref="A1:HX419"/>
  <sheetViews>
    <sheetView showGridLines="0" zoomScaleNormal="100" zoomScaleSheetLayoutView="100" workbookViewId="0">
      <pane xSplit="3" ySplit="7" topLeftCell="DA8" activePane="bottomRight" state="frozen"/>
      <selection activeCell="J46" sqref="J46"/>
      <selection pane="topRight" activeCell="J46" sqref="J46"/>
      <selection pane="bottomLeft" activeCell="J46" sqref="J46"/>
      <selection pane="bottomRight" activeCell="DK1" sqref="DK1:DK1048576"/>
    </sheetView>
  </sheetViews>
  <sheetFormatPr defaultColWidth="9.83203125" defaultRowHeight="11.25" outlineLevelRow="2" outlineLevelCol="2"/>
  <cols>
    <col min="1" max="1" width="2.33203125" style="2" customWidth="1"/>
    <col min="2" max="2" width="38.33203125" style="2" customWidth="1"/>
    <col min="3" max="3" width="2.33203125" style="2" customWidth="1"/>
    <col min="4" max="7" width="9.33203125" style="2" hidden="1" customWidth="1" outlineLevel="2"/>
    <col min="8" max="8" width="9.33203125" style="3" hidden="1" customWidth="1" outlineLevel="2"/>
    <col min="9" max="10" width="9.33203125" style="2" hidden="1" customWidth="1" outlineLevel="2"/>
    <col min="11" max="14" width="9.33203125" style="9" hidden="1" customWidth="1" outlineLevel="2"/>
    <col min="15" max="15" width="9.33203125" style="2" hidden="1" customWidth="1" outlineLevel="2"/>
    <col min="16" max="19" width="9.33203125" style="9" hidden="1" customWidth="1" outlineLevel="2"/>
    <col min="20" max="20" width="9.33203125" style="2" hidden="1" customWidth="1" outlineLevel="2"/>
    <col min="21" max="24" width="9.33203125" style="9" hidden="1" customWidth="1" outlineLevel="2"/>
    <col min="25" max="25" width="9.33203125" style="2" hidden="1" customWidth="1" outlineLevel="2"/>
    <col min="26" max="29" width="9.33203125" style="9" hidden="1" customWidth="1" outlineLevel="2"/>
    <col min="30" max="30" width="9.33203125" style="2" hidden="1" customWidth="1" outlineLevel="2"/>
    <col min="31" max="34" width="9.33203125" style="9" hidden="1" customWidth="1" outlineLevel="2"/>
    <col min="35" max="35" width="9.33203125" style="2" hidden="1" customWidth="1" outlineLevel="2"/>
    <col min="36" max="39" width="9.33203125" style="9" hidden="1" customWidth="1" outlineLevel="2"/>
    <col min="40" max="40" width="9.33203125" style="2" hidden="1" customWidth="1" outlineLevel="2"/>
    <col min="41" max="44" width="9.33203125" style="9" hidden="1" customWidth="1" outlineLevel="2"/>
    <col min="45" max="45" width="9.33203125" style="2" hidden="1" customWidth="1" outlineLevel="2" collapsed="1"/>
    <col min="46" max="49" width="9.33203125" style="9" hidden="1" customWidth="1" outlineLevel="2"/>
    <col min="50" max="50" width="9.33203125" style="2" hidden="1" customWidth="1" outlineLevel="2"/>
    <col min="51" max="54" width="9.33203125" style="9" hidden="1" customWidth="1" outlineLevel="2"/>
    <col min="55" max="55" width="9.33203125" style="2" hidden="1" customWidth="1" outlineLevel="2"/>
    <col min="56" max="59" width="9.33203125" style="9" hidden="1" customWidth="1" outlineLevel="2"/>
    <col min="60" max="60" width="9.33203125" style="2" hidden="1" customWidth="1" outlineLevel="2" collapsed="1"/>
    <col min="61" max="64" width="9.33203125" style="9" hidden="1" customWidth="1" outlineLevel="2"/>
    <col min="65" max="65" width="9.33203125" style="2" hidden="1" customWidth="1" outlineLevel="2"/>
    <col min="66" max="69" width="9.33203125" style="9" hidden="1" customWidth="1" outlineLevel="2"/>
    <col min="70" max="70" width="9.33203125" style="2" hidden="1" customWidth="1" outlineLevel="2"/>
    <col min="71" max="74" width="9.33203125" style="9" hidden="1" customWidth="1" outlineLevel="2"/>
    <col min="75" max="75" width="9.33203125" style="2" hidden="1" customWidth="1" outlineLevel="2"/>
    <col min="76" max="76" width="9.33203125" style="2" hidden="1" customWidth="1" outlineLevel="2" collapsed="1"/>
    <col min="77" max="79" width="9.33203125" style="9" hidden="1" customWidth="1" outlineLevel="2"/>
    <col min="80" max="80" width="9.33203125" style="2" hidden="1" customWidth="1" outlineLevel="2"/>
    <col min="81" max="81" width="9.33203125" style="2" hidden="1" customWidth="1" outlineLevel="1" collapsed="1"/>
    <col min="82" max="84" width="9.33203125" style="9" hidden="1" customWidth="1" outlineLevel="1"/>
    <col min="85" max="85" width="9.33203125" style="2" hidden="1" customWidth="1" outlineLevel="1"/>
    <col min="86" max="87" width="9.33203125" style="9" hidden="1" customWidth="1" outlineLevel="2"/>
    <col min="88" max="89" width="9.33203125" style="19" hidden="1" customWidth="1" outlineLevel="2"/>
    <col min="90" max="90" width="9.33203125" style="2" hidden="1" customWidth="1" outlineLevel="1" collapsed="1"/>
    <col min="91" max="92" width="9.33203125" style="9" hidden="1" customWidth="1" outlineLevel="2"/>
    <col min="93" max="94" width="9.33203125" style="19" hidden="1" customWidth="1" outlineLevel="2"/>
    <col min="95" max="95" width="9.33203125" style="2" hidden="1" customWidth="1" outlineLevel="1" collapsed="1"/>
    <col min="96" max="99" width="9.33203125" style="28" hidden="1" customWidth="1" outlineLevel="2"/>
    <col min="100" max="100" width="9.33203125" style="2" hidden="1" customWidth="1" outlineLevel="1" collapsed="1"/>
    <col min="101" max="104" width="9.33203125" style="28" hidden="1" customWidth="1" outlineLevel="2"/>
    <col min="105" max="105" width="9.33203125" style="2" hidden="1" customWidth="1" outlineLevel="1" collapsed="1"/>
    <col min="106" max="109" width="9.33203125" style="28" hidden="1" customWidth="1" outlineLevel="2"/>
    <col min="110" max="110" width="9.33203125" style="2" hidden="1" customWidth="1" outlineLevel="1"/>
    <col min="111" max="114" width="9.33203125" style="2" hidden="1" customWidth="1" outlineLevel="2"/>
    <col min="115" max="115" width="9.33203125" hidden="1" customWidth="1" collapsed="1"/>
    <col min="116" max="119" width="9.33203125" customWidth="1" outlineLevel="1"/>
    <col min="120" max="120" width="9.33203125" customWidth="1"/>
    <col min="121" max="124" width="9.33203125" customWidth="1" outlineLevel="1"/>
    <col min="125" max="125" width="9.33203125" customWidth="1"/>
    <col min="126" max="129" width="9.33203125" style="2161" hidden="1" customWidth="1" outlineLevel="1"/>
    <col min="130" max="130" width="9.33203125" style="2161" customWidth="1" collapsed="1"/>
    <col min="131" max="134" width="9.33203125" style="2248" hidden="1" customWidth="1" outlineLevel="1"/>
    <col min="135" max="135" width="9.33203125" style="2248" customWidth="1" collapsed="1"/>
    <col min="136" max="137" width="9.33203125" customWidth="1"/>
    <col min="138" max="139" width="9.33203125" hidden="1" customWidth="1" outlineLevel="1"/>
    <col min="140" max="140" width="13.6640625" hidden="1" customWidth="1" outlineLevel="1"/>
    <col min="141" max="143" width="9.33203125" hidden="1" customWidth="1" outlineLevel="1"/>
    <col min="144" max="144" width="9.33203125" customWidth="1" collapsed="1"/>
    <col min="145" max="232" width="9.33203125" customWidth="1"/>
    <col min="233" max="16384" width="9.83203125" style="2"/>
  </cols>
  <sheetData>
    <row r="1" spans="1:232" customFormat="1" ht="12.75" customHeight="1">
      <c r="B1" s="1035" t="s">
        <v>297</v>
      </c>
      <c r="CW1" s="20"/>
      <c r="CX1" s="20"/>
      <c r="CY1" s="16"/>
      <c r="CZ1" s="16"/>
      <c r="DA1" s="1507"/>
      <c r="DB1" s="1459"/>
      <c r="DC1" s="63"/>
      <c r="DD1" s="1458"/>
      <c r="DE1" s="1538"/>
      <c r="DF1" s="1538"/>
      <c r="DG1" s="1538"/>
      <c r="DH1" s="1538"/>
      <c r="DI1" s="1538"/>
      <c r="DJ1" s="1538"/>
      <c r="DK1" s="63"/>
      <c r="DL1" s="63"/>
      <c r="DM1" s="63"/>
      <c r="DN1" s="63"/>
      <c r="DO1" s="63"/>
      <c r="DP1" s="63"/>
      <c r="DQ1" s="63"/>
      <c r="DR1" s="62"/>
      <c r="DS1" s="63"/>
      <c r="DT1" s="63"/>
      <c r="DU1" s="63"/>
      <c r="DV1" s="63"/>
      <c r="DW1" s="63"/>
      <c r="DX1" s="63"/>
      <c r="DY1" s="63"/>
      <c r="DZ1" s="63"/>
      <c r="EA1" s="63"/>
      <c r="EB1" s="63"/>
      <c r="EC1" s="63"/>
      <c r="ED1" s="63"/>
      <c r="EE1" s="63"/>
    </row>
    <row r="2" spans="1:232" customFormat="1" ht="12.75" customHeight="1">
      <c r="CN2" s="1205"/>
      <c r="CS2" s="28"/>
      <c r="CT2" s="28"/>
      <c r="CU2" s="1496"/>
      <c r="CV2" s="63"/>
      <c r="CW2" s="63"/>
      <c r="CX2" s="63"/>
      <c r="CY2" s="63"/>
      <c r="CZ2" s="63"/>
      <c r="DA2" s="63"/>
      <c r="DB2" s="63"/>
      <c r="DC2" s="1458"/>
      <c r="DD2" s="1458"/>
      <c r="DE2" s="1458"/>
      <c r="DF2" s="63"/>
      <c r="DG2" s="63"/>
      <c r="DH2" s="63"/>
      <c r="DI2" s="63"/>
      <c r="DJ2" s="63"/>
      <c r="DK2" s="63"/>
      <c r="DL2" s="63"/>
      <c r="DM2" s="63"/>
      <c r="DN2" s="82"/>
      <c r="DO2" s="63"/>
      <c r="DP2" s="63"/>
      <c r="DQ2" s="63"/>
      <c r="DR2" s="62"/>
      <c r="DS2" s="63"/>
      <c r="DT2" s="63"/>
      <c r="DU2" s="63"/>
      <c r="DV2" s="63"/>
      <c r="DW2" s="63"/>
      <c r="DX2" s="63"/>
      <c r="DY2" s="63"/>
      <c r="DZ2" s="63"/>
      <c r="EA2" s="63"/>
      <c r="EB2" s="63"/>
      <c r="EC2" s="63"/>
      <c r="ED2" s="63"/>
      <c r="EE2" s="63"/>
    </row>
    <row r="3" spans="1:232" customFormat="1" ht="12.75" customHeight="1" thickBot="1">
      <c r="BX3" s="1237"/>
      <c r="CC3" s="1237"/>
      <c r="CD3" s="1237"/>
      <c r="CE3" s="1237"/>
      <c r="CF3" s="1237"/>
      <c r="CH3" s="1237"/>
      <c r="CI3" s="1237"/>
      <c r="CJ3" s="1237"/>
      <c r="CK3" s="1237"/>
      <c r="CM3" s="1237"/>
      <c r="CN3" s="1237"/>
      <c r="CO3" s="1237"/>
      <c r="CP3" s="1237"/>
      <c r="CR3" s="1237"/>
      <c r="CS3" s="28"/>
      <c r="CT3" s="28"/>
      <c r="CU3" s="1237"/>
      <c r="CV3" s="1348"/>
      <c r="CW3" s="2180">
        <v>41973</v>
      </c>
      <c r="CX3" s="2180">
        <v>42063</v>
      </c>
      <c r="CY3" s="2180">
        <v>42155</v>
      </c>
      <c r="CZ3" s="2181">
        <v>42247</v>
      </c>
      <c r="DA3" s="1280"/>
      <c r="DB3" s="2180">
        <v>41973</v>
      </c>
      <c r="DC3" s="2180">
        <v>42063</v>
      </c>
      <c r="DD3" s="2180">
        <v>42155</v>
      </c>
      <c r="DE3" s="2181">
        <v>42247</v>
      </c>
      <c r="DF3" s="63"/>
      <c r="DG3" s="2180">
        <v>42338</v>
      </c>
      <c r="DH3" s="2180">
        <v>42428</v>
      </c>
      <c r="DI3" s="2180">
        <v>42521</v>
      </c>
      <c r="DJ3" s="2181">
        <v>42613</v>
      </c>
      <c r="DK3" s="63"/>
      <c r="DL3" s="2180">
        <v>42704</v>
      </c>
      <c r="DM3" s="2180">
        <v>42794</v>
      </c>
      <c r="DN3" s="2180">
        <v>42886</v>
      </c>
      <c r="DO3" s="2181">
        <v>42978</v>
      </c>
      <c r="DP3" s="63"/>
      <c r="DQ3" s="2180">
        <v>43069</v>
      </c>
      <c r="DR3" s="2180">
        <v>43159</v>
      </c>
      <c r="DS3" s="2180">
        <v>43251</v>
      </c>
      <c r="DT3" s="2181">
        <v>43343</v>
      </c>
      <c r="DU3" s="63"/>
      <c r="DV3" s="2180">
        <v>43434</v>
      </c>
      <c r="DW3" s="2180">
        <v>43524</v>
      </c>
      <c r="DX3" s="2180">
        <v>43616</v>
      </c>
      <c r="DY3" s="2181">
        <v>43708</v>
      </c>
      <c r="DZ3" s="63"/>
      <c r="EA3" s="2180">
        <v>43434</v>
      </c>
      <c r="EB3" s="2180">
        <v>43524</v>
      </c>
      <c r="EC3" s="2180">
        <v>43616</v>
      </c>
      <c r="ED3" s="2181">
        <v>43708</v>
      </c>
      <c r="EE3" s="63"/>
    </row>
    <row r="4" spans="1:232" s="54" customFormat="1" ht="18.75">
      <c r="B4" s="508" t="s">
        <v>52</v>
      </c>
      <c r="C4" s="509"/>
      <c r="D4" s="509"/>
      <c r="E4" s="509"/>
      <c r="F4" s="509"/>
      <c r="G4" s="509"/>
      <c r="H4" s="509"/>
      <c r="I4" s="509"/>
      <c r="J4" s="509"/>
      <c r="K4" s="509"/>
      <c r="L4" s="509"/>
      <c r="M4" s="509"/>
      <c r="N4" s="509"/>
      <c r="O4" s="509"/>
      <c r="P4" s="509"/>
      <c r="Q4" s="509"/>
      <c r="R4" s="509"/>
      <c r="S4" s="509"/>
      <c r="T4" s="509"/>
      <c r="U4" s="509"/>
      <c r="V4" s="509"/>
      <c r="W4" s="509"/>
      <c r="X4" s="509"/>
      <c r="Y4" s="509"/>
      <c r="Z4" s="509"/>
      <c r="AA4" s="509"/>
      <c r="AB4" s="509"/>
      <c r="AC4" s="509"/>
      <c r="AD4" s="509"/>
      <c r="AE4" s="509"/>
      <c r="AF4" s="509"/>
      <c r="AG4" s="509"/>
      <c r="AH4" s="509"/>
      <c r="AI4" s="509"/>
      <c r="AJ4" s="509"/>
      <c r="AK4" s="509"/>
      <c r="AL4" s="509"/>
      <c r="AM4" s="509"/>
      <c r="AN4" s="509"/>
      <c r="AO4" s="509"/>
      <c r="AP4" s="509"/>
      <c r="AQ4" s="509"/>
      <c r="AR4" s="509"/>
      <c r="AS4" s="509"/>
      <c r="AT4" s="509"/>
      <c r="AU4" s="509"/>
      <c r="AV4" s="509"/>
      <c r="AW4" s="509"/>
      <c r="AX4" s="509"/>
      <c r="AY4" s="509"/>
      <c r="AZ4" s="509"/>
      <c r="BA4" s="509"/>
      <c r="BB4" s="509"/>
      <c r="BC4" s="509"/>
      <c r="BD4" s="509"/>
      <c r="BE4" s="509"/>
      <c r="BF4" s="509"/>
      <c r="BG4" s="509"/>
      <c r="BH4" s="509"/>
      <c r="BI4" s="509"/>
      <c r="BJ4" s="509"/>
      <c r="BK4" s="509"/>
      <c r="BL4" s="509"/>
      <c r="BM4" s="509"/>
      <c r="BN4" s="509"/>
      <c r="BO4" s="509"/>
      <c r="BP4" s="509"/>
      <c r="BQ4" s="509"/>
      <c r="BR4" s="509"/>
      <c r="BS4" s="509"/>
      <c r="BT4" s="509"/>
      <c r="BU4" s="509"/>
      <c r="BV4" s="509"/>
      <c r="BW4" s="509"/>
      <c r="BX4" s="509"/>
      <c r="BY4" s="509"/>
      <c r="BZ4" s="509"/>
      <c r="CA4" s="509"/>
      <c r="CB4" s="509"/>
      <c r="CC4" s="509"/>
      <c r="CD4" s="509"/>
      <c r="CE4" s="510"/>
      <c r="CF4" s="511"/>
      <c r="CG4" s="512"/>
      <c r="CH4" s="513"/>
      <c r="CI4" s="513"/>
      <c r="CJ4" s="513"/>
      <c r="CK4" s="513"/>
      <c r="CL4" s="514"/>
      <c r="CM4" s="514"/>
      <c r="CN4" s="514"/>
      <c r="CO4" s="514"/>
      <c r="CP4" s="514"/>
      <c r="CQ4" s="515"/>
      <c r="CR4" s="516"/>
      <c r="CS4" s="509"/>
      <c r="CT4" s="517"/>
      <c r="CU4" s="518"/>
      <c r="CV4" s="509"/>
      <c r="CW4" s="517"/>
      <c r="CX4" s="517"/>
      <c r="CY4" s="519"/>
      <c r="CZ4" s="517"/>
      <c r="DA4" s="509"/>
      <c r="DB4" s="517"/>
      <c r="DC4" s="517"/>
      <c r="DD4" s="517"/>
      <c r="DE4" s="517"/>
      <c r="DF4" s="509"/>
      <c r="DG4" s="509"/>
      <c r="DH4" s="509"/>
      <c r="DI4" s="509"/>
      <c r="DJ4" s="509"/>
      <c r="DK4" s="509"/>
      <c r="DL4" s="509"/>
      <c r="DM4" s="509"/>
      <c r="DN4" s="509"/>
      <c r="DO4" s="509"/>
      <c r="DP4" s="509"/>
      <c r="DQ4" s="509"/>
      <c r="DR4" s="509"/>
      <c r="DS4" s="509"/>
      <c r="DT4" s="509"/>
      <c r="DU4" s="509"/>
      <c r="DV4" s="509"/>
      <c r="DW4" s="509"/>
      <c r="DX4" s="509"/>
      <c r="DY4" s="509"/>
      <c r="DZ4" s="509"/>
      <c r="EA4" s="509"/>
      <c r="EB4" s="509"/>
      <c r="EC4" s="509"/>
      <c r="ED4" s="509"/>
      <c r="EE4" s="509"/>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row>
    <row r="5" spans="1:232" s="54" customFormat="1" ht="12.75" customHeight="1" thickBot="1">
      <c r="B5" s="65" t="s">
        <v>245</v>
      </c>
      <c r="C5" s="66"/>
      <c r="D5" s="66"/>
      <c r="E5" s="66"/>
      <c r="F5" s="66"/>
      <c r="G5" s="66"/>
      <c r="H5" s="66"/>
      <c r="I5" s="66"/>
      <c r="J5" s="66"/>
      <c r="K5" s="66"/>
      <c r="L5" s="66"/>
      <c r="M5" s="66"/>
      <c r="N5" s="66"/>
      <c r="O5" s="66"/>
      <c r="P5" s="66"/>
      <c r="Q5" s="66"/>
      <c r="R5" s="66"/>
      <c r="S5" s="66"/>
      <c r="T5" s="66"/>
      <c r="U5" s="66"/>
      <c r="V5" s="66"/>
      <c r="W5" s="66"/>
      <c r="X5" s="66"/>
      <c r="Y5" s="66"/>
      <c r="Z5" s="66"/>
      <c r="AA5" s="66"/>
      <c r="AB5" s="66"/>
      <c r="AC5" s="66"/>
      <c r="AD5" s="66"/>
      <c r="AE5" s="66"/>
      <c r="AF5" s="66"/>
      <c r="AG5" s="66"/>
      <c r="AH5" s="66"/>
      <c r="AI5" s="66"/>
      <c r="AJ5" s="66"/>
      <c r="AK5" s="66"/>
      <c r="AL5" s="66"/>
      <c r="AM5" s="66"/>
      <c r="AN5" s="66"/>
      <c r="AO5" s="66"/>
      <c r="AP5" s="66"/>
      <c r="AQ5" s="66"/>
      <c r="AR5" s="66"/>
      <c r="AS5" s="66"/>
      <c r="AT5" s="66"/>
      <c r="AU5" s="66"/>
      <c r="AV5" s="66"/>
      <c r="AW5" s="66"/>
      <c r="AX5" s="66"/>
      <c r="AY5" s="66"/>
      <c r="AZ5" s="66"/>
      <c r="BA5" s="66"/>
      <c r="BB5" s="66"/>
      <c r="BC5" s="66"/>
      <c r="BD5" s="66"/>
      <c r="BE5" s="66"/>
      <c r="BF5" s="66"/>
      <c r="BG5" s="66"/>
      <c r="BH5" s="66"/>
      <c r="BI5" s="66"/>
      <c r="BJ5" s="66"/>
      <c r="BK5" s="66"/>
      <c r="BL5" s="66"/>
      <c r="BM5" s="66"/>
      <c r="BN5" s="66"/>
      <c r="BO5" s="66"/>
      <c r="BP5" s="66"/>
      <c r="BQ5" s="66"/>
      <c r="BR5" s="66"/>
      <c r="BS5" s="66"/>
      <c r="BT5" s="66"/>
      <c r="BU5" s="66"/>
      <c r="BV5" s="66"/>
      <c r="BW5" s="66"/>
      <c r="BX5" s="66"/>
      <c r="BY5" s="66"/>
      <c r="BZ5" s="66"/>
      <c r="CA5" s="66"/>
      <c r="CB5" s="66"/>
      <c r="CC5" s="66"/>
      <c r="CD5" s="66"/>
      <c r="CE5" s="66"/>
      <c r="CF5" s="66"/>
      <c r="CG5" s="66"/>
      <c r="CH5" s="66"/>
      <c r="CI5" s="66"/>
      <c r="CJ5" s="66"/>
      <c r="CK5" s="66"/>
      <c r="CL5" s="66"/>
      <c r="CM5" s="66"/>
      <c r="CN5" s="66"/>
      <c r="CO5" s="66"/>
      <c r="CP5" s="66"/>
      <c r="CQ5" s="66"/>
      <c r="CR5" s="66"/>
      <c r="CS5" s="66"/>
      <c r="CT5" s="66"/>
      <c r="CU5" s="66"/>
      <c r="CV5" s="66"/>
      <c r="CW5" s="67"/>
      <c r="CX5" s="67"/>
      <c r="CY5" s="67"/>
      <c r="CZ5" s="67"/>
      <c r="DA5" s="66"/>
      <c r="DB5" s="67"/>
      <c r="DC5" s="66"/>
      <c r="DD5" s="66"/>
      <c r="DE5" s="67"/>
      <c r="DF5" s="66"/>
      <c r="DG5" s="66"/>
      <c r="DH5" s="66"/>
      <c r="DI5" s="66"/>
      <c r="DJ5" s="66"/>
      <c r="DK5" s="66"/>
      <c r="DL5" s="66"/>
      <c r="DM5" s="66"/>
      <c r="DN5" s="66"/>
      <c r="DO5" s="66"/>
      <c r="DP5" s="66"/>
      <c r="DQ5" s="66"/>
      <c r="DR5" s="66"/>
      <c r="DS5" s="66"/>
      <c r="DT5" s="66"/>
      <c r="DU5" s="66"/>
      <c r="DV5" s="66"/>
      <c r="DW5" s="66"/>
      <c r="DX5" s="66"/>
      <c r="DY5" s="66"/>
      <c r="DZ5" s="66"/>
      <c r="EA5" s="66"/>
      <c r="EB5" s="66"/>
      <c r="EC5" s="66"/>
      <c r="ED5" s="66"/>
      <c r="EE5" s="66"/>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row>
    <row r="6" spans="1:232" s="69" customFormat="1" ht="12.75" customHeight="1" thickBot="1">
      <c r="A6" s="68"/>
      <c r="B6" s="520" t="s">
        <v>246</v>
      </c>
      <c r="C6" s="521"/>
      <c r="D6" s="522"/>
      <c r="E6" s="522"/>
      <c r="F6" s="522"/>
      <c r="G6" s="522"/>
      <c r="H6" s="522"/>
      <c r="I6" s="522"/>
      <c r="J6" s="522"/>
      <c r="K6" s="527" t="s">
        <v>143</v>
      </c>
      <c r="L6" s="528"/>
      <c r="M6" s="528"/>
      <c r="N6" s="528"/>
      <c r="O6" s="529"/>
      <c r="P6" s="527" t="s">
        <v>143</v>
      </c>
      <c r="Q6" s="528"/>
      <c r="R6" s="528"/>
      <c r="S6" s="528"/>
      <c r="T6" s="529"/>
      <c r="U6" s="527" t="s">
        <v>143</v>
      </c>
      <c r="V6" s="528"/>
      <c r="W6" s="528"/>
      <c r="X6" s="528"/>
      <c r="Y6" s="529"/>
      <c r="Z6" s="527" t="s">
        <v>143</v>
      </c>
      <c r="AA6" s="528"/>
      <c r="AB6" s="528"/>
      <c r="AC6" s="528"/>
      <c r="AD6" s="529"/>
      <c r="AE6" s="527" t="s">
        <v>143</v>
      </c>
      <c r="AF6" s="528"/>
      <c r="AG6" s="528"/>
      <c r="AH6" s="528"/>
      <c r="AI6" s="529"/>
      <c r="AJ6" s="527" t="s">
        <v>143</v>
      </c>
      <c r="AK6" s="528"/>
      <c r="AL6" s="528"/>
      <c r="AM6" s="528"/>
      <c r="AN6" s="529"/>
      <c r="AO6" s="527" t="s">
        <v>143</v>
      </c>
      <c r="AP6" s="528"/>
      <c r="AQ6" s="528"/>
      <c r="AR6" s="528"/>
      <c r="AS6" s="529"/>
      <c r="AT6" s="527" t="s">
        <v>143</v>
      </c>
      <c r="AU6" s="528"/>
      <c r="AV6" s="528"/>
      <c r="AW6" s="528"/>
      <c r="AX6" s="529"/>
      <c r="AY6" s="527" t="s">
        <v>143</v>
      </c>
      <c r="AZ6" s="528"/>
      <c r="BA6" s="528"/>
      <c r="BB6" s="528"/>
      <c r="BC6" s="529"/>
      <c r="BD6" s="527" t="s">
        <v>143</v>
      </c>
      <c r="BE6" s="528"/>
      <c r="BF6" s="528"/>
      <c r="BG6" s="528"/>
      <c r="BH6" s="529"/>
      <c r="BI6" s="527" t="s">
        <v>143</v>
      </c>
      <c r="BJ6" s="528"/>
      <c r="BK6" s="528"/>
      <c r="BL6" s="528"/>
      <c r="BM6" s="529"/>
      <c r="BN6" s="527" t="s">
        <v>143</v>
      </c>
      <c r="BO6" s="528"/>
      <c r="BP6" s="528"/>
      <c r="BQ6" s="528"/>
      <c r="BR6" s="529"/>
      <c r="BS6" s="527" t="s">
        <v>143</v>
      </c>
      <c r="BT6" s="528"/>
      <c r="BU6" s="528"/>
      <c r="BV6" s="528"/>
      <c r="BW6" s="529"/>
      <c r="BX6" s="527" t="s">
        <v>143</v>
      </c>
      <c r="BY6" s="528"/>
      <c r="BZ6" s="528"/>
      <c r="CA6" s="528"/>
      <c r="CB6" s="529"/>
      <c r="CC6" s="527" t="s">
        <v>143</v>
      </c>
      <c r="CD6" s="528"/>
      <c r="CE6" s="528"/>
      <c r="CF6" s="528"/>
      <c r="CG6" s="529"/>
      <c r="CH6" s="528" t="s">
        <v>143</v>
      </c>
      <c r="CI6" s="528"/>
      <c r="CJ6" s="528"/>
      <c r="CK6" s="528"/>
      <c r="CL6" s="529"/>
      <c r="CM6" s="528" t="s">
        <v>143</v>
      </c>
      <c r="CN6" s="528"/>
      <c r="CO6" s="528"/>
      <c r="CP6" s="528"/>
      <c r="CQ6" s="529"/>
      <c r="CR6" s="528" t="s">
        <v>143</v>
      </c>
      <c r="CS6" s="528"/>
      <c r="CT6" s="528"/>
      <c r="CU6" s="528"/>
      <c r="CV6" s="529"/>
      <c r="CW6" s="528" t="s">
        <v>143</v>
      </c>
      <c r="CX6" s="528"/>
      <c r="CY6" s="528"/>
      <c r="CZ6" s="528"/>
      <c r="DA6" s="529"/>
      <c r="DB6" s="528" t="s">
        <v>143</v>
      </c>
      <c r="DC6" s="528"/>
      <c r="DD6" s="528"/>
      <c r="DE6" s="528"/>
      <c r="DF6" s="529"/>
      <c r="DG6" s="528" t="s">
        <v>143</v>
      </c>
      <c r="DH6" s="528"/>
      <c r="DI6" s="528"/>
      <c r="DJ6" s="528"/>
      <c r="DK6" s="529"/>
      <c r="DL6" s="528" t="s">
        <v>143</v>
      </c>
      <c r="DM6" s="528"/>
      <c r="DN6" s="528"/>
      <c r="DO6" s="528"/>
      <c r="DP6" s="529"/>
      <c r="DQ6" s="528" t="s">
        <v>143</v>
      </c>
      <c r="DR6" s="528"/>
      <c r="DS6" s="528"/>
      <c r="DT6" s="528"/>
      <c r="DU6" s="529"/>
      <c r="DV6" s="528" t="s">
        <v>143</v>
      </c>
      <c r="DW6" s="528"/>
      <c r="DX6" s="528"/>
      <c r="DY6" s="528"/>
      <c r="DZ6" s="529"/>
      <c r="EA6" s="528" t="s">
        <v>143</v>
      </c>
      <c r="EB6" s="528"/>
      <c r="EC6" s="528"/>
      <c r="ED6" s="528"/>
      <c r="EE6" s="529"/>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row>
    <row r="7" spans="1:232" s="69" customFormat="1" ht="12.75" customHeight="1" thickBot="1">
      <c r="A7" s="68"/>
      <c r="B7" s="523" t="s">
        <v>406</v>
      </c>
      <c r="C7" s="524"/>
      <c r="D7" s="525">
        <v>1989</v>
      </c>
      <c r="E7" s="525">
        <f t="shared" ref="E7:J7" si="0">D7+1</f>
        <v>1990</v>
      </c>
      <c r="F7" s="525">
        <f t="shared" si="0"/>
        <v>1991</v>
      </c>
      <c r="G7" s="525">
        <f t="shared" si="0"/>
        <v>1992</v>
      </c>
      <c r="H7" s="525">
        <f t="shared" si="0"/>
        <v>1993</v>
      </c>
      <c r="I7" s="525">
        <f t="shared" si="0"/>
        <v>1994</v>
      </c>
      <c r="J7" s="526">
        <f t="shared" si="0"/>
        <v>1995</v>
      </c>
      <c r="K7" s="531" t="s">
        <v>144</v>
      </c>
      <c r="L7" s="532" t="s">
        <v>145</v>
      </c>
      <c r="M7" s="532" t="s">
        <v>146</v>
      </c>
      <c r="N7" s="533" t="s">
        <v>147</v>
      </c>
      <c r="O7" s="534">
        <f>J7+1</f>
        <v>1996</v>
      </c>
      <c r="P7" s="531" t="s">
        <v>144</v>
      </c>
      <c r="Q7" s="532" t="s">
        <v>145</v>
      </c>
      <c r="R7" s="532" t="s">
        <v>146</v>
      </c>
      <c r="S7" s="533" t="s">
        <v>147</v>
      </c>
      <c r="T7" s="534">
        <f>O7+1</f>
        <v>1997</v>
      </c>
      <c r="U7" s="531" t="s">
        <v>144</v>
      </c>
      <c r="V7" s="532" t="s">
        <v>145</v>
      </c>
      <c r="W7" s="532" t="s">
        <v>146</v>
      </c>
      <c r="X7" s="533" t="s">
        <v>147</v>
      </c>
      <c r="Y7" s="534">
        <f>T7+1</f>
        <v>1998</v>
      </c>
      <c r="Z7" s="531" t="s">
        <v>144</v>
      </c>
      <c r="AA7" s="532" t="s">
        <v>145</v>
      </c>
      <c r="AB7" s="532" t="s">
        <v>146</v>
      </c>
      <c r="AC7" s="533" t="s">
        <v>147</v>
      </c>
      <c r="AD7" s="534">
        <f>Y7+1</f>
        <v>1999</v>
      </c>
      <c r="AE7" s="531" t="s">
        <v>144</v>
      </c>
      <c r="AF7" s="532" t="s">
        <v>145</v>
      </c>
      <c r="AG7" s="532" t="s">
        <v>146</v>
      </c>
      <c r="AH7" s="533" t="s">
        <v>147</v>
      </c>
      <c r="AI7" s="534">
        <f>AD7+1</f>
        <v>2000</v>
      </c>
      <c r="AJ7" s="531" t="s">
        <v>144</v>
      </c>
      <c r="AK7" s="532" t="s">
        <v>145</v>
      </c>
      <c r="AL7" s="532" t="s">
        <v>146</v>
      </c>
      <c r="AM7" s="533" t="s">
        <v>147</v>
      </c>
      <c r="AN7" s="534">
        <f>AI7+1</f>
        <v>2001</v>
      </c>
      <c r="AO7" s="531" t="s">
        <v>144</v>
      </c>
      <c r="AP7" s="532" t="s">
        <v>145</v>
      </c>
      <c r="AQ7" s="532" t="s">
        <v>146</v>
      </c>
      <c r="AR7" s="533" t="s">
        <v>147</v>
      </c>
      <c r="AS7" s="534">
        <f>AN7+1</f>
        <v>2002</v>
      </c>
      <c r="AT7" s="531" t="s">
        <v>144</v>
      </c>
      <c r="AU7" s="532" t="s">
        <v>145</v>
      </c>
      <c r="AV7" s="532" t="s">
        <v>146</v>
      </c>
      <c r="AW7" s="533" t="s">
        <v>147</v>
      </c>
      <c r="AX7" s="534">
        <f>AS7+1</f>
        <v>2003</v>
      </c>
      <c r="AY7" s="531" t="s">
        <v>144</v>
      </c>
      <c r="AZ7" s="532" t="s">
        <v>145</v>
      </c>
      <c r="BA7" s="532" t="s">
        <v>146</v>
      </c>
      <c r="BB7" s="533" t="s">
        <v>147</v>
      </c>
      <c r="BC7" s="534">
        <f>AX7+1</f>
        <v>2004</v>
      </c>
      <c r="BD7" s="531" t="s">
        <v>144</v>
      </c>
      <c r="BE7" s="532" t="s">
        <v>145</v>
      </c>
      <c r="BF7" s="532" t="s">
        <v>146</v>
      </c>
      <c r="BG7" s="533" t="s">
        <v>147</v>
      </c>
      <c r="BH7" s="534">
        <f>BC7+1</f>
        <v>2005</v>
      </c>
      <c r="BI7" s="531" t="s">
        <v>144</v>
      </c>
      <c r="BJ7" s="532" t="s">
        <v>145</v>
      </c>
      <c r="BK7" s="532" t="s">
        <v>146</v>
      </c>
      <c r="BL7" s="533" t="s">
        <v>147</v>
      </c>
      <c r="BM7" s="534">
        <f>BH7+1</f>
        <v>2006</v>
      </c>
      <c r="BN7" s="531" t="s">
        <v>144</v>
      </c>
      <c r="BO7" s="532" t="s">
        <v>145</v>
      </c>
      <c r="BP7" s="532" t="s">
        <v>146</v>
      </c>
      <c r="BQ7" s="533" t="s">
        <v>147</v>
      </c>
      <c r="BR7" s="534">
        <f>BM7+1</f>
        <v>2007</v>
      </c>
      <c r="BS7" s="531" t="s">
        <v>144</v>
      </c>
      <c r="BT7" s="532" t="s">
        <v>145</v>
      </c>
      <c r="BU7" s="532" t="s">
        <v>146</v>
      </c>
      <c r="BV7" s="533" t="s">
        <v>147</v>
      </c>
      <c r="BW7" s="534">
        <f>BR7+1</f>
        <v>2008</v>
      </c>
      <c r="BX7" s="531" t="s">
        <v>144</v>
      </c>
      <c r="BY7" s="532" t="s">
        <v>145</v>
      </c>
      <c r="BZ7" s="532" t="s">
        <v>146</v>
      </c>
      <c r="CA7" s="533" t="s">
        <v>147</v>
      </c>
      <c r="CB7" s="534">
        <f>BW7+1</f>
        <v>2009</v>
      </c>
      <c r="CC7" s="531" t="s">
        <v>144</v>
      </c>
      <c r="CD7" s="532" t="s">
        <v>145</v>
      </c>
      <c r="CE7" s="532" t="s">
        <v>146</v>
      </c>
      <c r="CF7" s="532" t="s">
        <v>147</v>
      </c>
      <c r="CG7" s="534">
        <f>CB7+1</f>
        <v>2010</v>
      </c>
      <c r="CH7" s="532" t="s">
        <v>144</v>
      </c>
      <c r="CI7" s="532" t="s">
        <v>145</v>
      </c>
      <c r="CJ7" s="532" t="s">
        <v>146</v>
      </c>
      <c r="CK7" s="532" t="s">
        <v>147</v>
      </c>
      <c r="CL7" s="534">
        <f>CG7+1</f>
        <v>2011</v>
      </c>
      <c r="CM7" s="532" t="s">
        <v>144</v>
      </c>
      <c r="CN7" s="532" t="s">
        <v>145</v>
      </c>
      <c r="CO7" s="532" t="s">
        <v>146</v>
      </c>
      <c r="CP7" s="532" t="s">
        <v>147</v>
      </c>
      <c r="CQ7" s="534">
        <f>CL7+1</f>
        <v>2012</v>
      </c>
      <c r="CR7" s="530" t="s">
        <v>144</v>
      </c>
      <c r="CS7" s="530" t="s">
        <v>145</v>
      </c>
      <c r="CT7" s="530" t="s">
        <v>146</v>
      </c>
      <c r="CU7" s="530" t="s">
        <v>147</v>
      </c>
      <c r="CV7" s="534">
        <f>CQ7+1</f>
        <v>2013</v>
      </c>
      <c r="CW7" s="530" t="s">
        <v>144</v>
      </c>
      <c r="CX7" s="530" t="s">
        <v>145</v>
      </c>
      <c r="CY7" s="530" t="s">
        <v>146</v>
      </c>
      <c r="CZ7" s="530" t="s">
        <v>147</v>
      </c>
      <c r="DA7" s="534">
        <f>CV7+1</f>
        <v>2014</v>
      </c>
      <c r="DB7" s="530" t="s">
        <v>144</v>
      </c>
      <c r="DC7" s="530" t="s">
        <v>145</v>
      </c>
      <c r="DD7" s="530" t="s">
        <v>146</v>
      </c>
      <c r="DE7" s="530" t="s">
        <v>147</v>
      </c>
      <c r="DF7" s="534">
        <f>DA7+1</f>
        <v>2015</v>
      </c>
      <c r="DG7" s="530" t="s">
        <v>144</v>
      </c>
      <c r="DH7" s="530" t="s">
        <v>145</v>
      </c>
      <c r="DI7" s="530" t="s">
        <v>146</v>
      </c>
      <c r="DJ7" s="530" t="s">
        <v>147</v>
      </c>
      <c r="DK7" s="534">
        <f>DF7+1</f>
        <v>2016</v>
      </c>
      <c r="DL7" s="530" t="s">
        <v>144</v>
      </c>
      <c r="DM7" s="530" t="s">
        <v>145</v>
      </c>
      <c r="DN7" s="530" t="s">
        <v>146</v>
      </c>
      <c r="DO7" s="530" t="s">
        <v>147</v>
      </c>
      <c r="DP7" s="534">
        <f>DK7+1</f>
        <v>2017</v>
      </c>
      <c r="DQ7" s="530" t="s">
        <v>144</v>
      </c>
      <c r="DR7" s="530" t="s">
        <v>148</v>
      </c>
      <c r="DS7" s="530" t="s">
        <v>149</v>
      </c>
      <c r="DT7" s="530" t="s">
        <v>150</v>
      </c>
      <c r="DU7" s="682">
        <f>DP7+1</f>
        <v>2018</v>
      </c>
      <c r="DV7" s="530" t="s">
        <v>482</v>
      </c>
      <c r="DW7" s="530" t="s">
        <v>148</v>
      </c>
      <c r="DX7" s="530" t="s">
        <v>149</v>
      </c>
      <c r="DY7" s="530" t="s">
        <v>150</v>
      </c>
      <c r="DZ7" s="682">
        <f>DU7+1</f>
        <v>2019</v>
      </c>
      <c r="EA7" s="530" t="s">
        <v>482</v>
      </c>
      <c r="EB7" s="530" t="s">
        <v>148</v>
      </c>
      <c r="EC7" s="530" t="s">
        <v>149</v>
      </c>
      <c r="ED7" s="530" t="s">
        <v>150</v>
      </c>
      <c r="EE7" s="682">
        <f>DZ7+1</f>
        <v>2020</v>
      </c>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row>
    <row r="8" spans="1:232" s="286" customFormat="1" ht="4.5" customHeight="1">
      <c r="B8" s="1238"/>
      <c r="C8" s="1239"/>
      <c r="D8" s="287"/>
      <c r="E8" s="287"/>
      <c r="F8" s="287"/>
      <c r="G8" s="287"/>
      <c r="H8" s="287"/>
      <c r="I8" s="287"/>
      <c r="J8" s="287"/>
      <c r="K8" s="603"/>
      <c r="L8" s="289"/>
      <c r="M8" s="289"/>
      <c r="N8" s="604"/>
      <c r="O8" s="617"/>
      <c r="P8" s="289"/>
      <c r="Q8" s="289"/>
      <c r="R8" s="289"/>
      <c r="S8" s="290"/>
      <c r="T8" s="287"/>
      <c r="U8" s="288"/>
      <c r="V8" s="289"/>
      <c r="W8" s="289"/>
      <c r="X8" s="290"/>
      <c r="Y8" s="287"/>
      <c r="Z8" s="288"/>
      <c r="AA8" s="289"/>
      <c r="AB8" s="289"/>
      <c r="AC8" s="290"/>
      <c r="AD8" s="287"/>
      <c r="AE8" s="288"/>
      <c r="AF8" s="289"/>
      <c r="AG8" s="289"/>
      <c r="AH8" s="290"/>
      <c r="AI8" s="287"/>
      <c r="AJ8" s="288"/>
      <c r="AK8" s="289"/>
      <c r="AL8" s="289"/>
      <c r="AM8" s="290"/>
      <c r="AN8" s="287"/>
      <c r="AO8" s="288"/>
      <c r="AP8" s="289"/>
      <c r="AQ8" s="289"/>
      <c r="AR8" s="290"/>
      <c r="AS8" s="291"/>
      <c r="AT8" s="288"/>
      <c r="AU8" s="289"/>
      <c r="AV8" s="289"/>
      <c r="AW8" s="290"/>
      <c r="AX8" s="292"/>
      <c r="AY8" s="288"/>
      <c r="AZ8" s="289"/>
      <c r="BA8" s="289"/>
      <c r="BB8" s="290"/>
      <c r="BC8" s="292"/>
      <c r="BD8" s="288"/>
      <c r="BE8" s="289"/>
      <c r="BF8" s="289"/>
      <c r="BG8" s="290"/>
      <c r="BH8" s="292"/>
      <c r="BI8" s="288"/>
      <c r="BJ8" s="289"/>
      <c r="BK8" s="289"/>
      <c r="BL8" s="290"/>
      <c r="BM8" s="293"/>
      <c r="BN8" s="288"/>
      <c r="BO8" s="289"/>
      <c r="BP8" s="289"/>
      <c r="BQ8" s="290"/>
      <c r="BR8" s="293"/>
      <c r="BS8" s="288"/>
      <c r="BT8" s="289"/>
      <c r="BU8" s="289"/>
      <c r="BV8" s="290"/>
      <c r="BW8" s="293"/>
      <c r="BX8" s="294"/>
      <c r="BY8" s="289"/>
      <c r="BZ8" s="289"/>
      <c r="CA8" s="290"/>
      <c r="CB8" s="293"/>
      <c r="CC8" s="294"/>
      <c r="CD8" s="295"/>
      <c r="CE8" s="284"/>
      <c r="CF8" s="284"/>
      <c r="CG8" s="1247"/>
      <c r="CH8" s="284"/>
      <c r="CI8" s="284"/>
      <c r="CJ8" s="296"/>
      <c r="CK8" s="296"/>
      <c r="CL8" s="1247"/>
      <c r="CM8" s="284"/>
      <c r="CN8" s="284"/>
      <c r="CO8" s="296"/>
      <c r="CP8" s="296"/>
      <c r="CQ8" s="818"/>
      <c r="CR8" s="296"/>
      <c r="CS8" s="296"/>
      <c r="CT8" s="296"/>
      <c r="CU8" s="296"/>
      <c r="CV8" s="818"/>
      <c r="CW8" s="296"/>
      <c r="CX8" s="296"/>
      <c r="CY8" s="296"/>
      <c r="CZ8" s="296"/>
      <c r="DA8" s="818"/>
      <c r="DB8" s="296"/>
      <c r="DC8" s="296"/>
      <c r="DD8" s="296"/>
      <c r="DE8" s="296"/>
      <c r="DF8" s="818"/>
      <c r="DG8" s="1755"/>
      <c r="DH8" s="1756"/>
      <c r="DI8" s="1756"/>
      <c r="DJ8" s="1757"/>
      <c r="DK8" s="1247"/>
      <c r="DL8" s="1809"/>
      <c r="DM8" s="1810"/>
      <c r="DN8" s="1810"/>
      <c r="DO8" s="1811"/>
      <c r="DP8" s="1247"/>
      <c r="DQ8" s="1809"/>
      <c r="DR8" s="1810"/>
      <c r="DS8" s="1810"/>
      <c r="DT8" s="1811"/>
      <c r="DU8" s="1247"/>
      <c r="DV8" s="1809"/>
      <c r="DW8" s="1810"/>
      <c r="DX8" s="1810"/>
      <c r="DY8" s="1811"/>
      <c r="DZ8" s="1247"/>
      <c r="EA8" s="1809"/>
      <c r="EB8" s="1810"/>
      <c r="EC8" s="1810"/>
      <c r="ED8" s="1811"/>
      <c r="EE8" s="1247"/>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row>
    <row r="9" spans="1:232" s="70" customFormat="1">
      <c r="B9" s="541" t="s">
        <v>455</v>
      </c>
      <c r="C9" s="542"/>
      <c r="D9" s="297">
        <v>5380.1329999999998</v>
      </c>
      <c r="E9" s="297">
        <v>6047.4939999999997</v>
      </c>
      <c r="F9" s="297">
        <v>6733.0439999999999</v>
      </c>
      <c r="G9" s="297">
        <v>7474.9610000000002</v>
      </c>
      <c r="H9" s="297">
        <v>8294.84</v>
      </c>
      <c r="I9" s="297">
        <v>9234.9779999999992</v>
      </c>
      <c r="J9" s="297">
        <v>10395.096</v>
      </c>
      <c r="K9" s="541">
        <v>2692.7669999999998</v>
      </c>
      <c r="L9" s="70">
        <v>3179.0889999999999</v>
      </c>
      <c r="M9" s="70">
        <v>2988.8359999999998</v>
      </c>
      <c r="N9" s="542">
        <v>2917.7159999999999</v>
      </c>
      <c r="O9" s="618">
        <f>SUM(K9:N9)</f>
        <v>11778.407999999999</v>
      </c>
      <c r="P9" s="70">
        <v>3053.9789999999998</v>
      </c>
      <c r="Q9" s="70">
        <v>3602.62</v>
      </c>
      <c r="R9" s="70">
        <v>3403.2809999999999</v>
      </c>
      <c r="S9" s="92">
        <v>3303.143</v>
      </c>
      <c r="T9" s="297">
        <f>SUM(P9:S9)</f>
        <v>13363.023000000001</v>
      </c>
      <c r="U9" s="298">
        <v>3485.16</v>
      </c>
      <c r="V9" s="70">
        <v>4093.4670000000001</v>
      </c>
      <c r="W9" s="70">
        <v>3887.462</v>
      </c>
      <c r="X9" s="92">
        <v>3840.471</v>
      </c>
      <c r="Y9" s="297">
        <f>SUM(U9:X9)</f>
        <v>15306.56</v>
      </c>
      <c r="Z9" s="298">
        <v>4016.4</v>
      </c>
      <c r="AA9" s="70">
        <v>4691</v>
      </c>
      <c r="AB9" s="70">
        <v>4571.3999999999996</v>
      </c>
      <c r="AC9" s="92">
        <v>4560</v>
      </c>
      <c r="AD9" s="297">
        <f>SUM(Z9:AC9)</f>
        <v>17838.8</v>
      </c>
      <c r="AE9" s="298">
        <v>4823.2</v>
      </c>
      <c r="AF9" s="70">
        <v>5608.8</v>
      </c>
      <c r="AG9" s="70">
        <v>5394.1</v>
      </c>
      <c r="AH9" s="92">
        <v>5380.8</v>
      </c>
      <c r="AI9" s="297">
        <f>SUM(AE9:AH9)</f>
        <v>21206.9</v>
      </c>
      <c r="AJ9" s="298">
        <v>5614.2</v>
      </c>
      <c r="AK9" s="70">
        <v>6429</v>
      </c>
      <c r="AL9" s="70">
        <v>6296.2</v>
      </c>
      <c r="AM9" s="92">
        <v>6283.6</v>
      </c>
      <c r="AN9" s="297">
        <v>24623</v>
      </c>
      <c r="AO9" s="298">
        <v>6559.4</v>
      </c>
      <c r="AP9" s="70">
        <v>7488.5</v>
      </c>
      <c r="AQ9" s="70">
        <v>7397.9</v>
      </c>
      <c r="AR9" s="92">
        <v>7235.3</v>
      </c>
      <c r="AS9" s="297">
        <f>SUM(AO9:AR9)</f>
        <v>28681.1</v>
      </c>
      <c r="AT9" s="298">
        <v>7484.9</v>
      </c>
      <c r="AU9" s="70">
        <v>8446.1</v>
      </c>
      <c r="AV9" s="70">
        <v>8328</v>
      </c>
      <c r="AW9" s="92">
        <v>8246.4</v>
      </c>
      <c r="AX9" s="297">
        <f>SUM(AT9:AW9)</f>
        <v>32505.4</v>
      </c>
      <c r="AY9" s="298">
        <v>8720.7999999999993</v>
      </c>
      <c r="AZ9" s="70">
        <v>9782.2000000000007</v>
      </c>
      <c r="BA9" s="70">
        <v>9578.5</v>
      </c>
      <c r="BB9" s="92">
        <v>9426.7000000000007</v>
      </c>
      <c r="BC9" s="297">
        <f>SUM(AY9:BB9)</f>
        <v>37508.199999999997</v>
      </c>
      <c r="BD9" s="298">
        <v>9889.1</v>
      </c>
      <c r="BE9" s="70">
        <v>10987</v>
      </c>
      <c r="BF9" s="70">
        <v>10830.6</v>
      </c>
      <c r="BG9" s="92">
        <v>10494.9</v>
      </c>
      <c r="BH9" s="297">
        <f>SUM(BD9:BG9)</f>
        <v>42201.599999999999</v>
      </c>
      <c r="BI9" s="298">
        <v>10900.4</v>
      </c>
      <c r="BJ9" s="70">
        <v>12163.1</v>
      </c>
      <c r="BK9" s="70">
        <v>12175.2</v>
      </c>
      <c r="BL9" s="92">
        <v>12170.3</v>
      </c>
      <c r="BM9" s="297">
        <f>SUM(BI9:BL9)</f>
        <v>47409</v>
      </c>
      <c r="BN9" s="298">
        <v>12708.5</v>
      </c>
      <c r="BO9" s="70">
        <v>13933.7</v>
      </c>
      <c r="BP9" s="70">
        <v>13698.3</v>
      </c>
      <c r="BQ9" s="92">
        <v>13421.5</v>
      </c>
      <c r="BR9" s="299">
        <f>SUM(BN9:BQ9)</f>
        <v>53762</v>
      </c>
      <c r="BS9" s="298">
        <v>14027.9</v>
      </c>
      <c r="BT9" s="70">
        <v>15393.6</v>
      </c>
      <c r="BU9" s="70">
        <v>15015.7</v>
      </c>
      <c r="BV9" s="92">
        <v>14597.1</v>
      </c>
      <c r="BW9" s="300">
        <f>SUM(BS9:BV9)</f>
        <v>59034.299999999996</v>
      </c>
      <c r="BX9" s="298">
        <v>14947</v>
      </c>
      <c r="BY9" s="70">
        <v>16475</v>
      </c>
      <c r="BZ9" s="70">
        <v>16210</v>
      </c>
      <c r="CA9" s="92">
        <v>15703</v>
      </c>
      <c r="CB9" s="300">
        <f>SUM(BX9:CA9)</f>
        <v>63335</v>
      </c>
      <c r="CC9" s="298">
        <v>16364</v>
      </c>
      <c r="CD9" s="70">
        <v>16987</v>
      </c>
      <c r="CE9" s="70">
        <v>17199</v>
      </c>
      <c r="CF9" s="70">
        <v>16870</v>
      </c>
      <c r="CG9" s="819">
        <f>SUM(CC9:CF9)</f>
        <v>67420</v>
      </c>
      <c r="CH9" s="70">
        <v>17344</v>
      </c>
      <c r="CI9" s="70">
        <v>18502</v>
      </c>
      <c r="CJ9" s="70">
        <v>18371</v>
      </c>
      <c r="CK9" s="70">
        <v>17967</v>
      </c>
      <c r="CL9" s="819">
        <f>SUM(CH9:CK9)</f>
        <v>72184</v>
      </c>
      <c r="CM9" s="70">
        <v>18157</v>
      </c>
      <c r="CN9" s="70">
        <v>18651</v>
      </c>
      <c r="CO9" s="70">
        <v>17752</v>
      </c>
      <c r="CP9" s="70">
        <v>17073</v>
      </c>
      <c r="CQ9" s="819">
        <f>SUM(CM9:CP9)</f>
        <v>71633</v>
      </c>
      <c r="CR9" s="70">
        <v>17316</v>
      </c>
      <c r="CS9" s="70">
        <v>18647</v>
      </c>
      <c r="CT9" s="70">
        <v>18313</v>
      </c>
      <c r="CU9" s="70">
        <v>17941</v>
      </c>
      <c r="CV9" s="819">
        <f>SUM(CR9:CU9)</f>
        <v>72217</v>
      </c>
      <c r="CW9" s="70">
        <v>18329</v>
      </c>
      <c r="CX9" s="70">
        <v>19605</v>
      </c>
      <c r="CY9" s="70">
        <v>19401</v>
      </c>
      <c r="CZ9" s="70">
        <v>19057</v>
      </c>
      <c r="DA9" s="819">
        <f>SUM(CW9:CZ9)</f>
        <v>76392</v>
      </c>
      <c r="DB9" s="70">
        <v>19554</v>
      </c>
      <c r="DC9" s="1692">
        <v>26573</v>
      </c>
      <c r="DD9" s="1692">
        <v>28795</v>
      </c>
      <c r="DE9" s="1692">
        <v>28522</v>
      </c>
      <c r="DF9" s="819">
        <f>SUM(DB9:DE9)</f>
        <v>103444</v>
      </c>
      <c r="DG9" s="1692">
        <v>29033</v>
      </c>
      <c r="DH9" s="1692">
        <v>30184</v>
      </c>
      <c r="DI9" s="1692">
        <v>29498</v>
      </c>
      <c r="DJ9" s="1692">
        <v>28636</v>
      </c>
      <c r="DK9" s="796">
        <f>SUM(DG9:DJ9)</f>
        <v>117351</v>
      </c>
      <c r="DL9" s="1692">
        <v>28501</v>
      </c>
      <c r="DM9" s="1692">
        <v>29446</v>
      </c>
      <c r="DN9" s="1692">
        <v>30118</v>
      </c>
      <c r="DO9" s="1692">
        <v>30149</v>
      </c>
      <c r="DP9" s="796">
        <f>SUM(DL9:DO9)</f>
        <v>118214</v>
      </c>
      <c r="DQ9" s="1692">
        <v>30740</v>
      </c>
      <c r="DR9" s="70">
        <f ca="1">'US Retail'!DR188+'International Retail'!DR13+'International Wholesale'!DR12</f>
        <v>33566.861696755666</v>
      </c>
      <c r="DS9" s="70">
        <f ca="1">'US Retail'!DS188+'International Retail'!DS13+'International Wholesale'!DS12</f>
        <v>33846.769999439988</v>
      </c>
      <c r="DT9" s="542">
        <f>'US Retail'!DT188+'International Retail'!DT13+'International Wholesale'!DT12</f>
        <v>33300.983209543454</v>
      </c>
      <c r="DU9" s="796">
        <f ca="1">SUM(DQ9:DT9)</f>
        <v>131454.61490573912</v>
      </c>
      <c r="DV9" s="541">
        <f>'US Retail'!DV188+'International Retail'!DV13+'International Wholesale'!DV12</f>
        <v>33290.238599673678</v>
      </c>
      <c r="DW9" s="70">
        <f ca="1">'US Retail'!DW188+'International Retail'!DW13+'International Wholesale'!DW12</f>
        <v>34360.8961025096</v>
      </c>
      <c r="DX9" s="70">
        <f ca="1">'US Retail'!DX188+'International Retail'!DX13+'International Wholesale'!DX12</f>
        <v>34363.933544856904</v>
      </c>
      <c r="DY9" s="542">
        <f>'US Retail'!DY188+'International Retail'!DY13+'International Wholesale'!DY12</f>
        <v>33802.297253989949</v>
      </c>
      <c r="DZ9" s="796">
        <f ca="1">SUM(DV9:DY9)</f>
        <v>135817.36550103012</v>
      </c>
      <c r="EA9" s="541">
        <f>'US Retail'!EA188+'International Retail'!EA13+'International Wholesale'!EA12</f>
        <v>33888.349850143466</v>
      </c>
      <c r="EB9" s="70">
        <f ca="1">'US Retail'!EB188+'International Retail'!EB13+'International Wholesale'!EB12</f>
        <v>34959.600922786703</v>
      </c>
      <c r="EC9" s="70">
        <f ca="1">'US Retail'!EC188+'International Retail'!EC13+'International Wholesale'!EC12</f>
        <v>34993.838013079541</v>
      </c>
      <c r="ED9" s="542">
        <f>'US Retail'!ED188+'International Retail'!ED13+'International Wholesale'!ED12</f>
        <v>34455.105501630089</v>
      </c>
      <c r="EE9" s="796">
        <f ca="1">SUM(EA9:ED9)</f>
        <v>138296.89428763979</v>
      </c>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row>
    <row r="10" spans="1:232" s="64" customFormat="1">
      <c r="B10" s="623" t="s">
        <v>231</v>
      </c>
      <c r="C10" s="1244"/>
      <c r="D10" s="635">
        <v>3809.7459999999996</v>
      </c>
      <c r="E10" s="635">
        <v>4317.5919999999996</v>
      </c>
      <c r="F10" s="635">
        <v>4788.8980000000001</v>
      </c>
      <c r="G10" s="635">
        <v>5342.8250000000007</v>
      </c>
      <c r="H10" s="635">
        <v>5930.8810000000003</v>
      </c>
      <c r="I10" s="635">
        <v>6609.3410000000003</v>
      </c>
      <c r="J10" s="270">
        <v>7460.8649999999998</v>
      </c>
      <c r="K10" s="573">
        <f>1945.221+8.564</f>
        <v>1953.7850000000001</v>
      </c>
      <c r="L10" s="270">
        <f>(2284.337)</f>
        <v>2284.337</v>
      </c>
      <c r="M10" s="270">
        <f>(2162.051)</f>
        <v>2162.0509999999999</v>
      </c>
      <c r="N10" s="571">
        <f>2110.458</f>
        <v>2110.4580000000001</v>
      </c>
      <c r="O10" s="616">
        <f>SUM(K10:N10)</f>
        <v>8510.6310000000012</v>
      </c>
      <c r="P10" s="270">
        <f>2218.038</f>
        <v>2218.038</v>
      </c>
      <c r="Q10" s="270">
        <f>2587.304</f>
        <v>2587.3040000000001</v>
      </c>
      <c r="R10" s="270">
        <f>2466.314</f>
        <v>2466.3139999999999</v>
      </c>
      <c r="S10" s="271">
        <f>2393.648</f>
        <v>2393.6480000000001</v>
      </c>
      <c r="T10" s="270">
        <f>SUM(P10:S10)</f>
        <v>9665.3040000000001</v>
      </c>
      <c r="U10" s="653">
        <f>2534.871</f>
        <v>2534.8710000000001</v>
      </c>
      <c r="V10" s="270">
        <f>2950.775</f>
        <v>2950.7750000000001</v>
      </c>
      <c r="W10" s="270">
        <f>2824.423</f>
        <v>2824.4229999999998</v>
      </c>
      <c r="X10" s="271">
        <f>2782.842</f>
        <v>2782.8420000000001</v>
      </c>
      <c r="Y10" s="270">
        <f>SUM(U10:X10)</f>
        <v>11092.911</v>
      </c>
      <c r="Z10" s="653">
        <f>2927.8</f>
        <v>2927.8</v>
      </c>
      <c r="AA10" s="270">
        <f>3376.2</f>
        <v>3376.2</v>
      </c>
      <c r="AB10" s="270">
        <f>3314.9</f>
        <v>3314.9</v>
      </c>
      <c r="AC10" s="271">
        <f>3314.5</f>
        <v>3314.5</v>
      </c>
      <c r="AD10" s="270">
        <f>12978.6</f>
        <v>12978.6</v>
      </c>
      <c r="AE10" s="653">
        <f>3533.4</f>
        <v>3533.4</v>
      </c>
      <c r="AF10" s="270">
        <f>4065.3</f>
        <v>4065.3</v>
      </c>
      <c r="AG10" s="270">
        <f>3943.1</f>
        <v>3943.1</v>
      </c>
      <c r="AH10" s="271">
        <f>3906.5</f>
        <v>3906.5</v>
      </c>
      <c r="AI10" s="270">
        <f>SUM(AE10:AH10)</f>
        <v>15448.300000000001</v>
      </c>
      <c r="AJ10" s="653">
        <f>4126.1</f>
        <v>4126.1000000000004</v>
      </c>
      <c r="AK10" s="270">
        <v>4658.2</v>
      </c>
      <c r="AL10" s="270">
        <f>4644.6</f>
        <v>4644.6000000000004</v>
      </c>
      <c r="AM10" s="271">
        <f>4620</f>
        <v>4620</v>
      </c>
      <c r="AN10" s="270">
        <f>18048.9</f>
        <v>18048.900000000001</v>
      </c>
      <c r="AO10" s="653">
        <f>4861.5</f>
        <v>4861.5</v>
      </c>
      <c r="AP10" s="270">
        <f>5454.6</f>
        <v>5454.6</v>
      </c>
      <c r="AQ10" s="270">
        <f>5460.7</f>
        <v>5460.7</v>
      </c>
      <c r="AR10" s="271">
        <f>5299.3</f>
        <v>5299.3</v>
      </c>
      <c r="AS10" s="270">
        <f>21076.1</f>
        <v>21076.1</v>
      </c>
      <c r="AT10" s="653">
        <f>5489.2</f>
        <v>5489.2</v>
      </c>
      <c r="AU10" s="270">
        <f>6098</f>
        <v>6098</v>
      </c>
      <c r="AV10" s="270">
        <v>6098</v>
      </c>
      <c r="AW10" s="271">
        <v>6021</v>
      </c>
      <c r="AX10" s="270">
        <f>SUM(AT10:AW10)</f>
        <v>23706.2</v>
      </c>
      <c r="AY10" s="653">
        <v>6420.7</v>
      </c>
      <c r="AZ10" s="270">
        <v>7076.6</v>
      </c>
      <c r="BA10" s="270">
        <v>7000.7</v>
      </c>
      <c r="BB10" s="271">
        <v>6812.4</v>
      </c>
      <c r="BC10" s="270">
        <f>SUM(AY10:BB10)</f>
        <v>27310.400000000001</v>
      </c>
      <c r="BD10" s="653">
        <v>7181.2</v>
      </c>
      <c r="BE10" s="270">
        <v>7856.4</v>
      </c>
      <c r="BF10" s="270">
        <v>7814.4</v>
      </c>
      <c r="BG10" s="271">
        <v>7561.8</v>
      </c>
      <c r="BH10" s="270">
        <f>SUM(BD10:BG10)</f>
        <v>30413.8</v>
      </c>
      <c r="BI10" s="653">
        <v>7897.9</v>
      </c>
      <c r="BJ10" s="270">
        <v>8703.7999999999993</v>
      </c>
      <c r="BK10" s="270">
        <v>8832</v>
      </c>
      <c r="BL10" s="271">
        <v>8806.7000000000007</v>
      </c>
      <c r="BM10" s="270">
        <f>SUM(BI10:BL10)</f>
        <v>34240.399999999994</v>
      </c>
      <c r="BN10" s="653">
        <v>9132.9</v>
      </c>
      <c r="BO10" s="270">
        <v>9897.9</v>
      </c>
      <c r="BP10" s="270">
        <v>9821.1</v>
      </c>
      <c r="BQ10" s="271">
        <v>9666.2000000000007</v>
      </c>
      <c r="BR10" s="629">
        <f>SUM(BN10:BQ10)</f>
        <v>38518.100000000006</v>
      </c>
      <c r="BS10" s="653">
        <v>10107</v>
      </c>
      <c r="BT10" s="270">
        <v>10952</v>
      </c>
      <c r="BU10" s="270">
        <v>10770</v>
      </c>
      <c r="BV10" s="271">
        <v>10562.5</v>
      </c>
      <c r="BW10" s="629">
        <f>SUM(BS10:BV10)</f>
        <v>42391.5</v>
      </c>
      <c r="BX10" s="653">
        <v>10796</v>
      </c>
      <c r="BY10" s="270">
        <v>11818</v>
      </c>
      <c r="BZ10" s="270">
        <v>11751</v>
      </c>
      <c r="CA10" s="271">
        <v>11357</v>
      </c>
      <c r="CB10" s="629">
        <f>SUM(BX10:CA10)</f>
        <v>45722</v>
      </c>
      <c r="CC10" s="653">
        <v>11826</v>
      </c>
      <c r="CD10" s="270">
        <v>12090</v>
      </c>
      <c r="CE10" s="270">
        <v>12450</v>
      </c>
      <c r="CF10" s="270">
        <v>12078</v>
      </c>
      <c r="CG10" s="823">
        <f>SUM(CC10:CF10)</f>
        <v>48444</v>
      </c>
      <c r="CH10" s="270">
        <v>12399</v>
      </c>
      <c r="CI10" s="270">
        <v>13178</v>
      </c>
      <c r="CJ10" s="964">
        <v>13217</v>
      </c>
      <c r="CK10" s="964">
        <v>12898</v>
      </c>
      <c r="CL10" s="823">
        <f>SUM(CH10:CK10)</f>
        <v>51692</v>
      </c>
      <c r="CM10" s="270">
        <v>13053</v>
      </c>
      <c r="CN10" s="270">
        <v>13262</v>
      </c>
      <c r="CO10" s="964">
        <v>12738</v>
      </c>
      <c r="CP10" s="964">
        <v>12238</v>
      </c>
      <c r="CQ10" s="823">
        <f>SUM(CM10:CP10)</f>
        <v>51291</v>
      </c>
      <c r="CR10" s="270">
        <v>12217</v>
      </c>
      <c r="CS10" s="270">
        <v>13040</v>
      </c>
      <c r="CT10" s="964">
        <v>13091</v>
      </c>
      <c r="CU10" s="964">
        <v>12750</v>
      </c>
      <c r="CV10" s="823">
        <f>SUM(CR10:CU10)</f>
        <v>51098</v>
      </c>
      <c r="CW10" s="270">
        <v>13177</v>
      </c>
      <c r="CX10" s="270">
        <v>13955</v>
      </c>
      <c r="CY10" s="964">
        <v>13961</v>
      </c>
      <c r="CZ10" s="964">
        <v>13730</v>
      </c>
      <c r="DA10" s="823">
        <f>SUM(CW10:CZ10)</f>
        <v>54823</v>
      </c>
      <c r="DB10" s="270">
        <f>DB9-DB11</f>
        <v>14258</v>
      </c>
      <c r="DC10" s="270">
        <f>DC9-DC11</f>
        <v>19691</v>
      </c>
      <c r="DD10" s="270">
        <f>DD9-DD11</f>
        <v>21314</v>
      </c>
      <c r="DE10" s="270">
        <f>DE9-DE11</f>
        <v>21257</v>
      </c>
      <c r="DF10" s="823">
        <f>SUM(DB10:DE10)</f>
        <v>76520</v>
      </c>
      <c r="DG10" s="270">
        <f>DG9-DG11</f>
        <v>21531</v>
      </c>
      <c r="DH10" s="270">
        <f>DH9-DH11</f>
        <v>22240</v>
      </c>
      <c r="DI10" s="270">
        <f>DI9-DI11</f>
        <v>22001</v>
      </c>
      <c r="DJ10" s="270">
        <f>DJ9-DJ11</f>
        <v>21481</v>
      </c>
      <c r="DK10" s="1111">
        <f>SUM(DG10:DJ10)</f>
        <v>87253</v>
      </c>
      <c r="DL10" s="270">
        <f>DL9-DL11</f>
        <v>21385</v>
      </c>
      <c r="DM10" s="270">
        <f>DM9-DM11</f>
        <v>21885</v>
      </c>
      <c r="DN10" s="270">
        <f>DN9-DN11</f>
        <v>22973</v>
      </c>
      <c r="DO10" s="270">
        <f>DO9-DO11</f>
        <v>22809</v>
      </c>
      <c r="DP10" s="1111">
        <f>SUM(DL10:DO10)</f>
        <v>89052</v>
      </c>
      <c r="DQ10" s="270">
        <f>DQ9-DQ11</f>
        <v>23399</v>
      </c>
      <c r="DR10" s="964">
        <f ca="1">DR9-DR11</f>
        <v>25269.022671413077</v>
      </c>
      <c r="DS10" s="964">
        <f ca="1">DS9-DS11</f>
        <v>25714.466305895756</v>
      </c>
      <c r="DT10" s="1740">
        <f>DT9-DT11</f>
        <v>25267.499039941198</v>
      </c>
      <c r="DU10" s="1111">
        <f ca="1">SUM(DQ10:DT10)</f>
        <v>99649.988017250027</v>
      </c>
      <c r="DV10" s="1739">
        <f>DV9-DV11</f>
        <v>25363.660878881798</v>
      </c>
      <c r="DW10" s="964">
        <f ca="1">DW9-DW11</f>
        <v>25841.78988039614</v>
      </c>
      <c r="DX10" s="964">
        <f ca="1">DX9-DX11</f>
        <v>26031.157132571167</v>
      </c>
      <c r="DY10" s="1740">
        <f>DY9-DY11</f>
        <v>25564.688810527663</v>
      </c>
      <c r="DZ10" s="1111">
        <f ca="1">SUM(DV10:DY10)</f>
        <v>102801.29670237677</v>
      </c>
      <c r="EA10" s="1739">
        <f>EA9-EA11</f>
        <v>25771.575866843636</v>
      </c>
      <c r="EB10" s="964">
        <f ca="1">EB9-EB11</f>
        <v>26265.623565869319</v>
      </c>
      <c r="EC10" s="964">
        <f ca="1">EC9-EC11</f>
        <v>26473.706978976763</v>
      </c>
      <c r="ED10" s="1740">
        <f>ED9-ED11</f>
        <v>26030.003035587175</v>
      </c>
      <c r="EE10" s="1111">
        <f ca="1">SUM(EA10:ED10)</f>
        <v>104540.90944727688</v>
      </c>
      <c r="EF10" s="53"/>
      <c r="EG10" s="53"/>
      <c r="EH10"/>
      <c r="EI10"/>
      <c r="EJ10"/>
      <c r="EK10"/>
      <c r="EL10"/>
      <c r="EM10"/>
      <c r="EN10" s="53"/>
      <c r="EO10" s="53"/>
      <c r="EP10" s="53"/>
      <c r="EQ10" s="53"/>
      <c r="ER10" s="53"/>
      <c r="ES10" s="53"/>
      <c r="ET10" s="53"/>
      <c r="EU10" s="53"/>
      <c r="EV10" s="53"/>
      <c r="EW10" s="53"/>
      <c r="EX10" s="53"/>
      <c r="EY10" s="53"/>
      <c r="EZ10" s="53"/>
      <c r="FA10" s="53"/>
      <c r="FB10" s="53"/>
      <c r="FC10" s="53"/>
      <c r="FD10" s="53"/>
      <c r="FE10" s="53"/>
      <c r="FF10" s="53"/>
      <c r="FG10" s="53"/>
      <c r="FH10" s="53"/>
      <c r="FI10" s="53"/>
      <c r="FJ10" s="53"/>
      <c r="FK10" s="53"/>
      <c r="FL10" s="53"/>
      <c r="FM10" s="53"/>
      <c r="FN10" s="53"/>
      <c r="FO10" s="53"/>
      <c r="FP10" s="53"/>
      <c r="FQ10" s="53"/>
      <c r="FR10" s="53"/>
      <c r="FS10" s="53"/>
      <c r="FT10" s="53"/>
      <c r="FU10" s="53"/>
      <c r="FV10" s="53"/>
      <c r="FW10" s="53"/>
      <c r="FX10" s="53"/>
      <c r="FY10" s="53"/>
      <c r="FZ10" s="53"/>
      <c r="GA10" s="53"/>
      <c r="GB10" s="53"/>
      <c r="GC10" s="53"/>
      <c r="GD10" s="53"/>
      <c r="GE10" s="53"/>
      <c r="GF10" s="53"/>
      <c r="GG10" s="53"/>
      <c r="GH10" s="53"/>
      <c r="GI10" s="53"/>
      <c r="GJ10" s="53"/>
      <c r="GK10" s="53"/>
      <c r="GL10" s="53"/>
      <c r="GM10" s="53"/>
      <c r="GN10" s="53"/>
      <c r="GO10" s="53"/>
      <c r="GP10" s="53"/>
      <c r="GQ10" s="53"/>
      <c r="GR10" s="53"/>
      <c r="GS10" s="53"/>
      <c r="GT10" s="53"/>
      <c r="GU10" s="53"/>
      <c r="GV10" s="53"/>
      <c r="GW10" s="53"/>
      <c r="GX10" s="53"/>
      <c r="GY10" s="53"/>
      <c r="GZ10" s="53"/>
      <c r="HA10" s="53"/>
      <c r="HB10" s="53"/>
      <c r="HC10" s="53"/>
      <c r="HD10" s="53"/>
      <c r="HE10" s="53"/>
      <c r="HF10" s="53"/>
      <c r="HG10" s="53"/>
      <c r="HH10" s="53"/>
      <c r="HI10" s="53"/>
      <c r="HJ10" s="53"/>
      <c r="HK10" s="53"/>
      <c r="HL10" s="53"/>
      <c r="HM10" s="53"/>
      <c r="HN10" s="53"/>
      <c r="HO10" s="53"/>
      <c r="HP10" s="53"/>
      <c r="HQ10" s="53"/>
      <c r="HR10" s="53"/>
      <c r="HS10" s="53"/>
      <c r="HT10" s="53"/>
      <c r="HU10" s="53"/>
      <c r="HV10" s="53"/>
      <c r="HW10" s="53"/>
      <c r="HX10" s="53"/>
    </row>
    <row r="11" spans="1:232" s="68" customFormat="1">
      <c r="B11" s="576" t="s">
        <v>232</v>
      </c>
      <c r="C11" s="1241"/>
      <c r="D11" s="306">
        <v>1570.3870000000002</v>
      </c>
      <c r="E11" s="306">
        <v>1729.902</v>
      </c>
      <c r="F11" s="306">
        <v>1944.1459999999997</v>
      </c>
      <c r="G11" s="306">
        <v>2132.1359999999995</v>
      </c>
      <c r="H11" s="306">
        <v>2363.9589999999998</v>
      </c>
      <c r="I11" s="306">
        <v>2625.6369999999988</v>
      </c>
      <c r="J11" s="306">
        <v>2934.2309999999998</v>
      </c>
      <c r="K11" s="608">
        <f t="shared" ref="K11:BF11" si="1">(K9-K10)</f>
        <v>738.98199999999974</v>
      </c>
      <c r="L11" s="306">
        <f t="shared" si="1"/>
        <v>894.75199999999995</v>
      </c>
      <c r="M11" s="306">
        <f t="shared" si="1"/>
        <v>826.78499999999985</v>
      </c>
      <c r="N11" s="609">
        <f t="shared" si="1"/>
        <v>807.25799999999981</v>
      </c>
      <c r="O11" s="621">
        <f t="shared" si="1"/>
        <v>3267.7769999999982</v>
      </c>
      <c r="P11" s="306">
        <f t="shared" si="1"/>
        <v>835.9409999999998</v>
      </c>
      <c r="Q11" s="306">
        <f t="shared" si="1"/>
        <v>1015.3159999999998</v>
      </c>
      <c r="R11" s="306">
        <f t="shared" si="1"/>
        <v>936.9670000000001</v>
      </c>
      <c r="S11" s="319">
        <f t="shared" si="1"/>
        <v>909.49499999999989</v>
      </c>
      <c r="T11" s="306">
        <f t="shared" si="1"/>
        <v>3697.719000000001</v>
      </c>
      <c r="U11" s="318">
        <f t="shared" si="1"/>
        <v>950.28899999999976</v>
      </c>
      <c r="V11" s="306">
        <f t="shared" si="1"/>
        <v>1142.692</v>
      </c>
      <c r="W11" s="306">
        <f t="shared" si="1"/>
        <v>1063.0390000000002</v>
      </c>
      <c r="X11" s="319">
        <f t="shared" si="1"/>
        <v>1057.6289999999999</v>
      </c>
      <c r="Y11" s="306">
        <f t="shared" si="1"/>
        <v>4213.6489999999994</v>
      </c>
      <c r="Z11" s="318">
        <f t="shared" si="1"/>
        <v>1088.5999999999999</v>
      </c>
      <c r="AA11" s="306">
        <f t="shared" si="1"/>
        <v>1314.8000000000002</v>
      </c>
      <c r="AB11" s="306">
        <f t="shared" si="1"/>
        <v>1256.4999999999995</v>
      </c>
      <c r="AC11" s="319">
        <f t="shared" si="1"/>
        <v>1245.5</v>
      </c>
      <c r="AD11" s="306">
        <f t="shared" si="1"/>
        <v>4860.1999999999989</v>
      </c>
      <c r="AE11" s="318">
        <f t="shared" si="1"/>
        <v>1289.7999999999997</v>
      </c>
      <c r="AF11" s="306">
        <f t="shared" si="1"/>
        <v>1543.5</v>
      </c>
      <c r="AG11" s="306">
        <f t="shared" si="1"/>
        <v>1451.0000000000005</v>
      </c>
      <c r="AH11" s="319">
        <f t="shared" si="1"/>
        <v>1474.3000000000002</v>
      </c>
      <c r="AI11" s="306">
        <f t="shared" si="1"/>
        <v>5758.6</v>
      </c>
      <c r="AJ11" s="318">
        <f t="shared" si="1"/>
        <v>1488.0999999999995</v>
      </c>
      <c r="AK11" s="306">
        <f t="shared" si="1"/>
        <v>1770.8000000000002</v>
      </c>
      <c r="AL11" s="306">
        <f t="shared" si="1"/>
        <v>1651.5999999999995</v>
      </c>
      <c r="AM11" s="319">
        <f t="shared" si="1"/>
        <v>1663.6000000000004</v>
      </c>
      <c r="AN11" s="306">
        <f t="shared" si="1"/>
        <v>6574.0999999999985</v>
      </c>
      <c r="AO11" s="318">
        <f t="shared" si="1"/>
        <v>1697.8999999999996</v>
      </c>
      <c r="AP11" s="306">
        <f t="shared" si="1"/>
        <v>2033.8999999999996</v>
      </c>
      <c r="AQ11" s="306">
        <f t="shared" si="1"/>
        <v>1937.1999999999998</v>
      </c>
      <c r="AR11" s="319">
        <f t="shared" si="1"/>
        <v>1936</v>
      </c>
      <c r="AS11" s="306">
        <f t="shared" si="1"/>
        <v>7605</v>
      </c>
      <c r="AT11" s="318">
        <f t="shared" si="1"/>
        <v>1995.6999999999998</v>
      </c>
      <c r="AU11" s="306">
        <f t="shared" si="1"/>
        <v>2348.1000000000004</v>
      </c>
      <c r="AV11" s="306">
        <f t="shared" si="1"/>
        <v>2230</v>
      </c>
      <c r="AW11" s="319">
        <f t="shared" si="1"/>
        <v>2225.3999999999996</v>
      </c>
      <c r="AX11" s="306">
        <f t="shared" si="1"/>
        <v>8799.2000000000007</v>
      </c>
      <c r="AY11" s="318">
        <f t="shared" si="1"/>
        <v>2300.0999999999995</v>
      </c>
      <c r="AZ11" s="306">
        <f t="shared" si="1"/>
        <v>2705.6000000000004</v>
      </c>
      <c r="BA11" s="306">
        <f t="shared" si="1"/>
        <v>2577.8000000000002</v>
      </c>
      <c r="BB11" s="319">
        <f t="shared" si="1"/>
        <v>2614.3000000000011</v>
      </c>
      <c r="BC11" s="306">
        <f t="shared" si="1"/>
        <v>10197.799999999996</v>
      </c>
      <c r="BD11" s="318">
        <f t="shared" si="1"/>
        <v>2707.9000000000005</v>
      </c>
      <c r="BE11" s="306">
        <f t="shared" si="1"/>
        <v>3130.6000000000004</v>
      </c>
      <c r="BF11" s="306">
        <f t="shared" si="1"/>
        <v>3016.2000000000007</v>
      </c>
      <c r="BG11" s="319">
        <f>+BG9-BG10</f>
        <v>2933.0999999999995</v>
      </c>
      <c r="BH11" s="306">
        <f>(BH9-BH10)</f>
        <v>11787.8</v>
      </c>
      <c r="BI11" s="318">
        <f>+BI9-BI10</f>
        <v>3002.5</v>
      </c>
      <c r="BJ11" s="306">
        <f>+BJ9-BJ10</f>
        <v>3459.3000000000011</v>
      </c>
      <c r="BK11" s="306">
        <f>+BK9-BK10</f>
        <v>3343.2000000000007</v>
      </c>
      <c r="BL11" s="319">
        <f>+BL9-BL10</f>
        <v>3363.5999999999985</v>
      </c>
      <c r="BM11" s="306">
        <f>(BM9-BM10)</f>
        <v>13168.600000000006</v>
      </c>
      <c r="BN11" s="318">
        <f>+BN9-BN10</f>
        <v>3575.6000000000004</v>
      </c>
      <c r="BO11" s="306">
        <f>+BO9-BO10</f>
        <v>4035.8000000000011</v>
      </c>
      <c r="BP11" s="306">
        <f>+BP9-BP10</f>
        <v>3877.1999999999989</v>
      </c>
      <c r="BQ11" s="319">
        <f>+BQ9-BQ10</f>
        <v>3755.2999999999993</v>
      </c>
      <c r="BR11" s="622">
        <f>(BR9-BR10)</f>
        <v>15243.899999999994</v>
      </c>
      <c r="BS11" s="318">
        <f>+BS9-BS10</f>
        <v>3920.8999999999996</v>
      </c>
      <c r="BT11" s="306">
        <f>+BT9-BT10</f>
        <v>4441.6000000000004</v>
      </c>
      <c r="BU11" s="306">
        <f>+BU9-BU10</f>
        <v>4245.7000000000007</v>
      </c>
      <c r="BV11" s="319">
        <f>+BV9-BV10</f>
        <v>4034.6000000000004</v>
      </c>
      <c r="BW11" s="622">
        <f>(BW9-BW10)</f>
        <v>16642.799999999996</v>
      </c>
      <c r="BX11" s="318">
        <f>+BX9-BX10</f>
        <v>4151</v>
      </c>
      <c r="BY11" s="306">
        <f>+BY9-BY10</f>
        <v>4657</v>
      </c>
      <c r="BZ11" s="306">
        <f>+BZ9-BZ10</f>
        <v>4459</v>
      </c>
      <c r="CA11" s="319">
        <f>+CA9-CA10</f>
        <v>4346</v>
      </c>
      <c r="CB11" s="622">
        <f>(CB9-CB10)</f>
        <v>17613</v>
      </c>
      <c r="CC11" s="318">
        <f>+CC9-CC10</f>
        <v>4538</v>
      </c>
      <c r="CD11" s="306">
        <f>+CD9-CD10</f>
        <v>4897</v>
      </c>
      <c r="CE11" s="306">
        <f>+CE9-CE10</f>
        <v>4749</v>
      </c>
      <c r="CF11" s="306">
        <f>+CF9-CF10</f>
        <v>4792</v>
      </c>
      <c r="CG11" s="821">
        <f>(CG9-CG10)</f>
        <v>18976</v>
      </c>
      <c r="CH11" s="306">
        <f>+CH9-CH10</f>
        <v>4945</v>
      </c>
      <c r="CI11" s="306">
        <f>+CI9-CI10</f>
        <v>5324</v>
      </c>
      <c r="CJ11" s="306">
        <f>+CJ9-CJ10</f>
        <v>5154</v>
      </c>
      <c r="CK11" s="306">
        <f>+CK9-CK10</f>
        <v>5069</v>
      </c>
      <c r="CL11" s="821">
        <f>(CL9-CL10)</f>
        <v>20492</v>
      </c>
      <c r="CM11" s="306">
        <f>+CM9-CM10</f>
        <v>5104</v>
      </c>
      <c r="CN11" s="306">
        <f>+CN9-CN10</f>
        <v>5389</v>
      </c>
      <c r="CO11" s="306">
        <f>+CO9-CO10</f>
        <v>5014</v>
      </c>
      <c r="CP11" s="70">
        <f>CP9-CP10</f>
        <v>4835</v>
      </c>
      <c r="CQ11" s="821">
        <f>(CQ9-CQ10)</f>
        <v>20342</v>
      </c>
      <c r="CR11" s="306">
        <f t="shared" ref="CR11:CZ11" si="2">+CR9-CR10</f>
        <v>5099</v>
      </c>
      <c r="CS11" s="306">
        <f t="shared" si="2"/>
        <v>5607</v>
      </c>
      <c r="CT11" s="306">
        <f t="shared" si="2"/>
        <v>5222</v>
      </c>
      <c r="CU11" s="306">
        <f t="shared" si="2"/>
        <v>5191</v>
      </c>
      <c r="CV11" s="821">
        <f t="shared" si="2"/>
        <v>21119</v>
      </c>
      <c r="CW11" s="306">
        <f t="shared" si="2"/>
        <v>5152</v>
      </c>
      <c r="CX11" s="306">
        <f t="shared" si="2"/>
        <v>5650</v>
      </c>
      <c r="CY11" s="306">
        <f t="shared" si="2"/>
        <v>5440</v>
      </c>
      <c r="CZ11" s="70">
        <f t="shared" si="2"/>
        <v>5327</v>
      </c>
      <c r="DA11" s="821">
        <f>+DA9-DA10</f>
        <v>21569</v>
      </c>
      <c r="DB11" s="306">
        <v>5296</v>
      </c>
      <c r="DC11" s="1693">
        <v>6882</v>
      </c>
      <c r="DD11" s="1693">
        <v>7481</v>
      </c>
      <c r="DE11" s="1693">
        <v>7265</v>
      </c>
      <c r="DF11" s="821">
        <f>+DF9-DF10</f>
        <v>26924</v>
      </c>
      <c r="DG11" s="1693">
        <v>7502</v>
      </c>
      <c r="DH11" s="1693">
        <v>7944</v>
      </c>
      <c r="DI11" s="1693">
        <v>7497</v>
      </c>
      <c r="DJ11" s="1693">
        <v>7155</v>
      </c>
      <c r="DK11" s="796">
        <f>+DK9-DK10</f>
        <v>30098</v>
      </c>
      <c r="DL11" s="1693">
        <v>7116</v>
      </c>
      <c r="DM11" s="1693">
        <v>7561</v>
      </c>
      <c r="DN11" s="1693">
        <v>7145</v>
      </c>
      <c r="DO11" s="1693">
        <v>7340</v>
      </c>
      <c r="DP11" s="796">
        <f>+DP9-DP10</f>
        <v>29162</v>
      </c>
      <c r="DQ11" s="1693">
        <v>7341</v>
      </c>
      <c r="DR11" s="70">
        <f ca="1">'US Retail'!DR182+'US Retail'!DR161+'US Retail'!DR84+'International Retail'!DR17+'International Wholesale'!DR16</f>
        <v>8297.8390253425878</v>
      </c>
      <c r="DS11" s="70">
        <f ca="1">'US Retail'!DS182+'US Retail'!DS161+'US Retail'!DS84+'International Retail'!DS17+'International Wholesale'!DS16</f>
        <v>8132.3036935442333</v>
      </c>
      <c r="DT11" s="542">
        <f>'US Retail'!DT182+'US Retail'!DT161+'US Retail'!DT84+'International Retail'!DT17+'International Wholesale'!DT16</f>
        <v>8033.4841696022559</v>
      </c>
      <c r="DU11" s="796">
        <f ca="1">+DU9-DU10</f>
        <v>31804.626888489089</v>
      </c>
      <c r="DV11" s="541">
        <f>'US Retail'!DV182+'US Retail'!DV161+'US Retail'!DV84+'International Retail'!DV17+'International Wholesale'!DV16</f>
        <v>7926.5777207918818</v>
      </c>
      <c r="DW11" s="70">
        <f ca="1">'US Retail'!DW182+'US Retail'!DW161+'US Retail'!DW84+'International Retail'!DW17+'International Wholesale'!DW16</f>
        <v>8519.1062221134598</v>
      </c>
      <c r="DX11" s="70">
        <f ca="1">'US Retail'!DX182+'US Retail'!DX161+'US Retail'!DX84+'International Retail'!DX17+'International Wholesale'!DX16</f>
        <v>8332.776412285737</v>
      </c>
      <c r="DY11" s="542">
        <f>'US Retail'!DY182+'US Retail'!DY161+'US Retail'!DY84+'International Retail'!DY17+'International Wholesale'!DY16</f>
        <v>8237.6084434622862</v>
      </c>
      <c r="DZ11" s="796">
        <f ca="1">+DZ9-DZ10</f>
        <v>33016.068798653345</v>
      </c>
      <c r="EA11" s="541">
        <f>'US Retail'!EA182+'US Retail'!EA161+'US Retail'!EA84+'International Retail'!EA17+'International Wholesale'!EA16</f>
        <v>8116.7739832998295</v>
      </c>
      <c r="EB11" s="70">
        <f ca="1">'US Retail'!EB182+'US Retail'!EB161+'US Retail'!EB84+'International Retail'!EB17+'International Wholesale'!EB16</f>
        <v>8693.9773569173849</v>
      </c>
      <c r="EC11" s="70">
        <f ca="1">'US Retail'!EC182+'US Retail'!EC161+'US Retail'!EC84+'International Retail'!EC17+'International Wholesale'!EC16</f>
        <v>8520.1310341027765</v>
      </c>
      <c r="ED11" s="542">
        <f>'US Retail'!ED182+'US Retail'!ED161+'US Retail'!ED84+'International Retail'!ED17+'International Wholesale'!ED16</f>
        <v>8425.1024660429139</v>
      </c>
      <c r="EE11" s="796">
        <f ca="1">+EE9-EE10</f>
        <v>33755.984840362915</v>
      </c>
      <c r="EF11" s="1"/>
      <c r="EG11" s="1"/>
      <c r="EH11"/>
      <c r="EI11"/>
      <c r="EJ11"/>
      <c r="EK11"/>
      <c r="EL11"/>
      <c r="EM1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row>
    <row r="12" spans="1:232" s="54" customFormat="1">
      <c r="B12" s="553"/>
      <c r="C12" s="1240"/>
      <c r="D12" s="64"/>
      <c r="E12" s="64"/>
      <c r="F12" s="64"/>
      <c r="G12" s="64"/>
      <c r="H12" s="64"/>
      <c r="I12" s="64"/>
      <c r="J12" s="64"/>
      <c r="K12" s="538"/>
      <c r="L12" s="64"/>
      <c r="M12" s="64"/>
      <c r="N12" s="539"/>
      <c r="O12" s="619"/>
      <c r="P12" s="64"/>
      <c r="Q12" s="64"/>
      <c r="R12" s="64"/>
      <c r="S12" s="79"/>
      <c r="T12" s="64"/>
      <c r="U12" s="165"/>
      <c r="V12" s="64"/>
      <c r="W12" s="64"/>
      <c r="X12" s="79"/>
      <c r="Y12" s="64"/>
      <c r="Z12" s="165"/>
      <c r="AA12" s="64"/>
      <c r="AB12" s="64"/>
      <c r="AC12" s="79"/>
      <c r="AD12" s="64"/>
      <c r="AE12" s="165"/>
      <c r="AF12" s="64"/>
      <c r="AG12" s="64"/>
      <c r="AH12" s="79"/>
      <c r="AI12" s="64"/>
      <c r="AJ12" s="165"/>
      <c r="AK12" s="64"/>
      <c r="AL12" s="64"/>
      <c r="AM12" s="79"/>
      <c r="AN12" s="64"/>
      <c r="AO12" s="165"/>
      <c r="AP12" s="64"/>
      <c r="AQ12" s="64"/>
      <c r="AR12" s="79"/>
      <c r="AS12" s="64"/>
      <c r="AT12" s="165"/>
      <c r="AU12" s="64"/>
      <c r="AV12" s="64"/>
      <c r="AW12" s="79"/>
      <c r="AX12" s="64"/>
      <c r="AY12" s="165"/>
      <c r="AZ12" s="64"/>
      <c r="BA12" s="64"/>
      <c r="BB12" s="79"/>
      <c r="BC12" s="64"/>
      <c r="BD12" s="165"/>
      <c r="BE12" s="64"/>
      <c r="BF12" s="64"/>
      <c r="BG12" s="79"/>
      <c r="BH12" s="64"/>
      <c r="BI12" s="165"/>
      <c r="BJ12" s="64"/>
      <c r="BK12" s="64"/>
      <c r="BL12" s="79"/>
      <c r="BM12" s="64"/>
      <c r="BN12" s="165"/>
      <c r="BO12" s="64"/>
      <c r="BP12" s="64"/>
      <c r="BQ12" s="79"/>
      <c r="BR12" s="304"/>
      <c r="BS12" s="165"/>
      <c r="BT12" s="64"/>
      <c r="BU12" s="64"/>
      <c r="BV12" s="79"/>
      <c r="BW12" s="304"/>
      <c r="BX12" s="165"/>
      <c r="BY12" s="64"/>
      <c r="BZ12" s="64"/>
      <c r="CA12" s="79"/>
      <c r="CB12" s="304"/>
      <c r="CC12" s="165"/>
      <c r="CD12" s="64"/>
      <c r="CE12" s="64"/>
      <c r="CF12" s="64"/>
      <c r="CG12" s="820"/>
      <c r="CH12" s="64"/>
      <c r="CI12" s="64"/>
      <c r="CJ12" s="64"/>
      <c r="CK12" s="64"/>
      <c r="CL12" s="820"/>
      <c r="CM12" s="64"/>
      <c r="CN12" s="64"/>
      <c r="CO12" s="62"/>
      <c r="CP12" s="827"/>
      <c r="CQ12" s="820"/>
      <c r="CR12" s="64"/>
      <c r="CS12" s="64"/>
      <c r="CT12" s="62"/>
      <c r="CU12" s="62"/>
      <c r="CV12" s="820"/>
      <c r="CW12" s="64"/>
      <c r="CX12" s="122"/>
      <c r="CY12" s="62"/>
      <c r="CZ12" s="131"/>
      <c r="DA12" s="820"/>
      <c r="DB12" s="64"/>
      <c r="DC12" s="64"/>
      <c r="DD12" s="64"/>
      <c r="DE12" s="64"/>
      <c r="DF12" s="820"/>
      <c r="DG12" s="64"/>
      <c r="DH12" s="64"/>
      <c r="DI12" s="64"/>
      <c r="DJ12" s="64"/>
      <c r="DK12" s="802"/>
      <c r="DL12" s="64"/>
      <c r="DM12" s="64"/>
      <c r="DN12" s="64"/>
      <c r="DO12" s="64"/>
      <c r="DP12" s="802"/>
      <c r="DQ12" s="64"/>
      <c r="DR12" s="130">
        <f ca="1">DR9/DM9-1</f>
        <v>0.13994640007999948</v>
      </c>
      <c r="DS12" s="130"/>
      <c r="DT12" s="550"/>
      <c r="DU12" s="802"/>
      <c r="DV12" s="549"/>
      <c r="DW12" s="62"/>
      <c r="DX12" s="62"/>
      <c r="DY12" s="550"/>
      <c r="DZ12" s="802"/>
      <c r="EA12" s="549"/>
      <c r="EB12" s="62"/>
      <c r="EC12" s="62"/>
      <c r="ED12" s="550"/>
      <c r="EE12" s="80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row>
    <row r="13" spans="1:232" s="54" customFormat="1" ht="11.25" hidden="1" customHeight="1" outlineLevel="1">
      <c r="B13" s="574"/>
      <c r="C13" s="1240"/>
      <c r="D13" s="64"/>
      <c r="E13" s="64"/>
      <c r="F13" s="64"/>
      <c r="G13" s="64"/>
      <c r="H13" s="305"/>
      <c r="I13" s="64"/>
      <c r="J13" s="64"/>
      <c r="K13" s="538"/>
      <c r="L13" s="64"/>
      <c r="M13" s="64"/>
      <c r="N13" s="539"/>
      <c r="O13" s="619"/>
      <c r="P13" s="64"/>
      <c r="Q13" s="64"/>
      <c r="R13" s="64"/>
      <c r="S13" s="79"/>
      <c r="T13" s="64"/>
      <c r="U13" s="165"/>
      <c r="V13" s="64"/>
      <c r="W13" s="64"/>
      <c r="X13" s="79"/>
      <c r="Y13" s="64"/>
      <c r="Z13" s="165"/>
      <c r="AA13" s="64"/>
      <c r="AB13" s="64"/>
      <c r="AC13" s="79"/>
      <c r="AD13" s="64"/>
      <c r="AE13" s="165"/>
      <c r="AF13" s="64"/>
      <c r="AG13" s="64"/>
      <c r="AH13" s="79"/>
      <c r="AI13" s="64"/>
      <c r="AJ13" s="165"/>
      <c r="AK13" s="64"/>
      <c r="AL13" s="64"/>
      <c r="AM13" s="79"/>
      <c r="AN13" s="64"/>
      <c r="AO13" s="165"/>
      <c r="AP13" s="64"/>
      <c r="AQ13" s="64"/>
      <c r="AR13" s="79"/>
      <c r="AS13" s="64"/>
      <c r="AT13" s="165"/>
      <c r="AU13" s="64"/>
      <c r="AV13" s="64"/>
      <c r="AW13" s="79"/>
      <c r="AX13" s="64"/>
      <c r="AY13" s="165"/>
      <c r="AZ13" s="64"/>
      <c r="BA13" s="64"/>
      <c r="BB13" s="79"/>
      <c r="BC13" s="64"/>
      <c r="BD13" s="165"/>
      <c r="BE13" s="64"/>
      <c r="BF13" s="64"/>
      <c r="BG13" s="79"/>
      <c r="BH13" s="64"/>
      <c r="BI13" s="165"/>
      <c r="BJ13" s="64"/>
      <c r="BK13" s="64"/>
      <c r="BL13" s="79"/>
      <c r="BM13" s="64"/>
      <c r="BN13" s="165"/>
      <c r="BO13" s="64"/>
      <c r="BP13" s="64"/>
      <c r="BQ13" s="79"/>
      <c r="BR13" s="304"/>
      <c r="BS13" s="165"/>
      <c r="BT13" s="64"/>
      <c r="BU13" s="64"/>
      <c r="BV13" s="79"/>
      <c r="BW13" s="304"/>
      <c r="BX13" s="165"/>
      <c r="BY13" s="64"/>
      <c r="BZ13" s="64"/>
      <c r="CA13" s="79"/>
      <c r="CB13" s="304"/>
      <c r="CC13" s="165"/>
      <c r="CD13" s="64"/>
      <c r="CE13" s="64"/>
      <c r="CF13" s="64"/>
      <c r="CG13" s="820"/>
      <c r="CH13" s="64"/>
      <c r="CI13" s="64"/>
      <c r="CJ13" s="64"/>
      <c r="CK13" s="64"/>
      <c r="CL13" s="820"/>
      <c r="CM13" s="64"/>
      <c r="CN13" s="64"/>
      <c r="CO13" s="64"/>
      <c r="CP13" s="62"/>
      <c r="CQ13" s="820"/>
      <c r="CR13" s="64"/>
      <c r="CS13" s="64"/>
      <c r="CT13" s="62"/>
      <c r="CU13" s="62"/>
      <c r="CV13" s="820"/>
      <c r="CW13" s="64"/>
      <c r="CX13" s="64"/>
      <c r="CY13" s="62"/>
      <c r="CZ13" s="62"/>
      <c r="DA13" s="820"/>
      <c r="DB13" s="64"/>
      <c r="DC13" s="64"/>
      <c r="DD13" s="64"/>
      <c r="DE13" s="64"/>
      <c r="DF13" s="820"/>
      <c r="DG13" s="64"/>
      <c r="DH13" s="64"/>
      <c r="DI13" s="64"/>
      <c r="DJ13" s="64"/>
      <c r="DK13" s="802"/>
      <c r="DL13" s="64"/>
      <c r="DM13" s="64"/>
      <c r="DN13" s="64"/>
      <c r="DO13" s="64"/>
      <c r="DP13" s="802"/>
      <c r="DQ13" s="64"/>
      <c r="DR13" s="62"/>
      <c r="DS13" s="62"/>
      <c r="DT13" s="550"/>
      <c r="DU13" s="802"/>
      <c r="DV13" s="549"/>
      <c r="DW13" s="62"/>
      <c r="DX13" s="62"/>
      <c r="DY13" s="550"/>
      <c r="DZ13" s="802"/>
      <c r="EA13" s="549"/>
      <c r="EB13" s="62"/>
      <c r="EC13" s="62"/>
      <c r="ED13" s="550"/>
      <c r="EE13" s="802"/>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row>
    <row r="14" spans="1:232" s="55" customFormat="1" ht="11.25" hidden="1" customHeight="1" outlineLevel="1">
      <c r="B14" s="575"/>
      <c r="C14" s="1242"/>
      <c r="D14" s="253"/>
      <c r="E14" s="253"/>
      <c r="F14" s="253"/>
      <c r="G14" s="253"/>
      <c r="H14" s="253"/>
      <c r="I14" s="253"/>
      <c r="J14" s="253"/>
      <c r="K14" s="545"/>
      <c r="L14" s="72"/>
      <c r="M14" s="72"/>
      <c r="N14" s="607"/>
      <c r="O14" s="620"/>
      <c r="P14" s="72"/>
      <c r="Q14" s="72"/>
      <c r="R14" s="72"/>
      <c r="S14" s="308"/>
      <c r="T14" s="253"/>
      <c r="U14" s="307"/>
      <c r="V14" s="72"/>
      <c r="W14" s="72"/>
      <c r="X14" s="308"/>
      <c r="Y14" s="253"/>
      <c r="Z14" s="307"/>
      <c r="AA14" s="72"/>
      <c r="AB14" s="72"/>
      <c r="AC14" s="308"/>
      <c r="AD14" s="253"/>
      <c r="AE14" s="307"/>
      <c r="AF14" s="72"/>
      <c r="AG14" s="72"/>
      <c r="AH14" s="308"/>
      <c r="AI14" s="253"/>
      <c r="AJ14" s="307"/>
      <c r="AK14" s="72"/>
      <c r="AL14" s="72"/>
      <c r="AM14" s="308"/>
      <c r="AN14" s="253"/>
      <c r="AO14" s="307"/>
      <c r="AP14" s="72"/>
      <c r="AQ14" s="72"/>
      <c r="AR14" s="308"/>
      <c r="AS14" s="253"/>
      <c r="AT14" s="307"/>
      <c r="AU14" s="72"/>
      <c r="AV14" s="72"/>
      <c r="AW14" s="308"/>
      <c r="AX14" s="253"/>
      <c r="AY14" s="307"/>
      <c r="AZ14" s="72"/>
      <c r="BA14" s="72"/>
      <c r="BB14" s="308"/>
      <c r="BC14" s="253"/>
      <c r="BD14" s="307"/>
      <c r="BE14" s="72"/>
      <c r="BF14" s="72"/>
      <c r="BG14" s="308"/>
      <c r="BH14" s="253"/>
      <c r="BI14" s="307"/>
      <c r="BJ14" s="72"/>
      <c r="BK14" s="72"/>
      <c r="BL14" s="308"/>
      <c r="BM14" s="253"/>
      <c r="BN14" s="307"/>
      <c r="BO14" s="72"/>
      <c r="BP14" s="72"/>
      <c r="BQ14" s="308"/>
      <c r="BR14" s="309"/>
      <c r="BS14" s="307"/>
      <c r="BT14" s="72"/>
      <c r="BU14" s="72"/>
      <c r="BV14" s="308"/>
      <c r="BW14" s="309"/>
      <c r="BX14" s="307"/>
      <c r="BY14" s="72"/>
      <c r="BZ14" s="72"/>
      <c r="CA14" s="310"/>
      <c r="CB14" s="309"/>
      <c r="CC14" s="307"/>
      <c r="CD14" s="72"/>
      <c r="CE14" s="311"/>
      <c r="CF14" s="311"/>
      <c r="CG14" s="822"/>
      <c r="CH14" s="311"/>
      <c r="CI14" s="311"/>
      <c r="CJ14" s="311"/>
      <c r="CK14" s="311"/>
      <c r="CL14" s="822"/>
      <c r="CM14" s="122"/>
      <c r="CN14" s="1341"/>
      <c r="CO14" s="1341"/>
      <c r="CP14" s="1342"/>
      <c r="CQ14" s="798"/>
      <c r="CR14" s="1342"/>
      <c r="CS14" s="1341"/>
      <c r="CT14" s="1341"/>
      <c r="CU14" s="1341"/>
      <c r="CV14" s="1343"/>
      <c r="CW14" s="102"/>
      <c r="CX14" s="102"/>
      <c r="CY14" s="102"/>
      <c r="CZ14" s="102"/>
      <c r="DA14" s="1343"/>
      <c r="DB14" s="102"/>
      <c r="DC14" s="102"/>
      <c r="DD14" s="102"/>
      <c r="DE14" s="102"/>
      <c r="DF14" s="1343"/>
      <c r="DG14" s="102"/>
      <c r="DH14" s="102"/>
      <c r="DI14" s="102"/>
      <c r="DJ14" s="102"/>
      <c r="DK14" s="798"/>
      <c r="DL14" s="102"/>
      <c r="DM14" s="102"/>
      <c r="DN14" s="102"/>
      <c r="DO14" s="102"/>
      <c r="DP14" s="798"/>
      <c r="DQ14" s="102"/>
      <c r="DR14" s="102"/>
      <c r="DS14" s="102"/>
      <c r="DT14" s="1734"/>
      <c r="DU14" s="798"/>
      <c r="DV14" s="1733"/>
      <c r="DW14" s="102"/>
      <c r="DX14" s="102"/>
      <c r="DY14" s="1734"/>
      <c r="DZ14" s="798"/>
      <c r="EA14" s="1733"/>
      <c r="EB14" s="102"/>
      <c r="EC14" s="102"/>
      <c r="ED14" s="1734"/>
      <c r="EE14" s="798"/>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row>
    <row r="15" spans="1:232" s="54" customFormat="1" ht="11.25" hidden="1" customHeight="1" outlineLevel="1">
      <c r="B15" s="574"/>
      <c r="C15" s="1240"/>
      <c r="D15" s="64"/>
      <c r="E15" s="64"/>
      <c r="F15" s="64"/>
      <c r="G15" s="64"/>
      <c r="H15" s="305"/>
      <c r="I15" s="64"/>
      <c r="J15" s="64"/>
      <c r="K15" s="538"/>
      <c r="L15" s="64"/>
      <c r="M15" s="64"/>
      <c r="N15" s="539"/>
      <c r="O15" s="619"/>
      <c r="P15" s="64"/>
      <c r="Q15" s="64"/>
      <c r="R15" s="64"/>
      <c r="S15" s="79"/>
      <c r="T15" s="64"/>
      <c r="U15" s="165"/>
      <c r="V15" s="64"/>
      <c r="W15" s="64"/>
      <c r="X15" s="79"/>
      <c r="Y15" s="64"/>
      <c r="Z15" s="165"/>
      <c r="AA15" s="64"/>
      <c r="AB15" s="64"/>
      <c r="AC15" s="79"/>
      <c r="AD15" s="64"/>
      <c r="AE15" s="165"/>
      <c r="AF15" s="64"/>
      <c r="AG15" s="64"/>
      <c r="AH15" s="79"/>
      <c r="AI15" s="64"/>
      <c r="AJ15" s="165"/>
      <c r="AK15" s="64"/>
      <c r="AL15" s="64"/>
      <c r="AM15" s="79"/>
      <c r="AN15" s="64"/>
      <c r="AO15" s="165"/>
      <c r="AP15" s="64"/>
      <c r="AQ15" s="64"/>
      <c r="AR15" s="79"/>
      <c r="AS15" s="64"/>
      <c r="AT15" s="165"/>
      <c r="AU15" s="64"/>
      <c r="AV15" s="64"/>
      <c r="AW15" s="79"/>
      <c r="AX15" s="64"/>
      <c r="AY15" s="165"/>
      <c r="AZ15" s="64"/>
      <c r="BA15" s="64"/>
      <c r="BB15" s="79"/>
      <c r="BC15" s="64"/>
      <c r="BD15" s="165"/>
      <c r="BE15" s="64"/>
      <c r="BF15" s="64"/>
      <c r="BG15" s="79"/>
      <c r="BH15" s="64"/>
      <c r="BI15" s="165"/>
      <c r="BJ15" s="64"/>
      <c r="BK15" s="64"/>
      <c r="BL15" s="79"/>
      <c r="BM15" s="64"/>
      <c r="BN15" s="165"/>
      <c r="BO15" s="64"/>
      <c r="BP15" s="64"/>
      <c r="BQ15" s="79"/>
      <c r="BR15" s="304"/>
      <c r="BS15" s="165"/>
      <c r="BT15" s="64"/>
      <c r="BU15" s="64"/>
      <c r="BV15" s="79"/>
      <c r="BW15" s="304"/>
      <c r="BX15" s="165"/>
      <c r="BY15" s="64"/>
      <c r="BZ15" s="64"/>
      <c r="CA15" s="79"/>
      <c r="CB15" s="304"/>
      <c r="CC15" s="165"/>
      <c r="CD15" s="64"/>
      <c r="CE15" s="64"/>
      <c r="CF15" s="64"/>
      <c r="CG15" s="820"/>
      <c r="CH15" s="64"/>
      <c r="CI15" s="64"/>
      <c r="CJ15" s="64"/>
      <c r="CK15" s="64"/>
      <c r="CL15" s="820"/>
      <c r="CM15" s="64"/>
      <c r="CN15" s="64"/>
      <c r="CO15" s="62"/>
      <c r="CP15" s="64"/>
      <c r="CQ15" s="820"/>
      <c r="CR15" s="64"/>
      <c r="CS15" s="64"/>
      <c r="CT15" s="62"/>
      <c r="CU15" s="62"/>
      <c r="CV15" s="820"/>
      <c r="CW15" s="64"/>
      <c r="CX15" s="64"/>
      <c r="CY15" s="62"/>
      <c r="CZ15" s="62"/>
      <c r="DA15" s="820"/>
      <c r="DB15" s="64"/>
      <c r="DC15" s="64"/>
      <c r="DD15" s="64"/>
      <c r="DE15" s="64"/>
      <c r="DF15" s="820"/>
      <c r="DG15" s="64"/>
      <c r="DH15" s="64"/>
      <c r="DI15" s="64"/>
      <c r="DJ15" s="64"/>
      <c r="DK15" s="802"/>
      <c r="DL15" s="64"/>
      <c r="DM15" s="64"/>
      <c r="DN15" s="64"/>
      <c r="DO15" s="64"/>
      <c r="DP15" s="802"/>
      <c r="DQ15" s="64"/>
      <c r="DR15" s="62"/>
      <c r="DS15" s="62"/>
      <c r="DT15" s="550"/>
      <c r="DU15" s="802"/>
      <c r="DV15" s="549"/>
      <c r="DW15" s="62"/>
      <c r="DX15" s="62"/>
      <c r="DY15" s="550"/>
      <c r="DZ15" s="802"/>
      <c r="EA15" s="549"/>
      <c r="EB15" s="62"/>
      <c r="EC15" s="62"/>
      <c r="ED15" s="550"/>
      <c r="EE15" s="802"/>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row>
    <row r="16" spans="1:232" s="54" customFormat="1" ht="11.25" hidden="1" customHeight="1" outlineLevel="1">
      <c r="B16" s="574"/>
      <c r="C16" s="1240"/>
      <c r="D16" s="64"/>
      <c r="E16" s="64"/>
      <c r="F16" s="64"/>
      <c r="G16" s="64"/>
      <c r="H16" s="305"/>
      <c r="I16" s="64"/>
      <c r="J16" s="64"/>
      <c r="K16" s="538"/>
      <c r="L16" s="64"/>
      <c r="M16" s="64"/>
      <c r="N16" s="539"/>
      <c r="O16" s="619"/>
      <c r="P16" s="64"/>
      <c r="Q16" s="64"/>
      <c r="R16" s="64"/>
      <c r="S16" s="79"/>
      <c r="T16" s="64"/>
      <c r="U16" s="165"/>
      <c r="V16" s="64"/>
      <c r="W16" s="64"/>
      <c r="X16" s="79"/>
      <c r="Y16" s="64"/>
      <c r="Z16" s="165"/>
      <c r="AA16" s="64"/>
      <c r="AB16" s="64"/>
      <c r="AC16" s="79"/>
      <c r="AD16" s="64"/>
      <c r="AE16" s="165"/>
      <c r="AF16" s="64"/>
      <c r="AG16" s="64"/>
      <c r="AH16" s="79"/>
      <c r="AI16" s="64"/>
      <c r="AJ16" s="165"/>
      <c r="AK16" s="64"/>
      <c r="AL16" s="64"/>
      <c r="AM16" s="79"/>
      <c r="AN16" s="64"/>
      <c r="AO16" s="165"/>
      <c r="AP16" s="64"/>
      <c r="AQ16" s="64"/>
      <c r="AR16" s="79"/>
      <c r="AS16" s="64"/>
      <c r="AT16" s="165"/>
      <c r="AU16" s="64"/>
      <c r="AV16" s="64"/>
      <c r="AW16" s="79"/>
      <c r="AX16" s="64"/>
      <c r="AY16" s="165"/>
      <c r="AZ16" s="64"/>
      <c r="BA16" s="64"/>
      <c r="BB16" s="79"/>
      <c r="BC16" s="64"/>
      <c r="BD16" s="165"/>
      <c r="BE16" s="64"/>
      <c r="BF16" s="64"/>
      <c r="BG16" s="79"/>
      <c r="BH16" s="64"/>
      <c r="BI16" s="165"/>
      <c r="BJ16" s="64"/>
      <c r="BK16" s="64"/>
      <c r="BL16" s="79"/>
      <c r="BM16" s="64"/>
      <c r="BN16" s="165"/>
      <c r="BO16" s="64"/>
      <c r="BP16" s="64"/>
      <c r="BQ16" s="79"/>
      <c r="BR16" s="304"/>
      <c r="BS16" s="165"/>
      <c r="BT16" s="64"/>
      <c r="BU16" s="64"/>
      <c r="BV16" s="79"/>
      <c r="BW16" s="304"/>
      <c r="BX16" s="165"/>
      <c r="BY16" s="64"/>
      <c r="BZ16" s="64"/>
      <c r="CA16" s="79"/>
      <c r="CB16" s="304"/>
      <c r="CC16" s="165"/>
      <c r="CD16" s="64"/>
      <c r="CE16" s="64"/>
      <c r="CF16" s="64"/>
      <c r="CG16" s="820"/>
      <c r="CH16" s="64"/>
      <c r="CI16" s="64"/>
      <c r="CJ16" s="64"/>
      <c r="CK16" s="64"/>
      <c r="CL16" s="820"/>
      <c r="CM16" s="312"/>
      <c r="CN16" s="312"/>
      <c r="CO16" s="313"/>
      <c r="CP16" s="313"/>
      <c r="CQ16" s="820"/>
      <c r="CR16" s="64"/>
      <c r="CS16" s="64"/>
      <c r="CT16" s="62"/>
      <c r="CU16" s="62"/>
      <c r="CV16" s="820"/>
      <c r="CW16" s="64"/>
      <c r="CX16" s="64"/>
      <c r="CY16" s="62"/>
      <c r="CZ16" s="62"/>
      <c r="DA16" s="820"/>
      <c r="DB16" s="64"/>
      <c r="DC16" s="64"/>
      <c r="DD16" s="64"/>
      <c r="DE16" s="64"/>
      <c r="DF16" s="820"/>
      <c r="DG16" s="64"/>
      <c r="DH16" s="64"/>
      <c r="DI16" s="64"/>
      <c r="DJ16" s="64"/>
      <c r="DK16" s="802"/>
      <c r="DL16" s="64"/>
      <c r="DM16" s="64"/>
      <c r="DN16" s="64"/>
      <c r="DO16" s="64"/>
      <c r="DP16" s="802"/>
      <c r="DQ16" s="64"/>
      <c r="DR16" s="62"/>
      <c r="DS16" s="62"/>
      <c r="DT16" s="550"/>
      <c r="DU16" s="802"/>
      <c r="DV16" s="549"/>
      <c r="DW16" s="62"/>
      <c r="DX16" s="62"/>
      <c r="DY16" s="550"/>
      <c r="DZ16" s="802"/>
      <c r="EA16" s="549"/>
      <c r="EB16" s="62"/>
      <c r="EC16" s="62"/>
      <c r="ED16" s="550"/>
      <c r="EE16" s="802"/>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row>
    <row r="17" spans="2:232" s="54" customFormat="1" ht="11.25" hidden="1" customHeight="1" outlineLevel="1">
      <c r="B17" s="574"/>
      <c r="C17" s="1240"/>
      <c r="D17" s="64"/>
      <c r="E17" s="64"/>
      <c r="F17" s="64"/>
      <c r="G17" s="64"/>
      <c r="H17" s="305"/>
      <c r="I17" s="64"/>
      <c r="J17" s="64"/>
      <c r="K17" s="538"/>
      <c r="L17" s="64"/>
      <c r="M17" s="64"/>
      <c r="N17" s="539"/>
      <c r="O17" s="619"/>
      <c r="P17" s="64"/>
      <c r="Q17" s="64"/>
      <c r="R17" s="64"/>
      <c r="S17" s="79"/>
      <c r="T17" s="64"/>
      <c r="U17" s="165"/>
      <c r="V17" s="64"/>
      <c r="W17" s="64"/>
      <c r="X17" s="79"/>
      <c r="Y17" s="64"/>
      <c r="Z17" s="165"/>
      <c r="AA17" s="64"/>
      <c r="AB17" s="64"/>
      <c r="AC17" s="79"/>
      <c r="AD17" s="64"/>
      <c r="AE17" s="165"/>
      <c r="AF17" s="64"/>
      <c r="AG17" s="64"/>
      <c r="AH17" s="79"/>
      <c r="AI17" s="64"/>
      <c r="AJ17" s="165"/>
      <c r="AK17" s="64"/>
      <c r="AL17" s="64"/>
      <c r="AM17" s="79"/>
      <c r="AN17" s="64"/>
      <c r="AO17" s="165"/>
      <c r="AP17" s="64"/>
      <c r="AQ17" s="64"/>
      <c r="AR17" s="79"/>
      <c r="AS17" s="64"/>
      <c r="AT17" s="165"/>
      <c r="AU17" s="64"/>
      <c r="AV17" s="64"/>
      <c r="AW17" s="79"/>
      <c r="AX17" s="64"/>
      <c r="AY17" s="165"/>
      <c r="AZ17" s="64"/>
      <c r="BA17" s="64"/>
      <c r="BB17" s="79"/>
      <c r="BC17" s="64"/>
      <c r="BD17" s="165"/>
      <c r="BE17" s="64"/>
      <c r="BF17" s="64"/>
      <c r="BG17" s="79"/>
      <c r="BH17" s="64"/>
      <c r="BI17" s="165"/>
      <c r="BJ17" s="64"/>
      <c r="BK17" s="64"/>
      <c r="BL17" s="79"/>
      <c r="BM17" s="64"/>
      <c r="BN17" s="165"/>
      <c r="BO17" s="64"/>
      <c r="BP17" s="64"/>
      <c r="BQ17" s="79"/>
      <c r="BR17" s="304"/>
      <c r="BS17" s="165"/>
      <c r="BT17" s="64"/>
      <c r="BU17" s="64"/>
      <c r="BV17" s="79"/>
      <c r="BW17" s="304"/>
      <c r="BX17" s="165"/>
      <c r="BY17" s="64"/>
      <c r="BZ17" s="64"/>
      <c r="CA17" s="79"/>
      <c r="CB17" s="304"/>
      <c r="CC17" s="165"/>
      <c r="CD17" s="64"/>
      <c r="CE17" s="64"/>
      <c r="CF17" s="64"/>
      <c r="CG17" s="820"/>
      <c r="CH17" s="64"/>
      <c r="CI17" s="64"/>
      <c r="CJ17" s="64"/>
      <c r="CK17" s="64"/>
      <c r="CL17" s="820"/>
      <c r="CM17" s="64"/>
      <c r="CN17" s="64"/>
      <c r="CO17" s="64"/>
      <c r="CP17" s="64"/>
      <c r="CQ17" s="820"/>
      <c r="CR17" s="64"/>
      <c r="CS17" s="64"/>
      <c r="CT17" s="62"/>
      <c r="CU17" s="62"/>
      <c r="CV17" s="820"/>
      <c r="CW17" s="64"/>
      <c r="CX17" s="64">
        <f>-CX21/-CS21</f>
        <v>2.2823529411764705</v>
      </c>
      <c r="CY17" s="62"/>
      <c r="CZ17" s="62"/>
      <c r="DA17" s="820"/>
      <c r="DB17" s="64"/>
      <c r="DC17" s="64"/>
      <c r="DD17" s="64"/>
      <c r="DE17" s="64"/>
      <c r="DF17" s="820"/>
      <c r="DG17" s="64"/>
      <c r="DH17" s="64"/>
      <c r="DI17" s="64"/>
      <c r="DJ17" s="64"/>
      <c r="DK17" s="802"/>
      <c r="DL17" s="64"/>
      <c r="DM17" s="64"/>
      <c r="DN17" s="64"/>
      <c r="DO17" s="64"/>
      <c r="DP17" s="802"/>
      <c r="DQ17" s="64"/>
      <c r="DR17" s="62"/>
      <c r="DS17" s="62"/>
      <c r="DT17" s="550"/>
      <c r="DU17" s="802"/>
      <c r="DV17" s="549"/>
      <c r="DW17" s="62"/>
      <c r="DX17" s="62"/>
      <c r="DY17" s="550"/>
      <c r="DZ17" s="802"/>
      <c r="EA17" s="549"/>
      <c r="EB17" s="62"/>
      <c r="EC17" s="62"/>
      <c r="ED17" s="550"/>
      <c r="EE17" s="802"/>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row>
    <row r="18" spans="2:232" s="64" customFormat="1" collapsed="1">
      <c r="B18" s="561" t="s">
        <v>233</v>
      </c>
      <c r="C18" s="1240"/>
      <c r="D18" s="64">
        <v>1278.116</v>
      </c>
      <c r="E18" s="64">
        <v>1406.922</v>
      </c>
      <c r="F18" s="64">
        <v>1582.7249999999999</v>
      </c>
      <c r="G18" s="64">
        <v>1738.77</v>
      </c>
      <c r="H18" s="64">
        <v>1929.63</v>
      </c>
      <c r="I18" s="64">
        <v>2164.8890000000001</v>
      </c>
      <c r="J18" s="64">
        <v>2392.7309999999998</v>
      </c>
      <c r="K18" s="538">
        <v>635.20800000000008</v>
      </c>
      <c r="L18" s="64">
        <v>682.86</v>
      </c>
      <c r="M18" s="64">
        <v>674.90200000000004</v>
      </c>
      <c r="N18" s="539">
        <v>666.55500000000006</v>
      </c>
      <c r="O18" s="619">
        <v>2659.5250000000005</v>
      </c>
      <c r="P18" s="64">
        <v>707.66699999999992</v>
      </c>
      <c r="Q18" s="64">
        <v>766.55900000000008</v>
      </c>
      <c r="R18" s="64">
        <v>757.44100000000003</v>
      </c>
      <c r="S18" s="79">
        <v>740.82900000000006</v>
      </c>
      <c r="T18" s="64">
        <v>2972.4960000000005</v>
      </c>
      <c r="U18" s="165">
        <v>800.8</v>
      </c>
      <c r="V18" s="64">
        <v>854.38099999999997</v>
      </c>
      <c r="W18" s="64">
        <v>842.61199999999997</v>
      </c>
      <c r="X18" s="79">
        <v>834.20799999999997</v>
      </c>
      <c r="Y18" s="64">
        <v>3332.0010000000002</v>
      </c>
      <c r="Z18" s="165">
        <v>906</v>
      </c>
      <c r="AA18" s="64">
        <v>968.6</v>
      </c>
      <c r="AB18" s="64">
        <v>984.4</v>
      </c>
      <c r="AC18" s="79">
        <v>985.8</v>
      </c>
      <c r="AD18" s="64">
        <v>3844.8</v>
      </c>
      <c r="AE18" s="165">
        <v>1062</v>
      </c>
      <c r="AF18" s="64">
        <v>1152.3</v>
      </c>
      <c r="AG18" s="64">
        <v>1138.2</v>
      </c>
      <c r="AH18" s="79">
        <v>1164.4000000000001</v>
      </c>
      <c r="AI18" s="64">
        <v>4516.8999999999996</v>
      </c>
      <c r="AJ18" s="165">
        <v>1230.5</v>
      </c>
      <c r="AK18" s="64">
        <v>1313.9</v>
      </c>
      <c r="AL18" s="64">
        <v>1306.0999999999999</v>
      </c>
      <c r="AM18" s="79">
        <v>1325.3</v>
      </c>
      <c r="AN18" s="64">
        <v>5175.8</v>
      </c>
      <c r="AO18" s="165">
        <v>1405.9</v>
      </c>
      <c r="AP18" s="64">
        <v>1510.5</v>
      </c>
      <c r="AQ18" s="64">
        <v>1523.1</v>
      </c>
      <c r="AR18" s="79">
        <v>1541.3</v>
      </c>
      <c r="AS18" s="64">
        <v>5998.7</v>
      </c>
      <c r="AT18" s="165">
        <v>1643</v>
      </c>
      <c r="AU18" s="64">
        <v>1754.9</v>
      </c>
      <c r="AV18" s="64">
        <v>1769.3</v>
      </c>
      <c r="AW18" s="79">
        <v>1783.7</v>
      </c>
      <c r="AX18" s="64">
        <v>6967.9</v>
      </c>
      <c r="AY18" s="165">
        <v>1895.1</v>
      </c>
      <c r="AZ18" s="64">
        <v>2028.6</v>
      </c>
      <c r="BA18" s="64">
        <v>2033.1</v>
      </c>
      <c r="BB18" s="79">
        <v>2114.9</v>
      </c>
      <c r="BC18" s="304">
        <f>SUM(AY18:BB18)</f>
        <v>8071.6999999999989</v>
      </c>
      <c r="BD18" s="165">
        <v>2201.8000000000002</v>
      </c>
      <c r="BE18" s="64">
        <v>2355</v>
      </c>
      <c r="BF18" s="64">
        <v>2372.1</v>
      </c>
      <c r="BG18" s="79">
        <v>2434.9</v>
      </c>
      <c r="BH18" s="304">
        <f>SUM(BD18:BG18)</f>
        <v>9363.7999999999993</v>
      </c>
      <c r="BI18" s="165">
        <v>2460.6999999999998</v>
      </c>
      <c r="BJ18" s="64">
        <v>2638.4</v>
      </c>
      <c r="BK18" s="64">
        <v>2635.6</v>
      </c>
      <c r="BL18" s="79">
        <v>2732.4</v>
      </c>
      <c r="BM18" s="304">
        <f>SUM(BI18:BL18)</f>
        <v>10467.1</v>
      </c>
      <c r="BN18" s="165">
        <v>2903.7</v>
      </c>
      <c r="BO18" s="64">
        <v>3015.3</v>
      </c>
      <c r="BP18" s="64">
        <v>3022.4</v>
      </c>
      <c r="BQ18" s="79">
        <v>3151.8</v>
      </c>
      <c r="BR18" s="304">
        <f>SUM(BN18:BQ18)</f>
        <v>12093.2</v>
      </c>
      <c r="BS18" s="165">
        <v>3193</v>
      </c>
      <c r="BT18" s="64">
        <v>3354</v>
      </c>
      <c r="BU18" s="64">
        <v>3331</v>
      </c>
      <c r="BV18" s="79">
        <v>3402.7</v>
      </c>
      <c r="BW18" s="304">
        <f>SUM(BS18:BV18)</f>
        <v>13280.7</v>
      </c>
      <c r="BX18" s="165">
        <v>3482</v>
      </c>
      <c r="BY18" s="64">
        <v>3627</v>
      </c>
      <c r="BZ18" s="64">
        <v>3613</v>
      </c>
      <c r="CA18" s="79">
        <v>3644</v>
      </c>
      <c r="CB18" s="304">
        <f>SUM(BX18:CA18)</f>
        <v>14366</v>
      </c>
      <c r="CC18" s="165">
        <v>3741</v>
      </c>
      <c r="CD18" s="64">
        <v>3811</v>
      </c>
      <c r="CE18" s="64">
        <v>3920</v>
      </c>
      <c r="CF18" s="64">
        <v>4046</v>
      </c>
      <c r="CG18" s="820">
        <f>SUM(CC18:CF18)</f>
        <v>15518</v>
      </c>
      <c r="CH18" s="64">
        <v>4004</v>
      </c>
      <c r="CI18" s="64">
        <v>4117</v>
      </c>
      <c r="CJ18" s="64">
        <v>4203</v>
      </c>
      <c r="CK18" s="64">
        <v>4237</v>
      </c>
      <c r="CL18" s="820">
        <f>SUM(CH18:CK18)</f>
        <v>16561</v>
      </c>
      <c r="CM18" s="64">
        <v>4204</v>
      </c>
      <c r="CN18" s="172">
        <v>4284</v>
      </c>
      <c r="CO18" s="64">
        <v>4141</v>
      </c>
      <c r="CP18" s="64">
        <v>4249</v>
      </c>
      <c r="CQ18" s="820">
        <f>SUM(CM18:CP18)</f>
        <v>16878</v>
      </c>
      <c r="CR18" s="64">
        <v>4398</v>
      </c>
      <c r="CS18" s="64">
        <v>4497</v>
      </c>
      <c r="CT18" s="64">
        <v>4362</v>
      </c>
      <c r="CU18" s="64">
        <v>4286</v>
      </c>
      <c r="CV18" s="820">
        <f>SUM(CR18:CU18)</f>
        <v>17543</v>
      </c>
      <c r="CW18" s="64">
        <v>4379</v>
      </c>
      <c r="CX18" s="64">
        <v>4569</v>
      </c>
      <c r="CY18" s="64">
        <v>4551</v>
      </c>
      <c r="CZ18" s="64">
        <v>4493</v>
      </c>
      <c r="DA18" s="820">
        <f>SUM(CW18:CZ18)</f>
        <v>17992</v>
      </c>
      <c r="DB18" s="64">
        <v>4456</v>
      </c>
      <c r="DC18" s="1694">
        <v>5606</v>
      </c>
      <c r="DD18" s="1694">
        <v>6080</v>
      </c>
      <c r="DE18" s="1694">
        <v>6429</v>
      </c>
      <c r="DF18" s="820">
        <f>SUM(DB18:DE18)</f>
        <v>22571</v>
      </c>
      <c r="DG18" s="1694">
        <v>6034</v>
      </c>
      <c r="DH18" s="1694">
        <v>6084</v>
      </c>
      <c r="DI18" s="1694">
        <v>5967</v>
      </c>
      <c r="DJ18" s="1694">
        <v>6049</v>
      </c>
      <c r="DK18" s="619">
        <f>SUM(DG18:DJ18)</f>
        <v>24134</v>
      </c>
      <c r="DL18" s="1694">
        <v>5686</v>
      </c>
      <c r="DM18" s="1694">
        <v>6124</v>
      </c>
      <c r="DN18" s="1694">
        <v>5712</v>
      </c>
      <c r="DO18" s="1694">
        <v>6218</v>
      </c>
      <c r="DP18" s="619">
        <f>SUM(DL18:DO18)</f>
        <v>23740</v>
      </c>
      <c r="DQ18" s="1694">
        <v>5907</v>
      </c>
      <c r="DR18" s="64">
        <f>DR62</f>
        <v>6415.4821041039313</v>
      </c>
      <c r="DS18" s="64">
        <f>DS62</f>
        <v>6405.027361458473</v>
      </c>
      <c r="DT18" s="539">
        <f>DT62</f>
        <v>6299.1350444760055</v>
      </c>
      <c r="DU18" s="619">
        <f>SUM(DQ18:DT18)</f>
        <v>25026.644510038412</v>
      </c>
      <c r="DV18" s="538">
        <f>DV62</f>
        <v>6316.7288629040859</v>
      </c>
      <c r="DW18" s="64">
        <f>DW62</f>
        <v>6597.9346812630383</v>
      </c>
      <c r="DX18" s="64">
        <f>DX62</f>
        <v>6407.2405828947849</v>
      </c>
      <c r="DY18" s="539">
        <f>DY62</f>
        <v>6267.3689953158409</v>
      </c>
      <c r="DZ18" s="619">
        <f>SUM(DV18:DY18)</f>
        <v>25589.273122377752</v>
      </c>
      <c r="EA18" s="538">
        <f>EA62</f>
        <v>6458.78755302022</v>
      </c>
      <c r="EB18" s="64">
        <f>EB62</f>
        <v>6747.5875373052104</v>
      </c>
      <c r="EC18" s="64">
        <f>EC62</f>
        <v>6552.1793694937269</v>
      </c>
      <c r="ED18" s="539">
        <f>ED62</f>
        <v>6408.9214540731164</v>
      </c>
      <c r="EE18" s="619">
        <f>SUM(EA18:ED18)</f>
        <v>26167.475913892271</v>
      </c>
      <c r="EF18" s="53"/>
      <c r="EG18" s="53"/>
      <c r="EH18"/>
      <c r="EI18"/>
      <c r="EJ18"/>
      <c r="EK18"/>
      <c r="EL18"/>
      <c r="EM18"/>
      <c r="EN18" s="53"/>
      <c r="EO18" s="53"/>
      <c r="EP18" s="53"/>
      <c r="EQ18" s="53"/>
      <c r="ER18" s="53"/>
      <c r="ES18" s="53"/>
      <c r="ET18" s="53"/>
      <c r="EU18" s="53"/>
      <c r="EV18" s="53"/>
      <c r="EW18" s="53"/>
      <c r="EX18" s="53"/>
      <c r="EY18" s="53"/>
      <c r="EZ18" s="53"/>
      <c r="FA18" s="53"/>
      <c r="FB18" s="53"/>
      <c r="FC18" s="53"/>
      <c r="FD18" s="53"/>
      <c r="FE18" s="53"/>
      <c r="FF18" s="53"/>
      <c r="FG18" s="53"/>
      <c r="FH18" s="53"/>
      <c r="FI18" s="53"/>
      <c r="FJ18" s="53"/>
      <c r="FK18" s="53"/>
      <c r="FL18" s="53"/>
      <c r="FM18" s="53"/>
      <c r="FN18" s="53"/>
      <c r="FO18" s="53"/>
      <c r="FP18" s="53"/>
      <c r="FQ18" s="53"/>
      <c r="FR18" s="53"/>
      <c r="FS18" s="53"/>
      <c r="FT18" s="53"/>
      <c r="FU18" s="53"/>
      <c r="FV18" s="53"/>
      <c r="FW18" s="53"/>
      <c r="FX18" s="53"/>
      <c r="FY18" s="53"/>
      <c r="FZ18" s="53"/>
      <c r="GA18" s="53"/>
      <c r="GB18" s="53"/>
      <c r="GC18" s="53"/>
      <c r="GD18" s="53"/>
      <c r="GE18" s="53"/>
      <c r="GF18" s="53"/>
      <c r="GG18" s="53"/>
      <c r="GH18" s="53"/>
      <c r="GI18" s="53"/>
      <c r="GJ18" s="53"/>
      <c r="GK18" s="53"/>
      <c r="GL18" s="53"/>
      <c r="GM18" s="53"/>
      <c r="GN18" s="53"/>
      <c r="GO18" s="53"/>
      <c r="GP18" s="53"/>
      <c r="GQ18" s="53"/>
      <c r="GR18" s="53"/>
      <c r="GS18" s="53"/>
      <c r="GT18" s="53"/>
      <c r="GU18" s="53"/>
      <c r="GV18" s="53"/>
      <c r="GW18" s="53"/>
      <c r="GX18" s="53"/>
      <c r="GY18" s="53"/>
      <c r="GZ18" s="53"/>
      <c r="HA18" s="53"/>
      <c r="HB18" s="53"/>
      <c r="HC18" s="53"/>
      <c r="HD18" s="53"/>
      <c r="HE18" s="53"/>
      <c r="HF18" s="53"/>
      <c r="HG18" s="53"/>
      <c r="HH18" s="53"/>
      <c r="HI18" s="53"/>
      <c r="HJ18" s="53"/>
      <c r="HK18" s="53"/>
      <c r="HL18" s="53"/>
      <c r="HM18" s="53"/>
      <c r="HN18" s="53"/>
      <c r="HO18" s="53"/>
      <c r="HP18" s="53"/>
      <c r="HQ18" s="53"/>
      <c r="HR18" s="53"/>
      <c r="HS18" s="53"/>
      <c r="HT18" s="53"/>
      <c r="HU18" s="53"/>
      <c r="HV18" s="53"/>
      <c r="HW18" s="53"/>
      <c r="HX18" s="53"/>
    </row>
    <row r="19" spans="2:232" s="315" customFormat="1" ht="4.5" hidden="1" customHeight="1" outlineLevel="1">
      <c r="B19" s="561"/>
      <c r="C19" s="1243"/>
      <c r="D19" s="64"/>
      <c r="E19" s="64"/>
      <c r="F19" s="64"/>
      <c r="G19" s="64"/>
      <c r="H19" s="64"/>
      <c r="I19" s="64"/>
      <c r="J19" s="64"/>
      <c r="K19" s="605"/>
      <c r="L19" s="302"/>
      <c r="M19" s="302"/>
      <c r="N19" s="606"/>
      <c r="O19" s="619"/>
      <c r="P19" s="302"/>
      <c r="Q19" s="302"/>
      <c r="R19" s="302"/>
      <c r="S19" s="303"/>
      <c r="T19" s="64"/>
      <c r="U19" s="301"/>
      <c r="V19" s="302"/>
      <c r="W19" s="302"/>
      <c r="X19" s="303"/>
      <c r="Y19" s="64"/>
      <c r="Z19" s="301"/>
      <c r="AA19" s="302"/>
      <c r="AB19" s="302"/>
      <c r="AC19" s="303"/>
      <c r="AD19" s="64"/>
      <c r="AE19" s="301"/>
      <c r="AF19" s="302"/>
      <c r="AG19" s="302"/>
      <c r="AH19" s="303"/>
      <c r="AI19" s="64"/>
      <c r="AJ19" s="301"/>
      <c r="AK19" s="302"/>
      <c r="AL19" s="302"/>
      <c r="AM19" s="303"/>
      <c r="AN19" s="64"/>
      <c r="AO19" s="301"/>
      <c r="AP19" s="302"/>
      <c r="AQ19" s="302"/>
      <c r="AR19" s="303"/>
      <c r="AS19" s="64"/>
      <c r="AT19" s="301"/>
      <c r="AU19" s="302"/>
      <c r="AV19" s="302"/>
      <c r="AW19" s="303"/>
      <c r="AX19" s="64"/>
      <c r="AY19" s="301"/>
      <c r="AZ19" s="302"/>
      <c r="BA19" s="302"/>
      <c r="BB19" s="303"/>
      <c r="BC19" s="64"/>
      <c r="BD19" s="301"/>
      <c r="BE19" s="302"/>
      <c r="BF19" s="302"/>
      <c r="BG19" s="303"/>
      <c r="BH19" s="64"/>
      <c r="BI19" s="301"/>
      <c r="BJ19" s="302"/>
      <c r="BK19" s="302"/>
      <c r="BL19" s="303"/>
      <c r="BM19" s="64"/>
      <c r="BN19" s="301"/>
      <c r="BO19" s="302"/>
      <c r="BP19" s="302"/>
      <c r="BQ19" s="303"/>
      <c r="BR19" s="304"/>
      <c r="BS19" s="301"/>
      <c r="BT19" s="302"/>
      <c r="BU19" s="302"/>
      <c r="BV19" s="303"/>
      <c r="BW19" s="304"/>
      <c r="BX19" s="301"/>
      <c r="BY19" s="302"/>
      <c r="BZ19" s="302"/>
      <c r="CA19" s="303"/>
      <c r="CB19" s="304"/>
      <c r="CC19" s="301"/>
      <c r="CD19" s="302"/>
      <c r="CE19" s="302"/>
      <c r="CF19" s="302"/>
      <c r="CG19" s="820"/>
      <c r="CH19" s="302"/>
      <c r="CI19" s="302"/>
      <c r="CJ19" s="302"/>
      <c r="CK19" s="302"/>
      <c r="CL19" s="820"/>
      <c r="CM19" s="302"/>
      <c r="CN19" s="314"/>
      <c r="CO19" s="302"/>
      <c r="CP19" s="302"/>
      <c r="CQ19" s="820"/>
      <c r="CR19" s="302"/>
      <c r="CS19" s="302"/>
      <c r="CT19" s="302"/>
      <c r="CU19" s="302"/>
      <c r="CV19" s="820"/>
      <c r="CW19" s="302"/>
      <c r="CX19" s="302"/>
      <c r="CY19" s="302"/>
      <c r="CZ19" s="302"/>
      <c r="DA19" s="820"/>
      <c r="DB19" s="302"/>
      <c r="DC19" s="302"/>
      <c r="DD19" s="302"/>
      <c r="DE19" s="302"/>
      <c r="DF19" s="820"/>
      <c r="DG19" s="302"/>
      <c r="DH19" s="302"/>
      <c r="DI19" s="302"/>
      <c r="DJ19" s="302"/>
      <c r="DK19" s="1089"/>
      <c r="DL19" s="302"/>
      <c r="DM19" s="302"/>
      <c r="DN19" s="302"/>
      <c r="DO19" s="302"/>
      <c r="DP19" s="1089"/>
      <c r="DQ19" s="302"/>
      <c r="DR19" s="302"/>
      <c r="DS19" s="302"/>
      <c r="DT19" s="606"/>
      <c r="DU19" s="1089"/>
      <c r="DV19" s="605"/>
      <c r="DW19" s="302"/>
      <c r="DX19" s="302"/>
      <c r="DY19" s="606"/>
      <c r="DZ19" s="1089"/>
      <c r="EA19" s="605"/>
      <c r="EB19" s="302"/>
      <c r="EC19" s="302"/>
      <c r="ED19" s="606"/>
      <c r="EE19" s="108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row>
    <row r="20" spans="2:232" s="315" customFormat="1" collapsed="1">
      <c r="B20" s="561" t="s">
        <v>390</v>
      </c>
      <c r="C20" s="1243"/>
      <c r="D20" s="64"/>
      <c r="E20" s="64"/>
      <c r="F20" s="64"/>
      <c r="G20" s="64"/>
      <c r="H20" s="64"/>
      <c r="I20" s="64"/>
      <c r="J20" s="64"/>
      <c r="K20" s="605"/>
      <c r="L20" s="302"/>
      <c r="M20" s="302"/>
      <c r="N20" s="606"/>
      <c r="O20" s="619"/>
      <c r="P20" s="302"/>
      <c r="Q20" s="302"/>
      <c r="R20" s="302"/>
      <c r="S20" s="303"/>
      <c r="T20" s="64"/>
      <c r="U20" s="301"/>
      <c r="V20" s="302"/>
      <c r="W20" s="302"/>
      <c r="X20" s="303"/>
      <c r="Y20" s="64"/>
      <c r="Z20" s="301"/>
      <c r="AA20" s="302"/>
      <c r="AB20" s="302"/>
      <c r="AC20" s="303"/>
      <c r="AD20" s="64"/>
      <c r="AE20" s="301"/>
      <c r="AF20" s="302"/>
      <c r="AG20" s="302"/>
      <c r="AH20" s="303"/>
      <c r="AI20" s="64"/>
      <c r="AJ20" s="301"/>
      <c r="AK20" s="302"/>
      <c r="AL20" s="302"/>
      <c r="AM20" s="303"/>
      <c r="AN20" s="64"/>
      <c r="AO20" s="301"/>
      <c r="AP20" s="302"/>
      <c r="AQ20" s="302"/>
      <c r="AR20" s="303"/>
      <c r="AS20" s="64"/>
      <c r="AT20" s="301"/>
      <c r="AU20" s="302"/>
      <c r="AV20" s="302"/>
      <c r="AW20" s="303"/>
      <c r="AX20" s="64"/>
      <c r="AY20" s="301"/>
      <c r="AZ20" s="302"/>
      <c r="BA20" s="302"/>
      <c r="BB20" s="303"/>
      <c r="BC20" s="64"/>
      <c r="BD20" s="301"/>
      <c r="BE20" s="302"/>
      <c r="BF20" s="302"/>
      <c r="BG20" s="303"/>
      <c r="BH20" s="64"/>
      <c r="BI20" s="301"/>
      <c r="BJ20" s="302"/>
      <c r="BK20" s="302"/>
      <c r="BL20" s="303"/>
      <c r="BM20" s="64"/>
      <c r="BN20" s="301"/>
      <c r="BO20" s="302"/>
      <c r="BP20" s="302"/>
      <c r="BQ20" s="303"/>
      <c r="BR20" s="304"/>
      <c r="BS20" s="301"/>
      <c r="BT20" s="302"/>
      <c r="BU20" s="302"/>
      <c r="BV20" s="303"/>
      <c r="BW20" s="304"/>
      <c r="BX20" s="301"/>
      <c r="BY20" s="302"/>
      <c r="BZ20" s="302"/>
      <c r="CA20" s="303"/>
      <c r="CB20" s="304"/>
      <c r="CC20" s="301"/>
      <c r="CD20" s="302"/>
      <c r="CE20" s="302"/>
      <c r="CF20" s="302"/>
      <c r="CG20" s="820"/>
      <c r="CH20" s="302"/>
      <c r="CI20" s="302"/>
      <c r="CJ20" s="302"/>
      <c r="CK20" s="64">
        <v>-434</v>
      </c>
      <c r="CL20" s="820">
        <f>SUM(CH20:CK20)</f>
        <v>-434</v>
      </c>
      <c r="CM20" s="302"/>
      <c r="CN20" s="314"/>
      <c r="CO20" s="302"/>
      <c r="CP20" s="302"/>
      <c r="CQ20" s="820">
        <f>SUM(CM20:CP20)</f>
        <v>0</v>
      </c>
      <c r="CR20" s="64"/>
      <c r="CS20" s="64">
        <v>-20</v>
      </c>
      <c r="CT20" s="64"/>
      <c r="CU20" s="64"/>
      <c r="CV20" s="820">
        <f>SUM(CR20:CU20)</f>
        <v>-20</v>
      </c>
      <c r="CW20" s="302"/>
      <c r="CX20" s="302"/>
      <c r="CY20" s="302"/>
      <c r="CZ20" s="302"/>
      <c r="DA20" s="820">
        <f>SUM(CW20:CZ20)</f>
        <v>0</v>
      </c>
      <c r="DB20" s="302"/>
      <c r="DC20" s="302"/>
      <c r="DD20" s="302"/>
      <c r="DE20" s="302"/>
      <c r="DF20" s="820">
        <f>SUM(DB20:DE20)</f>
        <v>0</v>
      </c>
      <c r="DG20" s="302"/>
      <c r="DH20" s="302"/>
      <c r="DI20" s="302"/>
      <c r="DJ20" s="302"/>
      <c r="DK20" s="1089">
        <f>SUM(DG20:DJ20)</f>
        <v>0</v>
      </c>
      <c r="DL20" s="302"/>
      <c r="DM20" s="302"/>
      <c r="DN20" s="302"/>
      <c r="DO20" s="302"/>
      <c r="DP20" s="1089">
        <f>SUM(DL20:DO20)</f>
        <v>0</v>
      </c>
      <c r="DQ20" s="302"/>
      <c r="DR20" s="302"/>
      <c r="DS20" s="302"/>
      <c r="DT20" s="606"/>
      <c r="DU20" s="1089">
        <f>SUM(DQ20:DT20)</f>
        <v>0</v>
      </c>
      <c r="DV20" s="605"/>
      <c r="DW20" s="302"/>
      <c r="DX20" s="302"/>
      <c r="DY20" s="606"/>
      <c r="DZ20" s="1089">
        <f>SUM(DV20:DY20)</f>
        <v>0</v>
      </c>
      <c r="EA20" s="605"/>
      <c r="EB20" s="302"/>
      <c r="EC20" s="302"/>
      <c r="ED20" s="606"/>
      <c r="EE20" s="1089">
        <f>SUM(EA20:ED20)</f>
        <v>0</v>
      </c>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row>
    <row r="21" spans="2:232" s="54" customFormat="1">
      <c r="B21" s="623" t="s">
        <v>290</v>
      </c>
      <c r="C21" s="1244"/>
      <c r="D21" s="270">
        <v>0</v>
      </c>
      <c r="E21" s="270">
        <v>0</v>
      </c>
      <c r="F21" s="270">
        <v>0</v>
      </c>
      <c r="G21" s="270">
        <v>0</v>
      </c>
      <c r="H21" s="270">
        <v>0</v>
      </c>
      <c r="I21" s="270">
        <v>0</v>
      </c>
      <c r="J21" s="270">
        <v>0</v>
      </c>
      <c r="K21" s="624"/>
      <c r="L21" s="269"/>
      <c r="M21" s="269"/>
      <c r="N21" s="602"/>
      <c r="O21" s="616">
        <v>0</v>
      </c>
      <c r="P21" s="269"/>
      <c r="Q21" s="269"/>
      <c r="R21" s="269"/>
      <c r="S21" s="437"/>
      <c r="T21" s="270">
        <v>0</v>
      </c>
      <c r="U21" s="436"/>
      <c r="V21" s="269"/>
      <c r="W21" s="269"/>
      <c r="X21" s="437"/>
      <c r="Y21" s="270">
        <v>0</v>
      </c>
      <c r="Z21" s="436"/>
      <c r="AA21" s="269"/>
      <c r="AB21" s="269"/>
      <c r="AC21" s="437"/>
      <c r="AD21" s="270">
        <v>0</v>
      </c>
      <c r="AE21" s="436"/>
      <c r="AF21" s="269"/>
      <c r="AG21" s="269"/>
      <c r="AH21" s="437"/>
      <c r="AI21" s="270">
        <v>0</v>
      </c>
      <c r="AJ21" s="625">
        <v>0</v>
      </c>
      <c r="AK21" s="626">
        <v>0</v>
      </c>
      <c r="AL21" s="627">
        <v>0</v>
      </c>
      <c r="AM21" s="628">
        <v>0</v>
      </c>
      <c r="AN21" s="270">
        <v>0</v>
      </c>
      <c r="AO21" s="625">
        <v>0</v>
      </c>
      <c r="AP21" s="626">
        <v>0</v>
      </c>
      <c r="AQ21" s="627">
        <v>0</v>
      </c>
      <c r="AR21" s="628">
        <v>0</v>
      </c>
      <c r="AS21" s="270">
        <v>0</v>
      </c>
      <c r="AT21" s="625">
        <v>0</v>
      </c>
      <c r="AU21" s="626">
        <v>0</v>
      </c>
      <c r="AV21" s="627">
        <v>0</v>
      </c>
      <c r="AW21" s="628">
        <v>0</v>
      </c>
      <c r="AX21" s="270">
        <v>0</v>
      </c>
      <c r="AY21" s="625">
        <v>0</v>
      </c>
      <c r="AZ21" s="626">
        <v>0</v>
      </c>
      <c r="BA21" s="627">
        <v>0</v>
      </c>
      <c r="BB21" s="628">
        <v>0</v>
      </c>
      <c r="BC21" s="270">
        <v>0</v>
      </c>
      <c r="BD21" s="625">
        <v>0</v>
      </c>
      <c r="BE21" s="626">
        <v>0</v>
      </c>
      <c r="BF21" s="627">
        <v>0</v>
      </c>
      <c r="BG21" s="628">
        <v>0</v>
      </c>
      <c r="BH21" s="270">
        <v>0</v>
      </c>
      <c r="BI21" s="625">
        <v>0</v>
      </c>
      <c r="BJ21" s="626">
        <v>0</v>
      </c>
      <c r="BK21" s="627">
        <v>0</v>
      </c>
      <c r="BL21" s="628">
        <v>0</v>
      </c>
      <c r="BM21" s="270">
        <f>SUM(BI21:BL21)</f>
        <v>0</v>
      </c>
      <c r="BN21" s="625">
        <v>0</v>
      </c>
      <c r="BO21" s="626">
        <v>0</v>
      </c>
      <c r="BP21" s="627">
        <v>0</v>
      </c>
      <c r="BQ21" s="628">
        <v>0</v>
      </c>
      <c r="BR21" s="629">
        <f>SUM(BN21:BQ21)</f>
        <v>0</v>
      </c>
      <c r="BS21" s="625">
        <v>0</v>
      </c>
      <c r="BT21" s="626">
        <v>0</v>
      </c>
      <c r="BU21" s="627">
        <v>0</v>
      </c>
      <c r="BV21" s="628">
        <v>0</v>
      </c>
      <c r="BW21" s="629">
        <v>0</v>
      </c>
      <c r="BX21" s="625">
        <v>0</v>
      </c>
      <c r="BY21" s="626">
        <v>0</v>
      </c>
      <c r="BZ21" s="627">
        <v>0</v>
      </c>
      <c r="CA21" s="628">
        <v>0</v>
      </c>
      <c r="CB21" s="629">
        <f>SUM(BX21:CA21)</f>
        <v>0</v>
      </c>
      <c r="CC21" s="625">
        <v>0</v>
      </c>
      <c r="CD21" s="626">
        <v>0</v>
      </c>
      <c r="CE21" s="627">
        <v>0</v>
      </c>
      <c r="CF21" s="627">
        <v>0</v>
      </c>
      <c r="CG21" s="823">
        <f>SUM(CC21:CF21)</f>
        <v>0</v>
      </c>
      <c r="CH21" s="626">
        <v>0</v>
      </c>
      <c r="CI21" s="626">
        <v>0</v>
      </c>
      <c r="CJ21" s="627">
        <v>0</v>
      </c>
      <c r="CK21" s="627">
        <v>0</v>
      </c>
      <c r="CL21" s="823">
        <f>SUM(CH21:CK21)</f>
        <v>0</v>
      </c>
      <c r="CM21" s="626">
        <v>0</v>
      </c>
      <c r="CN21" s="626">
        <v>0</v>
      </c>
      <c r="CO21" s="627">
        <v>0</v>
      </c>
      <c r="CP21" s="627">
        <v>0</v>
      </c>
      <c r="CQ21" s="823">
        <f>SUM(CM21:CP21)</f>
        <v>0</v>
      </c>
      <c r="CR21" s="629">
        <v>-4</v>
      </c>
      <c r="CS21" s="630">
        <v>-85</v>
      </c>
      <c r="CT21" s="630">
        <v>-131</v>
      </c>
      <c r="CU21" s="630">
        <v>-124</v>
      </c>
      <c r="CV21" s="823">
        <f>SUM(CR21:CU21)</f>
        <v>-344</v>
      </c>
      <c r="CW21" s="630">
        <v>-151</v>
      </c>
      <c r="CX21" s="1530">
        <v>-194</v>
      </c>
      <c r="CY21" s="1537">
        <v>-137</v>
      </c>
      <c r="CZ21" s="1537">
        <v>-135</v>
      </c>
      <c r="DA21" s="823">
        <f>SUM(CW21:CZ21)</f>
        <v>-617</v>
      </c>
      <c r="DB21" s="1530">
        <v>-214</v>
      </c>
      <c r="DC21" s="1695">
        <v>-101</v>
      </c>
      <c r="DD21" s="1695">
        <v>0</v>
      </c>
      <c r="DE21" s="1695">
        <v>0</v>
      </c>
      <c r="DF21" s="823">
        <f>SUM(DB21:DE21)</f>
        <v>-315</v>
      </c>
      <c r="DG21" s="1695">
        <v>0</v>
      </c>
      <c r="DH21" s="1695">
        <v>0</v>
      </c>
      <c r="DI21" s="1695">
        <v>-3</v>
      </c>
      <c r="DJ21" s="1695">
        <v>-34</v>
      </c>
      <c r="DK21" s="1656">
        <f>SUM(DG21:DJ21)</f>
        <v>-37</v>
      </c>
      <c r="DL21" s="1695">
        <v>-17</v>
      </c>
      <c r="DM21" s="1695">
        <v>-42</v>
      </c>
      <c r="DN21" s="1695">
        <v>-84</v>
      </c>
      <c r="DO21" s="1695">
        <v>8</v>
      </c>
      <c r="DP21" s="1656">
        <f>SUM(DL21:DO21)</f>
        <v>-135</v>
      </c>
      <c r="DQ21" s="1695">
        <f>112-13</f>
        <v>99</v>
      </c>
      <c r="DR21" s="1813">
        <v>-76.202061546813894</v>
      </c>
      <c r="DS21" s="1813">
        <v>-95.434478312297003</v>
      </c>
      <c r="DT21" s="1814">
        <v>-83.118462467590902</v>
      </c>
      <c r="DU21" s="1656">
        <f>SUM(DQ21:DT21)</f>
        <v>-155.7550023267018</v>
      </c>
      <c r="DV21" s="1812">
        <v>-78.295730395332797</v>
      </c>
      <c r="DW21" s="1813">
        <v>-76.508632004276507</v>
      </c>
      <c r="DX21" s="1813">
        <v>-91.852515409062804</v>
      </c>
      <c r="DY21" s="1814">
        <v>-85.582876804705506</v>
      </c>
      <c r="DZ21" s="1656">
        <f>SUM(DV21:DY21)</f>
        <v>-332.23975461337761</v>
      </c>
      <c r="EA21" s="1812">
        <v>-78.295730395332797</v>
      </c>
      <c r="EB21" s="1813">
        <v>-76.508632004276507</v>
      </c>
      <c r="EC21" s="1813">
        <v>-91.852515409062804</v>
      </c>
      <c r="ED21" s="1814">
        <v>-85.582876804705506</v>
      </c>
      <c r="EE21" s="1656">
        <f>SUM(EA21:ED21)</f>
        <v>-332.23975461337761</v>
      </c>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row>
    <row r="22" spans="2:232" s="68" customFormat="1">
      <c r="B22" s="576" t="s">
        <v>270</v>
      </c>
      <c r="C22" s="1241"/>
      <c r="D22" s="306">
        <f t="shared" ref="D22:J22" si="3">D11-D18</f>
        <v>292.27100000000019</v>
      </c>
      <c r="E22" s="306">
        <f t="shared" si="3"/>
        <v>322.98</v>
      </c>
      <c r="F22" s="306">
        <f t="shared" si="3"/>
        <v>361.42099999999982</v>
      </c>
      <c r="G22" s="306">
        <f t="shared" si="3"/>
        <v>393.36599999999953</v>
      </c>
      <c r="H22" s="306">
        <f t="shared" si="3"/>
        <v>434.32899999999972</v>
      </c>
      <c r="I22" s="306">
        <f t="shared" si="3"/>
        <v>460.74799999999868</v>
      </c>
      <c r="J22" s="306">
        <f t="shared" si="3"/>
        <v>541.5</v>
      </c>
      <c r="K22" s="608">
        <f>(K11-K18)</f>
        <v>103.77399999999966</v>
      </c>
      <c r="L22" s="306">
        <f>(L11-L18)</f>
        <v>211.89199999999994</v>
      </c>
      <c r="M22" s="306">
        <f>(M11-M18)</f>
        <v>151.88299999999981</v>
      </c>
      <c r="N22" s="609">
        <f>(N11-N18)</f>
        <v>140.70299999999975</v>
      </c>
      <c r="O22" s="621">
        <f>O11-O18</f>
        <v>608.25199999999768</v>
      </c>
      <c r="P22" s="306">
        <f>(P11-P18)</f>
        <v>128.27399999999989</v>
      </c>
      <c r="Q22" s="306">
        <f>(Q11-Q18)</f>
        <v>248.75699999999972</v>
      </c>
      <c r="R22" s="306">
        <f>(R11-R18)</f>
        <v>179.52600000000007</v>
      </c>
      <c r="S22" s="319">
        <f>(S11-S18)</f>
        <v>168.66599999999983</v>
      </c>
      <c r="T22" s="306">
        <f>T11-T18</f>
        <v>725.22300000000041</v>
      </c>
      <c r="U22" s="318">
        <f>(U11-U18)</f>
        <v>149.48899999999981</v>
      </c>
      <c r="V22" s="306">
        <f>(V11-V18)</f>
        <v>288.31100000000004</v>
      </c>
      <c r="W22" s="306">
        <f>(W11-W18)</f>
        <v>220.42700000000025</v>
      </c>
      <c r="X22" s="319">
        <f>(X11-X18)</f>
        <v>223.42099999999994</v>
      </c>
      <c r="Y22" s="306">
        <f>Y11-Y18</f>
        <v>881.64799999999923</v>
      </c>
      <c r="Z22" s="318">
        <f>(Z11-Z18)</f>
        <v>182.59999999999991</v>
      </c>
      <c r="AA22" s="306">
        <f>(AA11-AA18)</f>
        <v>346.20000000000016</v>
      </c>
      <c r="AB22" s="306">
        <f>(AB11-AB18)</f>
        <v>272.09999999999957</v>
      </c>
      <c r="AC22" s="319">
        <f>(AC11-AC18)</f>
        <v>259.70000000000005</v>
      </c>
      <c r="AD22" s="306">
        <f>AD11-AD18</f>
        <v>1015.3999999999987</v>
      </c>
      <c r="AE22" s="318">
        <f>(AE11-AE18)</f>
        <v>227.79999999999973</v>
      </c>
      <c r="AF22" s="306">
        <f>(AF11-AF18)</f>
        <v>391.20000000000005</v>
      </c>
      <c r="AG22" s="306">
        <f>(AG11-AG18)</f>
        <v>312.80000000000041</v>
      </c>
      <c r="AH22" s="319">
        <f>(AH11-AH18)</f>
        <v>309.90000000000009</v>
      </c>
      <c r="AI22" s="306">
        <f>AI11-AI18</f>
        <v>1241.7000000000007</v>
      </c>
      <c r="AJ22" s="318">
        <f>(AJ11-AJ18)</f>
        <v>257.59999999999945</v>
      </c>
      <c r="AK22" s="306">
        <f>(AK11-AK18)</f>
        <v>456.90000000000009</v>
      </c>
      <c r="AL22" s="306">
        <f>(AL11-AL18)</f>
        <v>345.49999999999955</v>
      </c>
      <c r="AM22" s="319">
        <f>(AM11-AM18)</f>
        <v>338.30000000000041</v>
      </c>
      <c r="AN22" s="306">
        <f>AN11-AN18</f>
        <v>1398.2999999999984</v>
      </c>
      <c r="AO22" s="318">
        <f>(AO11-AO18)</f>
        <v>291.99999999999955</v>
      </c>
      <c r="AP22" s="306">
        <f>(AP11-AP18)</f>
        <v>523.39999999999964</v>
      </c>
      <c r="AQ22" s="306">
        <f>(AQ11-AQ18)</f>
        <v>414.09999999999991</v>
      </c>
      <c r="AR22" s="319">
        <f>(AR11-AR18)</f>
        <v>394.70000000000005</v>
      </c>
      <c r="AS22" s="306">
        <f>AS11-AS18</f>
        <v>1606.3000000000002</v>
      </c>
      <c r="AT22" s="318">
        <f>(AT11-AT18)</f>
        <v>352.69999999999982</v>
      </c>
      <c r="AU22" s="306">
        <f>(AU11-AU18)</f>
        <v>593.20000000000027</v>
      </c>
      <c r="AV22" s="306">
        <f>(AV11-AV18)</f>
        <v>460.70000000000005</v>
      </c>
      <c r="AW22" s="319">
        <f>(AW11-AW18)</f>
        <v>441.69999999999959</v>
      </c>
      <c r="AX22" s="306">
        <f>AX11-AX18</f>
        <v>1831.3000000000011</v>
      </c>
      <c r="AY22" s="318">
        <f>(AY11-AY18)</f>
        <v>404.99999999999955</v>
      </c>
      <c r="AZ22" s="306">
        <f>(AZ11-AZ18)</f>
        <v>677.00000000000045</v>
      </c>
      <c r="BA22" s="306">
        <f>(BA11-BA18)</f>
        <v>544.70000000000027</v>
      </c>
      <c r="BB22" s="319">
        <f>(BB11-BB18)</f>
        <v>499.400000000001</v>
      </c>
      <c r="BC22" s="306">
        <f>BC11-BC18</f>
        <v>2126.0999999999967</v>
      </c>
      <c r="BD22" s="318">
        <f>(BD11-BD18)</f>
        <v>506.10000000000036</v>
      </c>
      <c r="BE22" s="306">
        <f>(BE11-BE18)</f>
        <v>775.60000000000036</v>
      </c>
      <c r="BF22" s="306">
        <f>(BF11-BF18)</f>
        <v>644.10000000000082</v>
      </c>
      <c r="BG22" s="319">
        <f>(BG11-BG18)</f>
        <v>498.19999999999936</v>
      </c>
      <c r="BH22" s="306">
        <f>BH11-BH18</f>
        <v>2424</v>
      </c>
      <c r="BI22" s="318">
        <f>(BI11-BI18)</f>
        <v>541.80000000000018</v>
      </c>
      <c r="BJ22" s="306">
        <f>(BJ11-BJ18)</f>
        <v>820.900000000001</v>
      </c>
      <c r="BK22" s="306">
        <f>(BK11-BK18)</f>
        <v>707.60000000000082</v>
      </c>
      <c r="BL22" s="319">
        <f>(BL11-BL18)</f>
        <v>631.19999999999845</v>
      </c>
      <c r="BM22" s="306">
        <f>BM11-BM18</f>
        <v>2701.5000000000055</v>
      </c>
      <c r="BN22" s="318">
        <f>(BN11-BN18)</f>
        <v>671.90000000000055</v>
      </c>
      <c r="BO22" s="306">
        <f>(BO11-BO18)</f>
        <v>1020.5000000000009</v>
      </c>
      <c r="BP22" s="306">
        <f>(BP11-BP18)</f>
        <v>854.79999999999882</v>
      </c>
      <c r="BQ22" s="319">
        <f>(BQ11-BQ18)</f>
        <v>603.49999999999909</v>
      </c>
      <c r="BR22" s="622">
        <f>BR11-BR18</f>
        <v>3150.6999999999935</v>
      </c>
      <c r="BS22" s="318">
        <f>(BS11-BS18)</f>
        <v>727.89999999999964</v>
      </c>
      <c r="BT22" s="306">
        <f>(BT11-BT18)</f>
        <v>1087.6000000000004</v>
      </c>
      <c r="BU22" s="306">
        <f>(BU11-BU18)</f>
        <v>914.70000000000073</v>
      </c>
      <c r="BV22" s="319">
        <f>(BV11-BV18)</f>
        <v>631.90000000000055</v>
      </c>
      <c r="BW22" s="622">
        <f>BW11-BW18</f>
        <v>3362.0999999999949</v>
      </c>
      <c r="BX22" s="306">
        <f t="shared" ref="BX22:CQ22" si="4">(BX11-BX18-BX21-BX20)</f>
        <v>669</v>
      </c>
      <c r="BY22" s="306">
        <f t="shared" si="4"/>
        <v>1030</v>
      </c>
      <c r="BZ22" s="306">
        <f t="shared" si="4"/>
        <v>846</v>
      </c>
      <c r="CA22" s="306">
        <f t="shared" si="4"/>
        <v>702</v>
      </c>
      <c r="CB22" s="821">
        <f t="shared" si="4"/>
        <v>3247</v>
      </c>
      <c r="CC22" s="306">
        <f t="shared" si="4"/>
        <v>797</v>
      </c>
      <c r="CD22" s="306">
        <f t="shared" si="4"/>
        <v>1086</v>
      </c>
      <c r="CE22" s="306">
        <f t="shared" si="4"/>
        <v>829</v>
      </c>
      <c r="CF22" s="306">
        <f t="shared" si="4"/>
        <v>746</v>
      </c>
      <c r="CG22" s="821">
        <f t="shared" si="4"/>
        <v>3458</v>
      </c>
      <c r="CH22" s="306">
        <f t="shared" si="4"/>
        <v>941</v>
      </c>
      <c r="CI22" s="306">
        <f t="shared" si="4"/>
        <v>1207</v>
      </c>
      <c r="CJ22" s="306">
        <f t="shared" si="4"/>
        <v>951</v>
      </c>
      <c r="CK22" s="306">
        <f t="shared" si="4"/>
        <v>1266</v>
      </c>
      <c r="CL22" s="821">
        <f t="shared" si="4"/>
        <v>4365</v>
      </c>
      <c r="CM22" s="306">
        <f t="shared" si="4"/>
        <v>900</v>
      </c>
      <c r="CN22" s="306">
        <f t="shared" si="4"/>
        <v>1105</v>
      </c>
      <c r="CO22" s="306">
        <f t="shared" si="4"/>
        <v>873</v>
      </c>
      <c r="CP22" s="306">
        <f t="shared" si="4"/>
        <v>586</v>
      </c>
      <c r="CQ22" s="821">
        <f t="shared" si="4"/>
        <v>3464</v>
      </c>
      <c r="CR22" s="306">
        <f t="shared" ref="CR22:DF22" si="5">(CR11-CR18-CR21-CR20)</f>
        <v>705</v>
      </c>
      <c r="CS22" s="306">
        <f t="shared" si="5"/>
        <v>1215</v>
      </c>
      <c r="CT22" s="306">
        <f t="shared" si="5"/>
        <v>991</v>
      </c>
      <c r="CU22" s="306">
        <f t="shared" si="5"/>
        <v>1029</v>
      </c>
      <c r="CV22" s="821">
        <f t="shared" si="5"/>
        <v>3940</v>
      </c>
      <c r="CW22" s="306">
        <f t="shared" si="5"/>
        <v>924</v>
      </c>
      <c r="CX22" s="306">
        <f t="shared" si="5"/>
        <v>1275</v>
      </c>
      <c r="CY22" s="306">
        <f t="shared" si="5"/>
        <v>1026</v>
      </c>
      <c r="CZ22" s="306">
        <f t="shared" si="5"/>
        <v>969</v>
      </c>
      <c r="DA22" s="821">
        <f t="shared" si="5"/>
        <v>4194</v>
      </c>
      <c r="DB22" s="306">
        <f t="shared" si="5"/>
        <v>1054</v>
      </c>
      <c r="DC22" s="306">
        <f t="shared" si="5"/>
        <v>1377</v>
      </c>
      <c r="DD22" s="306">
        <f t="shared" si="5"/>
        <v>1401</v>
      </c>
      <c r="DE22" s="306">
        <f>(DE11-DE18-DE21-DE20)</f>
        <v>836</v>
      </c>
      <c r="DF22" s="821">
        <f t="shared" si="5"/>
        <v>4668</v>
      </c>
      <c r="DG22" s="306">
        <f>(DG11-DG18-DG21-DG20)</f>
        <v>1468</v>
      </c>
      <c r="DH22" s="306">
        <f>(DH11-DH18-DH21-DH20)</f>
        <v>1860</v>
      </c>
      <c r="DI22" s="306">
        <f>(DI11-DI18-DI21-DI20)</f>
        <v>1533</v>
      </c>
      <c r="DJ22" s="306">
        <f>(DJ11-DJ18-DJ21-DJ20)</f>
        <v>1140</v>
      </c>
      <c r="DK22" s="621">
        <f t="shared" ref="DK22:DU22" si="6">(DK11-DK18-DK21-DK20)</f>
        <v>6001</v>
      </c>
      <c r="DL22" s="306">
        <f>(DL11-DL18-DL21-DL20)</f>
        <v>1447</v>
      </c>
      <c r="DM22" s="306">
        <f>(DM11-DM18-DM21-DM20)</f>
        <v>1479</v>
      </c>
      <c r="DN22" s="306">
        <f>(DN11-DN18-DN21-DN20)</f>
        <v>1517</v>
      </c>
      <c r="DO22" s="306">
        <f>(DO11-DO18-DO21-DO20)</f>
        <v>1114</v>
      </c>
      <c r="DP22" s="621">
        <f t="shared" si="6"/>
        <v>5557</v>
      </c>
      <c r="DQ22" s="306">
        <f>(DQ11-DQ18-DQ21-DQ20)</f>
        <v>1335</v>
      </c>
      <c r="DR22" s="306">
        <f t="shared" ca="1" si="6"/>
        <v>1958.5589827854703</v>
      </c>
      <c r="DS22" s="306">
        <f t="shared" ca="1" si="6"/>
        <v>1822.7108103980572</v>
      </c>
      <c r="DT22" s="609">
        <f t="shared" si="6"/>
        <v>1817.4675875938412</v>
      </c>
      <c r="DU22" s="621">
        <f t="shared" ca="1" si="6"/>
        <v>6933.7373807773793</v>
      </c>
      <c r="DV22" s="608">
        <f t="shared" ref="DV22:DZ22" si="7">(DV11-DV18-DV21-DV20)</f>
        <v>1688.1445882831288</v>
      </c>
      <c r="DW22" s="306">
        <f t="shared" ca="1" si="7"/>
        <v>1997.680172854698</v>
      </c>
      <c r="DX22" s="306">
        <f t="shared" ca="1" si="7"/>
        <v>2017.3883448000149</v>
      </c>
      <c r="DY22" s="609">
        <f t="shared" si="7"/>
        <v>2055.8223249511507</v>
      </c>
      <c r="DZ22" s="621">
        <f t="shared" ca="1" si="7"/>
        <v>7759.035430888971</v>
      </c>
      <c r="EA22" s="608">
        <f t="shared" ref="EA22:EE22" si="8">(EA11-EA18-EA21-EA20)</f>
        <v>1736.2821606749424</v>
      </c>
      <c r="EB22" s="306">
        <f t="shared" ca="1" si="8"/>
        <v>2022.898451616451</v>
      </c>
      <c r="EC22" s="306">
        <f t="shared" ca="1" si="8"/>
        <v>2059.8041800181127</v>
      </c>
      <c r="ED22" s="609">
        <f t="shared" si="8"/>
        <v>2101.7638887745029</v>
      </c>
      <c r="EE22" s="621">
        <f t="shared" ca="1" si="8"/>
        <v>7920.7486810840219</v>
      </c>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row>
    <row r="23" spans="2:232" s="54" customFormat="1" ht="11.25" hidden="1" customHeight="1" outlineLevel="1">
      <c r="B23" s="577" t="s">
        <v>400</v>
      </c>
      <c r="C23" s="1240"/>
      <c r="D23" s="64">
        <v>18.841000000000001</v>
      </c>
      <c r="E23" s="64">
        <v>18.812999999999999</v>
      </c>
      <c r="F23" s="64">
        <v>18.157</v>
      </c>
      <c r="G23" s="64">
        <v>15.67</v>
      </c>
      <c r="H23" s="64">
        <v>6.4539999999999997</v>
      </c>
      <c r="I23" s="64">
        <v>2.5860000000000003</v>
      </c>
      <c r="J23" s="64">
        <v>1.19</v>
      </c>
      <c r="K23" s="538">
        <v>0.89</v>
      </c>
      <c r="L23" s="64">
        <v>0.64500000000000002</v>
      </c>
      <c r="M23" s="64">
        <v>0.38500000000000001</v>
      </c>
      <c r="N23" s="539">
        <v>0.39500000000000002</v>
      </c>
      <c r="O23" s="619">
        <f>SUM(K23:N23)</f>
        <v>2.3150000000000004</v>
      </c>
      <c r="P23" s="64">
        <v>0.66</v>
      </c>
      <c r="Q23" s="64">
        <v>0.621</v>
      </c>
      <c r="R23" s="64">
        <v>0.34599999999999997</v>
      </c>
      <c r="S23" s="79">
        <v>0</v>
      </c>
      <c r="T23" s="64">
        <f>SUM(P23:S23)</f>
        <v>1.6270000000000002</v>
      </c>
      <c r="U23" s="165">
        <v>0.69099999999999995</v>
      </c>
      <c r="V23" s="64">
        <v>0.35799999999999998</v>
      </c>
      <c r="W23" s="64">
        <v>0</v>
      </c>
      <c r="X23" s="79">
        <v>0</v>
      </c>
      <c r="Y23" s="64">
        <v>1</v>
      </c>
      <c r="Z23" s="165">
        <v>0</v>
      </c>
      <c r="AA23" s="64">
        <v>0</v>
      </c>
      <c r="AB23" s="64">
        <v>0</v>
      </c>
      <c r="AC23" s="79">
        <v>0</v>
      </c>
      <c r="AD23" s="64">
        <v>0.4</v>
      </c>
      <c r="AE23" s="165">
        <v>0</v>
      </c>
      <c r="AF23" s="64">
        <v>0</v>
      </c>
      <c r="AG23" s="64">
        <v>0</v>
      </c>
      <c r="AH23" s="79">
        <v>0</v>
      </c>
      <c r="AI23" s="64">
        <v>0.4</v>
      </c>
      <c r="AJ23" s="165">
        <v>0</v>
      </c>
      <c r="AK23" s="64">
        <v>1</v>
      </c>
      <c r="AL23" s="64">
        <v>0</v>
      </c>
      <c r="AM23" s="79">
        <v>0</v>
      </c>
      <c r="AN23" s="64">
        <v>3.1</v>
      </c>
      <c r="AO23" s="165">
        <v>0</v>
      </c>
      <c r="AP23" s="64">
        <v>0</v>
      </c>
      <c r="AQ23" s="64">
        <v>0</v>
      </c>
      <c r="AR23" s="79">
        <v>0</v>
      </c>
      <c r="AS23" s="64">
        <f>SUM(AO23:AR23)</f>
        <v>0</v>
      </c>
      <c r="AT23" s="165">
        <v>0</v>
      </c>
      <c r="AU23" s="64">
        <v>0</v>
      </c>
      <c r="AV23" s="64">
        <v>0</v>
      </c>
      <c r="AW23" s="79">
        <v>0</v>
      </c>
      <c r="AX23" s="64">
        <f>SUM(AT23:AW23)</f>
        <v>0</v>
      </c>
      <c r="AY23" s="165">
        <v>0</v>
      </c>
      <c r="AZ23" s="64">
        <v>0</v>
      </c>
      <c r="BA23" s="64">
        <v>0</v>
      </c>
      <c r="BB23" s="79">
        <v>0</v>
      </c>
      <c r="BC23" s="64">
        <f>SUM(AY23:BB23)</f>
        <v>0</v>
      </c>
      <c r="BD23" s="165">
        <v>0</v>
      </c>
      <c r="BE23" s="64">
        <v>0</v>
      </c>
      <c r="BF23" s="64">
        <v>0</v>
      </c>
      <c r="BG23" s="79">
        <v>0</v>
      </c>
      <c r="BH23" s="64">
        <f>SUM(BD23:BG23)</f>
        <v>0</v>
      </c>
      <c r="BI23" s="165">
        <v>0</v>
      </c>
      <c r="BJ23" s="64">
        <v>0</v>
      </c>
      <c r="BK23" s="64">
        <v>0</v>
      </c>
      <c r="BL23" s="79">
        <v>0</v>
      </c>
      <c r="BM23" s="64">
        <f>SUM(BI23:BL23)</f>
        <v>0</v>
      </c>
      <c r="BN23" s="165">
        <v>0</v>
      </c>
      <c r="BO23" s="64">
        <v>0</v>
      </c>
      <c r="BP23" s="64">
        <v>0</v>
      </c>
      <c r="BQ23" s="79">
        <v>0</v>
      </c>
      <c r="BR23" s="304">
        <f>SUM(BN23:BQ23)</f>
        <v>0</v>
      </c>
      <c r="BS23" s="165">
        <v>-0.4</v>
      </c>
      <c r="BT23" s="64">
        <v>2.5</v>
      </c>
      <c r="BU23" s="64">
        <v>1.5</v>
      </c>
      <c r="BV23" s="79">
        <v>7.2</v>
      </c>
      <c r="BW23" s="304">
        <f>SUM(BS23:BV23)</f>
        <v>10.8</v>
      </c>
      <c r="BX23" s="165">
        <v>15</v>
      </c>
      <c r="BY23" s="64">
        <v>20</v>
      </c>
      <c r="BZ23" s="64">
        <v>25</v>
      </c>
      <c r="CA23" s="79">
        <v>23</v>
      </c>
      <c r="CB23" s="304">
        <f>SUM(BX23:CA23)</f>
        <v>83</v>
      </c>
      <c r="CC23" s="165">
        <v>29.2</v>
      </c>
      <c r="CD23" s="64">
        <v>29.2</v>
      </c>
      <c r="CE23" s="64">
        <f>CE25-CE24</f>
        <v>31.5</v>
      </c>
      <c r="CF23" s="64">
        <f>CF25-CF24</f>
        <v>25.5</v>
      </c>
      <c r="CG23" s="820">
        <f>SUM(CC23:CF23)</f>
        <v>115.4</v>
      </c>
      <c r="CH23" s="64">
        <f>CC23</f>
        <v>29.2</v>
      </c>
      <c r="CI23" s="64">
        <f>CD23</f>
        <v>29.2</v>
      </c>
      <c r="CJ23" s="64">
        <f>CE23</f>
        <v>31.5</v>
      </c>
      <c r="CK23" s="64">
        <f>CF23</f>
        <v>25.5</v>
      </c>
      <c r="CL23" s="820">
        <f>SUM(CH23:CK23)</f>
        <v>115.4</v>
      </c>
      <c r="CM23" s="64">
        <v>26</v>
      </c>
      <c r="CN23" s="64">
        <v>26</v>
      </c>
      <c r="CO23" s="64">
        <v>26</v>
      </c>
      <c r="CP23" s="328">
        <v>39</v>
      </c>
      <c r="CQ23" s="820">
        <f>SUM(CM23:CP23)</f>
        <v>117</v>
      </c>
      <c r="CR23" s="64">
        <v>39</v>
      </c>
      <c r="CS23" s="64">
        <v>25</v>
      </c>
      <c r="CT23" s="64">
        <f>CT25-CT24</f>
        <v>52</v>
      </c>
      <c r="CU23" s="64">
        <f>CU25-CU24</f>
        <v>58.74212500054491</v>
      </c>
      <c r="CV23" s="820">
        <f>SUM(CR23:CU23)</f>
        <v>174.74212500054492</v>
      </c>
      <c r="CW23" s="64">
        <f>CW25-CW24</f>
        <v>43.6325</v>
      </c>
      <c r="CX23" s="64">
        <f>CX25-CX24</f>
        <v>38.21125</v>
      </c>
      <c r="CY23" s="64">
        <f>CY25-CY24</f>
        <v>37.221249999999998</v>
      </c>
      <c r="CZ23" s="64">
        <f>CZ25-CZ24</f>
        <v>45.657499999999999</v>
      </c>
      <c r="DA23" s="820">
        <f>SUM(CW23:CZ23)</f>
        <v>164.7225</v>
      </c>
      <c r="DB23" s="64">
        <f>DB25-DB24</f>
        <v>56.653750000000002</v>
      </c>
      <c r="DC23" s="64">
        <f>DC25-DC24</f>
        <v>150.36891574873817</v>
      </c>
      <c r="DD23" s="64">
        <f>DD25</f>
        <v>151</v>
      </c>
      <c r="DE23" s="64">
        <f>DE25</f>
        <v>255</v>
      </c>
      <c r="DF23" s="820">
        <f>SUM(DB23:DE23)</f>
        <v>613.02266574873818</v>
      </c>
      <c r="DG23" s="64">
        <f>DG25</f>
        <v>138</v>
      </c>
      <c r="DH23" s="64">
        <f>DH25</f>
        <v>140</v>
      </c>
      <c r="DI23" s="64">
        <f>DI25</f>
        <v>147</v>
      </c>
      <c r="DJ23" s="64">
        <f>DJ25</f>
        <v>171</v>
      </c>
      <c r="DK23" s="619">
        <f>SUM(DG23:DJ23)</f>
        <v>596</v>
      </c>
      <c r="DL23" s="64">
        <v>173</v>
      </c>
      <c r="DM23" s="64">
        <v>173</v>
      </c>
      <c r="DN23" s="64">
        <v>156</v>
      </c>
      <c r="DO23" s="64">
        <v>194</v>
      </c>
      <c r="DP23" s="619">
        <f>SUM(DL23:DO23)</f>
        <v>696</v>
      </c>
      <c r="DQ23" s="2341">
        <v>150</v>
      </c>
      <c r="DR23" s="64">
        <f>DR141</f>
        <v>132.72174999999999</v>
      </c>
      <c r="DS23" s="64">
        <f>DS141</f>
        <v>132.72174999999999</v>
      </c>
      <c r="DT23" s="539">
        <f>DT141</f>
        <v>132.72174999999999</v>
      </c>
      <c r="DU23" s="619">
        <f>SUM(DQ23:DT23)</f>
        <v>548.16525000000001</v>
      </c>
      <c r="DV23" s="538">
        <f>DV141</f>
        <v>126.889375</v>
      </c>
      <c r="DW23" s="64">
        <f>DW141</f>
        <v>121.057</v>
      </c>
      <c r="DX23" s="64">
        <f>DX141</f>
        <v>121.057</v>
      </c>
      <c r="DY23" s="64">
        <f>DY141</f>
        <v>121.057</v>
      </c>
      <c r="DZ23" s="619">
        <f>SUM(DV23:DY23)</f>
        <v>490.06037500000002</v>
      </c>
      <c r="EA23" s="538">
        <f>EA141</f>
        <v>119.416375</v>
      </c>
      <c r="EB23" s="64">
        <f>EB141</f>
        <v>117.77575</v>
      </c>
      <c r="EC23" s="64">
        <f>EC141</f>
        <v>117.77575</v>
      </c>
      <c r="ED23" s="64">
        <f>ED141</f>
        <v>117.77575</v>
      </c>
      <c r="EE23" s="619">
        <f>SUM(EA23:ED23)</f>
        <v>472.74362500000001</v>
      </c>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row>
    <row r="24" spans="2:232" s="54" customFormat="1" ht="11.25" hidden="1" customHeight="1" outlineLevel="1">
      <c r="B24" s="577" t="s">
        <v>289</v>
      </c>
      <c r="C24" s="1240"/>
      <c r="D24" s="64">
        <v>-15.323</v>
      </c>
      <c r="E24" s="64">
        <v>-15.555999999999999</v>
      </c>
      <c r="F24" s="64">
        <v>-13.086</v>
      </c>
      <c r="G24" s="64">
        <v>-10.222</v>
      </c>
      <c r="H24" s="64">
        <v>-6.7430000000000003</v>
      </c>
      <c r="I24" s="64">
        <v>-5.3629999999999995</v>
      </c>
      <c r="J24" s="64">
        <v>-4.91</v>
      </c>
      <c r="K24" s="610">
        <v>-1.0429999999999999</v>
      </c>
      <c r="L24" s="322">
        <v>-1.2410000000000001</v>
      </c>
      <c r="M24" s="322">
        <v>-1.5740000000000001</v>
      </c>
      <c r="N24" s="611">
        <v>-1.2410000000000001</v>
      </c>
      <c r="O24" s="619">
        <f>SUM(K24:N24)</f>
        <v>-5.0990000000000002</v>
      </c>
      <c r="P24" s="322">
        <v>-0.79100000000000004</v>
      </c>
      <c r="Q24" s="322">
        <v>-1.8260000000000001</v>
      </c>
      <c r="R24" s="322">
        <v>-1.641</v>
      </c>
      <c r="S24" s="323">
        <v>-1.282</v>
      </c>
      <c r="T24" s="64">
        <f>SUM(P24:S24)</f>
        <v>-5.54</v>
      </c>
      <c r="U24" s="321">
        <v>-0.61399999999999999</v>
      </c>
      <c r="V24" s="322">
        <v>-0.86</v>
      </c>
      <c r="W24" s="322">
        <v>-1.573</v>
      </c>
      <c r="X24" s="323">
        <v>-2.5430000000000001</v>
      </c>
      <c r="Y24" s="64">
        <f>SUM(U24:X24)</f>
        <v>-5.59</v>
      </c>
      <c r="Z24" s="321">
        <v>-1.1000000000000001</v>
      </c>
      <c r="AA24" s="322">
        <v>-1</v>
      </c>
      <c r="AB24" s="322">
        <v>-5.9</v>
      </c>
      <c r="AC24" s="323">
        <v>-3.9</v>
      </c>
      <c r="AD24" s="64">
        <v>-12.3</v>
      </c>
      <c r="AE24" s="321">
        <v>-1.1000000000000001</v>
      </c>
      <c r="AF24" s="322">
        <v>-1.1000000000000001</v>
      </c>
      <c r="AG24" s="322">
        <v>-2.1</v>
      </c>
      <c r="AH24" s="323">
        <v>-1.4</v>
      </c>
      <c r="AI24" s="64">
        <v>-6.1</v>
      </c>
      <c r="AJ24" s="321">
        <v>0</v>
      </c>
      <c r="AK24" s="322">
        <v>-1.8</v>
      </c>
      <c r="AL24" s="322">
        <v>0</v>
      </c>
      <c r="AM24" s="323">
        <v>0</v>
      </c>
      <c r="AN24" s="64">
        <v>-5.4</v>
      </c>
      <c r="AO24" s="321">
        <v>-1.2</v>
      </c>
      <c r="AP24" s="322">
        <v>-1.2</v>
      </c>
      <c r="AQ24" s="322">
        <v>-1.9</v>
      </c>
      <c r="AR24" s="323">
        <v>0</v>
      </c>
      <c r="AS24" s="64">
        <f>SUM(AO24:AR24)</f>
        <v>-4.3</v>
      </c>
      <c r="AT24" s="321">
        <v>-2.6</v>
      </c>
      <c r="AU24" s="322">
        <v>-2.6</v>
      </c>
      <c r="AV24" s="322">
        <v>-3</v>
      </c>
      <c r="AW24" s="323">
        <v>0</v>
      </c>
      <c r="AX24" s="64">
        <f>SUM(AT24:AW24)</f>
        <v>-8.1999999999999993</v>
      </c>
      <c r="AY24" s="321">
        <v>-2.8</v>
      </c>
      <c r="AZ24" s="322">
        <f>-16.7+16.3</f>
        <v>-0.39999999999999858</v>
      </c>
      <c r="BA24" s="322">
        <v>-6.6</v>
      </c>
      <c r="BB24" s="323">
        <v>-7.5</v>
      </c>
      <c r="BC24" s="64">
        <f>SUM(AY24:BB24)</f>
        <v>-17.299999999999997</v>
      </c>
      <c r="BD24" s="321">
        <v>-5.0999999999999996</v>
      </c>
      <c r="BE24" s="322">
        <v>-6.7</v>
      </c>
      <c r="BF24" s="322">
        <v>-10.9</v>
      </c>
      <c r="BG24" s="323">
        <v>-8.9</v>
      </c>
      <c r="BH24" s="64">
        <f>SUM(BD24:BG24)</f>
        <v>-31.6</v>
      </c>
      <c r="BI24" s="321">
        <f>-6.8</f>
        <v>-6.8</v>
      </c>
      <c r="BJ24" s="322">
        <v>-10</v>
      </c>
      <c r="BK24" s="322">
        <v>-15.6</v>
      </c>
      <c r="BL24" s="323">
        <v>-20.2</v>
      </c>
      <c r="BM24" s="64">
        <f>SUM(BI24:BL24)</f>
        <v>-52.599999999999994</v>
      </c>
      <c r="BN24" s="321">
        <v>-10.6</v>
      </c>
      <c r="BO24" s="322">
        <v>-10.199999999999999</v>
      </c>
      <c r="BP24" s="322">
        <v>-11.2</v>
      </c>
      <c r="BQ24" s="323">
        <v>-6.4</v>
      </c>
      <c r="BR24" s="304">
        <f>SUM(BN24:BQ24)</f>
        <v>-38.4</v>
      </c>
      <c r="BS24" s="321">
        <v>0</v>
      </c>
      <c r="BT24" s="322">
        <v>0</v>
      </c>
      <c r="BU24" s="322">
        <v>0</v>
      </c>
      <c r="BV24" s="323">
        <v>0</v>
      </c>
      <c r="BW24" s="304">
        <f>SUM(BS24:BV24)</f>
        <v>0</v>
      </c>
      <c r="BX24" s="171">
        <v>0</v>
      </c>
      <c r="BY24" s="322">
        <v>0</v>
      </c>
      <c r="BZ24" s="322">
        <v>0</v>
      </c>
      <c r="CA24" s="323">
        <v>0</v>
      </c>
      <c r="CB24" s="304">
        <f>SUM(BX24:CA24)</f>
        <v>0</v>
      </c>
      <c r="CC24" s="171">
        <v>-7.5</v>
      </c>
      <c r="CD24" s="62">
        <f>CC24</f>
        <v>-7.5</v>
      </c>
      <c r="CE24" s="62">
        <f>CD24</f>
        <v>-7.5</v>
      </c>
      <c r="CF24" s="62">
        <f>CE24</f>
        <v>-7.5</v>
      </c>
      <c r="CG24" s="820">
        <f>SUM(CC24:CF24)</f>
        <v>-30</v>
      </c>
      <c r="CH24" s="62">
        <f>CH25-CH23</f>
        <v>-9.1999999999999993</v>
      </c>
      <c r="CI24" s="62">
        <f>CI25-CI23</f>
        <v>-11.2</v>
      </c>
      <c r="CJ24" s="62">
        <f>CJ25-CJ23</f>
        <v>-13.5</v>
      </c>
      <c r="CK24" s="62">
        <f>CK25-CK23</f>
        <v>-10.5</v>
      </c>
      <c r="CL24" s="820">
        <f>SUM(CH24:CK24)</f>
        <v>-44.4</v>
      </c>
      <c r="CM24" s="62">
        <v>-9</v>
      </c>
      <c r="CN24" s="62">
        <v>-9</v>
      </c>
      <c r="CO24" s="62">
        <v>-9</v>
      </c>
      <c r="CP24" s="317">
        <v>-2</v>
      </c>
      <c r="CQ24" s="820">
        <f>SUM(CM24:CP24)</f>
        <v>-29</v>
      </c>
      <c r="CR24" s="62">
        <v>-2</v>
      </c>
      <c r="CS24" s="62">
        <v>-2</v>
      </c>
      <c r="CT24" s="326">
        <v>-2</v>
      </c>
      <c r="CU24" s="326">
        <f>-CU145</f>
        <v>-3.7421250005449118</v>
      </c>
      <c r="CV24" s="820">
        <f>SUM(CR24:CU24)</f>
        <v>-9.7421250005449114</v>
      </c>
      <c r="CW24" s="62">
        <f>-CW145</f>
        <v>-2.6324999999999998</v>
      </c>
      <c r="CX24" s="62">
        <f>-CX145</f>
        <v>-1.2112499999999999</v>
      </c>
      <c r="CY24" s="62">
        <f>-CY145</f>
        <v>-2.2212499999999999</v>
      </c>
      <c r="CZ24" s="62">
        <f>-CZ145</f>
        <v>-2.6575000000000002</v>
      </c>
      <c r="DA24" s="820">
        <f>SUM(CW24:CZ24)</f>
        <v>-8.7225000000000001</v>
      </c>
      <c r="DB24" s="62">
        <f>-DB145</f>
        <v>-1.6537500000000001</v>
      </c>
      <c r="DC24" s="62">
        <f>-DC145</f>
        <v>-6.3689157487381776</v>
      </c>
      <c r="DD24" s="62">
        <v>0</v>
      </c>
      <c r="DE24" s="62">
        <v>0</v>
      </c>
      <c r="DF24" s="820">
        <f>SUM(DB24:DE24)</f>
        <v>-8.0226657487381772</v>
      </c>
      <c r="DG24" s="62">
        <v>0</v>
      </c>
      <c r="DH24" s="62">
        <v>0</v>
      </c>
      <c r="DI24" s="62">
        <v>0</v>
      </c>
      <c r="DJ24" s="62">
        <v>0</v>
      </c>
      <c r="DK24" s="802">
        <f>SUM(DG24:DJ24)</f>
        <v>0</v>
      </c>
      <c r="DL24" s="62">
        <v>1</v>
      </c>
      <c r="DM24" s="62">
        <v>1</v>
      </c>
      <c r="DN24" s="62">
        <v>1</v>
      </c>
      <c r="DO24" s="62">
        <v>1</v>
      </c>
      <c r="DP24" s="802">
        <f>SUM(DL24:DO24)</f>
        <v>4</v>
      </c>
      <c r="DQ24" s="2341">
        <v>1</v>
      </c>
      <c r="DR24" s="62">
        <f ca="1">-Debt!DR14</f>
        <v>-1.6099968011304822</v>
      </c>
      <c r="DS24" s="62">
        <f ca="1">-Debt!DS14</f>
        <v>-2.3625347924850533</v>
      </c>
      <c r="DT24" s="550">
        <f ca="1">-Debt!DT14</f>
        <v>-3.4436540637079824</v>
      </c>
      <c r="DU24" s="802">
        <f ca="1">SUM(DQ24:DT24)</f>
        <v>-6.4161856573235179</v>
      </c>
      <c r="DV24" s="549">
        <f ca="1">-Debt!DV14</f>
        <v>-3.2839144508444051</v>
      </c>
      <c r="DW24" s="62">
        <f ca="1">-Debt!DW14</f>
        <v>-2.1524960095121655</v>
      </c>
      <c r="DX24" s="62">
        <f ca="1">-Debt!DX14</f>
        <v>-1.9994303269368379</v>
      </c>
      <c r="DY24" s="62">
        <f ca="1">-Debt!DY14</f>
        <v>-2.5016156224547843</v>
      </c>
      <c r="DZ24" s="802">
        <f ca="1">SUM(DV24:DY24)</f>
        <v>-9.9374564097481937</v>
      </c>
      <c r="EA24" s="549">
        <f ca="1">-Debt!EA14</f>
        <v>-2.6223961170958097</v>
      </c>
      <c r="EB24" s="62">
        <f ca="1">-Debt!EB14</f>
        <v>-2.1535651870184678</v>
      </c>
      <c r="EC24" s="62">
        <f ca="1">-Debt!EC14</f>
        <v>-2.1419856199098026</v>
      </c>
      <c r="ED24" s="62">
        <f ca="1">-Debt!ED14</f>
        <v>-2.6577678266474556</v>
      </c>
      <c r="EE24" s="802">
        <f ca="1">SUM(EA24:ED24)</f>
        <v>-9.5757147506715352</v>
      </c>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row>
    <row r="25" spans="2:232" s="54" customFormat="1" ht="11.25" customHeight="1" collapsed="1">
      <c r="B25" s="561" t="s">
        <v>220</v>
      </c>
      <c r="C25" s="1240"/>
      <c r="D25" s="64">
        <f>+D23+D24</f>
        <v>3.5180000000000007</v>
      </c>
      <c r="E25" s="64">
        <f>+E23+E24</f>
        <v>3.2569999999999997</v>
      </c>
      <c r="F25" s="64">
        <f>+F23+F24</f>
        <v>5.0709999999999997</v>
      </c>
      <c r="G25" s="64">
        <f>+G23+G24</f>
        <v>5.4480000000000004</v>
      </c>
      <c r="H25" s="64">
        <f>H23+H24</f>
        <v>-0.28900000000000059</v>
      </c>
      <c r="I25" s="164">
        <v>-2.7770000000000001</v>
      </c>
      <c r="J25" s="64">
        <v>-3.72</v>
      </c>
      <c r="K25" s="538">
        <f>K23+K24</f>
        <v>-0.15299999999999991</v>
      </c>
      <c r="L25" s="62">
        <f>L23+L24</f>
        <v>-0.59600000000000009</v>
      </c>
      <c r="M25" s="62">
        <f>M23+M24</f>
        <v>-1.1890000000000001</v>
      </c>
      <c r="N25" s="550">
        <f>N23+N24</f>
        <v>-0.84600000000000009</v>
      </c>
      <c r="O25" s="619">
        <f>+O23+O24</f>
        <v>-2.7839999999999998</v>
      </c>
      <c r="P25" s="64">
        <f>P23+P24</f>
        <v>-0.13100000000000001</v>
      </c>
      <c r="Q25" s="62">
        <f>Q23+Q24</f>
        <v>-1.2050000000000001</v>
      </c>
      <c r="R25" s="62">
        <f>R23+R24</f>
        <v>-1.2949999999999999</v>
      </c>
      <c r="S25" s="142">
        <f>S23+S24</f>
        <v>-1.282</v>
      </c>
      <c r="T25" s="64">
        <f>+T23+T24</f>
        <v>-3.9129999999999998</v>
      </c>
      <c r="U25" s="165">
        <f>U23+U24</f>
        <v>7.6999999999999957E-2</v>
      </c>
      <c r="V25" s="62">
        <f>V23+V24</f>
        <v>-0.502</v>
      </c>
      <c r="W25" s="62">
        <f>W23+W24</f>
        <v>-1.573</v>
      </c>
      <c r="X25" s="142">
        <f>X23+X24</f>
        <v>-2.5430000000000001</v>
      </c>
      <c r="Y25" s="64">
        <f>+Y23+Y24</f>
        <v>-4.59</v>
      </c>
      <c r="Z25" s="165">
        <f>Z23+Z24</f>
        <v>-1.1000000000000001</v>
      </c>
      <c r="AA25" s="62">
        <v>0</v>
      </c>
      <c r="AB25" s="62">
        <f>AB23+AB24</f>
        <v>-5.9</v>
      </c>
      <c r="AC25" s="142">
        <f>AC23+AC24</f>
        <v>-3.9</v>
      </c>
      <c r="AD25" s="64">
        <f>+AD23+AD24</f>
        <v>-11.9</v>
      </c>
      <c r="AE25" s="165">
        <f>AE23+AE24</f>
        <v>-1.1000000000000001</v>
      </c>
      <c r="AF25" s="62">
        <f>AF23+AF24</f>
        <v>-1.1000000000000001</v>
      </c>
      <c r="AG25" s="62">
        <f>AG23+AG24</f>
        <v>-2.1</v>
      </c>
      <c r="AH25" s="142">
        <f>AH23+AH24</f>
        <v>-1.4</v>
      </c>
      <c r="AI25" s="64">
        <f>+AI23+AI24</f>
        <v>-5.6999999999999993</v>
      </c>
      <c r="AJ25" s="165">
        <f>AJ23+AJ24</f>
        <v>0</v>
      </c>
      <c r="AK25" s="62">
        <f>AK23+AK24</f>
        <v>-0.8</v>
      </c>
      <c r="AL25" s="62">
        <f>AL23+AL24</f>
        <v>0</v>
      </c>
      <c r="AM25" s="142">
        <f>AM23+AM24</f>
        <v>0</v>
      </c>
      <c r="AN25" s="64">
        <f>+AN23+AN24</f>
        <v>-2.3000000000000003</v>
      </c>
      <c r="AO25" s="165">
        <f>AO23+AO24</f>
        <v>-1.2</v>
      </c>
      <c r="AP25" s="62">
        <f>AP23+AP24</f>
        <v>-1.2</v>
      </c>
      <c r="AQ25" s="62">
        <f>AQ23+AQ24</f>
        <v>-1.9</v>
      </c>
      <c r="AR25" s="142">
        <f>AR23+AR24</f>
        <v>0</v>
      </c>
      <c r="AS25" s="64">
        <f>+AS23+AS24</f>
        <v>-4.3</v>
      </c>
      <c r="AT25" s="165">
        <f>AT23+AT24</f>
        <v>-2.6</v>
      </c>
      <c r="AU25" s="62">
        <f>AU23+AU24</f>
        <v>-2.6</v>
      </c>
      <c r="AV25" s="62">
        <f>AV23+AV24</f>
        <v>-3</v>
      </c>
      <c r="AW25" s="142">
        <v>0</v>
      </c>
      <c r="AX25" s="64">
        <f>+AX23+AX24</f>
        <v>-8.1999999999999993</v>
      </c>
      <c r="AY25" s="165">
        <f>AY23+AY24</f>
        <v>-2.8</v>
      </c>
      <c r="AZ25" s="62">
        <f>AZ23+AZ24</f>
        <v>-0.39999999999999858</v>
      </c>
      <c r="BA25" s="62">
        <f>BA23+BA24</f>
        <v>-6.6</v>
      </c>
      <c r="BB25" s="142">
        <f>BB23+BB24</f>
        <v>-7.5</v>
      </c>
      <c r="BC25" s="64">
        <f>+BC23+BC24</f>
        <v>-17.299999999999997</v>
      </c>
      <c r="BD25" s="165">
        <f>BD23+BD24</f>
        <v>-5.0999999999999996</v>
      </c>
      <c r="BE25" s="62">
        <f>BE23+BE24</f>
        <v>-6.7</v>
      </c>
      <c r="BF25" s="62">
        <f>BF23+BF24</f>
        <v>-10.9</v>
      </c>
      <c r="BG25" s="142">
        <f>BG23+BG24</f>
        <v>-8.9</v>
      </c>
      <c r="BH25" s="64">
        <f>+BH23+BH24</f>
        <v>-31.6</v>
      </c>
      <c r="BI25" s="165">
        <f>BI23+BI24</f>
        <v>-6.8</v>
      </c>
      <c r="BJ25" s="62">
        <f>BJ23+BJ24</f>
        <v>-10</v>
      </c>
      <c r="BK25" s="62">
        <f>BK23+BK24</f>
        <v>-15.6</v>
      </c>
      <c r="BL25" s="142">
        <f>BL23+BL24</f>
        <v>-20.2</v>
      </c>
      <c r="BM25" s="64">
        <f>+BM23+BM24</f>
        <v>-52.599999999999994</v>
      </c>
      <c r="BN25" s="165">
        <f>BN23+BN24</f>
        <v>-10.6</v>
      </c>
      <c r="BO25" s="62">
        <f>BO23+BO24</f>
        <v>-10.199999999999999</v>
      </c>
      <c r="BP25" s="62">
        <f>BP23+BP24</f>
        <v>-11.2</v>
      </c>
      <c r="BQ25" s="142">
        <f>BQ23+BQ24</f>
        <v>-6.4</v>
      </c>
      <c r="BR25" s="304">
        <f>+BR23+BR24</f>
        <v>-38.4</v>
      </c>
      <c r="BS25" s="165">
        <f>BS23+BS24</f>
        <v>-0.4</v>
      </c>
      <c r="BT25" s="62">
        <f>BT23+BT24</f>
        <v>2.5</v>
      </c>
      <c r="BU25" s="62">
        <f>BU23+BU24</f>
        <v>1.5</v>
      </c>
      <c r="BV25" s="142">
        <f>BV23+BV24</f>
        <v>7.2</v>
      </c>
      <c r="BW25" s="304">
        <f>+BW23+BW24</f>
        <v>10.8</v>
      </c>
      <c r="BX25" s="171">
        <f>BX23+BX24</f>
        <v>15</v>
      </c>
      <c r="BY25" s="62">
        <f>BY23+BY24</f>
        <v>20</v>
      </c>
      <c r="BZ25" s="62">
        <f>BZ23+BZ24</f>
        <v>25</v>
      </c>
      <c r="CA25" s="142">
        <f>CA23+CA24</f>
        <v>23</v>
      </c>
      <c r="CB25" s="304">
        <f>+CB23+CB24</f>
        <v>83</v>
      </c>
      <c r="CC25" s="171">
        <v>21</v>
      </c>
      <c r="CD25" s="62">
        <v>22</v>
      </c>
      <c r="CE25" s="62">
        <v>24</v>
      </c>
      <c r="CF25" s="62">
        <v>18</v>
      </c>
      <c r="CG25" s="820">
        <f>SUM(CC25:CF25)</f>
        <v>85</v>
      </c>
      <c r="CH25" s="62">
        <v>20</v>
      </c>
      <c r="CI25" s="62">
        <v>18</v>
      </c>
      <c r="CJ25" s="62">
        <v>18</v>
      </c>
      <c r="CK25" s="62">
        <v>15</v>
      </c>
      <c r="CL25" s="820">
        <f>SUM(CH25:CK25)</f>
        <v>71</v>
      </c>
      <c r="CM25" s="62">
        <v>17</v>
      </c>
      <c r="CN25" s="322">
        <v>17</v>
      </c>
      <c r="CO25" s="62">
        <v>17</v>
      </c>
      <c r="CP25" s="62">
        <v>37</v>
      </c>
      <c r="CQ25" s="820">
        <f>SUM(CM25:CP25)</f>
        <v>88</v>
      </c>
      <c r="CR25" s="62">
        <v>37</v>
      </c>
      <c r="CS25" s="62">
        <v>23</v>
      </c>
      <c r="CT25" s="62">
        <v>50</v>
      </c>
      <c r="CU25" s="62">
        <v>55</v>
      </c>
      <c r="CV25" s="838">
        <f>SUM(CR25:CU25)</f>
        <v>165</v>
      </c>
      <c r="CW25" s="62">
        <v>41</v>
      </c>
      <c r="CX25" s="62">
        <v>37</v>
      </c>
      <c r="CY25" s="62">
        <v>35</v>
      </c>
      <c r="CZ25" s="326">
        <v>43</v>
      </c>
      <c r="DA25" s="838">
        <f>SUM(CW25:CZ25)</f>
        <v>156</v>
      </c>
      <c r="DB25" s="62">
        <v>55</v>
      </c>
      <c r="DC25" s="1696">
        <v>144</v>
      </c>
      <c r="DD25" s="62">
        <v>151</v>
      </c>
      <c r="DE25" s="62">
        <v>255</v>
      </c>
      <c r="DF25" s="838">
        <f>SUM(DB25:DE25)</f>
        <v>605</v>
      </c>
      <c r="DG25" s="62">
        <v>138</v>
      </c>
      <c r="DH25" s="62">
        <v>140</v>
      </c>
      <c r="DI25" s="62">
        <v>147</v>
      </c>
      <c r="DJ25" s="62">
        <v>171</v>
      </c>
      <c r="DK25" s="802">
        <f>SUM(DG25:DJ25)</f>
        <v>596</v>
      </c>
      <c r="DL25" s="62">
        <f>DL23-DL24</f>
        <v>172</v>
      </c>
      <c r="DM25" s="62">
        <f>DM23-DM24</f>
        <v>172</v>
      </c>
      <c r="DN25" s="62">
        <f>DN23-DN24</f>
        <v>155</v>
      </c>
      <c r="DO25" s="62">
        <f>DO23-DO24</f>
        <v>193</v>
      </c>
      <c r="DP25" s="802">
        <f>SUM(DL25:DO25)</f>
        <v>692</v>
      </c>
      <c r="DQ25" s="62">
        <f>DQ23-DQ24</f>
        <v>149</v>
      </c>
      <c r="DR25" s="62">
        <f ca="1">SUM(DR23:DR24)</f>
        <v>131.11175319886951</v>
      </c>
      <c r="DS25" s="62">
        <f ca="1">SUM(DS23:DS24)</f>
        <v>130.35921520751492</v>
      </c>
      <c r="DT25" s="550">
        <f ca="1">SUM(DT23:DT24)</f>
        <v>129.278095936292</v>
      </c>
      <c r="DU25" s="802">
        <f ca="1">SUM(DQ25:DT25)</f>
        <v>539.74906434267643</v>
      </c>
      <c r="DV25" s="549">
        <f ca="1">SUM(DV23:DV24)</f>
        <v>123.60546054915559</v>
      </c>
      <c r="DW25" s="62">
        <f ca="1">SUM(DW23:DW24)</f>
        <v>118.90450399048784</v>
      </c>
      <c r="DX25" s="62">
        <f ca="1">SUM(DX23:DX24)</f>
        <v>119.05756967306317</v>
      </c>
      <c r="DY25" s="62">
        <f ca="1">SUM(DY23:DY24)</f>
        <v>118.55538437754522</v>
      </c>
      <c r="DZ25" s="802">
        <f ca="1">SUM(DV25:DY25)</f>
        <v>480.12291859025186</v>
      </c>
      <c r="EA25" s="549">
        <f ca="1">SUM(EA23:EA24)</f>
        <v>116.7939788829042</v>
      </c>
      <c r="EB25" s="62">
        <f ca="1">SUM(EB23:EB24)</f>
        <v>115.62218481298153</v>
      </c>
      <c r="EC25" s="62">
        <f ca="1">SUM(EC23:EC24)</f>
        <v>115.6337643800902</v>
      </c>
      <c r="ED25" s="62">
        <f ca="1">SUM(ED23:ED24)</f>
        <v>115.11798217335254</v>
      </c>
      <c r="EE25" s="802">
        <f ca="1">SUM(EA25:ED25)</f>
        <v>463.16791024932843</v>
      </c>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row>
    <row r="26" spans="2:232" s="54" customFormat="1">
      <c r="B26" s="623" t="s">
        <v>335</v>
      </c>
      <c r="C26" s="1244"/>
      <c r="D26" s="634">
        <v>6.1139999999999999</v>
      </c>
      <c r="E26" s="634">
        <v>0</v>
      </c>
      <c r="F26" s="635">
        <v>4.1180000000000003</v>
      </c>
      <c r="G26" s="634">
        <v>0</v>
      </c>
      <c r="H26" s="635">
        <v>6.8209999999999997</v>
      </c>
      <c r="I26" s="635">
        <v>0</v>
      </c>
      <c r="J26" s="270">
        <v>0</v>
      </c>
      <c r="K26" s="573">
        <v>0</v>
      </c>
      <c r="L26" s="270">
        <v>0</v>
      </c>
      <c r="M26" s="270">
        <v>0</v>
      </c>
      <c r="N26" s="571">
        <v>0</v>
      </c>
      <c r="O26" s="616">
        <f>SUM(K26:N26)</f>
        <v>0</v>
      </c>
      <c r="P26" s="270">
        <v>0</v>
      </c>
      <c r="Q26" s="270">
        <v>0</v>
      </c>
      <c r="R26" s="270">
        <v>0</v>
      </c>
      <c r="S26" s="271">
        <v>0</v>
      </c>
      <c r="T26" s="270">
        <f>SUM(P26:S26)</f>
        <v>0</v>
      </c>
      <c r="U26" s="653">
        <v>0</v>
      </c>
      <c r="V26" s="270">
        <v>0</v>
      </c>
      <c r="W26" s="270">
        <v>0</v>
      </c>
      <c r="X26" s="271">
        <v>-37.381999999999998</v>
      </c>
      <c r="Y26" s="270">
        <f>SUM(U26:X26)</f>
        <v>-37.381999999999998</v>
      </c>
      <c r="Z26" s="653">
        <v>0</v>
      </c>
      <c r="AA26" s="270">
        <v>0</v>
      </c>
      <c r="AB26" s="270">
        <v>0</v>
      </c>
      <c r="AC26" s="271">
        <v>0</v>
      </c>
      <c r="AD26" s="270">
        <f>SUM(Z26:AC26)</f>
        <v>0</v>
      </c>
      <c r="AE26" s="653">
        <v>0</v>
      </c>
      <c r="AF26" s="270">
        <v>0</v>
      </c>
      <c r="AG26" s="270">
        <v>0</v>
      </c>
      <c r="AH26" s="271">
        <v>-33.5</v>
      </c>
      <c r="AI26" s="270">
        <f>SUM(AE26:AH26)</f>
        <v>-33.5</v>
      </c>
      <c r="AJ26" s="653">
        <v>0</v>
      </c>
      <c r="AK26" s="270">
        <v>-22.1</v>
      </c>
      <c r="AL26" s="270">
        <v>0</v>
      </c>
      <c r="AM26" s="271">
        <v>-1.5</v>
      </c>
      <c r="AN26" s="270">
        <v>-22.1</v>
      </c>
      <c r="AO26" s="653">
        <v>-5.5</v>
      </c>
      <c r="AP26" s="270">
        <v>0</v>
      </c>
      <c r="AQ26" s="270">
        <v>0</v>
      </c>
      <c r="AR26" s="271">
        <v>-3.3</v>
      </c>
      <c r="AS26" s="270">
        <f>SUM(AO26:AR26)</f>
        <v>-8.8000000000000007</v>
      </c>
      <c r="AT26" s="653">
        <v>0</v>
      </c>
      <c r="AU26" s="270">
        <v>0</v>
      </c>
      <c r="AV26" s="270">
        <v>0</v>
      </c>
      <c r="AW26" s="271">
        <f>-3.5+0.9</f>
        <v>-2.6</v>
      </c>
      <c r="AX26" s="270">
        <f>SUM(AT26:AW26)</f>
        <v>-2.6</v>
      </c>
      <c r="AY26" s="653">
        <v>0</v>
      </c>
      <c r="AZ26" s="270">
        <v>0</v>
      </c>
      <c r="BA26" s="270">
        <v>0</v>
      </c>
      <c r="BB26" s="271">
        <v>0</v>
      </c>
      <c r="BC26" s="270">
        <f>SUM(AY26:BB26)</f>
        <v>0</v>
      </c>
      <c r="BD26" s="653">
        <v>0</v>
      </c>
      <c r="BE26" s="270">
        <v>0</v>
      </c>
      <c r="BF26" s="270">
        <v>0</v>
      </c>
      <c r="BG26" s="271">
        <v>0</v>
      </c>
      <c r="BH26" s="270">
        <f>SUM(BD26:BG26)</f>
        <v>0</v>
      </c>
      <c r="BI26" s="653">
        <v>0</v>
      </c>
      <c r="BJ26" s="270">
        <v>0</v>
      </c>
      <c r="BK26" s="270">
        <v>0</v>
      </c>
      <c r="BL26" s="271">
        <v>0</v>
      </c>
      <c r="BM26" s="270">
        <f>SUM(BI26:BL26)</f>
        <v>0</v>
      </c>
      <c r="BN26" s="653">
        <v>0</v>
      </c>
      <c r="BO26" s="270">
        <v>0</v>
      </c>
      <c r="BP26" s="270">
        <v>0</v>
      </c>
      <c r="BQ26" s="271">
        <v>0</v>
      </c>
      <c r="BR26" s="629">
        <f>SUM(BN26:BQ26)</f>
        <v>0</v>
      </c>
      <c r="BS26" s="653">
        <v>0</v>
      </c>
      <c r="BT26" s="270">
        <v>0</v>
      </c>
      <c r="BU26" s="270">
        <v>0</v>
      </c>
      <c r="BV26" s="271">
        <v>0</v>
      </c>
      <c r="BW26" s="629">
        <f>SUM(BS26:BV26)</f>
        <v>0</v>
      </c>
      <c r="BX26" s="653">
        <v>0</v>
      </c>
      <c r="BY26" s="270">
        <v>0</v>
      </c>
      <c r="BZ26" s="270">
        <v>0</v>
      </c>
      <c r="CA26" s="271">
        <v>0</v>
      </c>
      <c r="CB26" s="629">
        <f>SUM(BX26:CA26)</f>
        <v>0</v>
      </c>
      <c r="CC26" s="653">
        <v>0</v>
      </c>
      <c r="CD26" s="270">
        <v>0</v>
      </c>
      <c r="CE26" s="270">
        <v>0</v>
      </c>
      <c r="CF26" s="270">
        <v>0</v>
      </c>
      <c r="CG26" s="823">
        <f>SUM(CC26:CF26)</f>
        <v>0</v>
      </c>
      <c r="CH26" s="270">
        <v>0</v>
      </c>
      <c r="CI26" s="270">
        <v>0</v>
      </c>
      <c r="CJ26" s="964">
        <v>0</v>
      </c>
      <c r="CK26" s="964">
        <v>0</v>
      </c>
      <c r="CL26" s="823">
        <f>SUM(CH26:CK26)</f>
        <v>0</v>
      </c>
      <c r="CM26" s="270">
        <v>0</v>
      </c>
      <c r="CN26" s="709">
        <v>0</v>
      </c>
      <c r="CO26" s="964">
        <v>0</v>
      </c>
      <c r="CP26" s="964">
        <v>0</v>
      </c>
      <c r="CQ26" s="823">
        <f>SUM(CM26:CP26)</f>
        <v>0</v>
      </c>
      <c r="CR26" s="270">
        <v>0</v>
      </c>
      <c r="CS26" s="270">
        <v>0</v>
      </c>
      <c r="CT26" s="964">
        <v>-77</v>
      </c>
      <c r="CU26" s="964">
        <v>-43</v>
      </c>
      <c r="CV26" s="823">
        <f>SUM(CR26:CU26)</f>
        <v>-120</v>
      </c>
      <c r="CW26" s="270">
        <v>-225</v>
      </c>
      <c r="CX26" s="270">
        <v>59</v>
      </c>
      <c r="CY26" s="964">
        <v>-124</v>
      </c>
      <c r="CZ26" s="964">
        <v>771</v>
      </c>
      <c r="DA26" s="823">
        <f>SUM(CW26:CZ26)</f>
        <v>481</v>
      </c>
      <c r="DB26" s="270">
        <v>-199</v>
      </c>
      <c r="DC26" s="270">
        <f>-(706+504)</f>
        <v>-1210</v>
      </c>
      <c r="DD26" s="270">
        <v>-461</v>
      </c>
      <c r="DE26" s="270">
        <f>479+143</f>
        <v>622</v>
      </c>
      <c r="DF26" s="823">
        <f>SUM(DB26:DE26)</f>
        <v>-1248</v>
      </c>
      <c r="DG26" s="270">
        <v>57</v>
      </c>
      <c r="DH26" s="270">
        <v>496</v>
      </c>
      <c r="DI26" s="270">
        <v>-28</v>
      </c>
      <c r="DJ26" s="270">
        <v>-264</v>
      </c>
      <c r="DK26" s="1111">
        <f>SUM(DG26:DJ26)</f>
        <v>261</v>
      </c>
      <c r="DL26" s="270">
        <v>0</v>
      </c>
      <c r="DM26" s="270">
        <v>15</v>
      </c>
      <c r="DN26" s="270">
        <v>8</v>
      </c>
      <c r="DO26" s="270">
        <v>-11</v>
      </c>
      <c r="DP26" s="1111">
        <f>SUM(DL26:DO26)</f>
        <v>12</v>
      </c>
      <c r="DQ26" s="270">
        <v>137</v>
      </c>
      <c r="DR26" s="2305">
        <v>213</v>
      </c>
      <c r="DS26" s="2305">
        <v>213</v>
      </c>
      <c r="DT26" s="2306">
        <v>213</v>
      </c>
      <c r="DU26" s="1111">
        <f>SUM(DQ26:DT26)</f>
        <v>776</v>
      </c>
      <c r="DV26" s="2304">
        <v>213</v>
      </c>
      <c r="DW26" s="2305">
        <v>213</v>
      </c>
      <c r="DX26" s="2305">
        <v>213</v>
      </c>
      <c r="DY26" s="2306">
        <v>213</v>
      </c>
      <c r="DZ26" s="1111">
        <f>SUM(DV26:DY26)</f>
        <v>852</v>
      </c>
      <c r="EA26" s="1739">
        <v>0</v>
      </c>
      <c r="EB26" s="964">
        <v>0</v>
      </c>
      <c r="EC26" s="964">
        <v>0</v>
      </c>
      <c r="ED26" s="1740">
        <v>0</v>
      </c>
      <c r="EE26" s="1111">
        <f>SUM(EA26:ED26)</f>
        <v>0</v>
      </c>
      <c r="EF26" s="2302"/>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row>
    <row r="27" spans="2:232" s="324" customFormat="1" ht="11.25" hidden="1" customHeight="1" outlineLevel="1">
      <c r="B27" s="641"/>
      <c r="C27" s="645"/>
      <c r="D27" s="638"/>
      <c r="E27" s="638"/>
      <c r="F27" s="638"/>
      <c r="G27" s="638"/>
      <c r="H27" s="642"/>
      <c r="I27" s="638"/>
      <c r="J27" s="638"/>
      <c r="K27" s="643"/>
      <c r="L27" s="644"/>
      <c r="M27" s="638"/>
      <c r="N27" s="645"/>
      <c r="O27" s="640"/>
      <c r="P27" s="644"/>
      <c r="Q27" s="644"/>
      <c r="R27" s="638"/>
      <c r="S27" s="646"/>
      <c r="T27" s="638"/>
      <c r="U27" s="647"/>
      <c r="V27" s="644"/>
      <c r="W27" s="638"/>
      <c r="X27" s="646"/>
      <c r="Y27" s="638"/>
      <c r="Z27" s="647"/>
      <c r="AA27" s="644"/>
      <c r="AB27" s="638"/>
      <c r="AC27" s="646"/>
      <c r="AD27" s="638"/>
      <c r="AE27" s="647"/>
      <c r="AF27" s="644"/>
      <c r="AG27" s="638"/>
      <c r="AH27" s="646"/>
      <c r="AI27" s="638"/>
      <c r="AJ27" s="647"/>
      <c r="AK27" s="644"/>
      <c r="AL27" s="638"/>
      <c r="AM27" s="646"/>
      <c r="AN27" s="638"/>
      <c r="AO27" s="647"/>
      <c r="AP27" s="644"/>
      <c r="AQ27" s="638"/>
      <c r="AR27" s="646"/>
      <c r="AS27" s="638"/>
      <c r="AT27" s="647"/>
      <c r="AU27" s="644"/>
      <c r="AV27" s="638"/>
      <c r="AW27" s="646"/>
      <c r="AX27" s="638"/>
      <c r="AY27" s="647"/>
      <c r="AZ27" s="644"/>
      <c r="BA27" s="638"/>
      <c r="BB27" s="646"/>
      <c r="BC27" s="639"/>
      <c r="BD27" s="647"/>
      <c r="BE27" s="644"/>
      <c r="BF27" s="638"/>
      <c r="BG27" s="646"/>
      <c r="BH27" s="638"/>
      <c r="BI27" s="647"/>
      <c r="BJ27" s="644"/>
      <c r="BK27" s="638"/>
      <c r="BL27" s="646"/>
      <c r="BM27" s="638"/>
      <c r="BN27" s="647"/>
      <c r="BO27" s="644"/>
      <c r="BP27" s="638"/>
      <c r="BQ27" s="646"/>
      <c r="BR27" s="638"/>
      <c r="BS27" s="647"/>
      <c r="BT27" s="644"/>
      <c r="BU27" s="638"/>
      <c r="BV27" s="646"/>
      <c r="BW27" s="638"/>
      <c r="BX27" s="490"/>
      <c r="BY27" s="644"/>
      <c r="BZ27" s="638"/>
      <c r="CA27" s="646"/>
      <c r="CB27" s="638"/>
      <c r="CC27" s="490"/>
      <c r="CD27" s="639"/>
      <c r="CE27" s="639"/>
      <c r="CF27" s="639"/>
      <c r="CG27" s="640"/>
      <c r="CH27" s="639"/>
      <c r="CI27" s="639"/>
      <c r="CJ27" s="648"/>
      <c r="CK27" s="648"/>
      <c r="CL27" s="640"/>
      <c r="CM27" s="639"/>
      <c r="CN27" s="639"/>
      <c r="CO27" s="648"/>
      <c r="CP27" s="648"/>
      <c r="CQ27" s="640"/>
      <c r="CR27" s="639"/>
      <c r="CS27" s="639"/>
      <c r="CT27" s="648"/>
      <c r="CU27" s="648"/>
      <c r="CV27" s="640"/>
      <c r="CW27" s="639"/>
      <c r="CX27" s="639"/>
      <c r="CY27" s="648"/>
      <c r="CZ27" s="648"/>
      <c r="DA27" s="640"/>
      <c r="DB27" s="639"/>
      <c r="DC27" s="639"/>
      <c r="DD27" s="639"/>
      <c r="DE27" s="639"/>
      <c r="DF27" s="640"/>
      <c r="DG27" s="639"/>
      <c r="DH27" s="639"/>
      <c r="DI27" s="639"/>
      <c r="DJ27" s="639"/>
      <c r="DK27" s="1415"/>
      <c r="DL27" s="639"/>
      <c r="DM27" s="639"/>
      <c r="DN27" s="639"/>
      <c r="DO27" s="639"/>
      <c r="DP27" s="1415"/>
      <c r="DQ27" s="639"/>
      <c r="DR27" s="648"/>
      <c r="DS27" s="648"/>
      <c r="DT27" s="1816"/>
      <c r="DU27" s="1415"/>
      <c r="DV27" s="1815"/>
      <c r="DW27" s="648"/>
      <c r="DX27" s="648"/>
      <c r="DY27" s="1816"/>
      <c r="DZ27" s="1415"/>
      <c r="EA27" s="1815"/>
      <c r="EB27" s="648"/>
      <c r="EC27" s="648"/>
      <c r="ED27" s="1816"/>
      <c r="EE27" s="1415"/>
      <c r="EF27" s="10"/>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row>
    <row r="28" spans="2:232" s="68" customFormat="1" collapsed="1">
      <c r="B28" s="576" t="s">
        <v>413</v>
      </c>
      <c r="C28" s="1241"/>
      <c r="D28" s="306">
        <v>243.83900000000017</v>
      </c>
      <c r="E28" s="306">
        <v>280.923</v>
      </c>
      <c r="F28" s="306">
        <v>311.94399999999985</v>
      </c>
      <c r="G28" s="306">
        <v>353.00499999999948</v>
      </c>
      <c r="H28" s="306">
        <v>399.6759999999997</v>
      </c>
      <c r="I28" s="306">
        <v>458.42099999999868</v>
      </c>
      <c r="J28" s="306">
        <v>523.74099999999987</v>
      </c>
      <c r="K28" s="608">
        <f>(K22-K23-K24-K26)</f>
        <v>103.92699999999967</v>
      </c>
      <c r="L28" s="306">
        <f>(L22-L23-L24-L26)</f>
        <v>212.48799999999994</v>
      </c>
      <c r="M28" s="306">
        <f>(M22-M23-M24-M26)</f>
        <v>153.07199999999983</v>
      </c>
      <c r="N28" s="609">
        <f>(N22-N23-N24-N26)</f>
        <v>141.54899999999975</v>
      </c>
      <c r="O28" s="621">
        <f>(O22-O25-O26)</f>
        <v>611.03599999999767</v>
      </c>
      <c r="P28" s="306">
        <f>(P22-P23-P24-P26)</f>
        <v>128.40499999999989</v>
      </c>
      <c r="Q28" s="306">
        <f>(Q22-Q23-Q24-Q26)</f>
        <v>249.9619999999997</v>
      </c>
      <c r="R28" s="306">
        <f>(R22-R23-R24-R26)</f>
        <v>180.82100000000005</v>
      </c>
      <c r="S28" s="319">
        <f>(S22-S23-S24-S26)</f>
        <v>169.94799999999984</v>
      </c>
      <c r="T28" s="306">
        <f>(T22-T25-T26)</f>
        <v>729.13600000000042</v>
      </c>
      <c r="U28" s="318">
        <f>(U22-U23-U24-U26)</f>
        <v>149.41199999999981</v>
      </c>
      <c r="V28" s="306">
        <f>(V22-V23-V24-V26)</f>
        <v>288.81300000000005</v>
      </c>
      <c r="W28" s="306">
        <f>(W22-W23-W24-W26)</f>
        <v>222.00000000000026</v>
      </c>
      <c r="X28" s="319">
        <f>(X22-X23-X24-X26)</f>
        <v>263.34599999999995</v>
      </c>
      <c r="Y28" s="306">
        <f>(Y22-Y25-Y26)</f>
        <v>923.61999999999921</v>
      </c>
      <c r="Z28" s="318">
        <f>(Z22-Z23-Z24-Z26)</f>
        <v>183.6999999999999</v>
      </c>
      <c r="AA28" s="306">
        <f>(AA22-AA23-AA24-AA26)</f>
        <v>347.20000000000016</v>
      </c>
      <c r="AB28" s="306">
        <f>(AB22-AB23-AB24-AB26)</f>
        <v>277.99999999999955</v>
      </c>
      <c r="AC28" s="319">
        <f>(AC22-AC23-AC24-AC26)</f>
        <v>263.60000000000002</v>
      </c>
      <c r="AD28" s="306">
        <f>(AD22-AD25-AD26)</f>
        <v>1027.2999999999988</v>
      </c>
      <c r="AE28" s="318">
        <f>(AE22-AE23-AE24-AE26)</f>
        <v>228.89999999999972</v>
      </c>
      <c r="AF28" s="306">
        <f>(AF22-AF23-AF24-AF26)</f>
        <v>392.30000000000007</v>
      </c>
      <c r="AG28" s="306">
        <f>(AG22-AG23-AG24-AG26)</f>
        <v>314.90000000000043</v>
      </c>
      <c r="AH28" s="319">
        <f>(AH22-AH23-AH24-AH26)</f>
        <v>344.80000000000007</v>
      </c>
      <c r="AI28" s="306">
        <f>(AI22-AI25-AI26)</f>
        <v>1280.9000000000008</v>
      </c>
      <c r="AJ28" s="318">
        <f>(AJ22-AJ23-AJ24-AJ26)</f>
        <v>257.59999999999945</v>
      </c>
      <c r="AK28" s="306">
        <f>(AK22-AK23-AK24-AK26)</f>
        <v>479.80000000000013</v>
      </c>
      <c r="AL28" s="306">
        <f>(AL22-AL23-AL24-AL26)</f>
        <v>345.49999999999955</v>
      </c>
      <c r="AM28" s="319">
        <f>(AM22-AM23-AM24-AM26)</f>
        <v>339.80000000000041</v>
      </c>
      <c r="AN28" s="306">
        <f>(AN22-AN25-AN26)</f>
        <v>1422.6999999999982</v>
      </c>
      <c r="AO28" s="318">
        <f>(AO22-AO23-AO24-AO26)</f>
        <v>298.69999999999953</v>
      </c>
      <c r="AP28" s="306">
        <f>(AP22-AP23-AP24-AP26)</f>
        <v>524.59999999999968</v>
      </c>
      <c r="AQ28" s="306">
        <f>(AQ22-AQ23-AQ24-AQ26)</f>
        <v>415.99999999999989</v>
      </c>
      <c r="AR28" s="319">
        <f>(AR22-AR23-AR24-AR26)</f>
        <v>398.00000000000006</v>
      </c>
      <c r="AS28" s="306">
        <f>(AS22-AS25-AS26)</f>
        <v>1619.4</v>
      </c>
      <c r="AT28" s="318">
        <f>(AT22-AT23-AT24-AT26)</f>
        <v>355.29999999999984</v>
      </c>
      <c r="AU28" s="306">
        <f>(AU22-AU23-AU24-AU26)</f>
        <v>595.8000000000003</v>
      </c>
      <c r="AV28" s="306">
        <f>(AV22-AV23-AV24-AV26)</f>
        <v>463.70000000000005</v>
      </c>
      <c r="AW28" s="319">
        <f>(AW22-AW23-AW24-AW26)</f>
        <v>444.29999999999961</v>
      </c>
      <c r="AX28" s="306">
        <f>(AX22-AX25-AX26)</f>
        <v>1842.100000000001</v>
      </c>
      <c r="AY28" s="318">
        <f>(AY22-AY23-AY24-AY26)</f>
        <v>407.79999999999956</v>
      </c>
      <c r="AZ28" s="306">
        <f>(AZ22-AZ23-AZ24-AZ26)</f>
        <v>677.40000000000043</v>
      </c>
      <c r="BA28" s="306">
        <f>(BA22-BA23-BA24-BA26)</f>
        <v>551.3000000000003</v>
      </c>
      <c r="BB28" s="319">
        <f>(BB22-BB23-BB24-BB26)</f>
        <v>506.900000000001</v>
      </c>
      <c r="BC28" s="306">
        <f>(BC22-BC25-BC26)</f>
        <v>2143.3999999999969</v>
      </c>
      <c r="BD28" s="318">
        <f>(BD22-BD23-BD24-BD26)</f>
        <v>511.20000000000039</v>
      </c>
      <c r="BE28" s="306">
        <f>(BE22-BE23-BE24-BE26)</f>
        <v>782.30000000000041</v>
      </c>
      <c r="BF28" s="306">
        <f>(BF22-BF23-BF24-BF26)</f>
        <v>655.0000000000008</v>
      </c>
      <c r="BG28" s="319">
        <f>(BG22-BG23-BG24-BG26)</f>
        <v>507.09999999999934</v>
      </c>
      <c r="BH28" s="306">
        <f t="shared" ref="BH28:BW28" si="9">(BH22-BH25-BH26)</f>
        <v>2455.6</v>
      </c>
      <c r="BI28" s="318">
        <f t="shared" si="9"/>
        <v>548.60000000000014</v>
      </c>
      <c r="BJ28" s="306">
        <f t="shared" si="9"/>
        <v>830.900000000001</v>
      </c>
      <c r="BK28" s="306">
        <f t="shared" si="9"/>
        <v>723.20000000000084</v>
      </c>
      <c r="BL28" s="319">
        <f t="shared" si="9"/>
        <v>651.3999999999985</v>
      </c>
      <c r="BM28" s="306">
        <f t="shared" si="9"/>
        <v>2754.1000000000054</v>
      </c>
      <c r="BN28" s="318">
        <f t="shared" si="9"/>
        <v>682.50000000000057</v>
      </c>
      <c r="BO28" s="306">
        <f t="shared" si="9"/>
        <v>1030.700000000001</v>
      </c>
      <c r="BP28" s="306">
        <f t="shared" si="9"/>
        <v>865.99999999999886</v>
      </c>
      <c r="BQ28" s="319">
        <f t="shared" si="9"/>
        <v>609.89999999999907</v>
      </c>
      <c r="BR28" s="622">
        <f t="shared" si="9"/>
        <v>3189.0999999999935</v>
      </c>
      <c r="BS28" s="318">
        <f t="shared" si="9"/>
        <v>728.29999999999961</v>
      </c>
      <c r="BT28" s="306">
        <f t="shared" si="9"/>
        <v>1085.1000000000004</v>
      </c>
      <c r="BU28" s="306">
        <f t="shared" si="9"/>
        <v>913.20000000000073</v>
      </c>
      <c r="BV28" s="319">
        <f t="shared" si="9"/>
        <v>624.7000000000005</v>
      </c>
      <c r="BW28" s="622">
        <f t="shared" si="9"/>
        <v>3351.2999999999947</v>
      </c>
      <c r="BX28" s="318">
        <f>BX22-BX25</f>
        <v>654</v>
      </c>
      <c r="BY28" s="306">
        <f>(BY22-BY23-BY24-BY26)</f>
        <v>1010</v>
      </c>
      <c r="BZ28" s="306">
        <f>(BZ22-BZ23-BZ24-BZ26)</f>
        <v>821</v>
      </c>
      <c r="CA28" s="319">
        <f>(CA22-CA23-CA24-CA26)</f>
        <v>679</v>
      </c>
      <c r="CB28" s="622">
        <f t="shared" ref="CB28:CY28" si="10">(CB22-CB25-CB26)</f>
        <v>3164</v>
      </c>
      <c r="CC28" s="318">
        <f t="shared" si="10"/>
        <v>776</v>
      </c>
      <c r="CD28" s="306">
        <f t="shared" si="10"/>
        <v>1064</v>
      </c>
      <c r="CE28" s="306">
        <f t="shared" si="10"/>
        <v>805</v>
      </c>
      <c r="CF28" s="306">
        <f t="shared" si="10"/>
        <v>728</v>
      </c>
      <c r="CG28" s="821">
        <f t="shared" si="10"/>
        <v>3373</v>
      </c>
      <c r="CH28" s="306">
        <f t="shared" si="10"/>
        <v>921</v>
      </c>
      <c r="CI28" s="306">
        <f t="shared" si="10"/>
        <v>1189</v>
      </c>
      <c r="CJ28" s="70">
        <f t="shared" si="10"/>
        <v>933</v>
      </c>
      <c r="CK28" s="306">
        <f t="shared" si="10"/>
        <v>1251</v>
      </c>
      <c r="CL28" s="821">
        <f t="shared" si="10"/>
        <v>4294</v>
      </c>
      <c r="CM28" s="306">
        <f t="shared" si="10"/>
        <v>883</v>
      </c>
      <c r="CN28" s="306">
        <f t="shared" si="10"/>
        <v>1088</v>
      </c>
      <c r="CO28" s="70">
        <f t="shared" si="10"/>
        <v>856</v>
      </c>
      <c r="CP28" s="70">
        <f t="shared" si="10"/>
        <v>549</v>
      </c>
      <c r="CQ28" s="821">
        <f t="shared" si="10"/>
        <v>3376</v>
      </c>
      <c r="CR28" s="306">
        <f t="shared" si="10"/>
        <v>668</v>
      </c>
      <c r="CS28" s="306">
        <f t="shared" si="10"/>
        <v>1192</v>
      </c>
      <c r="CT28" s="70">
        <f t="shared" si="10"/>
        <v>1018</v>
      </c>
      <c r="CU28" s="70">
        <f t="shared" si="10"/>
        <v>1017</v>
      </c>
      <c r="CV28" s="821">
        <f t="shared" si="10"/>
        <v>3895</v>
      </c>
      <c r="CW28" s="306">
        <f t="shared" si="10"/>
        <v>1108</v>
      </c>
      <c r="CX28" s="306">
        <f t="shared" si="10"/>
        <v>1179</v>
      </c>
      <c r="CY28" s="306">
        <f t="shared" si="10"/>
        <v>1115</v>
      </c>
      <c r="CZ28" s="70">
        <f t="shared" ref="CZ28:DF28" si="11">(CZ22-CZ25-CZ26)</f>
        <v>155</v>
      </c>
      <c r="DA28" s="821">
        <f t="shared" si="11"/>
        <v>3557</v>
      </c>
      <c r="DB28" s="306">
        <f t="shared" si="11"/>
        <v>1198</v>
      </c>
      <c r="DC28" s="306">
        <f t="shared" si="11"/>
        <v>2443</v>
      </c>
      <c r="DD28" s="306">
        <f t="shared" si="11"/>
        <v>1711</v>
      </c>
      <c r="DE28" s="306">
        <f>(DE22-DE25-DE26)</f>
        <v>-41</v>
      </c>
      <c r="DF28" s="821">
        <f t="shared" si="11"/>
        <v>5311</v>
      </c>
      <c r="DG28" s="306">
        <f>(DG22-DG25-DG26)</f>
        <v>1273</v>
      </c>
      <c r="DH28" s="306">
        <f>(DH22-DH25-DH26)</f>
        <v>1224</v>
      </c>
      <c r="DI28" s="306">
        <f>(DI22-DI25-DI26)</f>
        <v>1414</v>
      </c>
      <c r="DJ28" s="306">
        <f>(DJ22-DJ25-DJ26)</f>
        <v>1233</v>
      </c>
      <c r="DK28" s="796">
        <f t="shared" ref="DK28:DU28" si="12">(DK22-DK25-DK26)</f>
        <v>5144</v>
      </c>
      <c r="DL28" s="306">
        <f>(DL22-DL25-DL26)</f>
        <v>1275</v>
      </c>
      <c r="DM28" s="306">
        <f>(DM22-DM25-DM26)</f>
        <v>1292</v>
      </c>
      <c r="DN28" s="306">
        <f>(DN22-DN25-DN26)</f>
        <v>1354</v>
      </c>
      <c r="DO28" s="306">
        <f>(DO22-DO25-DO26)</f>
        <v>932</v>
      </c>
      <c r="DP28" s="796">
        <f t="shared" si="12"/>
        <v>4853</v>
      </c>
      <c r="DQ28" s="306">
        <f>(DQ22-DQ25-DQ26)</f>
        <v>1049</v>
      </c>
      <c r="DR28" s="70">
        <f t="shared" ca="1" si="12"/>
        <v>1614.4472295866008</v>
      </c>
      <c r="DS28" s="70">
        <f t="shared" ca="1" si="12"/>
        <v>1479.3515951905424</v>
      </c>
      <c r="DT28" s="542">
        <f t="shared" ca="1" si="12"/>
        <v>1475.1894916575493</v>
      </c>
      <c r="DU28" s="796">
        <f t="shared" ca="1" si="12"/>
        <v>5617.9883164347029</v>
      </c>
      <c r="DV28" s="541">
        <f t="shared" ref="DV28:DZ28" ca="1" si="13">(DV22-DV25-DV26)</f>
        <v>1351.5391277339731</v>
      </c>
      <c r="DW28" s="70">
        <f t="shared" ca="1" si="13"/>
        <v>1665.77566886421</v>
      </c>
      <c r="DX28" s="70">
        <f t="shared" ca="1" si="13"/>
        <v>1685.3307751269517</v>
      </c>
      <c r="DY28" s="542">
        <f t="shared" ca="1" si="13"/>
        <v>1724.2669405736056</v>
      </c>
      <c r="DZ28" s="796">
        <f t="shared" ca="1" si="13"/>
        <v>6426.9125122987189</v>
      </c>
      <c r="EA28" s="541">
        <f t="shared" ref="EA28:EE28" ca="1" si="14">(EA22-EA25-EA26)</f>
        <v>1619.4881817920382</v>
      </c>
      <c r="EB28" s="70">
        <f t="shared" ca="1" si="14"/>
        <v>1907.2762668034695</v>
      </c>
      <c r="EC28" s="70">
        <f t="shared" ca="1" si="14"/>
        <v>1944.1704156380224</v>
      </c>
      <c r="ED28" s="542">
        <f t="shared" ca="1" si="14"/>
        <v>1986.6459066011503</v>
      </c>
      <c r="EE28" s="796">
        <f t="shared" ca="1" si="14"/>
        <v>7457.5807708346938</v>
      </c>
      <c r="EF28" s="1"/>
      <c r="EG28" s="1"/>
      <c r="EH28"/>
      <c r="EI28"/>
      <c r="EJ28"/>
      <c r="EK28"/>
      <c r="EL28"/>
      <c r="EM28"/>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1"/>
      <c r="HQ28" s="1"/>
      <c r="HR28" s="1"/>
      <c r="HS28" s="1"/>
      <c r="HT28" s="1"/>
      <c r="HU28" s="1"/>
      <c r="HV28" s="1"/>
      <c r="HW28" s="1"/>
      <c r="HX28" s="1"/>
    </row>
    <row r="29" spans="2:232" s="54" customFormat="1">
      <c r="B29" s="561" t="s">
        <v>416</v>
      </c>
      <c r="C29" s="1240"/>
      <c r="D29" s="164">
        <v>89.596999999999994</v>
      </c>
      <c r="E29" s="164">
        <v>106.346</v>
      </c>
      <c r="F29" s="164">
        <v>116.979</v>
      </c>
      <c r="G29" s="164">
        <v>132.37700000000001</v>
      </c>
      <c r="H29" s="164">
        <v>154.387</v>
      </c>
      <c r="I29" s="164">
        <v>176.49199999999999</v>
      </c>
      <c r="J29" s="64">
        <v>202.95</v>
      </c>
      <c r="K29" s="538">
        <v>40.271999999999998</v>
      </c>
      <c r="L29" s="64">
        <v>80.22</v>
      </c>
      <c r="M29" s="62">
        <v>57.936</v>
      </c>
      <c r="N29" s="539">
        <v>56.76</v>
      </c>
      <c r="O29" s="619">
        <f>SUM(K29:N29)</f>
        <v>235.18799999999999</v>
      </c>
      <c r="P29" s="64">
        <v>47.460999999999999</v>
      </c>
      <c r="Q29" s="64">
        <v>93.278999999999996</v>
      </c>
      <c r="R29" s="62">
        <v>68.391000000000005</v>
      </c>
      <c r="S29" s="79">
        <v>66.998000000000005</v>
      </c>
      <c r="T29" s="64">
        <f>SUM(P29:S29)</f>
        <v>276.12900000000002</v>
      </c>
      <c r="U29" s="165">
        <v>55.518000000000001</v>
      </c>
      <c r="V29" s="64">
        <v>108.07599999999999</v>
      </c>
      <c r="W29" s="62">
        <v>79.688000000000002</v>
      </c>
      <c r="X29" s="79">
        <v>96.581000000000003</v>
      </c>
      <c r="Y29" s="64">
        <f>SUM(U29:X29)</f>
        <v>339.863</v>
      </c>
      <c r="Z29" s="165">
        <v>65.8</v>
      </c>
      <c r="AA29" s="64">
        <v>130.80000000000001</v>
      </c>
      <c r="AB29" s="62">
        <v>102.9</v>
      </c>
      <c r="AC29" s="79">
        <v>103.7</v>
      </c>
      <c r="AD29" s="64">
        <f>SUM(Z29:AC29)</f>
        <v>403.2</v>
      </c>
      <c r="AE29" s="165">
        <v>83.5</v>
      </c>
      <c r="AF29" s="64">
        <v>153.4</v>
      </c>
      <c r="AG29" s="62">
        <v>121.3</v>
      </c>
      <c r="AH29" s="79">
        <v>128.19999999999999</v>
      </c>
      <c r="AI29" s="64">
        <f>SUM(AE29:AH29)</f>
        <v>486.4</v>
      </c>
      <c r="AJ29" s="165">
        <v>99.2</v>
      </c>
      <c r="AK29" s="64">
        <v>182.9</v>
      </c>
      <c r="AL29" s="62">
        <v>132.1</v>
      </c>
      <c r="AM29" s="79">
        <v>122.9</v>
      </c>
      <c r="AN29" s="64">
        <f>SUM(AJ29:AM29)</f>
        <v>537.1</v>
      </c>
      <c r="AO29" s="165">
        <v>112.8</v>
      </c>
      <c r="AP29" s="64">
        <v>198</v>
      </c>
      <c r="AQ29" s="62">
        <v>157</v>
      </c>
      <c r="AR29" s="79">
        <v>150.30000000000001</v>
      </c>
      <c r="AS29" s="64">
        <v>611.29999999999995</v>
      </c>
      <c r="AT29" s="165">
        <v>140.4</v>
      </c>
      <c r="AU29" s="64">
        <v>224.9</v>
      </c>
      <c r="AV29" s="62">
        <v>179.6</v>
      </c>
      <c r="AW29" s="79">
        <v>168.1</v>
      </c>
      <c r="AX29" s="64">
        <f>706.6-7.3</f>
        <v>699.30000000000007</v>
      </c>
      <c r="AY29" s="165">
        <v>152.9</v>
      </c>
      <c r="AZ29" s="64">
        <f>260.2-6.113969</f>
        <v>254.08603099999999</v>
      </c>
      <c r="BA29" s="62">
        <v>206.7</v>
      </c>
      <c r="BB29" s="79">
        <v>190.1</v>
      </c>
      <c r="BC29" s="164">
        <f>SUM(AY29:BB29)</f>
        <v>803.78603099999998</v>
      </c>
      <c r="BD29" s="165">
        <v>182.6</v>
      </c>
      <c r="BE29" s="64">
        <v>291.39999999999998</v>
      </c>
      <c r="BF29" s="62">
        <v>244</v>
      </c>
      <c r="BG29" s="79">
        <v>178.1</v>
      </c>
      <c r="BH29" s="64">
        <v>896.1</v>
      </c>
      <c r="BI29" s="165">
        <v>203</v>
      </c>
      <c r="BJ29" s="64">
        <v>307.39999999999998</v>
      </c>
      <c r="BK29" s="62">
        <v>254</v>
      </c>
      <c r="BL29" s="79">
        <v>239.1</v>
      </c>
      <c r="BM29" s="64">
        <f>SUM(BI29:BL29)</f>
        <v>1003.5</v>
      </c>
      <c r="BN29" s="165">
        <v>250.8</v>
      </c>
      <c r="BO29" s="64">
        <v>378.8</v>
      </c>
      <c r="BP29" s="62">
        <v>304.8</v>
      </c>
      <c r="BQ29" s="79">
        <v>213.4</v>
      </c>
      <c r="BR29" s="304">
        <v>1148</v>
      </c>
      <c r="BS29" s="165">
        <v>272.7</v>
      </c>
      <c r="BT29" s="64">
        <v>399.8</v>
      </c>
      <c r="BU29" s="62">
        <v>340</v>
      </c>
      <c r="BV29" s="79">
        <v>231.13900000000018</v>
      </c>
      <c r="BW29" s="304">
        <v>1273</v>
      </c>
      <c r="BX29" s="165">
        <v>246</v>
      </c>
      <c r="BY29" s="64">
        <v>370</v>
      </c>
      <c r="BZ29" s="62">
        <v>299</v>
      </c>
      <c r="CA29" s="79">
        <v>243</v>
      </c>
      <c r="CB29" s="304">
        <v>1158</v>
      </c>
      <c r="CC29" s="165">
        <v>287</v>
      </c>
      <c r="CD29" s="64">
        <v>395</v>
      </c>
      <c r="CE29" s="64">
        <v>342</v>
      </c>
      <c r="CF29" s="64">
        <v>258</v>
      </c>
      <c r="CG29" s="820">
        <f>SUM(CC29:CF29)</f>
        <v>1282</v>
      </c>
      <c r="CH29" s="64">
        <v>341</v>
      </c>
      <c r="CI29" s="64">
        <v>450</v>
      </c>
      <c r="CJ29" s="62">
        <v>330</v>
      </c>
      <c r="CK29" s="64">
        <v>459</v>
      </c>
      <c r="CL29" s="820">
        <f>SUM(CH29:CK29)</f>
        <v>1580</v>
      </c>
      <c r="CM29" s="64">
        <v>329</v>
      </c>
      <c r="CN29" s="172">
        <v>405</v>
      </c>
      <c r="CO29" s="62">
        <f>319</f>
        <v>319</v>
      </c>
      <c r="CP29" s="62">
        <v>196</v>
      </c>
      <c r="CQ29" s="820">
        <f>SUM(CM29:CP29)</f>
        <v>1249</v>
      </c>
      <c r="CR29" s="64">
        <v>255</v>
      </c>
      <c r="CS29" s="62">
        <v>436</v>
      </c>
      <c r="CT29" s="62">
        <v>394</v>
      </c>
      <c r="CU29" s="62">
        <v>360</v>
      </c>
      <c r="CV29" s="820">
        <f>SUM(CR29:CU29)</f>
        <v>1445</v>
      </c>
      <c r="CW29" s="64">
        <v>404</v>
      </c>
      <c r="CX29" s="64">
        <v>411</v>
      </c>
      <c r="CY29" s="64">
        <v>351</v>
      </c>
      <c r="CZ29" s="62">
        <v>360</v>
      </c>
      <c r="DA29" s="820">
        <f>SUM(CW29:CZ29)</f>
        <v>1526</v>
      </c>
      <c r="DB29" s="64">
        <v>321</v>
      </c>
      <c r="DC29" s="1694">
        <v>391</v>
      </c>
      <c r="DD29" s="1694">
        <v>408</v>
      </c>
      <c r="DE29" s="1694">
        <v>-64</v>
      </c>
      <c r="DF29" s="820">
        <f>SUM(DB29:DE29)</f>
        <v>1056</v>
      </c>
      <c r="DG29" s="1694">
        <v>167</v>
      </c>
      <c r="DH29" s="1694">
        <v>301</v>
      </c>
      <c r="DI29" s="328">
        <f>322</f>
        <v>322</v>
      </c>
      <c r="DJ29" s="328">
        <v>207</v>
      </c>
      <c r="DK29" s="802">
        <f>SUM(DG29:DJ29)</f>
        <v>997</v>
      </c>
      <c r="DL29" s="328">
        <v>220</v>
      </c>
      <c r="DM29" s="328">
        <v>246</v>
      </c>
      <c r="DN29" s="328">
        <v>168</v>
      </c>
      <c r="DO29" s="328">
        <v>126</v>
      </c>
      <c r="DP29" s="802">
        <f>SUM(DL29:DO29)</f>
        <v>760</v>
      </c>
      <c r="DQ29" s="328">
        <v>227</v>
      </c>
      <c r="DR29" s="62">
        <f ca="1">(DR28+DR21)*DR30</f>
        <v>338.41393696875315</v>
      </c>
      <c r="DS29" s="62">
        <f ca="1">(DS28+DS21)*DS30</f>
        <v>242.18549545369294</v>
      </c>
      <c r="DT29" s="550">
        <f ca="1">(DT28+DT21)*DT30</f>
        <v>243.61243010824271</v>
      </c>
      <c r="DU29" s="802">
        <f ca="1">SUM(DQ29:DT29)</f>
        <v>1051.2118625306889</v>
      </c>
      <c r="DV29" s="549">
        <f t="shared" ref="DV29:DX29" ca="1" si="15">(DV28+DV21)*DV30</f>
        <v>222.81759453426204</v>
      </c>
      <c r="DW29" s="62">
        <f t="shared" ca="1" si="15"/>
        <v>278.12173145048837</v>
      </c>
      <c r="DX29" s="62">
        <f t="shared" ca="1" si="15"/>
        <v>278.85869545063053</v>
      </c>
      <c r="DY29" s="550">
        <f ca="1">(DY28+DY21)*DY30</f>
        <v>286.76971115955752</v>
      </c>
      <c r="DZ29" s="802">
        <f ca="1">SUM(DV29:DY29)</f>
        <v>1066.5677325949384</v>
      </c>
      <c r="EA29" s="549">
        <f t="shared" ref="EA29:EC29" ca="1" si="16">(EA28+EA21)*EA30</f>
        <v>269.70867899442442</v>
      </c>
      <c r="EB29" s="62">
        <f t="shared" ca="1" si="16"/>
        <v>320.38433608985991</v>
      </c>
      <c r="EC29" s="62">
        <f t="shared" ca="1" si="16"/>
        <v>324.15563254006912</v>
      </c>
      <c r="ED29" s="550">
        <f ca="1">(ED28+ED21)*ED30</f>
        <v>332.68603021437906</v>
      </c>
      <c r="EE29" s="802">
        <f ca="1">SUM(EA29:ED29)</f>
        <v>1246.9346778387326</v>
      </c>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row>
    <row r="30" spans="2:232" s="324" customFormat="1">
      <c r="B30" s="637" t="s">
        <v>415</v>
      </c>
      <c r="C30" s="1245"/>
      <c r="D30" s="1160">
        <f>D29/D28</f>
        <v>0.36744327199504562</v>
      </c>
      <c r="E30" s="1160">
        <f t="shared" ref="E30:BP30" si="17">E29/E28</f>
        <v>0.3785592493316674</v>
      </c>
      <c r="F30" s="1160">
        <f t="shared" si="17"/>
        <v>0.37500000000000017</v>
      </c>
      <c r="G30" s="1160">
        <f t="shared" si="17"/>
        <v>0.37500035410263366</v>
      </c>
      <c r="H30" s="1160">
        <f t="shared" si="17"/>
        <v>0.38628038711356227</v>
      </c>
      <c r="I30" s="1160">
        <f t="shared" si="17"/>
        <v>0.38499981458092125</v>
      </c>
      <c r="J30" s="1162">
        <f t="shared" si="17"/>
        <v>0.38750069213599858</v>
      </c>
      <c r="K30" s="1163">
        <f t="shared" si="17"/>
        <v>0.38750276636485348</v>
      </c>
      <c r="L30" s="1162">
        <f t="shared" si="17"/>
        <v>0.37752720153608682</v>
      </c>
      <c r="M30" s="1162">
        <f t="shared" si="17"/>
        <v>0.37848855440577023</v>
      </c>
      <c r="N30" s="1164">
        <f t="shared" si="17"/>
        <v>0.40099188266960628</v>
      </c>
      <c r="O30" s="1165">
        <f t="shared" si="17"/>
        <v>0.38490039866718306</v>
      </c>
      <c r="P30" s="1162">
        <f t="shared" si="17"/>
        <v>0.36961956310112565</v>
      </c>
      <c r="Q30" s="1162">
        <f t="shared" si="17"/>
        <v>0.37317272225378301</v>
      </c>
      <c r="R30" s="1162">
        <f t="shared" si="17"/>
        <v>0.37822487432322566</v>
      </c>
      <c r="S30" s="1166">
        <f t="shared" si="17"/>
        <v>0.39422646927295446</v>
      </c>
      <c r="T30" s="1162">
        <f t="shared" si="17"/>
        <v>0.37870712733975537</v>
      </c>
      <c r="U30" s="1167">
        <f t="shared" si="17"/>
        <v>0.3715765801943624</v>
      </c>
      <c r="V30" s="1162">
        <f t="shared" si="17"/>
        <v>0.3742075322094226</v>
      </c>
      <c r="W30" s="1162">
        <f t="shared" si="17"/>
        <v>0.35895495495495455</v>
      </c>
      <c r="X30" s="1166">
        <f t="shared" si="17"/>
        <v>0.3667456502092305</v>
      </c>
      <c r="Y30" s="1162">
        <f t="shared" si="17"/>
        <v>0.36796842857452228</v>
      </c>
      <c r="Z30" s="1167">
        <f t="shared" si="17"/>
        <v>0.3581927054980949</v>
      </c>
      <c r="AA30" s="1162">
        <f t="shared" si="17"/>
        <v>0.37672811059907818</v>
      </c>
      <c r="AB30" s="1162">
        <f t="shared" si="17"/>
        <v>0.37014388489208694</v>
      </c>
      <c r="AC30" s="1166">
        <f t="shared" si="17"/>
        <v>0.39339908952959024</v>
      </c>
      <c r="AD30" s="1162">
        <f t="shared" si="17"/>
        <v>0.39248515526136518</v>
      </c>
      <c r="AE30" s="1167">
        <f t="shared" si="17"/>
        <v>0.36478811708169551</v>
      </c>
      <c r="AF30" s="1162">
        <f t="shared" si="17"/>
        <v>0.39102727504460866</v>
      </c>
      <c r="AG30" s="1162">
        <f t="shared" si="17"/>
        <v>0.38520165131787815</v>
      </c>
      <c r="AH30" s="1166">
        <f t="shared" si="17"/>
        <v>0.37180974477958229</v>
      </c>
      <c r="AI30" s="1162">
        <f t="shared" si="17"/>
        <v>0.37973300023421008</v>
      </c>
      <c r="AJ30" s="1167">
        <f t="shared" si="17"/>
        <v>0.38509316770186419</v>
      </c>
      <c r="AK30" s="1162">
        <f t="shared" si="17"/>
        <v>0.38120050020842011</v>
      </c>
      <c r="AL30" s="1162">
        <f t="shared" si="17"/>
        <v>0.38234442836468935</v>
      </c>
      <c r="AM30" s="1166">
        <f t="shared" si="17"/>
        <v>0.36168334314302492</v>
      </c>
      <c r="AN30" s="1161">
        <f t="shared" si="17"/>
        <v>0.37752161383285349</v>
      </c>
      <c r="AO30" s="1167">
        <f t="shared" si="17"/>
        <v>0.37763642450619406</v>
      </c>
      <c r="AP30" s="1162">
        <f t="shared" si="17"/>
        <v>0.3774304231795656</v>
      </c>
      <c r="AQ30" s="1162">
        <f t="shared" si="17"/>
        <v>0.37740384615384626</v>
      </c>
      <c r="AR30" s="1166">
        <f t="shared" si="17"/>
        <v>0.37763819095477386</v>
      </c>
      <c r="AS30" s="1161">
        <f t="shared" si="17"/>
        <v>0.37748548845251323</v>
      </c>
      <c r="AT30" s="1167">
        <f t="shared" si="17"/>
        <v>0.39515902054601765</v>
      </c>
      <c r="AU30" s="1162">
        <f t="shared" si="17"/>
        <v>0.37747566297415225</v>
      </c>
      <c r="AV30" s="1162">
        <f t="shared" si="17"/>
        <v>0.38731938753504414</v>
      </c>
      <c r="AW30" s="1166">
        <f t="shared" si="17"/>
        <v>0.37834796308800389</v>
      </c>
      <c r="AX30" s="1161">
        <f t="shared" si="17"/>
        <v>0.37962108463167021</v>
      </c>
      <c r="AY30" s="1167">
        <f t="shared" si="17"/>
        <v>0.37493869543894109</v>
      </c>
      <c r="AZ30" s="1162">
        <f t="shared" si="17"/>
        <v>0.37509009595512227</v>
      </c>
      <c r="BA30" s="1162">
        <f t="shared" si="17"/>
        <v>0.37493197895882435</v>
      </c>
      <c r="BB30" s="1166">
        <f t="shared" si="17"/>
        <v>0.37502465969619181</v>
      </c>
      <c r="BC30" s="1162">
        <f t="shared" si="17"/>
        <v>0.37500514649622146</v>
      </c>
      <c r="BD30" s="1167">
        <f t="shared" si="17"/>
        <v>0.35719874804381818</v>
      </c>
      <c r="BE30" s="1162">
        <f t="shared" si="17"/>
        <v>0.37249137159657397</v>
      </c>
      <c r="BF30" s="1162">
        <f t="shared" si="17"/>
        <v>0.3725190839694652</v>
      </c>
      <c r="BG30" s="1166">
        <f t="shared" si="17"/>
        <v>0.3512127785446662</v>
      </c>
      <c r="BH30" s="1162">
        <f t="shared" si="17"/>
        <v>0.36492099690503343</v>
      </c>
      <c r="BI30" s="1167">
        <f t="shared" si="17"/>
        <v>0.37003281079110456</v>
      </c>
      <c r="BJ30" s="1162">
        <f t="shared" si="17"/>
        <v>0.36996028402936526</v>
      </c>
      <c r="BK30" s="1162">
        <f t="shared" si="17"/>
        <v>0.35121681415929162</v>
      </c>
      <c r="BL30" s="1166">
        <f t="shared" si="17"/>
        <v>0.36705557261283472</v>
      </c>
      <c r="BM30" s="1162">
        <f t="shared" si="17"/>
        <v>0.36436585454413351</v>
      </c>
      <c r="BN30" s="1167">
        <f t="shared" si="17"/>
        <v>0.36747252747252718</v>
      </c>
      <c r="BO30" s="1162">
        <f t="shared" si="17"/>
        <v>0.3675172213059083</v>
      </c>
      <c r="BP30" s="1162">
        <f t="shared" si="17"/>
        <v>0.35196304849884574</v>
      </c>
      <c r="BQ30" s="1166">
        <f t="shared" ref="BQ30:CX30" si="18">BQ29/BQ28</f>
        <v>0.34989342515166477</v>
      </c>
      <c r="BR30" s="1162">
        <f t="shared" si="18"/>
        <v>0.35997616882506112</v>
      </c>
      <c r="BS30" s="1167">
        <f t="shared" si="18"/>
        <v>0.37443361252231244</v>
      </c>
      <c r="BT30" s="1162">
        <f t="shared" si="18"/>
        <v>0.3684453045802229</v>
      </c>
      <c r="BU30" s="1162">
        <f t="shared" si="18"/>
        <v>0.37231712658782273</v>
      </c>
      <c r="BV30" s="1166">
        <f t="shared" si="18"/>
        <v>0.37</v>
      </c>
      <c r="BW30" s="1162">
        <f t="shared" si="18"/>
        <v>0.37985259451556175</v>
      </c>
      <c r="BX30" s="1167">
        <f t="shared" si="18"/>
        <v>0.37614678899082571</v>
      </c>
      <c r="BY30" s="1162">
        <f t="shared" si="18"/>
        <v>0.36633663366336633</v>
      </c>
      <c r="BZ30" s="1162">
        <f t="shared" si="18"/>
        <v>0.36419001218026797</v>
      </c>
      <c r="CA30" s="1166">
        <f t="shared" si="18"/>
        <v>0.35787923416789397</v>
      </c>
      <c r="CB30" s="1162">
        <f t="shared" si="18"/>
        <v>0.36599241466498106</v>
      </c>
      <c r="CC30" s="1167">
        <f t="shared" si="18"/>
        <v>0.36984536082474229</v>
      </c>
      <c r="CD30" s="1162">
        <f t="shared" si="18"/>
        <v>0.37124060150375937</v>
      </c>
      <c r="CE30" s="1162">
        <f t="shared" si="18"/>
        <v>0.42484472049689442</v>
      </c>
      <c r="CF30" s="1162">
        <f t="shared" si="18"/>
        <v>0.35439560439560441</v>
      </c>
      <c r="CG30" s="1165">
        <f t="shared" si="18"/>
        <v>0.38007708271568336</v>
      </c>
      <c r="CH30" s="1162">
        <f t="shared" si="18"/>
        <v>0.37024972855591748</v>
      </c>
      <c r="CI30" s="1162">
        <f t="shared" si="18"/>
        <v>0.37846930193439865</v>
      </c>
      <c r="CJ30" s="1162">
        <f t="shared" si="18"/>
        <v>0.3536977491961415</v>
      </c>
      <c r="CK30" s="1162">
        <f t="shared" si="18"/>
        <v>0.36690647482014388</v>
      </c>
      <c r="CL30" s="1165">
        <f t="shared" si="18"/>
        <v>0.36795528644620401</v>
      </c>
      <c r="CM30" s="1168">
        <f t="shared" si="18"/>
        <v>0.37259343148357871</v>
      </c>
      <c r="CN30" s="1168">
        <f t="shared" si="18"/>
        <v>0.37224264705882354</v>
      </c>
      <c r="CO30" s="1168">
        <f t="shared" si="18"/>
        <v>0.37266355140186919</v>
      </c>
      <c r="CP30" s="1168">
        <f t="shared" si="18"/>
        <v>0.3570127504553734</v>
      </c>
      <c r="CQ30" s="1169">
        <f t="shared" si="18"/>
        <v>0.36996445497630331</v>
      </c>
      <c r="CR30" s="1168">
        <f t="shared" si="18"/>
        <v>0.38173652694610777</v>
      </c>
      <c r="CS30" s="1168">
        <f t="shared" si="18"/>
        <v>0.36577181208053694</v>
      </c>
      <c r="CT30" s="1168">
        <f t="shared" si="18"/>
        <v>0.38703339882121807</v>
      </c>
      <c r="CU30" s="1168">
        <f t="shared" si="18"/>
        <v>0.35398230088495575</v>
      </c>
      <c r="CV30" s="1169">
        <f>CV29/CV28</f>
        <v>0.37098844672657255</v>
      </c>
      <c r="CW30" s="1168">
        <f t="shared" si="18"/>
        <v>0.36462093862815886</v>
      </c>
      <c r="CX30" s="1168">
        <f t="shared" si="18"/>
        <v>0.34860050890585242</v>
      </c>
      <c r="CY30" s="1168">
        <f>CY29/CY28</f>
        <v>0.3147982062780269</v>
      </c>
      <c r="CZ30" s="1168">
        <v>0.31900000000000001</v>
      </c>
      <c r="DA30" s="1169">
        <f t="shared" ref="DA30:DI30" si="19">DA29/DA28</f>
        <v>0.42901321338206355</v>
      </c>
      <c r="DB30" s="1168">
        <f t="shared" si="19"/>
        <v>0.26794657762938229</v>
      </c>
      <c r="DC30" s="1168">
        <f t="shared" si="19"/>
        <v>0.16004911993450677</v>
      </c>
      <c r="DD30" s="1168">
        <f t="shared" si="19"/>
        <v>0.23845704266510812</v>
      </c>
      <c r="DE30" s="1168">
        <f t="shared" si="19"/>
        <v>1.5609756097560976</v>
      </c>
      <c r="DF30" s="1169">
        <f t="shared" si="19"/>
        <v>0.19883261156091131</v>
      </c>
      <c r="DG30" s="1168">
        <f t="shared" si="19"/>
        <v>0.13118617439120189</v>
      </c>
      <c r="DH30" s="1168">
        <f t="shared" si="19"/>
        <v>0.24591503267973855</v>
      </c>
      <c r="DI30" s="1168">
        <f t="shared" si="19"/>
        <v>0.22772277227722773</v>
      </c>
      <c r="DJ30" s="1168">
        <f t="shared" ref="DJ30:DL30" si="20">DJ29/DJ28</f>
        <v>0.16788321167883211</v>
      </c>
      <c r="DK30" s="1416">
        <f>DK29/DK28</f>
        <v>0.19381804043545878</v>
      </c>
      <c r="DL30" s="1168">
        <f t="shared" si="20"/>
        <v>0.17254901960784313</v>
      </c>
      <c r="DM30" s="1168">
        <f t="shared" ref="DM30:DN30" si="21">DM29/DM28</f>
        <v>0.19040247678018576</v>
      </c>
      <c r="DN30" s="1168">
        <f t="shared" si="21"/>
        <v>0.1240768094534712</v>
      </c>
      <c r="DO30" s="1168">
        <f t="shared" ref="DO30:DQ30" si="22">DO29/DO28</f>
        <v>0.13519313304721031</v>
      </c>
      <c r="DP30" s="1416">
        <f>DP29/(DP28+DP21)</f>
        <v>0.16108520559559136</v>
      </c>
      <c r="DQ30" s="1168">
        <f t="shared" si="22"/>
        <v>0.21639656816015251</v>
      </c>
      <c r="DR30" s="1170">
        <v>0.22</v>
      </c>
      <c r="DS30" s="1170">
        <v>0.17499999999999999</v>
      </c>
      <c r="DT30" s="1170">
        <v>0.17499999999999999</v>
      </c>
      <c r="DU30" s="1416">
        <f ca="1">DU29/(DU28+DU21)</f>
        <v>0.19245092658630877</v>
      </c>
      <c r="DV30" s="1817">
        <f>DT30</f>
        <v>0.17499999999999999</v>
      </c>
      <c r="DW30" s="1170">
        <f>DV30</f>
        <v>0.17499999999999999</v>
      </c>
      <c r="DX30" s="1170">
        <f t="shared" ref="DX30:DY30" si="23">DW30</f>
        <v>0.17499999999999999</v>
      </c>
      <c r="DY30" s="1170">
        <f t="shared" si="23"/>
        <v>0.17499999999999999</v>
      </c>
      <c r="DZ30" s="1416">
        <f ca="1">DZ29/(DZ28+DZ21)</f>
        <v>0.17500000000000063</v>
      </c>
      <c r="EA30" s="1817">
        <f ca="1">DZ30</f>
        <v>0.17500000000000063</v>
      </c>
      <c r="EB30" s="1170">
        <f t="shared" ref="EB30:ED30" ca="1" si="24">EA30</f>
        <v>0.17500000000000063</v>
      </c>
      <c r="EC30" s="1170">
        <f t="shared" ca="1" si="24"/>
        <v>0.17500000000000063</v>
      </c>
      <c r="ED30" s="1170">
        <f t="shared" ca="1" si="24"/>
        <v>0.17500000000000063</v>
      </c>
      <c r="EE30" s="1416">
        <f ca="1">EE29/(EE28+EE21)</f>
        <v>0.17500000000000032</v>
      </c>
      <c r="EF30" s="1177"/>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row>
    <row r="31" spans="2:232" s="68" customFormat="1">
      <c r="B31" s="576" t="s">
        <v>271</v>
      </c>
      <c r="C31" s="1241"/>
      <c r="D31" s="407">
        <v>154.24200000000019</v>
      </c>
      <c r="E31" s="306">
        <v>174.577</v>
      </c>
      <c r="F31" s="306">
        <v>194.965</v>
      </c>
      <c r="G31" s="306">
        <v>220.62799999999947</v>
      </c>
      <c r="H31" s="306">
        <v>245.2889999999997</v>
      </c>
      <c r="I31" s="407">
        <v>281.92899999999969</v>
      </c>
      <c r="J31" s="306">
        <v>320.79099999999971</v>
      </c>
      <c r="K31" s="608">
        <f>K28-K29</f>
        <v>63.654999999999667</v>
      </c>
      <c r="L31" s="306">
        <f>L28-L29</f>
        <v>132.26799999999994</v>
      </c>
      <c r="M31" s="306">
        <f>M28-M29</f>
        <v>95.135999999999825</v>
      </c>
      <c r="N31" s="609">
        <f>N28-N29</f>
        <v>84.78899999999976</v>
      </c>
      <c r="O31" s="621">
        <f>SUM(K31:N31)</f>
        <v>375.84799999999916</v>
      </c>
      <c r="P31" s="306">
        <f>P28-P29</f>
        <v>80.943999999999889</v>
      </c>
      <c r="Q31" s="306">
        <f>Q28-Q29</f>
        <v>156.68299999999971</v>
      </c>
      <c r="R31" s="306">
        <f>R28-R29</f>
        <v>112.43000000000005</v>
      </c>
      <c r="S31" s="319">
        <f>S28-S29</f>
        <v>102.94999999999983</v>
      </c>
      <c r="T31" s="306">
        <f>SUM(P31:S31)</f>
        <v>453.00699999999949</v>
      </c>
      <c r="U31" s="318">
        <f>U28-U29</f>
        <v>93.893999999999807</v>
      </c>
      <c r="V31" s="306">
        <f>V28-V29</f>
        <v>180.73700000000005</v>
      </c>
      <c r="W31" s="306">
        <f>W28-W29</f>
        <v>142.31200000000024</v>
      </c>
      <c r="X31" s="319">
        <f>X28-X29</f>
        <v>166.76499999999993</v>
      </c>
      <c r="Y31" s="306">
        <f>SUM(U31:X31)</f>
        <v>583.70800000000008</v>
      </c>
      <c r="Z31" s="318">
        <f t="shared" ref="Z31:AH31" si="25">Z28-Z29</f>
        <v>117.89999999999991</v>
      </c>
      <c r="AA31" s="306">
        <f t="shared" si="25"/>
        <v>216.40000000000015</v>
      </c>
      <c r="AB31" s="306">
        <f t="shared" si="25"/>
        <v>175.09999999999954</v>
      </c>
      <c r="AC31" s="319">
        <f t="shared" si="25"/>
        <v>159.90000000000003</v>
      </c>
      <c r="AD31" s="306">
        <f t="shared" si="25"/>
        <v>624.09999999999877</v>
      </c>
      <c r="AE31" s="318">
        <f t="shared" si="25"/>
        <v>145.39999999999972</v>
      </c>
      <c r="AF31" s="306">
        <f t="shared" si="25"/>
        <v>238.90000000000006</v>
      </c>
      <c r="AG31" s="306">
        <f t="shared" si="25"/>
        <v>193.60000000000042</v>
      </c>
      <c r="AH31" s="319">
        <f t="shared" si="25"/>
        <v>216.60000000000008</v>
      </c>
      <c r="AI31" s="306">
        <f>SUM(AE31:AH31)</f>
        <v>794.50000000000023</v>
      </c>
      <c r="AJ31" s="318">
        <f t="shared" ref="AJ31:BO31" si="26">AJ28-AJ29</f>
        <v>158.39999999999947</v>
      </c>
      <c r="AK31" s="306">
        <f t="shared" si="26"/>
        <v>296.90000000000009</v>
      </c>
      <c r="AL31" s="306">
        <f t="shared" si="26"/>
        <v>213.39999999999955</v>
      </c>
      <c r="AM31" s="319">
        <f t="shared" si="26"/>
        <v>216.9000000000004</v>
      </c>
      <c r="AN31" s="306">
        <f t="shared" si="26"/>
        <v>885.5999999999982</v>
      </c>
      <c r="AO31" s="318">
        <f t="shared" si="26"/>
        <v>185.89999999999952</v>
      </c>
      <c r="AP31" s="306">
        <f t="shared" si="26"/>
        <v>326.59999999999968</v>
      </c>
      <c r="AQ31" s="306">
        <f t="shared" si="26"/>
        <v>258.99999999999989</v>
      </c>
      <c r="AR31" s="319">
        <f t="shared" si="26"/>
        <v>247.70000000000005</v>
      </c>
      <c r="AS31" s="306">
        <f t="shared" si="26"/>
        <v>1008.1000000000001</v>
      </c>
      <c r="AT31" s="318">
        <f t="shared" si="26"/>
        <v>214.89999999999984</v>
      </c>
      <c r="AU31" s="306">
        <f t="shared" si="26"/>
        <v>370.90000000000032</v>
      </c>
      <c r="AV31" s="306">
        <f t="shared" si="26"/>
        <v>284.10000000000002</v>
      </c>
      <c r="AW31" s="319">
        <f t="shared" si="26"/>
        <v>276.19999999999959</v>
      </c>
      <c r="AX31" s="306">
        <f t="shared" si="26"/>
        <v>1142.8000000000011</v>
      </c>
      <c r="AY31" s="318">
        <f t="shared" si="26"/>
        <v>254.89999999999955</v>
      </c>
      <c r="AZ31" s="306">
        <f t="shared" si="26"/>
        <v>423.31396900000044</v>
      </c>
      <c r="BA31" s="306">
        <f t="shared" si="26"/>
        <v>344.60000000000031</v>
      </c>
      <c r="BB31" s="319">
        <f t="shared" si="26"/>
        <v>316.80000000000098</v>
      </c>
      <c r="BC31" s="306">
        <f t="shared" si="26"/>
        <v>1339.6139689999968</v>
      </c>
      <c r="BD31" s="318">
        <f t="shared" si="26"/>
        <v>328.60000000000036</v>
      </c>
      <c r="BE31" s="306">
        <f t="shared" si="26"/>
        <v>490.90000000000043</v>
      </c>
      <c r="BF31" s="306">
        <f t="shared" si="26"/>
        <v>411.0000000000008</v>
      </c>
      <c r="BG31" s="319">
        <f t="shared" si="26"/>
        <v>328.99999999999932</v>
      </c>
      <c r="BH31" s="70">
        <f t="shared" si="26"/>
        <v>1559.5</v>
      </c>
      <c r="BI31" s="318">
        <f t="shared" si="26"/>
        <v>345.60000000000014</v>
      </c>
      <c r="BJ31" s="306">
        <f t="shared" si="26"/>
        <v>523.50000000000102</v>
      </c>
      <c r="BK31" s="306">
        <f t="shared" si="26"/>
        <v>469.20000000000084</v>
      </c>
      <c r="BL31" s="319">
        <f t="shared" si="26"/>
        <v>412.29999999999848</v>
      </c>
      <c r="BM31" s="70">
        <f t="shared" si="26"/>
        <v>1750.6000000000054</v>
      </c>
      <c r="BN31" s="318">
        <f t="shared" si="26"/>
        <v>431.70000000000056</v>
      </c>
      <c r="BO31" s="306">
        <f t="shared" si="26"/>
        <v>651.900000000001</v>
      </c>
      <c r="BP31" s="306">
        <f t="shared" ref="BP31:CU31" si="27">BP28-BP29</f>
        <v>561.19999999999891</v>
      </c>
      <c r="BQ31" s="319">
        <f t="shared" si="27"/>
        <v>396.49999999999909</v>
      </c>
      <c r="BR31" s="300">
        <f t="shared" si="27"/>
        <v>2041.0999999999935</v>
      </c>
      <c r="BS31" s="318">
        <f t="shared" si="27"/>
        <v>455.59999999999962</v>
      </c>
      <c r="BT31" s="306">
        <f t="shared" si="27"/>
        <v>685.30000000000041</v>
      </c>
      <c r="BU31" s="306">
        <f t="shared" si="27"/>
        <v>573.20000000000073</v>
      </c>
      <c r="BV31" s="319">
        <f t="shared" si="27"/>
        <v>393.56100000000032</v>
      </c>
      <c r="BW31" s="300">
        <f t="shared" si="27"/>
        <v>2078.2999999999947</v>
      </c>
      <c r="BX31" s="318">
        <f t="shared" si="27"/>
        <v>408</v>
      </c>
      <c r="BY31" s="306">
        <f t="shared" si="27"/>
        <v>640</v>
      </c>
      <c r="BZ31" s="306">
        <f t="shared" si="27"/>
        <v>522</v>
      </c>
      <c r="CA31" s="319">
        <f t="shared" si="27"/>
        <v>436</v>
      </c>
      <c r="CB31" s="300">
        <f t="shared" si="27"/>
        <v>2006</v>
      </c>
      <c r="CC31" s="318">
        <f t="shared" si="27"/>
        <v>489</v>
      </c>
      <c r="CD31" s="306">
        <f t="shared" si="27"/>
        <v>669</v>
      </c>
      <c r="CE31" s="306">
        <f t="shared" si="27"/>
        <v>463</v>
      </c>
      <c r="CF31" s="306">
        <f t="shared" si="27"/>
        <v>470</v>
      </c>
      <c r="CG31" s="819">
        <f t="shared" si="27"/>
        <v>2091</v>
      </c>
      <c r="CH31" s="306">
        <f t="shared" si="27"/>
        <v>580</v>
      </c>
      <c r="CI31" s="306">
        <f t="shared" si="27"/>
        <v>739</v>
      </c>
      <c r="CJ31" s="70">
        <f t="shared" si="27"/>
        <v>603</v>
      </c>
      <c r="CK31" s="70">
        <f t="shared" si="27"/>
        <v>792</v>
      </c>
      <c r="CL31" s="819">
        <f t="shared" si="27"/>
        <v>2714</v>
      </c>
      <c r="CM31" s="306">
        <f t="shared" si="27"/>
        <v>554</v>
      </c>
      <c r="CN31" s="306">
        <f t="shared" si="27"/>
        <v>683</v>
      </c>
      <c r="CO31" s="70">
        <f t="shared" si="27"/>
        <v>537</v>
      </c>
      <c r="CP31" s="651">
        <f t="shared" si="27"/>
        <v>353</v>
      </c>
      <c r="CQ31" s="819">
        <f t="shared" si="27"/>
        <v>2127</v>
      </c>
      <c r="CR31" s="306">
        <f t="shared" si="27"/>
        <v>413</v>
      </c>
      <c r="CS31" s="306">
        <f t="shared" si="27"/>
        <v>756</v>
      </c>
      <c r="CT31" s="70">
        <f t="shared" si="27"/>
        <v>624</v>
      </c>
      <c r="CU31" s="70">
        <f t="shared" si="27"/>
        <v>657</v>
      </c>
      <c r="CV31" s="819">
        <f t="shared" ref="CV31:DD31" si="28">CV28-CV29</f>
        <v>2450</v>
      </c>
      <c r="CW31" s="306">
        <f t="shared" si="28"/>
        <v>704</v>
      </c>
      <c r="CX31" s="306">
        <f t="shared" si="28"/>
        <v>768</v>
      </c>
      <c r="CY31" s="306">
        <f t="shared" si="28"/>
        <v>764</v>
      </c>
      <c r="CZ31" s="70">
        <f t="shared" si="28"/>
        <v>-205</v>
      </c>
      <c r="DA31" s="819">
        <f>DA28-DA29</f>
        <v>2031</v>
      </c>
      <c r="DB31" s="306">
        <f t="shared" si="28"/>
        <v>877</v>
      </c>
      <c r="DC31" s="306">
        <f t="shared" si="28"/>
        <v>2052</v>
      </c>
      <c r="DD31" s="306">
        <f t="shared" si="28"/>
        <v>1303</v>
      </c>
      <c r="DE31" s="306">
        <f>DE28-DE29</f>
        <v>23</v>
      </c>
      <c r="DF31" s="819">
        <f t="shared" ref="DF31" si="29">DF28-DF29</f>
        <v>4255</v>
      </c>
      <c r="DG31" s="306">
        <f t="shared" ref="DG31:DL31" si="30">DG28-DG29</f>
        <v>1106</v>
      </c>
      <c r="DH31" s="306">
        <f t="shared" si="30"/>
        <v>923</v>
      </c>
      <c r="DI31" s="306">
        <f t="shared" si="30"/>
        <v>1092</v>
      </c>
      <c r="DJ31" s="306">
        <f t="shared" si="30"/>
        <v>1026</v>
      </c>
      <c r="DK31" s="796">
        <f t="shared" si="30"/>
        <v>4147</v>
      </c>
      <c r="DL31" s="306">
        <f t="shared" si="30"/>
        <v>1055</v>
      </c>
      <c r="DM31" s="306">
        <f t="shared" ref="DM31:DN31" si="31">DM28-DM29</f>
        <v>1046</v>
      </c>
      <c r="DN31" s="306">
        <f t="shared" si="31"/>
        <v>1186</v>
      </c>
      <c r="DO31" s="306">
        <f t="shared" ref="DO31:DQ31" si="32">DO28-DO29</f>
        <v>806</v>
      </c>
      <c r="DP31" s="796">
        <f t="shared" ref="DP31:DU31" si="33">DP28-DP29</f>
        <v>4093</v>
      </c>
      <c r="DQ31" s="306">
        <f t="shared" si="32"/>
        <v>822</v>
      </c>
      <c r="DR31" s="70">
        <f t="shared" ca="1" si="33"/>
        <v>1276.0332926178476</v>
      </c>
      <c r="DS31" s="70">
        <f t="shared" ca="1" si="33"/>
        <v>1237.1660997368494</v>
      </c>
      <c r="DT31" s="542">
        <f t="shared" ca="1" si="33"/>
        <v>1231.5770615493066</v>
      </c>
      <c r="DU31" s="796">
        <f t="shared" ca="1" si="33"/>
        <v>4566.7764539040145</v>
      </c>
      <c r="DV31" s="541">
        <f t="shared" ref="DV31:DZ31" ca="1" si="34">DV28-DV29</f>
        <v>1128.7215331997111</v>
      </c>
      <c r="DW31" s="70">
        <f t="shared" ca="1" si="34"/>
        <v>1387.6539374137217</v>
      </c>
      <c r="DX31" s="70">
        <f t="shared" ca="1" si="34"/>
        <v>1406.4720796763213</v>
      </c>
      <c r="DY31" s="542">
        <f t="shared" ca="1" si="34"/>
        <v>1437.497229414048</v>
      </c>
      <c r="DZ31" s="796">
        <f t="shared" ca="1" si="34"/>
        <v>5360.3447797037807</v>
      </c>
      <c r="EA31" s="541">
        <f t="shared" ref="EA31:EE31" ca="1" si="35">EA28-EA29</f>
        <v>1349.7795027976138</v>
      </c>
      <c r="EB31" s="70">
        <f t="shared" ca="1" si="35"/>
        <v>1586.8919307136096</v>
      </c>
      <c r="EC31" s="70">
        <f t="shared" ca="1" si="35"/>
        <v>1620.0147830979533</v>
      </c>
      <c r="ED31" s="542">
        <f t="shared" ca="1" si="35"/>
        <v>1653.9598763867712</v>
      </c>
      <c r="EE31" s="796">
        <f t="shared" ca="1" si="35"/>
        <v>6210.6460929959612</v>
      </c>
      <c r="EF31" s="1177"/>
      <c r="EG31" s="1"/>
      <c r="EH31"/>
      <c r="EI31"/>
      <c r="EJ31"/>
      <c r="EK31"/>
      <c r="EL31"/>
      <c r="EM31"/>
      <c r="EN31" s="1"/>
      <c r="EO31" s="1"/>
      <c r="EP31" s="1"/>
      <c r="EQ31" s="1"/>
      <c r="ER31" s="1"/>
      <c r="ES31" s="1"/>
      <c r="ET31" s="1"/>
      <c r="EU31" s="1"/>
      <c r="EV31" s="1"/>
      <c r="EW31" s="1"/>
      <c r="EX31" s="1"/>
      <c r="EY31" s="1"/>
      <c r="EZ31" s="1"/>
      <c r="FA31" s="1"/>
      <c r="FB31" s="1"/>
      <c r="FC31" s="1"/>
      <c r="FD31" s="1"/>
      <c r="FE31" s="1"/>
      <c r="FF31" s="1"/>
      <c r="FG31" s="1"/>
      <c r="FH31" s="1"/>
      <c r="FI31" s="1"/>
      <c r="FJ31" s="1"/>
      <c r="FK31" s="1"/>
      <c r="FL31" s="1"/>
      <c r="FM31" s="1"/>
      <c r="FN31" s="1"/>
      <c r="FO31" s="1"/>
      <c r="FP31" s="1"/>
      <c r="FQ31" s="1"/>
      <c r="FR31" s="1"/>
      <c r="FS31" s="1"/>
      <c r="FT31" s="1"/>
      <c r="FU31" s="1"/>
      <c r="FV31" s="1"/>
      <c r="FW31" s="1"/>
      <c r="FX31" s="1"/>
      <c r="FY31" s="1"/>
      <c r="FZ31" s="1"/>
      <c r="GA31" s="1"/>
      <c r="GB31" s="1"/>
      <c r="GC31" s="1"/>
      <c r="GD31" s="1"/>
      <c r="GE31" s="1"/>
      <c r="GF31" s="1"/>
      <c r="GG31" s="1"/>
      <c r="GH31" s="1"/>
      <c r="GI31" s="1"/>
      <c r="GJ31" s="1"/>
      <c r="GK31" s="1"/>
      <c r="GL31" s="1"/>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1"/>
      <c r="HQ31" s="1"/>
      <c r="HR31" s="1"/>
      <c r="HS31" s="1"/>
      <c r="HT31" s="1"/>
      <c r="HU31" s="1"/>
      <c r="HV31" s="1"/>
      <c r="HW31" s="1"/>
      <c r="HX31" s="1"/>
    </row>
    <row r="32" spans="2:232" s="54" customFormat="1" ht="11.25" customHeight="1">
      <c r="B32" s="1508" t="s">
        <v>447</v>
      </c>
      <c r="C32" s="1244"/>
      <c r="D32" s="633">
        <v>0</v>
      </c>
      <c r="E32" s="633">
        <v>0</v>
      </c>
      <c r="F32" s="633">
        <v>0</v>
      </c>
      <c r="G32" s="633">
        <v>0</v>
      </c>
      <c r="H32" s="634">
        <v>23.623000000000005</v>
      </c>
      <c r="I32" s="635">
        <v>0</v>
      </c>
      <c r="J32" s="270">
        <v>0</v>
      </c>
      <c r="K32" s="624" t="s">
        <v>136</v>
      </c>
      <c r="L32" s="269" t="s">
        <v>136</v>
      </c>
      <c r="M32" s="269" t="s">
        <v>136</v>
      </c>
      <c r="N32" s="602" t="s">
        <v>136</v>
      </c>
      <c r="O32" s="616">
        <v>0</v>
      </c>
      <c r="P32" s="269" t="s">
        <v>136</v>
      </c>
      <c r="Q32" s="269" t="s">
        <v>136</v>
      </c>
      <c r="R32" s="269" t="s">
        <v>136</v>
      </c>
      <c r="S32" s="437" t="s">
        <v>136</v>
      </c>
      <c r="T32" s="270">
        <v>0</v>
      </c>
      <c r="U32" s="436">
        <v>-26.414999999999999</v>
      </c>
      <c r="V32" s="269" t="s">
        <v>136</v>
      </c>
      <c r="W32" s="269" t="s">
        <v>136</v>
      </c>
      <c r="X32" s="437" t="s">
        <v>136</v>
      </c>
      <c r="Y32" s="270">
        <v>26.414999999999999</v>
      </c>
      <c r="Z32" s="436" t="s">
        <v>136</v>
      </c>
      <c r="AA32" s="269" t="s">
        <v>136</v>
      </c>
      <c r="AB32" s="269" t="s">
        <v>136</v>
      </c>
      <c r="AC32" s="437" t="s">
        <v>136</v>
      </c>
      <c r="AD32" s="270">
        <v>0</v>
      </c>
      <c r="AE32" s="436" t="s">
        <v>136</v>
      </c>
      <c r="AF32" s="269" t="s">
        <v>136</v>
      </c>
      <c r="AG32" s="269" t="s">
        <v>136</v>
      </c>
      <c r="AH32" s="437" t="s">
        <v>136</v>
      </c>
      <c r="AI32" s="270">
        <v>0</v>
      </c>
      <c r="AJ32" s="625">
        <v>0</v>
      </c>
      <c r="AK32" s="626">
        <v>0</v>
      </c>
      <c r="AL32" s="627">
        <v>0</v>
      </c>
      <c r="AM32" s="628">
        <v>0</v>
      </c>
      <c r="AN32" s="270">
        <v>0</v>
      </c>
      <c r="AO32" s="625">
        <v>0</v>
      </c>
      <c r="AP32" s="626">
        <v>0</v>
      </c>
      <c r="AQ32" s="627">
        <v>0</v>
      </c>
      <c r="AR32" s="628">
        <v>0</v>
      </c>
      <c r="AS32" s="270">
        <v>0</v>
      </c>
      <c r="AT32" s="436">
        <v>10.4</v>
      </c>
      <c r="AU32" s="269" t="s">
        <v>136</v>
      </c>
      <c r="AV32" s="269">
        <v>11.9</v>
      </c>
      <c r="AW32" s="437" t="s">
        <v>136</v>
      </c>
      <c r="AX32" s="270">
        <v>-22.3</v>
      </c>
      <c r="AY32" s="436" t="s">
        <v>136</v>
      </c>
      <c r="AZ32" s="269">
        <f>16.3*(1-AZ103)</f>
        <v>10.186031435931508</v>
      </c>
      <c r="BA32" s="269" t="s">
        <v>136</v>
      </c>
      <c r="BB32" s="437" t="s">
        <v>136</v>
      </c>
      <c r="BC32" s="270">
        <v>-10.186031435931508</v>
      </c>
      <c r="BD32" s="625">
        <v>0</v>
      </c>
      <c r="BE32" s="626">
        <v>0</v>
      </c>
      <c r="BF32" s="632">
        <v>0</v>
      </c>
      <c r="BG32" s="628">
        <v>0</v>
      </c>
      <c r="BH32" s="270">
        <f>SUM(BD32:BG32)</f>
        <v>0</v>
      </c>
      <c r="BI32" s="625">
        <v>0</v>
      </c>
      <c r="BJ32" s="626">
        <v>0</v>
      </c>
      <c r="BK32" s="632">
        <v>0</v>
      </c>
      <c r="BL32" s="628">
        <v>0</v>
      </c>
      <c r="BM32" s="270">
        <f>SUM(BI32:BL32)</f>
        <v>0</v>
      </c>
      <c r="BN32" s="625">
        <v>0</v>
      </c>
      <c r="BO32" s="626">
        <v>0</v>
      </c>
      <c r="BP32" s="632">
        <v>0</v>
      </c>
      <c r="BQ32" s="628">
        <v>0</v>
      </c>
      <c r="BR32" s="629">
        <f>SUM(BN32:BQ32)</f>
        <v>0</v>
      </c>
      <c r="BS32" s="625">
        <v>0</v>
      </c>
      <c r="BT32" s="626">
        <v>0</v>
      </c>
      <c r="BU32" s="632">
        <v>0</v>
      </c>
      <c r="BV32" s="636">
        <f>-79*(1-BV103)</f>
        <v>-49.77</v>
      </c>
      <c r="BW32" s="629">
        <v>49.77</v>
      </c>
      <c r="BX32" s="625">
        <v>0</v>
      </c>
      <c r="BY32" s="626">
        <v>0</v>
      </c>
      <c r="BZ32" s="632">
        <v>0</v>
      </c>
      <c r="CA32" s="628">
        <v>0</v>
      </c>
      <c r="CB32" s="629">
        <f>SUM(BX32:CA32)</f>
        <v>0</v>
      </c>
      <c r="CC32" s="625">
        <v>0</v>
      </c>
      <c r="CD32" s="626">
        <v>0</v>
      </c>
      <c r="CE32" s="632"/>
      <c r="CF32" s="627">
        <v>0</v>
      </c>
      <c r="CG32" s="823">
        <f>SUM(CC32:CF32)</f>
        <v>0</v>
      </c>
      <c r="CH32" s="626">
        <v>0</v>
      </c>
      <c r="CI32" s="626">
        <v>0</v>
      </c>
      <c r="CJ32" s="627">
        <v>0</v>
      </c>
      <c r="CK32" s="632">
        <v>0</v>
      </c>
      <c r="CL32" s="823">
        <f>SUM(CH32:CK32)</f>
        <v>0</v>
      </c>
      <c r="CM32" s="626">
        <v>0</v>
      </c>
      <c r="CN32" s="626">
        <v>0</v>
      </c>
      <c r="CO32" s="632">
        <v>0</v>
      </c>
      <c r="CP32" s="828">
        <v>0</v>
      </c>
      <c r="CQ32" s="823">
        <f>SUM(CM32:CP32)</f>
        <v>0</v>
      </c>
      <c r="CR32" s="629">
        <v>0</v>
      </c>
      <c r="CS32" s="626">
        <v>0</v>
      </c>
      <c r="CT32" s="627">
        <v>0</v>
      </c>
      <c r="CU32" s="627">
        <v>0</v>
      </c>
      <c r="CV32" s="823">
        <f>SUM(CR32:CU32)</f>
        <v>0</v>
      </c>
      <c r="CW32" s="629">
        <v>9</v>
      </c>
      <c r="CX32" s="629">
        <v>14</v>
      </c>
      <c r="CY32" s="629">
        <v>42</v>
      </c>
      <c r="CZ32" s="632">
        <v>34</v>
      </c>
      <c r="DA32" s="823">
        <f>SUM(CW32:CZ32)</f>
        <v>99</v>
      </c>
      <c r="DB32" s="629">
        <v>27</v>
      </c>
      <c r="DC32" s="629">
        <f>18-8</f>
        <v>10</v>
      </c>
      <c r="DD32" s="629">
        <f>-7+8</f>
        <v>1</v>
      </c>
      <c r="DE32" s="629">
        <v>-3</v>
      </c>
      <c r="DF32" s="823">
        <f>SUM(DB32:DE32)</f>
        <v>35</v>
      </c>
      <c r="DG32" s="629">
        <v>-4</v>
      </c>
      <c r="DH32" s="629">
        <v>-7</v>
      </c>
      <c r="DI32" s="629">
        <f>-15+4</f>
        <v>-11</v>
      </c>
      <c r="DJ32" s="629">
        <f>-9+5</f>
        <v>-4</v>
      </c>
      <c r="DK32" s="1673">
        <f>SUM(DG32:DJ32)</f>
        <v>-26</v>
      </c>
      <c r="DL32" s="629">
        <v>1</v>
      </c>
      <c r="DM32" s="629">
        <v>-14</v>
      </c>
      <c r="DN32" s="629">
        <f>21+3</f>
        <v>24</v>
      </c>
      <c r="DO32" s="629">
        <v>4</v>
      </c>
      <c r="DP32" s="1673">
        <f>SUM(DL32:DO32)</f>
        <v>15</v>
      </c>
      <c r="DQ32" s="2339">
        <v>1</v>
      </c>
      <c r="DR32" s="632">
        <f>-12.5+25</f>
        <v>12.5</v>
      </c>
      <c r="DS32" s="632">
        <f>-12.5+30</f>
        <v>17.5</v>
      </c>
      <c r="DT32" s="1819">
        <f>-12.5+30</f>
        <v>17.5</v>
      </c>
      <c r="DU32" s="1673">
        <f>SUM(DQ32:DT32)</f>
        <v>48.5</v>
      </c>
      <c r="DV32" s="1818">
        <f t="shared" ref="DV32:ED32" si="36">-12.5+30</f>
        <v>17.5</v>
      </c>
      <c r="DW32" s="632">
        <f t="shared" si="36"/>
        <v>17.5</v>
      </c>
      <c r="DX32" s="632">
        <f t="shared" si="36"/>
        <v>17.5</v>
      </c>
      <c r="DY32" s="1819">
        <f t="shared" si="36"/>
        <v>17.5</v>
      </c>
      <c r="DZ32" s="1673">
        <f>SUM(DV32:DY32)</f>
        <v>70</v>
      </c>
      <c r="EA32" s="1818">
        <f t="shared" si="36"/>
        <v>17.5</v>
      </c>
      <c r="EB32" s="632">
        <f t="shared" si="36"/>
        <v>17.5</v>
      </c>
      <c r="EC32" s="632">
        <f t="shared" si="36"/>
        <v>17.5</v>
      </c>
      <c r="ED32" s="1819">
        <f t="shared" si="36"/>
        <v>17.5</v>
      </c>
      <c r="EE32" s="1673">
        <f>SUM(EA32:ED32)</f>
        <v>70</v>
      </c>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row>
    <row r="33" spans="2:232" s="68" customFormat="1" ht="11.25" customHeight="1">
      <c r="B33" s="576" t="s">
        <v>587</v>
      </c>
      <c r="C33" s="1241"/>
      <c r="D33" s="306">
        <f t="shared" ref="D33:J33" si="37">D31-D32</f>
        <v>154.24200000000019</v>
      </c>
      <c r="E33" s="306">
        <f t="shared" si="37"/>
        <v>174.577</v>
      </c>
      <c r="F33" s="306">
        <f t="shared" si="37"/>
        <v>194.965</v>
      </c>
      <c r="G33" s="306">
        <f t="shared" si="37"/>
        <v>220.62799999999947</v>
      </c>
      <c r="H33" s="306">
        <f t="shared" si="37"/>
        <v>221.66599999999971</v>
      </c>
      <c r="I33" s="306">
        <f t="shared" si="37"/>
        <v>281.92899999999969</v>
      </c>
      <c r="J33" s="306">
        <f t="shared" si="37"/>
        <v>320.79099999999971</v>
      </c>
      <c r="K33" s="608">
        <f>K31+K32</f>
        <v>63.654999999999667</v>
      </c>
      <c r="L33" s="306">
        <f>(L28-L29)</f>
        <v>132.26799999999994</v>
      </c>
      <c r="M33" s="306">
        <f>(M28-M29)</f>
        <v>95.135999999999825</v>
      </c>
      <c r="N33" s="609">
        <f>(N28-N29)</f>
        <v>84.78899999999976</v>
      </c>
      <c r="O33" s="621">
        <f>O31-O32</f>
        <v>375.84799999999916</v>
      </c>
      <c r="P33" s="306">
        <f>P31+P32</f>
        <v>80.943999999999889</v>
      </c>
      <c r="Q33" s="306">
        <f>(Q28-Q29)</f>
        <v>156.68299999999971</v>
      </c>
      <c r="R33" s="306">
        <f>(R28-R29)</f>
        <v>112.43000000000005</v>
      </c>
      <c r="S33" s="319">
        <f>(S28-S29)</f>
        <v>102.94999999999983</v>
      </c>
      <c r="T33" s="306">
        <f>T31-T32</f>
        <v>453.00699999999949</v>
      </c>
      <c r="U33" s="318">
        <f>U31+U32</f>
        <v>67.478999999999814</v>
      </c>
      <c r="V33" s="306">
        <f>(V28-V29)</f>
        <v>180.73700000000005</v>
      </c>
      <c r="W33" s="306">
        <f>(W28-W29)</f>
        <v>142.31200000000024</v>
      </c>
      <c r="X33" s="319">
        <f>(X28-X29)</f>
        <v>166.76499999999993</v>
      </c>
      <c r="Y33" s="306">
        <f>Y31-Y32</f>
        <v>557.29300000000012</v>
      </c>
      <c r="Z33" s="318">
        <f>Z31+Z32</f>
        <v>117.89999999999991</v>
      </c>
      <c r="AA33" s="306">
        <f>(AA28-AA29)</f>
        <v>216.40000000000015</v>
      </c>
      <c r="AB33" s="306">
        <f>(AB28-AB29)</f>
        <v>175.09999999999954</v>
      </c>
      <c r="AC33" s="319">
        <f>(AC28-AC29)</f>
        <v>159.90000000000003</v>
      </c>
      <c r="AD33" s="306">
        <f>AD31-AD32</f>
        <v>624.09999999999877</v>
      </c>
      <c r="AE33" s="318">
        <f>AE31+AE32</f>
        <v>145.39999999999972</v>
      </c>
      <c r="AF33" s="306">
        <f>(AF28-AF29)</f>
        <v>238.90000000000006</v>
      </c>
      <c r="AG33" s="306">
        <f>(AG28-AG29)</f>
        <v>193.60000000000042</v>
      </c>
      <c r="AH33" s="319">
        <f>(AH28-AH29)</f>
        <v>216.60000000000008</v>
      </c>
      <c r="AI33" s="306">
        <f>AI31-AI32</f>
        <v>794.50000000000023</v>
      </c>
      <c r="AJ33" s="318">
        <f>AJ31+AJ32</f>
        <v>158.39999999999947</v>
      </c>
      <c r="AK33" s="306">
        <f>(AK28-AK29)</f>
        <v>296.90000000000009</v>
      </c>
      <c r="AL33" s="306">
        <f>(AL28-AL29)</f>
        <v>213.39999999999955</v>
      </c>
      <c r="AM33" s="319">
        <f>(AM28-AM29)</f>
        <v>216.9000000000004</v>
      </c>
      <c r="AN33" s="306">
        <f>AN31-AN32-AN21</f>
        <v>885.5999999999982</v>
      </c>
      <c r="AO33" s="318">
        <f>AO31+AO32</f>
        <v>185.89999999999952</v>
      </c>
      <c r="AP33" s="306">
        <f>(AP28-AP29)</f>
        <v>326.59999999999968</v>
      </c>
      <c r="AQ33" s="306">
        <f>(AQ28-AQ29)</f>
        <v>258.99999999999989</v>
      </c>
      <c r="AR33" s="319">
        <f>(AR28-AR29)</f>
        <v>247.70000000000005</v>
      </c>
      <c r="AS33" s="306">
        <f>AS31-AS32-AS21</f>
        <v>1008.1000000000001</v>
      </c>
      <c r="AT33" s="318">
        <f>AT31-AT32</f>
        <v>204.49999999999983</v>
      </c>
      <c r="AU33" s="306">
        <f>(AU28-AU29)</f>
        <v>370.90000000000032</v>
      </c>
      <c r="AV33" s="306">
        <f>AV31-AV32</f>
        <v>272.20000000000005</v>
      </c>
      <c r="AW33" s="319">
        <f>(AW28-AW29)</f>
        <v>276.19999999999959</v>
      </c>
      <c r="AX33" s="306">
        <f>AX31-AX32-AX21</f>
        <v>1165.100000000001</v>
      </c>
      <c r="AY33" s="318">
        <f>AY31+AY32</f>
        <v>254.89999999999955</v>
      </c>
      <c r="AZ33" s="306">
        <f>AZ31+AZ32</f>
        <v>433.50000043593195</v>
      </c>
      <c r="BA33" s="306">
        <f>(BA28-BA29)</f>
        <v>344.60000000000031</v>
      </c>
      <c r="BB33" s="319">
        <f>(BB28-BB29)</f>
        <v>316.80000000000098</v>
      </c>
      <c r="BC33" s="306">
        <f>BC31-BC32-BC21</f>
        <v>1349.8000004359283</v>
      </c>
      <c r="BD33" s="318">
        <f>(BD28-BD29)</f>
        <v>328.60000000000036</v>
      </c>
      <c r="BE33" s="306">
        <f>(BE28-BE29)</f>
        <v>490.90000000000043</v>
      </c>
      <c r="BF33" s="306">
        <f>(BF28-BF29)</f>
        <v>411.0000000000008</v>
      </c>
      <c r="BG33" s="319">
        <f>(BG28-BG29)</f>
        <v>328.99999999999932</v>
      </c>
      <c r="BH33" s="306">
        <f>BH31-BH32-BH21</f>
        <v>1559.5</v>
      </c>
      <c r="BI33" s="318">
        <f>BI31+BI32</f>
        <v>345.60000000000014</v>
      </c>
      <c r="BJ33" s="306">
        <f>(BJ28-BJ29)</f>
        <v>523.50000000000102</v>
      </c>
      <c r="BK33" s="306">
        <f>(BK28-BK29)</f>
        <v>469.20000000000084</v>
      </c>
      <c r="BL33" s="319">
        <f>(BL28-BL29)</f>
        <v>412.29999999999848</v>
      </c>
      <c r="BM33" s="306">
        <f>BM31-BM32-BM21</f>
        <v>1750.6000000000054</v>
      </c>
      <c r="BN33" s="318">
        <f>BN31+BN32</f>
        <v>431.70000000000056</v>
      </c>
      <c r="BO33" s="306">
        <f>(BO28-BO29)</f>
        <v>651.900000000001</v>
      </c>
      <c r="BP33" s="306">
        <f>(BP28-BP29)</f>
        <v>561.19999999999891</v>
      </c>
      <c r="BQ33" s="319">
        <f>(BQ28-BQ29)</f>
        <v>396.49999999999909</v>
      </c>
      <c r="BR33" s="622">
        <f>BR31-BR32-BR21</f>
        <v>2041.0999999999935</v>
      </c>
      <c r="BS33" s="318">
        <f>BS31-BS32</f>
        <v>455.59999999999962</v>
      </c>
      <c r="BT33" s="306">
        <f>BT31-BT32</f>
        <v>685.30000000000041</v>
      </c>
      <c r="BU33" s="306">
        <f>BU31-BU32</f>
        <v>573.20000000000073</v>
      </c>
      <c r="BV33" s="319">
        <f>BV31-BV32</f>
        <v>443.3310000000003</v>
      </c>
      <c r="BW33" s="622">
        <f>BW31-BW32-BW21</f>
        <v>2028.5299999999947</v>
      </c>
      <c r="BX33" s="649">
        <f>BX31-BX32</f>
        <v>408</v>
      </c>
      <c r="BY33" s="306">
        <f>BY31-BY32</f>
        <v>640</v>
      </c>
      <c r="BZ33" s="306">
        <f>BZ31-BZ32</f>
        <v>522</v>
      </c>
      <c r="CA33" s="319">
        <f>CA31-CA32</f>
        <v>436</v>
      </c>
      <c r="CB33" s="622">
        <f>CB31-CB32-CB21</f>
        <v>2006</v>
      </c>
      <c r="CC33" s="649">
        <f>CC31-CC32-CC21</f>
        <v>489</v>
      </c>
      <c r="CD33" s="650">
        <f>CD31-CD32-CD21</f>
        <v>669</v>
      </c>
      <c r="CE33" s="651">
        <f>CE31-CE32-CE21</f>
        <v>463</v>
      </c>
      <c r="CF33" s="651">
        <f>CF31-CF32-CF21</f>
        <v>470</v>
      </c>
      <c r="CG33" s="821">
        <f t="shared" ref="CG33:CP33" si="38">CG31-CG32</f>
        <v>2091</v>
      </c>
      <c r="CH33" s="650">
        <f t="shared" si="38"/>
        <v>580</v>
      </c>
      <c r="CI33" s="650">
        <f t="shared" si="38"/>
        <v>739</v>
      </c>
      <c r="CJ33" s="651">
        <f t="shared" si="38"/>
        <v>603</v>
      </c>
      <c r="CK33" s="651">
        <f t="shared" si="38"/>
        <v>792</v>
      </c>
      <c r="CL33" s="821">
        <f t="shared" si="38"/>
        <v>2714</v>
      </c>
      <c r="CM33" s="650">
        <f t="shared" si="38"/>
        <v>554</v>
      </c>
      <c r="CN33" s="650">
        <f t="shared" si="38"/>
        <v>683</v>
      </c>
      <c r="CO33" s="651">
        <f t="shared" si="38"/>
        <v>537</v>
      </c>
      <c r="CP33" s="651">
        <f t="shared" si="38"/>
        <v>353</v>
      </c>
      <c r="CQ33" s="821">
        <f t="shared" ref="CQ33:DF33" si="39">CQ31-CQ32</f>
        <v>2127</v>
      </c>
      <c r="CR33" s="650">
        <f t="shared" si="39"/>
        <v>413</v>
      </c>
      <c r="CS33" s="650">
        <f t="shared" si="39"/>
        <v>756</v>
      </c>
      <c r="CT33" s="651">
        <f t="shared" si="39"/>
        <v>624</v>
      </c>
      <c r="CU33" s="651">
        <f t="shared" si="39"/>
        <v>657</v>
      </c>
      <c r="CV33" s="821">
        <f t="shared" si="39"/>
        <v>2450</v>
      </c>
      <c r="CW33" s="306">
        <f t="shared" si="39"/>
        <v>695</v>
      </c>
      <c r="CX33" s="650">
        <f t="shared" si="39"/>
        <v>754</v>
      </c>
      <c r="CY33" s="70">
        <f t="shared" si="39"/>
        <v>722</v>
      </c>
      <c r="CZ33" s="70">
        <f t="shared" si="39"/>
        <v>-239</v>
      </c>
      <c r="DA33" s="821">
        <f t="shared" si="39"/>
        <v>1932</v>
      </c>
      <c r="DB33" s="306">
        <f t="shared" si="39"/>
        <v>850</v>
      </c>
      <c r="DC33" s="306">
        <f t="shared" si="39"/>
        <v>2042</v>
      </c>
      <c r="DD33" s="306">
        <f t="shared" si="39"/>
        <v>1302</v>
      </c>
      <c r="DE33" s="306">
        <f>DE31-DE32</f>
        <v>26</v>
      </c>
      <c r="DF33" s="821">
        <f t="shared" si="39"/>
        <v>4220</v>
      </c>
      <c r="DG33" s="306">
        <f>DG31-DG32</f>
        <v>1110</v>
      </c>
      <c r="DH33" s="306">
        <f>DH31-DH32</f>
        <v>930</v>
      </c>
      <c r="DI33" s="306">
        <f>DI31-DI32</f>
        <v>1103</v>
      </c>
      <c r="DJ33" s="306">
        <f>DJ31-DJ32</f>
        <v>1030</v>
      </c>
      <c r="DK33" s="796">
        <f t="shared" ref="DK33:DU33" si="40">DK31-DK32</f>
        <v>4173</v>
      </c>
      <c r="DL33" s="306">
        <f>DL31-DL32</f>
        <v>1054</v>
      </c>
      <c r="DM33" s="306">
        <f>DM31-DM32</f>
        <v>1060</v>
      </c>
      <c r="DN33" s="306">
        <f>DN31-DN32</f>
        <v>1162</v>
      </c>
      <c r="DO33" s="306">
        <f>DO31-DO32</f>
        <v>802</v>
      </c>
      <c r="DP33" s="796">
        <f t="shared" si="40"/>
        <v>4078</v>
      </c>
      <c r="DQ33" s="306">
        <f>DQ31-DQ32</f>
        <v>821</v>
      </c>
      <c r="DR33" s="70">
        <f t="shared" ca="1" si="40"/>
        <v>1263.5332926178476</v>
      </c>
      <c r="DS33" s="70">
        <f t="shared" ca="1" si="40"/>
        <v>1219.6660997368494</v>
      </c>
      <c r="DT33" s="542">
        <f t="shared" ca="1" si="40"/>
        <v>1214.0770615493066</v>
      </c>
      <c r="DU33" s="796">
        <f t="shared" ca="1" si="40"/>
        <v>4518.2764539040145</v>
      </c>
      <c r="DV33" s="541">
        <f t="shared" ref="DV33:DZ33" ca="1" si="41">DV31-DV32</f>
        <v>1111.2215331997111</v>
      </c>
      <c r="DW33" s="70">
        <f t="shared" ca="1" si="41"/>
        <v>1370.1539374137217</v>
      </c>
      <c r="DX33" s="70">
        <f t="shared" ca="1" si="41"/>
        <v>1388.9720796763213</v>
      </c>
      <c r="DY33" s="542">
        <f t="shared" ca="1" si="41"/>
        <v>1419.997229414048</v>
      </c>
      <c r="DZ33" s="796">
        <f t="shared" ca="1" si="41"/>
        <v>5290.3447797037807</v>
      </c>
      <c r="EA33" s="541">
        <f t="shared" ref="EA33:EE33" ca="1" si="42">EA31-EA32</f>
        <v>1332.2795027976138</v>
      </c>
      <c r="EB33" s="70">
        <f t="shared" ca="1" si="42"/>
        <v>1569.3919307136096</v>
      </c>
      <c r="EC33" s="70">
        <f t="shared" ca="1" si="42"/>
        <v>1602.5147830979533</v>
      </c>
      <c r="ED33" s="542">
        <f t="shared" ca="1" si="42"/>
        <v>1636.4598763867712</v>
      </c>
      <c r="EE33" s="796">
        <f t="shared" ca="1" si="42"/>
        <v>6140.6460929959612</v>
      </c>
      <c r="EG33" s="1"/>
      <c r="EH33"/>
      <c r="EI33"/>
      <c r="EJ33"/>
      <c r="EK33"/>
      <c r="EL33"/>
      <c r="EM33"/>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1"/>
      <c r="HV33" s="1"/>
      <c r="HW33" s="1"/>
      <c r="HX33" s="1"/>
    </row>
    <row r="34" spans="2:232" s="54" customFormat="1">
      <c r="B34" s="576"/>
      <c r="C34" s="1240"/>
      <c r="D34" s="64"/>
      <c r="E34" s="64"/>
      <c r="F34" s="64"/>
      <c r="G34" s="64"/>
      <c r="H34" s="64"/>
      <c r="I34" s="64"/>
      <c r="J34" s="64"/>
      <c r="K34" s="538"/>
      <c r="L34" s="64"/>
      <c r="M34" s="64"/>
      <c r="N34" s="539"/>
      <c r="O34" s="619"/>
      <c r="P34" s="64"/>
      <c r="Q34" s="64"/>
      <c r="R34" s="64"/>
      <c r="S34" s="79"/>
      <c r="T34" s="64"/>
      <c r="U34" s="165"/>
      <c r="V34" s="64"/>
      <c r="W34" s="64"/>
      <c r="X34" s="79"/>
      <c r="Y34" s="64"/>
      <c r="Z34" s="165"/>
      <c r="AA34" s="64"/>
      <c r="AB34" s="64"/>
      <c r="AC34" s="79"/>
      <c r="AD34" s="64"/>
      <c r="AE34" s="165"/>
      <c r="AF34" s="64"/>
      <c r="AG34" s="64"/>
      <c r="AH34" s="79"/>
      <c r="AI34" s="64"/>
      <c r="AJ34" s="165"/>
      <c r="AK34" s="64"/>
      <c r="AL34" s="64"/>
      <c r="AM34" s="79"/>
      <c r="AN34" s="64"/>
      <c r="AO34" s="165"/>
      <c r="AP34" s="64"/>
      <c r="AQ34" s="64"/>
      <c r="AR34" s="79"/>
      <c r="AS34" s="64"/>
      <c r="AT34" s="165"/>
      <c r="AU34" s="64"/>
      <c r="AV34" s="64"/>
      <c r="AW34" s="79"/>
      <c r="AX34" s="64"/>
      <c r="AY34" s="165"/>
      <c r="AZ34" s="64"/>
      <c r="BA34" s="64"/>
      <c r="BB34" s="79"/>
      <c r="BC34" s="64"/>
      <c r="BD34" s="165"/>
      <c r="BE34" s="64"/>
      <c r="BF34" s="64"/>
      <c r="BG34" s="79"/>
      <c r="BH34" s="64"/>
      <c r="BI34" s="165"/>
      <c r="BJ34" s="64"/>
      <c r="BK34" s="64"/>
      <c r="BL34" s="79"/>
      <c r="BM34" s="64"/>
      <c r="BN34" s="165"/>
      <c r="BO34" s="64"/>
      <c r="BP34" s="64"/>
      <c r="BQ34" s="79"/>
      <c r="BR34" s="64"/>
      <c r="BS34" s="165"/>
      <c r="BT34" s="64"/>
      <c r="BU34" s="64"/>
      <c r="BV34" s="79"/>
      <c r="BW34" s="64"/>
      <c r="BX34" s="165"/>
      <c r="BY34" s="64"/>
      <c r="BZ34" s="64"/>
      <c r="CA34" s="79"/>
      <c r="CB34" s="64"/>
      <c r="CC34" s="165"/>
      <c r="CD34" s="64"/>
      <c r="CE34" s="64"/>
      <c r="CF34" s="64"/>
      <c r="CG34" s="619"/>
      <c r="CH34" s="64"/>
      <c r="CI34" s="64"/>
      <c r="CJ34" s="62"/>
      <c r="CK34" s="62"/>
      <c r="CL34" s="619"/>
      <c r="CM34" s="64"/>
      <c r="CN34" s="64"/>
      <c r="CO34" s="62"/>
      <c r="CP34" s="62"/>
      <c r="CQ34" s="619"/>
      <c r="CR34" s="170"/>
      <c r="CS34" s="170"/>
      <c r="CT34" s="326"/>
      <c r="CU34" s="326"/>
      <c r="CV34" s="619"/>
      <c r="CW34" s="64"/>
      <c r="CX34" s="64"/>
      <c r="CY34" s="62"/>
      <c r="CZ34" s="62"/>
      <c r="DA34" s="619"/>
      <c r="DB34" s="64"/>
      <c r="DC34" s="64"/>
      <c r="DD34" s="64"/>
      <c r="DE34" s="64"/>
      <c r="DF34" s="619"/>
      <c r="DG34" s="64"/>
      <c r="DH34" s="64"/>
      <c r="DI34" s="64"/>
      <c r="DJ34" s="64"/>
      <c r="DK34" s="802"/>
      <c r="DL34" s="64"/>
      <c r="DM34" s="64"/>
      <c r="DN34" s="64"/>
      <c r="DO34" s="64"/>
      <c r="DP34" s="802"/>
      <c r="DQ34" s="64"/>
      <c r="DR34" s="62"/>
      <c r="DS34" s="62"/>
      <c r="DT34" s="550"/>
      <c r="DU34" s="802"/>
      <c r="DV34" s="549"/>
      <c r="DW34" s="62"/>
      <c r="DX34" s="62"/>
      <c r="DY34" s="550"/>
      <c r="DZ34" s="802"/>
      <c r="EA34" s="549"/>
      <c r="EB34" s="62"/>
      <c r="EC34" s="62"/>
      <c r="ED34" s="550"/>
      <c r="EE34" s="802"/>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row>
    <row r="35" spans="2:232" s="54" customFormat="1">
      <c r="B35" s="561" t="s">
        <v>210</v>
      </c>
      <c r="C35" s="1240"/>
      <c r="D35" s="64"/>
      <c r="E35" s="64"/>
      <c r="F35" s="64"/>
      <c r="G35" s="64"/>
      <c r="H35" s="64"/>
      <c r="I35" s="64"/>
      <c r="J35" s="64"/>
      <c r="K35" s="538"/>
      <c r="L35" s="64"/>
      <c r="M35" s="64"/>
      <c r="N35" s="539"/>
      <c r="O35" s="619"/>
      <c r="P35" s="64"/>
      <c r="Q35" s="64"/>
      <c r="R35" s="64"/>
      <c r="S35" s="79"/>
      <c r="T35" s="64"/>
      <c r="U35" s="165"/>
      <c r="V35" s="64"/>
      <c r="W35" s="64"/>
      <c r="X35" s="79"/>
      <c r="Y35" s="64"/>
      <c r="Z35" s="165"/>
      <c r="AA35" s="64"/>
      <c r="AB35" s="64"/>
      <c r="AC35" s="79"/>
      <c r="AD35" s="64"/>
      <c r="AE35" s="165"/>
      <c r="AF35" s="64"/>
      <c r="AG35" s="64"/>
      <c r="AH35" s="79"/>
      <c r="AI35" s="64"/>
      <c r="AJ35" s="165"/>
      <c r="AK35" s="64"/>
      <c r="AL35" s="64"/>
      <c r="AM35" s="79"/>
      <c r="AN35" s="64"/>
      <c r="AO35" s="165"/>
      <c r="AP35" s="64"/>
      <c r="AQ35" s="64"/>
      <c r="AR35" s="79"/>
      <c r="AS35" s="64"/>
      <c r="AT35" s="165"/>
      <c r="AU35" s="64"/>
      <c r="AV35" s="64"/>
      <c r="AW35" s="79"/>
      <c r="AX35" s="64"/>
      <c r="AY35" s="165"/>
      <c r="AZ35" s="64"/>
      <c r="BA35" s="64"/>
      <c r="BB35" s="79"/>
      <c r="BC35" s="64"/>
      <c r="BD35" s="165"/>
      <c r="BE35" s="64"/>
      <c r="BF35" s="64"/>
      <c r="BG35" s="79"/>
      <c r="BH35" s="64"/>
      <c r="BI35" s="165"/>
      <c r="BJ35" s="64"/>
      <c r="BK35" s="64"/>
      <c r="BL35" s="79"/>
      <c r="BM35" s="64"/>
      <c r="BN35" s="165"/>
      <c r="BO35" s="64"/>
      <c r="BP35" s="64"/>
      <c r="BQ35" s="79"/>
      <c r="BR35" s="304">
        <v>0</v>
      </c>
      <c r="BS35" s="165"/>
      <c r="BT35" s="64"/>
      <c r="BU35" s="64"/>
      <c r="BV35" s="79"/>
      <c r="BW35" s="304">
        <v>0</v>
      </c>
      <c r="BX35" s="327"/>
      <c r="BY35" s="64"/>
      <c r="BZ35" s="64"/>
      <c r="CA35" s="79"/>
      <c r="CB35" s="304">
        <f>SUM(BX35:CA35)</f>
        <v>0</v>
      </c>
      <c r="CC35" s="327">
        <v>-20</v>
      </c>
      <c r="CD35" s="328">
        <v>-17</v>
      </c>
      <c r="CE35" s="317">
        <v>-11</v>
      </c>
      <c r="CF35" s="317">
        <v>-39</v>
      </c>
      <c r="CG35" s="820">
        <f>SUM(CC35:CF35)</f>
        <v>-87</v>
      </c>
      <c r="CH35" s="328">
        <v>-26</v>
      </c>
      <c r="CI35" s="328">
        <v>-35</v>
      </c>
      <c r="CJ35" s="317">
        <v>-32</v>
      </c>
      <c r="CK35" s="317">
        <v>-38</v>
      </c>
      <c r="CL35" s="820">
        <f>SUM(CH35:CK35)</f>
        <v>-131</v>
      </c>
      <c r="CM35" s="330">
        <v>-28</v>
      </c>
      <c r="CN35" s="329">
        <v>-45</v>
      </c>
      <c r="CO35" s="329">
        <v>-38</v>
      </c>
      <c r="CP35" s="329">
        <v>-85</v>
      </c>
      <c r="CQ35" s="820">
        <f>SUM(CM35:CP35)</f>
        <v>-196</v>
      </c>
      <c r="CR35" s="330">
        <v>-34</v>
      </c>
      <c r="CS35" s="330">
        <v>-46</v>
      </c>
      <c r="CT35" s="1171">
        <v>-76</v>
      </c>
      <c r="CU35" s="1171">
        <v>5</v>
      </c>
      <c r="CV35" s="820">
        <f>SUM(CR35:CU35)</f>
        <v>-151</v>
      </c>
      <c r="CW35" s="1171">
        <v>-37</v>
      </c>
      <c r="CX35" s="1548">
        <v>-33</v>
      </c>
      <c r="CY35" s="1548">
        <v>-28</v>
      </c>
      <c r="CZ35" s="1171">
        <v>12</v>
      </c>
      <c r="DA35" s="820">
        <f>SUM(CW35:CZ35)</f>
        <v>-86</v>
      </c>
      <c r="DB35" s="331">
        <v>-34</v>
      </c>
      <c r="DC35" s="1697">
        <v>-42</v>
      </c>
      <c r="DD35" s="1697">
        <v>-49</v>
      </c>
      <c r="DE35" s="1697">
        <v>-53</v>
      </c>
      <c r="DF35" s="820">
        <f>SUM(DB35:DE35)</f>
        <v>-178</v>
      </c>
      <c r="DG35" s="1697">
        <v>-33</v>
      </c>
      <c r="DH35" s="1697">
        <v>-49</v>
      </c>
      <c r="DI35" s="1697">
        <v>-93</v>
      </c>
      <c r="DJ35" s="1697">
        <v>-8</v>
      </c>
      <c r="DK35" s="1275">
        <f t="shared" ref="DK35:DK40" si="43">SUM(DG35:DJ35)</f>
        <v>-183</v>
      </c>
      <c r="DL35" s="1697">
        <v>-58</v>
      </c>
      <c r="DM35" s="1697">
        <v>-49</v>
      </c>
      <c r="DN35" s="1697">
        <v>-97</v>
      </c>
      <c r="DO35" s="2283">
        <v>38</v>
      </c>
      <c r="DP35" s="1275">
        <f t="shared" ref="DP35:DP40" si="44">SUM(DL35:DO35)</f>
        <v>-166</v>
      </c>
      <c r="DQ35" s="2340">
        <v>-54</v>
      </c>
      <c r="DR35" s="326">
        <f t="shared" ref="DR35:DT35" si="45">-DR59</f>
        <v>-49</v>
      </c>
      <c r="DS35" s="326">
        <f t="shared" si="45"/>
        <v>-49</v>
      </c>
      <c r="DT35" s="1738">
        <f t="shared" si="45"/>
        <v>38</v>
      </c>
      <c r="DU35" s="1275">
        <f t="shared" ref="DU35:DU40" si="46">SUM(DQ35:DT35)</f>
        <v>-114</v>
      </c>
      <c r="DV35" s="1737">
        <f t="shared" ref="DV35:DY35" si="47">-DV59</f>
        <v>-54</v>
      </c>
      <c r="DW35" s="326">
        <f t="shared" si="47"/>
        <v>-49</v>
      </c>
      <c r="DX35" s="326">
        <f t="shared" si="47"/>
        <v>-49</v>
      </c>
      <c r="DY35" s="1738">
        <f t="shared" si="47"/>
        <v>38</v>
      </c>
      <c r="DZ35" s="1275">
        <f t="shared" ref="DZ35:DZ40" si="48">SUM(DV35:DY35)</f>
        <v>-114</v>
      </c>
      <c r="EA35" s="1737">
        <f t="shared" ref="EA35:ED35" si="49">-EA59</f>
        <v>-54</v>
      </c>
      <c r="EB35" s="326">
        <f t="shared" si="49"/>
        <v>-49</v>
      </c>
      <c r="EC35" s="326">
        <f t="shared" si="49"/>
        <v>-49</v>
      </c>
      <c r="ED35" s="1738">
        <f t="shared" si="49"/>
        <v>38</v>
      </c>
      <c r="EE35" s="1275">
        <f t="shared" ref="EE35:EE40" si="50">SUM(EA35:ED35)</f>
        <v>-114</v>
      </c>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row>
    <row r="36" spans="2:232" s="54" customFormat="1">
      <c r="B36" s="561" t="s">
        <v>139</v>
      </c>
      <c r="C36" s="1240"/>
      <c r="D36" s="64">
        <v>0</v>
      </c>
      <c r="E36" s="64">
        <v>0</v>
      </c>
      <c r="F36" s="64">
        <v>0</v>
      </c>
      <c r="G36" s="64">
        <v>0</v>
      </c>
      <c r="H36" s="64">
        <v>0</v>
      </c>
      <c r="I36" s="64">
        <v>0</v>
      </c>
      <c r="J36" s="64">
        <v>0</v>
      </c>
      <c r="K36" s="538"/>
      <c r="L36" s="64"/>
      <c r="M36" s="64"/>
      <c r="N36" s="539"/>
      <c r="O36" s="619">
        <v>0</v>
      </c>
      <c r="P36" s="64"/>
      <c r="Q36" s="64"/>
      <c r="R36" s="64"/>
      <c r="S36" s="79"/>
      <c r="T36" s="64">
        <v>0</v>
      </c>
      <c r="U36" s="165"/>
      <c r="V36" s="64"/>
      <c r="W36" s="64"/>
      <c r="X36" s="79"/>
      <c r="Y36" s="64">
        <v>0</v>
      </c>
      <c r="Z36" s="165"/>
      <c r="AA36" s="64"/>
      <c r="AB36" s="64"/>
      <c r="AC36" s="79"/>
      <c r="AD36" s="64">
        <v>0</v>
      </c>
      <c r="AE36" s="165"/>
      <c r="AF36" s="64"/>
      <c r="AG36" s="64"/>
      <c r="AH36" s="79"/>
      <c r="AI36" s="64">
        <v>0</v>
      </c>
      <c r="AJ36" s="165"/>
      <c r="AK36" s="64"/>
      <c r="AL36" s="64"/>
      <c r="AM36" s="79"/>
      <c r="AN36" s="64">
        <v>0</v>
      </c>
      <c r="AO36" s="165"/>
      <c r="AP36" s="64"/>
      <c r="AQ36" s="64"/>
      <c r="AR36" s="79"/>
      <c r="AS36" s="64">
        <v>0</v>
      </c>
      <c r="AT36" s="165"/>
      <c r="AU36" s="64"/>
      <c r="AV36" s="64"/>
      <c r="AW36" s="79"/>
      <c r="AX36" s="64">
        <v>0</v>
      </c>
      <c r="AY36" s="165"/>
      <c r="AZ36" s="64"/>
      <c r="BA36" s="64"/>
      <c r="BB36" s="79"/>
      <c r="BC36" s="64">
        <v>0</v>
      </c>
      <c r="BD36" s="165"/>
      <c r="BE36" s="64"/>
      <c r="BF36" s="64"/>
      <c r="BG36" s="79"/>
      <c r="BH36" s="64">
        <v>0</v>
      </c>
      <c r="BI36" s="165"/>
      <c r="BJ36" s="64"/>
      <c r="BK36" s="64"/>
      <c r="BL36" s="79"/>
      <c r="BM36" s="64">
        <v>0</v>
      </c>
      <c r="BN36" s="165"/>
      <c r="BO36" s="64"/>
      <c r="BP36" s="64"/>
      <c r="BQ36" s="79"/>
      <c r="BR36" s="304">
        <v>0</v>
      </c>
      <c r="BS36" s="165"/>
      <c r="BT36" s="64"/>
      <c r="BU36" s="64"/>
      <c r="BV36" s="79"/>
      <c r="BW36" s="304">
        <v>0</v>
      </c>
      <c r="BX36" s="327"/>
      <c r="BY36" s="64"/>
      <c r="BZ36" s="64"/>
      <c r="CA36" s="79"/>
      <c r="CB36" s="304">
        <f>SUM(BX36:CA36)</f>
        <v>0</v>
      </c>
      <c r="CC36" s="327">
        <v>-25</v>
      </c>
      <c r="CD36" s="328">
        <v>-24</v>
      </c>
      <c r="CE36" s="317">
        <v>-33</v>
      </c>
      <c r="CF36" s="317">
        <v>-34</v>
      </c>
      <c r="CG36" s="820">
        <f>SUM(CC36:CF36)</f>
        <v>-116</v>
      </c>
      <c r="CH36" s="328">
        <v>-33</v>
      </c>
      <c r="CI36" s="328">
        <v>-28</v>
      </c>
      <c r="CJ36" s="317">
        <v>-35</v>
      </c>
      <c r="CK36" s="317">
        <v>-42</v>
      </c>
      <c r="CL36" s="820">
        <f>SUM(CH36:CK36)</f>
        <v>-138</v>
      </c>
      <c r="CM36" s="330">
        <v>-37</v>
      </c>
      <c r="CN36" s="330">
        <v>-39</v>
      </c>
      <c r="CO36" s="329">
        <v>-41</v>
      </c>
      <c r="CP36" s="329">
        <v>-45</v>
      </c>
      <c r="CQ36" s="820">
        <f>SUM(CM36:CP36)</f>
        <v>-162</v>
      </c>
      <c r="CR36" s="330">
        <v>-59</v>
      </c>
      <c r="CS36" s="330">
        <v>-71</v>
      </c>
      <c r="CT36" s="1171">
        <v>-52</v>
      </c>
      <c r="CU36" s="1171">
        <v>-59</v>
      </c>
      <c r="CV36" s="820">
        <f>SUM(CR36:CU36)</f>
        <v>-241</v>
      </c>
      <c r="CW36" s="1510">
        <v>-58</v>
      </c>
      <c r="CX36" s="1510">
        <v>-60</v>
      </c>
      <c r="CY36" s="1510">
        <v>-63</v>
      </c>
      <c r="CZ36" s="1171">
        <v>-57</v>
      </c>
      <c r="DA36" s="820">
        <f>SUM(CW36:CZ36)</f>
        <v>-238</v>
      </c>
      <c r="DB36" s="328">
        <v>-58</v>
      </c>
      <c r="DC36" s="1694">
        <v>-157</v>
      </c>
      <c r="DD36" s="1694">
        <v>-68</v>
      </c>
      <c r="DE36" s="1694">
        <v>-84</v>
      </c>
      <c r="DF36" s="820">
        <f>SUM(DB36:DE36)</f>
        <v>-367</v>
      </c>
      <c r="DG36" s="1694">
        <v>-58</v>
      </c>
      <c r="DH36" s="1694">
        <v>-72</v>
      </c>
      <c r="DI36" s="1694">
        <v>-100</v>
      </c>
      <c r="DJ36" s="1694">
        <v>-91</v>
      </c>
      <c r="DK36" s="802">
        <f t="shared" si="43"/>
        <v>-321</v>
      </c>
      <c r="DL36" s="1694">
        <v>-82</v>
      </c>
      <c r="DM36" s="1694">
        <v>-82</v>
      </c>
      <c r="DN36" s="1694">
        <v>-83</v>
      </c>
      <c r="DO36" s="1696">
        <v>-85</v>
      </c>
      <c r="DP36" s="802">
        <f t="shared" si="44"/>
        <v>-332</v>
      </c>
      <c r="DQ36" s="2341">
        <v>-85</v>
      </c>
      <c r="DR36" s="62">
        <f t="shared" ref="DR36:DT36" si="51">-DR63</f>
        <v>-85</v>
      </c>
      <c r="DS36" s="62">
        <f t="shared" si="51"/>
        <v>-85</v>
      </c>
      <c r="DT36" s="550">
        <f t="shared" si="51"/>
        <v>-85</v>
      </c>
      <c r="DU36" s="802">
        <f t="shared" si="46"/>
        <v>-340</v>
      </c>
      <c r="DV36" s="549">
        <f t="shared" ref="DV36:DY36" si="52">-DV63</f>
        <v>-85</v>
      </c>
      <c r="DW36" s="62">
        <f t="shared" si="52"/>
        <v>-85</v>
      </c>
      <c r="DX36" s="62">
        <f t="shared" si="52"/>
        <v>-85</v>
      </c>
      <c r="DY36" s="550">
        <f t="shared" si="52"/>
        <v>-85</v>
      </c>
      <c r="DZ36" s="802">
        <f t="shared" si="48"/>
        <v>-340</v>
      </c>
      <c r="EA36" s="549">
        <f t="shared" ref="EA36:ED36" si="53">-EA63</f>
        <v>-85</v>
      </c>
      <c r="EB36" s="62">
        <f t="shared" si="53"/>
        <v>-85</v>
      </c>
      <c r="EC36" s="62">
        <f t="shared" si="53"/>
        <v>-85</v>
      </c>
      <c r="ED36" s="550">
        <f t="shared" si="53"/>
        <v>-85</v>
      </c>
      <c r="EE36" s="802">
        <f t="shared" si="50"/>
        <v>-340</v>
      </c>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row>
    <row r="37" spans="2:232" s="54" customFormat="1">
      <c r="B37" s="561" t="s">
        <v>140</v>
      </c>
      <c r="C37" s="1240"/>
      <c r="D37" s="64"/>
      <c r="E37" s="64"/>
      <c r="F37" s="64"/>
      <c r="G37" s="64"/>
      <c r="H37" s="64"/>
      <c r="I37" s="64"/>
      <c r="J37" s="64"/>
      <c r="K37" s="538"/>
      <c r="L37" s="64"/>
      <c r="M37" s="64"/>
      <c r="N37" s="539"/>
      <c r="O37" s="619"/>
      <c r="P37" s="64"/>
      <c r="Q37" s="64"/>
      <c r="R37" s="64"/>
      <c r="S37" s="79"/>
      <c r="T37" s="64"/>
      <c r="U37" s="165"/>
      <c r="V37" s="64"/>
      <c r="W37" s="64"/>
      <c r="X37" s="79"/>
      <c r="Y37" s="64"/>
      <c r="Z37" s="165"/>
      <c r="AA37" s="64"/>
      <c r="AB37" s="64"/>
      <c r="AC37" s="79"/>
      <c r="AD37" s="64"/>
      <c r="AE37" s="165"/>
      <c r="AF37" s="64"/>
      <c r="AG37" s="64"/>
      <c r="AH37" s="79"/>
      <c r="AI37" s="64"/>
      <c r="AJ37" s="165"/>
      <c r="AK37" s="64"/>
      <c r="AL37" s="64"/>
      <c r="AM37" s="79"/>
      <c r="AN37" s="64"/>
      <c r="AO37" s="165"/>
      <c r="AP37" s="64"/>
      <c r="AQ37" s="64"/>
      <c r="AR37" s="79"/>
      <c r="AS37" s="64"/>
      <c r="AT37" s="165"/>
      <c r="AU37" s="64"/>
      <c r="AV37" s="64"/>
      <c r="AW37" s="79"/>
      <c r="AX37" s="64"/>
      <c r="AY37" s="165"/>
      <c r="AZ37" s="64"/>
      <c r="BA37" s="64"/>
      <c r="BB37" s="79"/>
      <c r="BC37" s="64"/>
      <c r="BD37" s="165"/>
      <c r="BE37" s="64"/>
      <c r="BF37" s="64"/>
      <c r="BG37" s="79"/>
      <c r="BH37" s="64"/>
      <c r="BI37" s="165"/>
      <c r="BJ37" s="64"/>
      <c r="BK37" s="64"/>
      <c r="BL37" s="79"/>
      <c r="BM37" s="64"/>
      <c r="BN37" s="165"/>
      <c r="BO37" s="64"/>
      <c r="BP37" s="64"/>
      <c r="BQ37" s="79"/>
      <c r="BR37" s="304">
        <v>0</v>
      </c>
      <c r="BS37" s="165"/>
      <c r="BT37" s="64"/>
      <c r="BU37" s="64"/>
      <c r="BV37" s="79"/>
      <c r="BW37" s="304">
        <v>0</v>
      </c>
      <c r="BX37" s="327"/>
      <c r="BY37" s="64"/>
      <c r="BZ37" s="64"/>
      <c r="CA37" s="79"/>
      <c r="CB37" s="304">
        <f>SUM(BX37:CA37)</f>
        <v>0</v>
      </c>
      <c r="CC37" s="327"/>
      <c r="CD37" s="328"/>
      <c r="CE37" s="317"/>
      <c r="CF37" s="317"/>
      <c r="CG37" s="820">
        <f>SUM(CC37:CF37)</f>
        <v>0</v>
      </c>
      <c r="CH37" s="328"/>
      <c r="CI37" s="328"/>
      <c r="CJ37" s="317"/>
      <c r="CK37" s="317"/>
      <c r="CL37" s="820">
        <f>SUM(CH37:CK37)</f>
        <v>0</v>
      </c>
      <c r="CM37" s="330">
        <v>0</v>
      </c>
      <c r="CN37" s="330">
        <v>0</v>
      </c>
      <c r="CO37" s="329">
        <v>0</v>
      </c>
      <c r="CP37" s="329">
        <v>0</v>
      </c>
      <c r="CQ37" s="820">
        <f>SUM(CM37:CP37)</f>
        <v>0</v>
      </c>
      <c r="CR37" s="330">
        <v>0</v>
      </c>
      <c r="CS37" s="330">
        <v>-42</v>
      </c>
      <c r="CT37" s="1171">
        <v>-44</v>
      </c>
      <c r="CU37" s="1171">
        <v>-38</v>
      </c>
      <c r="CV37" s="820">
        <f>SUM(CR37:CU37)</f>
        <v>-124</v>
      </c>
      <c r="CW37" s="1510">
        <v>-28</v>
      </c>
      <c r="CX37" s="1510">
        <v>-47</v>
      </c>
      <c r="CY37" s="1510">
        <v>-55</v>
      </c>
      <c r="CZ37" s="1171">
        <v>-37</v>
      </c>
      <c r="DA37" s="820">
        <f>SUM(CW37:CZ37)</f>
        <v>-167</v>
      </c>
      <c r="DB37" s="328">
        <v>-33</v>
      </c>
      <c r="DC37" s="1694">
        <v>-38</v>
      </c>
      <c r="DD37" s="1694">
        <v>0</v>
      </c>
      <c r="DE37" s="1694">
        <v>0</v>
      </c>
      <c r="DF37" s="820">
        <f>SUM(DB37:DE37)</f>
        <v>-71</v>
      </c>
      <c r="DG37" s="1694">
        <v>0</v>
      </c>
      <c r="DH37" s="1694">
        <v>0</v>
      </c>
      <c r="DI37" s="1694">
        <v>0</v>
      </c>
      <c r="DJ37" s="1694">
        <v>0</v>
      </c>
      <c r="DK37" s="1417">
        <f t="shared" si="43"/>
        <v>0</v>
      </c>
      <c r="DL37" s="1694">
        <v>0</v>
      </c>
      <c r="DM37" s="1694">
        <v>0</v>
      </c>
      <c r="DN37" s="1694"/>
      <c r="DO37" s="1696"/>
      <c r="DP37" s="1417">
        <f t="shared" si="44"/>
        <v>0</v>
      </c>
      <c r="DQ37" s="2341"/>
      <c r="DR37" s="317">
        <v>0</v>
      </c>
      <c r="DS37" s="317">
        <v>0</v>
      </c>
      <c r="DT37" s="1544">
        <v>0</v>
      </c>
      <c r="DU37" s="1417">
        <f t="shared" si="46"/>
        <v>0</v>
      </c>
      <c r="DV37" s="1820">
        <v>0</v>
      </c>
      <c r="DW37" s="317">
        <v>0</v>
      </c>
      <c r="DX37" s="317">
        <v>0</v>
      </c>
      <c r="DY37" s="1544">
        <v>0</v>
      </c>
      <c r="DZ37" s="1417">
        <f t="shared" si="48"/>
        <v>0</v>
      </c>
      <c r="EA37" s="1820">
        <v>0</v>
      </c>
      <c r="EB37" s="317">
        <v>0</v>
      </c>
      <c r="EC37" s="317">
        <v>0</v>
      </c>
      <c r="ED37" s="1544">
        <v>0</v>
      </c>
      <c r="EE37" s="1417">
        <f t="shared" si="50"/>
        <v>0</v>
      </c>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row>
    <row r="38" spans="2:232" s="54" customFormat="1">
      <c r="B38" s="561" t="s">
        <v>336</v>
      </c>
      <c r="C38" s="1240"/>
      <c r="D38" s="64"/>
      <c r="E38" s="64"/>
      <c r="F38" s="64"/>
      <c r="G38" s="64"/>
      <c r="H38" s="64"/>
      <c r="I38" s="64"/>
      <c r="J38" s="64"/>
      <c r="K38" s="538"/>
      <c r="L38" s="64"/>
      <c r="M38" s="64"/>
      <c r="N38" s="539"/>
      <c r="O38" s="619"/>
      <c r="P38" s="64"/>
      <c r="Q38" s="64"/>
      <c r="R38" s="64"/>
      <c r="S38" s="79"/>
      <c r="T38" s="64"/>
      <c r="U38" s="165"/>
      <c r="V38" s="64"/>
      <c r="W38" s="64"/>
      <c r="X38" s="79"/>
      <c r="Y38" s="64"/>
      <c r="Z38" s="165"/>
      <c r="AA38" s="64"/>
      <c r="AB38" s="64"/>
      <c r="AC38" s="79"/>
      <c r="AD38" s="64"/>
      <c r="AE38" s="165"/>
      <c r="AF38" s="64"/>
      <c r="AG38" s="64"/>
      <c r="AH38" s="79"/>
      <c r="AI38" s="64"/>
      <c r="AJ38" s="165"/>
      <c r="AK38" s="64"/>
      <c r="AL38" s="64"/>
      <c r="AM38" s="79"/>
      <c r="AN38" s="64"/>
      <c r="AO38" s="165"/>
      <c r="AP38" s="64"/>
      <c r="AQ38" s="64"/>
      <c r="AR38" s="79"/>
      <c r="AS38" s="64"/>
      <c r="AT38" s="165"/>
      <c r="AU38" s="64"/>
      <c r="AV38" s="64"/>
      <c r="AW38" s="79"/>
      <c r="AX38" s="64"/>
      <c r="AY38" s="165"/>
      <c r="AZ38" s="64"/>
      <c r="BA38" s="64"/>
      <c r="BB38" s="79"/>
      <c r="BC38" s="64"/>
      <c r="BD38" s="165"/>
      <c r="BE38" s="64"/>
      <c r="BF38" s="64"/>
      <c r="BG38" s="79"/>
      <c r="BH38" s="64"/>
      <c r="BI38" s="165"/>
      <c r="BJ38" s="64"/>
      <c r="BK38" s="64"/>
      <c r="BL38" s="79"/>
      <c r="BM38" s="64"/>
      <c r="BN38" s="165"/>
      <c r="BO38" s="64"/>
      <c r="BP38" s="64"/>
      <c r="BQ38" s="79"/>
      <c r="BR38" s="304">
        <v>0</v>
      </c>
      <c r="BS38" s="165"/>
      <c r="BT38" s="64"/>
      <c r="BU38" s="64"/>
      <c r="BV38" s="79"/>
      <c r="BW38" s="304">
        <v>0</v>
      </c>
      <c r="BX38" s="327"/>
      <c r="BY38" s="64"/>
      <c r="BZ38" s="64"/>
      <c r="CA38" s="79"/>
      <c r="CB38" s="304">
        <f>SUM(BX38:CA38)</f>
        <v>0</v>
      </c>
      <c r="CC38" s="327"/>
      <c r="CD38" s="328"/>
      <c r="CE38" s="317"/>
      <c r="CF38" s="317"/>
      <c r="CG38" s="820">
        <f>SUM(CC38:CF38)</f>
        <v>0</v>
      </c>
      <c r="CH38" s="328"/>
      <c r="CI38" s="328"/>
      <c r="CJ38" s="317"/>
      <c r="CK38" s="317"/>
      <c r="CL38" s="820">
        <f>SUM(CH38:CK38)</f>
        <v>0</v>
      </c>
      <c r="CM38" s="330">
        <v>0</v>
      </c>
      <c r="CN38" s="330">
        <v>0</v>
      </c>
      <c r="CO38" s="330">
        <v>-12</v>
      </c>
      <c r="CP38" s="329">
        <v>-70</v>
      </c>
      <c r="CQ38" s="820">
        <f>SUM(CM38:CP38)</f>
        <v>-82</v>
      </c>
      <c r="CR38" s="330">
        <v>-23</v>
      </c>
      <c r="CS38" s="330">
        <v>-13</v>
      </c>
      <c r="CT38" s="1171">
        <v>-17</v>
      </c>
      <c r="CU38" s="1171">
        <v>-7</v>
      </c>
      <c r="CV38" s="820">
        <f>SUM(CR38:CU38)</f>
        <v>-60</v>
      </c>
      <c r="CW38" s="1511">
        <v>-16</v>
      </c>
      <c r="CX38" s="1511">
        <v>-11</v>
      </c>
      <c r="CY38" s="1511">
        <v>-14</v>
      </c>
      <c r="CZ38" s="1171">
        <v>-13</v>
      </c>
      <c r="DA38" s="820">
        <f>SUM(CW38:CZ38)</f>
        <v>-54</v>
      </c>
      <c r="DB38" s="328">
        <v>-16</v>
      </c>
      <c r="DC38" s="1694">
        <v>-43</v>
      </c>
      <c r="DD38" s="1694">
        <v>-3</v>
      </c>
      <c r="DE38" s="1694">
        <v>0</v>
      </c>
      <c r="DF38" s="820">
        <f>SUM(DB38:DE38)</f>
        <v>-62</v>
      </c>
      <c r="DG38" s="1694">
        <v>-24</v>
      </c>
      <c r="DH38" s="1694">
        <v>-24</v>
      </c>
      <c r="DI38" s="1694">
        <v>-19</v>
      </c>
      <c r="DJ38" s="1694">
        <v>-20</v>
      </c>
      <c r="DK38" s="1418">
        <f t="shared" si="43"/>
        <v>-87</v>
      </c>
      <c r="DL38" s="1694">
        <v>-17</v>
      </c>
      <c r="DM38" s="1694">
        <v>-29</v>
      </c>
      <c r="DN38" s="1694">
        <v>-29</v>
      </c>
      <c r="DO38" s="1696">
        <v>-399</v>
      </c>
      <c r="DP38" s="1418">
        <f t="shared" si="44"/>
        <v>-474</v>
      </c>
      <c r="DQ38" s="2341">
        <v>-51</v>
      </c>
      <c r="DR38" s="332">
        <f t="shared" ref="DR38:DT38" si="54">-DR26</f>
        <v>-213</v>
      </c>
      <c r="DS38" s="332">
        <f t="shared" si="54"/>
        <v>-213</v>
      </c>
      <c r="DT38" s="1822">
        <f t="shared" si="54"/>
        <v>-213</v>
      </c>
      <c r="DU38" s="1418">
        <f t="shared" si="46"/>
        <v>-690</v>
      </c>
      <c r="DV38" s="1821">
        <f>-DV26</f>
        <v>-213</v>
      </c>
      <c r="DW38" s="332">
        <f t="shared" ref="DW38:DY38" si="55">-DW26</f>
        <v>-213</v>
      </c>
      <c r="DX38" s="332">
        <f t="shared" si="55"/>
        <v>-213</v>
      </c>
      <c r="DY38" s="1822">
        <f t="shared" si="55"/>
        <v>-213</v>
      </c>
      <c r="DZ38" s="1418">
        <f t="shared" si="48"/>
        <v>-852</v>
      </c>
      <c r="EA38" s="1821">
        <v>0</v>
      </c>
      <c r="EB38" s="332">
        <v>0</v>
      </c>
      <c r="EC38" s="332">
        <v>0</v>
      </c>
      <c r="ED38" s="1822">
        <v>0</v>
      </c>
      <c r="EE38" s="1418">
        <f t="shared" si="50"/>
        <v>0</v>
      </c>
      <c r="EF38" s="332"/>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row>
    <row r="39" spans="2:232" s="64" customFormat="1">
      <c r="B39" s="561" t="s">
        <v>39</v>
      </c>
      <c r="C39" s="1240"/>
      <c r="K39" s="538"/>
      <c r="N39" s="539"/>
      <c r="O39" s="619"/>
      <c r="S39" s="79"/>
      <c r="U39" s="165"/>
      <c r="X39" s="79"/>
      <c r="Z39" s="165"/>
      <c r="AC39" s="79"/>
      <c r="AE39" s="165"/>
      <c r="AH39" s="79"/>
      <c r="AJ39" s="165"/>
      <c r="AM39" s="79"/>
      <c r="AO39" s="165"/>
      <c r="AR39" s="79"/>
      <c r="AT39" s="165"/>
      <c r="AW39" s="79"/>
      <c r="AY39" s="165"/>
      <c r="BB39" s="79"/>
      <c r="BD39" s="165"/>
      <c r="BG39" s="79"/>
      <c r="BI39" s="165"/>
      <c r="BL39" s="79"/>
      <c r="BN39" s="165"/>
      <c r="BQ39" s="79"/>
      <c r="BR39" s="304">
        <v>0</v>
      </c>
      <c r="BS39" s="165"/>
      <c r="BV39" s="79"/>
      <c r="BW39" s="304">
        <v>0</v>
      </c>
      <c r="BX39" s="327"/>
      <c r="CA39" s="79"/>
      <c r="CB39" s="304">
        <f>SUM(BX39:CA39)</f>
        <v>0</v>
      </c>
      <c r="CC39" s="327"/>
      <c r="CD39" s="328"/>
      <c r="CE39" s="317">
        <v>-43</v>
      </c>
      <c r="CF39" s="317"/>
      <c r="CG39" s="820">
        <f>SUM(CC39:CF39)</f>
        <v>-43</v>
      </c>
      <c r="CH39" s="328"/>
      <c r="CI39" s="328"/>
      <c r="CJ39" s="317"/>
      <c r="CK39" s="317">
        <v>273</v>
      </c>
      <c r="CL39" s="820">
        <f>SUM(CH39:CK39)</f>
        <v>273</v>
      </c>
      <c r="CM39" s="330">
        <v>0</v>
      </c>
      <c r="CN39" s="330">
        <v>0</v>
      </c>
      <c r="CO39" s="330">
        <v>0</v>
      </c>
      <c r="CP39" s="329">
        <v>0</v>
      </c>
      <c r="CQ39" s="820">
        <f>SUM(CM39:CP39)</f>
        <v>0</v>
      </c>
      <c r="CR39" s="330">
        <v>-24</v>
      </c>
      <c r="CS39" s="330">
        <v>13</v>
      </c>
      <c r="CT39" s="1171">
        <f>-47+48</f>
        <v>1</v>
      </c>
      <c r="CU39" s="1171">
        <f>62-8</f>
        <v>54</v>
      </c>
      <c r="CV39" s="820">
        <f>SUM(CR39:CU39)</f>
        <v>44</v>
      </c>
      <c r="CW39" s="1511">
        <f>161-15</f>
        <v>146</v>
      </c>
      <c r="CX39" s="1511">
        <f>26-1</f>
        <v>25</v>
      </c>
      <c r="CY39" s="1511">
        <f>67-68</f>
        <v>-1</v>
      </c>
      <c r="CZ39" s="1171">
        <f>97-866-(74+21)+6</f>
        <v>-858</v>
      </c>
      <c r="DA39" s="820">
        <f>SUM(CW39:CZ39)</f>
        <v>-688</v>
      </c>
      <c r="DB39" s="1171">
        <v>242</v>
      </c>
      <c r="DC39" s="328">
        <f>814+376-70-78-12-21+69</f>
        <v>1078</v>
      </c>
      <c r="DD39" s="328">
        <f>-114-5-12+320+129-19</f>
        <v>299</v>
      </c>
      <c r="DE39" s="328">
        <f>-224-62+1-143-408+5+54-29</f>
        <v>-806</v>
      </c>
      <c r="DF39" s="820">
        <f>SUM(DB39:DE39)</f>
        <v>813</v>
      </c>
      <c r="DG39" s="328">
        <f>-64-41+178+20</f>
        <v>93</v>
      </c>
      <c r="DH39" s="328">
        <f>-379-20-21+40+32</f>
        <v>-348</v>
      </c>
      <c r="DI39" s="328">
        <f>-259+268-73+4+87</f>
        <v>27</v>
      </c>
      <c r="DJ39" s="328">
        <f>-233-47-16+328-49-42</f>
        <v>-59</v>
      </c>
      <c r="DK39" s="1418">
        <f t="shared" si="43"/>
        <v>-287</v>
      </c>
      <c r="DL39" s="328">
        <f>-41-41+1-81</f>
        <v>-162</v>
      </c>
      <c r="DM39" s="328">
        <f>-340-37-15-48</f>
        <v>-440</v>
      </c>
      <c r="DN39" s="328">
        <f>-171-17-1-34</f>
        <v>-223</v>
      </c>
      <c r="DO39" s="317">
        <f>-243+11-33-92-80</f>
        <v>-437</v>
      </c>
      <c r="DP39" s="1418">
        <f t="shared" si="44"/>
        <v>-1262</v>
      </c>
      <c r="DQ39" s="2342">
        <f>-189-83-25-136-24</f>
        <v>-457</v>
      </c>
      <c r="DR39" s="332">
        <v>0</v>
      </c>
      <c r="DS39" s="332">
        <v>0</v>
      </c>
      <c r="DT39" s="332">
        <v>0</v>
      </c>
      <c r="DU39" s="1418">
        <f t="shared" si="46"/>
        <v>-457</v>
      </c>
      <c r="DV39" s="1821">
        <v>0</v>
      </c>
      <c r="DW39" s="332">
        <v>0</v>
      </c>
      <c r="DX39" s="332">
        <v>0</v>
      </c>
      <c r="DY39" s="1822">
        <v>0</v>
      </c>
      <c r="DZ39" s="1418">
        <f t="shared" si="48"/>
        <v>0</v>
      </c>
      <c r="EA39" s="1821">
        <v>0</v>
      </c>
      <c r="EB39" s="332">
        <v>0</v>
      </c>
      <c r="EC39" s="332">
        <v>0</v>
      </c>
      <c r="ED39" s="1822">
        <v>0</v>
      </c>
      <c r="EE39" s="1418">
        <f t="shared" si="50"/>
        <v>0</v>
      </c>
      <c r="EF39" s="2303"/>
      <c r="EG39" s="38"/>
      <c r="EH39"/>
      <c r="EI39"/>
      <c r="EJ39"/>
      <c r="EK39"/>
      <c r="EL39"/>
      <c r="EM39"/>
      <c r="EN39" s="38"/>
      <c r="EO39" s="38"/>
      <c r="EP39" s="38"/>
      <c r="EQ39" s="38"/>
      <c r="ER39" s="38"/>
      <c r="ES39" s="38"/>
      <c r="ET39" s="38"/>
      <c r="EU39" s="38"/>
      <c r="EV39" s="38"/>
      <c r="EW39" s="38"/>
      <c r="EX39" s="38"/>
      <c r="EY39" s="38"/>
      <c r="EZ39" s="38"/>
      <c r="FA39" s="38"/>
      <c r="FB39" s="38"/>
      <c r="FC39" s="38"/>
      <c r="FD39" s="38"/>
      <c r="FE39" s="38"/>
      <c r="FF39" s="38"/>
      <c r="FG39" s="38"/>
      <c r="FH39" s="38"/>
      <c r="FI39" s="38"/>
      <c r="FJ39" s="38"/>
      <c r="FK39" s="38"/>
      <c r="FL39" s="38"/>
      <c r="FM39" s="38"/>
      <c r="FN39" s="38"/>
      <c r="FO39" s="38"/>
      <c r="FP39" s="38"/>
      <c r="FQ39" s="38"/>
      <c r="FR39" s="38"/>
      <c r="FS39" s="38"/>
      <c r="FT39" s="38"/>
      <c r="FU39" s="38"/>
      <c r="FV39" s="38"/>
      <c r="FW39" s="38"/>
      <c r="FX39" s="38"/>
      <c r="FY39" s="38"/>
      <c r="FZ39" s="38"/>
      <c r="GA39" s="38"/>
      <c r="GB39" s="38"/>
      <c r="GC39" s="38"/>
      <c r="GD39" s="38"/>
      <c r="GE39" s="38"/>
      <c r="GF39" s="38"/>
      <c r="GG39" s="38"/>
      <c r="GH39" s="38"/>
      <c r="GI39" s="38"/>
      <c r="GJ39" s="38"/>
      <c r="GK39" s="38"/>
      <c r="GL39" s="38"/>
      <c r="GM39" s="38"/>
      <c r="GN39" s="38"/>
      <c r="GO39" s="38"/>
      <c r="GP39" s="38"/>
      <c r="GQ39" s="38"/>
      <c r="GR39" s="38"/>
      <c r="GS39" s="38"/>
      <c r="GT39" s="38"/>
      <c r="GU39" s="38"/>
      <c r="GV39" s="38"/>
      <c r="GW39" s="38"/>
      <c r="GX39" s="38"/>
      <c r="GY39" s="38"/>
      <c r="GZ39" s="38"/>
      <c r="HA39" s="38"/>
      <c r="HB39" s="38"/>
      <c r="HC39" s="38"/>
      <c r="HD39" s="38"/>
      <c r="HE39" s="38"/>
      <c r="HF39" s="38"/>
      <c r="HG39" s="38"/>
      <c r="HH39" s="38"/>
      <c r="HI39" s="38"/>
      <c r="HJ39" s="38"/>
      <c r="HK39" s="38"/>
      <c r="HL39" s="38"/>
      <c r="HM39" s="38"/>
      <c r="HN39" s="38"/>
      <c r="HO39" s="38"/>
      <c r="HP39" s="38"/>
      <c r="HQ39" s="38"/>
      <c r="HR39" s="38"/>
      <c r="HS39" s="38"/>
      <c r="HT39" s="38"/>
      <c r="HU39" s="38"/>
      <c r="HV39" s="38"/>
      <c r="HW39" s="38"/>
      <c r="HX39" s="38"/>
    </row>
    <row r="40" spans="2:232" s="64" customFormat="1">
      <c r="B40" s="1508" t="s">
        <v>591</v>
      </c>
      <c r="C40" s="1244"/>
      <c r="D40" s="270"/>
      <c r="E40" s="270"/>
      <c r="F40" s="270"/>
      <c r="G40" s="270"/>
      <c r="H40" s="270"/>
      <c r="I40" s="270"/>
      <c r="J40" s="270"/>
      <c r="K40" s="573"/>
      <c r="L40" s="270"/>
      <c r="M40" s="270"/>
      <c r="N40" s="571"/>
      <c r="O40" s="616"/>
      <c r="P40" s="270"/>
      <c r="Q40" s="270"/>
      <c r="R40" s="270"/>
      <c r="S40" s="271"/>
      <c r="T40" s="270"/>
      <c r="U40" s="653"/>
      <c r="V40" s="270"/>
      <c r="W40" s="270"/>
      <c r="X40" s="271"/>
      <c r="Y40" s="270"/>
      <c r="Z40" s="653"/>
      <c r="AA40" s="270"/>
      <c r="AB40" s="270"/>
      <c r="AC40" s="271"/>
      <c r="AD40" s="270"/>
      <c r="AE40" s="653"/>
      <c r="AF40" s="270"/>
      <c r="AG40" s="270"/>
      <c r="AH40" s="271"/>
      <c r="AI40" s="270"/>
      <c r="AJ40" s="653"/>
      <c r="AK40" s="270"/>
      <c r="AL40" s="270"/>
      <c r="AM40" s="271"/>
      <c r="AN40" s="270"/>
      <c r="AO40" s="653"/>
      <c r="AP40" s="270"/>
      <c r="AQ40" s="270"/>
      <c r="AR40" s="271"/>
      <c r="AS40" s="270"/>
      <c r="AT40" s="653"/>
      <c r="AU40" s="270"/>
      <c r="AV40" s="270"/>
      <c r="AW40" s="271"/>
      <c r="AX40" s="270"/>
      <c r="AY40" s="653"/>
      <c r="AZ40" s="270"/>
      <c r="BA40" s="270"/>
      <c r="BB40" s="271"/>
      <c r="BC40" s="270"/>
      <c r="BD40" s="653"/>
      <c r="BE40" s="270"/>
      <c r="BF40" s="270"/>
      <c r="BG40" s="271"/>
      <c r="BH40" s="270"/>
      <c r="BI40" s="653"/>
      <c r="BJ40" s="270"/>
      <c r="BK40" s="270"/>
      <c r="BL40" s="271"/>
      <c r="BM40" s="270"/>
      <c r="BN40" s="653"/>
      <c r="BO40" s="270"/>
      <c r="BP40" s="270"/>
      <c r="BQ40" s="271"/>
      <c r="BR40" s="629"/>
      <c r="BS40" s="653"/>
      <c r="BT40" s="270"/>
      <c r="BU40" s="270"/>
      <c r="BV40" s="271"/>
      <c r="BW40" s="629"/>
      <c r="BX40" s="654"/>
      <c r="BY40" s="270"/>
      <c r="BZ40" s="270"/>
      <c r="CA40" s="270"/>
      <c r="CB40" s="629"/>
      <c r="CC40" s="654"/>
      <c r="CD40" s="654"/>
      <c r="CE40" s="655"/>
      <c r="CF40" s="655"/>
      <c r="CG40" s="823"/>
      <c r="CH40" s="654"/>
      <c r="CI40" s="654"/>
      <c r="CJ40" s="655"/>
      <c r="CK40" s="655"/>
      <c r="CL40" s="823"/>
      <c r="CM40" s="656"/>
      <c r="CN40" s="656"/>
      <c r="CO40" s="656"/>
      <c r="CP40" s="828"/>
      <c r="CQ40" s="823"/>
      <c r="CR40" s="656"/>
      <c r="CS40" s="656"/>
      <c r="CT40" s="632"/>
      <c r="CU40" s="632"/>
      <c r="CV40" s="823"/>
      <c r="CW40" s="1512"/>
      <c r="CX40" s="1512"/>
      <c r="CY40" s="1512"/>
      <c r="CZ40" s="632"/>
      <c r="DA40" s="823"/>
      <c r="DB40" s="632"/>
      <c r="DC40" s="654"/>
      <c r="DD40" s="654"/>
      <c r="DE40" s="654"/>
      <c r="DF40" s="823"/>
      <c r="DG40" s="654"/>
      <c r="DH40" s="654"/>
      <c r="DI40" s="654"/>
      <c r="DJ40" s="654">
        <v>42</v>
      </c>
      <c r="DK40" s="1418">
        <f t="shared" si="43"/>
        <v>42</v>
      </c>
      <c r="DL40" s="654">
        <f>77+95</f>
        <v>172</v>
      </c>
      <c r="DM40" s="654">
        <v>184</v>
      </c>
      <c r="DN40" s="654">
        <v>153</v>
      </c>
      <c r="DO40" s="655">
        <v>300</v>
      </c>
      <c r="DP40" s="1418">
        <f t="shared" si="44"/>
        <v>809</v>
      </c>
      <c r="DQ40" s="654">
        <f>50+123</f>
        <v>173</v>
      </c>
      <c r="DR40" s="657">
        <f t="shared" ref="DR40:DT40" si="56">-SUM(DR35:DR39)*DR30</f>
        <v>76.34</v>
      </c>
      <c r="DS40" s="657">
        <f t="shared" si="56"/>
        <v>60.724999999999994</v>
      </c>
      <c r="DT40" s="1824">
        <f t="shared" si="56"/>
        <v>45.5</v>
      </c>
      <c r="DU40" s="1419">
        <f t="shared" si="46"/>
        <v>355.565</v>
      </c>
      <c r="DV40" s="1823">
        <f t="shared" ref="DV40" si="57">-SUM(DV35:DV39)*DV30</f>
        <v>61.599999999999994</v>
      </c>
      <c r="DW40" s="657">
        <f t="shared" ref="DW40" si="58">-SUM(DW35:DW39)*DW30</f>
        <v>60.724999999999994</v>
      </c>
      <c r="DX40" s="657">
        <f t="shared" ref="DX40" si="59">-SUM(DX35:DX39)*DX30</f>
        <v>60.724999999999994</v>
      </c>
      <c r="DY40" s="1824">
        <f t="shared" ref="DY40" si="60">-SUM(DY35:DY39)*DY30</f>
        <v>45.5</v>
      </c>
      <c r="DZ40" s="1419">
        <f t="shared" si="48"/>
        <v>228.54999999999998</v>
      </c>
      <c r="EA40" s="1823">
        <f t="shared" ref="EA40:ED40" ca="1" si="61">-SUM(EA35:EA39)*EA30</f>
        <v>24.325000000000088</v>
      </c>
      <c r="EB40" s="657">
        <f t="shared" ca="1" si="61"/>
        <v>23.450000000000085</v>
      </c>
      <c r="EC40" s="657">
        <f t="shared" ca="1" si="61"/>
        <v>23.450000000000085</v>
      </c>
      <c r="ED40" s="1824">
        <f t="shared" ca="1" si="61"/>
        <v>8.2250000000000298</v>
      </c>
      <c r="EE40" s="1419">
        <f t="shared" ca="1" si="50"/>
        <v>79.450000000000301</v>
      </c>
      <c r="EF40" s="2307"/>
      <c r="EG40" s="38"/>
      <c r="EH40"/>
      <c r="EI40"/>
      <c r="EJ40"/>
      <c r="EK40"/>
      <c r="EL40"/>
      <c r="EM40"/>
      <c r="EN40" s="38"/>
      <c r="EO40" s="38"/>
      <c r="EP40" s="38"/>
      <c r="EQ40" s="38"/>
      <c r="ER40" s="38"/>
      <c r="ES40" s="38"/>
      <c r="ET40" s="38"/>
      <c r="EU40" s="38"/>
      <c r="EV40" s="38"/>
      <c r="EW40" s="38"/>
      <c r="EX40" s="38"/>
      <c r="EY40" s="38"/>
      <c r="EZ40" s="38"/>
      <c r="FA40" s="38"/>
      <c r="FB40" s="38"/>
      <c r="FC40" s="38"/>
      <c r="FD40" s="38"/>
      <c r="FE40" s="38"/>
      <c r="FF40" s="38"/>
      <c r="FG40" s="38"/>
      <c r="FH40" s="38"/>
      <c r="FI40" s="38"/>
      <c r="FJ40" s="38"/>
      <c r="FK40" s="38"/>
      <c r="FL40" s="38"/>
      <c r="FM40" s="38"/>
      <c r="FN40" s="38"/>
      <c r="FO40" s="38"/>
      <c r="FP40" s="38"/>
      <c r="FQ40" s="38"/>
      <c r="FR40" s="38"/>
      <c r="FS40" s="38"/>
      <c r="FT40" s="38"/>
      <c r="FU40" s="38"/>
      <c r="FV40" s="38"/>
      <c r="FW40" s="38"/>
      <c r="FX40" s="38"/>
      <c r="FY40" s="38"/>
      <c r="FZ40" s="38"/>
      <c r="GA40" s="38"/>
      <c r="GB40" s="38"/>
      <c r="GC40" s="38"/>
      <c r="GD40" s="38"/>
      <c r="GE40" s="38"/>
      <c r="GF40" s="38"/>
      <c r="GG40" s="38"/>
      <c r="GH40" s="38"/>
      <c r="GI40" s="38"/>
      <c r="GJ40" s="38"/>
      <c r="GK40" s="38"/>
      <c r="GL40" s="38"/>
      <c r="GM40" s="38"/>
      <c r="GN40" s="38"/>
      <c r="GO40" s="38"/>
      <c r="GP40" s="38"/>
      <c r="GQ40" s="38"/>
      <c r="GR40" s="38"/>
      <c r="GS40" s="38"/>
      <c r="GT40" s="38"/>
      <c r="GU40" s="38"/>
      <c r="GV40" s="38"/>
      <c r="GW40" s="38"/>
      <c r="GX40" s="38"/>
      <c r="GY40" s="38"/>
      <c r="GZ40" s="38"/>
      <c r="HA40" s="38"/>
      <c r="HB40" s="38"/>
      <c r="HC40" s="38"/>
      <c r="HD40" s="38"/>
      <c r="HE40" s="38"/>
      <c r="HF40" s="38"/>
      <c r="HG40" s="38"/>
      <c r="HH40" s="38"/>
      <c r="HI40" s="38"/>
      <c r="HJ40" s="38"/>
      <c r="HK40" s="38"/>
      <c r="HL40" s="38"/>
      <c r="HM40" s="38"/>
      <c r="HN40" s="38"/>
      <c r="HO40" s="38"/>
      <c r="HP40" s="38"/>
      <c r="HQ40" s="38"/>
      <c r="HR40" s="38"/>
      <c r="HS40" s="38"/>
      <c r="HT40" s="38"/>
      <c r="HU40" s="38"/>
      <c r="HV40" s="38"/>
      <c r="HW40" s="38"/>
      <c r="HX40" s="38"/>
    </row>
    <row r="41" spans="2:232" s="68" customFormat="1" ht="12" thickBot="1">
      <c r="B41" s="578" t="s">
        <v>282</v>
      </c>
      <c r="C41" s="1246"/>
      <c r="D41" s="956">
        <f t="shared" ref="D41:AI41" si="62">D33-D36</f>
        <v>154.24200000000019</v>
      </c>
      <c r="E41" s="956">
        <f t="shared" si="62"/>
        <v>174.577</v>
      </c>
      <c r="F41" s="956">
        <f t="shared" si="62"/>
        <v>194.965</v>
      </c>
      <c r="G41" s="956">
        <f t="shared" si="62"/>
        <v>220.62799999999947</v>
      </c>
      <c r="H41" s="956">
        <f t="shared" si="62"/>
        <v>221.66599999999971</v>
      </c>
      <c r="I41" s="956">
        <f t="shared" si="62"/>
        <v>281.92899999999969</v>
      </c>
      <c r="J41" s="956">
        <f t="shared" si="62"/>
        <v>320.79099999999971</v>
      </c>
      <c r="K41" s="955">
        <f t="shared" si="62"/>
        <v>63.654999999999667</v>
      </c>
      <c r="L41" s="956">
        <f t="shared" si="62"/>
        <v>132.26799999999994</v>
      </c>
      <c r="M41" s="957">
        <f t="shared" si="62"/>
        <v>95.135999999999825</v>
      </c>
      <c r="N41" s="1172">
        <f t="shared" si="62"/>
        <v>84.78899999999976</v>
      </c>
      <c r="O41" s="958">
        <f t="shared" si="62"/>
        <v>375.84799999999916</v>
      </c>
      <c r="P41" s="956">
        <f t="shared" si="62"/>
        <v>80.943999999999889</v>
      </c>
      <c r="Q41" s="956">
        <f t="shared" si="62"/>
        <v>156.68299999999971</v>
      </c>
      <c r="R41" s="957">
        <f t="shared" si="62"/>
        <v>112.43000000000005</v>
      </c>
      <c r="S41" s="1175">
        <f t="shared" si="62"/>
        <v>102.94999999999983</v>
      </c>
      <c r="T41" s="956">
        <f t="shared" si="62"/>
        <v>453.00699999999949</v>
      </c>
      <c r="U41" s="1176">
        <f t="shared" si="62"/>
        <v>67.478999999999814</v>
      </c>
      <c r="V41" s="956">
        <f t="shared" si="62"/>
        <v>180.73700000000005</v>
      </c>
      <c r="W41" s="957">
        <f t="shared" si="62"/>
        <v>142.31200000000024</v>
      </c>
      <c r="X41" s="1175">
        <f t="shared" si="62"/>
        <v>166.76499999999993</v>
      </c>
      <c r="Y41" s="956">
        <f t="shared" si="62"/>
        <v>557.29300000000012</v>
      </c>
      <c r="Z41" s="1176">
        <f t="shared" si="62"/>
        <v>117.89999999999991</v>
      </c>
      <c r="AA41" s="956">
        <f t="shared" si="62"/>
        <v>216.40000000000015</v>
      </c>
      <c r="AB41" s="957">
        <f t="shared" si="62"/>
        <v>175.09999999999954</v>
      </c>
      <c r="AC41" s="1175">
        <f t="shared" si="62"/>
        <v>159.90000000000003</v>
      </c>
      <c r="AD41" s="956">
        <f t="shared" si="62"/>
        <v>624.09999999999877</v>
      </c>
      <c r="AE41" s="1176">
        <f t="shared" si="62"/>
        <v>145.39999999999972</v>
      </c>
      <c r="AF41" s="956">
        <f t="shared" si="62"/>
        <v>238.90000000000006</v>
      </c>
      <c r="AG41" s="957">
        <f t="shared" si="62"/>
        <v>193.60000000000042</v>
      </c>
      <c r="AH41" s="1175">
        <f t="shared" si="62"/>
        <v>216.60000000000008</v>
      </c>
      <c r="AI41" s="956">
        <f t="shared" si="62"/>
        <v>794.50000000000023</v>
      </c>
      <c r="AJ41" s="1176">
        <f t="shared" ref="AJ41:BQ41" si="63">AJ33-AJ36</f>
        <v>158.39999999999947</v>
      </c>
      <c r="AK41" s="956">
        <f t="shared" si="63"/>
        <v>296.90000000000009</v>
      </c>
      <c r="AL41" s="957">
        <f t="shared" si="63"/>
        <v>213.39999999999955</v>
      </c>
      <c r="AM41" s="1175">
        <f t="shared" si="63"/>
        <v>216.9000000000004</v>
      </c>
      <c r="AN41" s="956">
        <f t="shared" si="63"/>
        <v>885.5999999999982</v>
      </c>
      <c r="AO41" s="1176">
        <f t="shared" si="63"/>
        <v>185.89999999999952</v>
      </c>
      <c r="AP41" s="956">
        <f t="shared" si="63"/>
        <v>326.59999999999968</v>
      </c>
      <c r="AQ41" s="957">
        <f t="shared" si="63"/>
        <v>258.99999999999989</v>
      </c>
      <c r="AR41" s="1175">
        <f t="shared" si="63"/>
        <v>247.70000000000005</v>
      </c>
      <c r="AS41" s="956">
        <f t="shared" si="63"/>
        <v>1008.1000000000001</v>
      </c>
      <c r="AT41" s="1176">
        <f t="shared" si="63"/>
        <v>204.49999999999983</v>
      </c>
      <c r="AU41" s="956">
        <f t="shared" si="63"/>
        <v>370.90000000000032</v>
      </c>
      <c r="AV41" s="957">
        <f t="shared" si="63"/>
        <v>272.20000000000005</v>
      </c>
      <c r="AW41" s="1175">
        <f t="shared" si="63"/>
        <v>276.19999999999959</v>
      </c>
      <c r="AX41" s="956">
        <f t="shared" si="63"/>
        <v>1165.100000000001</v>
      </c>
      <c r="AY41" s="1176">
        <f t="shared" si="63"/>
        <v>254.89999999999955</v>
      </c>
      <c r="AZ41" s="956">
        <f t="shared" si="63"/>
        <v>433.50000043593195</v>
      </c>
      <c r="BA41" s="957">
        <f t="shared" si="63"/>
        <v>344.60000000000031</v>
      </c>
      <c r="BB41" s="1175">
        <f t="shared" si="63"/>
        <v>316.80000000000098</v>
      </c>
      <c r="BC41" s="956">
        <f t="shared" si="63"/>
        <v>1349.8000004359283</v>
      </c>
      <c r="BD41" s="1176">
        <f t="shared" si="63"/>
        <v>328.60000000000036</v>
      </c>
      <c r="BE41" s="956">
        <f t="shared" si="63"/>
        <v>490.90000000000043</v>
      </c>
      <c r="BF41" s="957">
        <f t="shared" si="63"/>
        <v>411.0000000000008</v>
      </c>
      <c r="BG41" s="1175">
        <f t="shared" si="63"/>
        <v>328.99999999999932</v>
      </c>
      <c r="BH41" s="956">
        <f t="shared" si="63"/>
        <v>1559.5</v>
      </c>
      <c r="BI41" s="1176">
        <f t="shared" si="63"/>
        <v>345.60000000000014</v>
      </c>
      <c r="BJ41" s="956">
        <f t="shared" si="63"/>
        <v>523.50000000000102</v>
      </c>
      <c r="BK41" s="957">
        <f t="shared" si="63"/>
        <v>469.20000000000084</v>
      </c>
      <c r="BL41" s="1175">
        <f t="shared" si="63"/>
        <v>412.29999999999848</v>
      </c>
      <c r="BM41" s="956">
        <f t="shared" si="63"/>
        <v>1750.6000000000054</v>
      </c>
      <c r="BN41" s="1176">
        <f t="shared" si="63"/>
        <v>431.70000000000056</v>
      </c>
      <c r="BO41" s="956">
        <f t="shared" si="63"/>
        <v>651.900000000001</v>
      </c>
      <c r="BP41" s="957">
        <f t="shared" si="63"/>
        <v>561.19999999999891</v>
      </c>
      <c r="BQ41" s="1175">
        <f t="shared" si="63"/>
        <v>396.49999999999909</v>
      </c>
      <c r="BR41" s="1174">
        <f>BR33-BR35-BR36</f>
        <v>2041.0999999999935</v>
      </c>
      <c r="BS41" s="1176">
        <f>BS33-BS36</f>
        <v>455.59999999999962</v>
      </c>
      <c r="BT41" s="956">
        <f>BT33-BT36</f>
        <v>685.30000000000041</v>
      </c>
      <c r="BU41" s="957">
        <f>BU33-BU36</f>
        <v>573.20000000000073</v>
      </c>
      <c r="BV41" s="1175">
        <f>BV33-BV36</f>
        <v>443.3310000000003</v>
      </c>
      <c r="BW41" s="1174">
        <f>BW33-BW35-BW36</f>
        <v>2028.5299999999947</v>
      </c>
      <c r="BX41" s="956">
        <f t="shared" ref="BX41:CV41" si="64">BX31-SUM(BX35:BX39)</f>
        <v>408</v>
      </c>
      <c r="BY41" s="956">
        <f t="shared" si="64"/>
        <v>640</v>
      </c>
      <c r="BZ41" s="957">
        <f t="shared" si="64"/>
        <v>522</v>
      </c>
      <c r="CA41" s="957">
        <f t="shared" si="64"/>
        <v>436</v>
      </c>
      <c r="CB41" s="1173">
        <f t="shared" si="64"/>
        <v>2006</v>
      </c>
      <c r="CC41" s="956">
        <f t="shared" si="64"/>
        <v>534</v>
      </c>
      <c r="CD41" s="956">
        <f t="shared" si="64"/>
        <v>710</v>
      </c>
      <c r="CE41" s="957">
        <f t="shared" si="64"/>
        <v>550</v>
      </c>
      <c r="CF41" s="957">
        <f t="shared" si="64"/>
        <v>543</v>
      </c>
      <c r="CG41" s="1173">
        <f t="shared" si="64"/>
        <v>2337</v>
      </c>
      <c r="CH41" s="956">
        <f t="shared" si="64"/>
        <v>639</v>
      </c>
      <c r="CI41" s="956">
        <f t="shared" si="64"/>
        <v>802</v>
      </c>
      <c r="CJ41" s="957">
        <f t="shared" si="64"/>
        <v>670</v>
      </c>
      <c r="CK41" s="957">
        <f t="shared" si="64"/>
        <v>599</v>
      </c>
      <c r="CL41" s="1173">
        <f t="shared" si="64"/>
        <v>2710</v>
      </c>
      <c r="CM41" s="956">
        <f t="shared" si="64"/>
        <v>619</v>
      </c>
      <c r="CN41" s="956">
        <f t="shared" si="64"/>
        <v>767</v>
      </c>
      <c r="CO41" s="957">
        <f t="shared" si="64"/>
        <v>628</v>
      </c>
      <c r="CP41" s="957">
        <f t="shared" si="64"/>
        <v>553</v>
      </c>
      <c r="CQ41" s="1173">
        <f t="shared" si="64"/>
        <v>2567</v>
      </c>
      <c r="CR41" s="956">
        <f t="shared" si="64"/>
        <v>553</v>
      </c>
      <c r="CS41" s="956">
        <f t="shared" si="64"/>
        <v>915</v>
      </c>
      <c r="CT41" s="957">
        <f t="shared" si="64"/>
        <v>812</v>
      </c>
      <c r="CU41" s="957">
        <f t="shared" si="64"/>
        <v>702</v>
      </c>
      <c r="CV41" s="1173">
        <f t="shared" si="64"/>
        <v>2982</v>
      </c>
      <c r="CW41" s="956">
        <f t="shared" ref="CW41:DF41" si="65">CW33-SUM(CW35:CW39)</f>
        <v>688</v>
      </c>
      <c r="CX41" s="1531">
        <f t="shared" si="65"/>
        <v>880</v>
      </c>
      <c r="CY41" s="1531">
        <f>CY33-SUM(CY35:CY39)</f>
        <v>883</v>
      </c>
      <c r="CZ41" s="957">
        <f t="shared" si="65"/>
        <v>714</v>
      </c>
      <c r="DA41" s="1173">
        <f t="shared" si="65"/>
        <v>3165</v>
      </c>
      <c r="DB41" s="956">
        <f t="shared" si="65"/>
        <v>749</v>
      </c>
      <c r="DC41" s="956">
        <f t="shared" si="65"/>
        <v>1244</v>
      </c>
      <c r="DD41" s="956">
        <f t="shared" si="65"/>
        <v>1123</v>
      </c>
      <c r="DE41" s="956">
        <f>DE33-SUM(DE35:DE39)</f>
        <v>969</v>
      </c>
      <c r="DF41" s="1173">
        <f t="shared" si="65"/>
        <v>4085</v>
      </c>
      <c r="DG41" s="956">
        <f>DG33-SUM(DG35:DG39)</f>
        <v>1132</v>
      </c>
      <c r="DH41" s="956">
        <f>DH33-SUM(DH35:DH39)</f>
        <v>1423</v>
      </c>
      <c r="DI41" s="956">
        <f>DI33-SUM(DI35:DI39)</f>
        <v>1288</v>
      </c>
      <c r="DJ41" s="956">
        <f t="shared" ref="DJ41:DP41" si="66">DJ33-SUM(DJ35:DJ40)</f>
        <v>1166</v>
      </c>
      <c r="DK41" s="2204">
        <f t="shared" si="66"/>
        <v>5009</v>
      </c>
      <c r="DL41" s="956">
        <f t="shared" si="66"/>
        <v>1201</v>
      </c>
      <c r="DM41" s="956">
        <f t="shared" si="66"/>
        <v>1476</v>
      </c>
      <c r="DN41" s="956">
        <f t="shared" ref="DN41" si="67">DN33-SUM(DN35:DN40)</f>
        <v>1441</v>
      </c>
      <c r="DO41" s="956">
        <f t="shared" ref="DO41:DQ41" si="68">DO33-SUM(DO35:DO40)</f>
        <v>1385</v>
      </c>
      <c r="DP41" s="2204">
        <f t="shared" si="66"/>
        <v>5503</v>
      </c>
      <c r="DQ41" s="956">
        <f t="shared" si="68"/>
        <v>1295</v>
      </c>
      <c r="DR41" s="1174">
        <f t="shared" ref="DR41:DZ41" ca="1" si="69">DR33-SUM(DR35:DR40)</f>
        <v>1534.1932926178474</v>
      </c>
      <c r="DS41" s="1174">
        <f t="shared" ca="1" si="69"/>
        <v>1505.9410997368495</v>
      </c>
      <c r="DT41" s="1759">
        <f t="shared" ca="1" si="69"/>
        <v>1428.5770615493066</v>
      </c>
      <c r="DU41" s="1173">
        <f t="shared" ca="1" si="69"/>
        <v>5763.711453904014</v>
      </c>
      <c r="DV41" s="1758">
        <f t="shared" ca="1" si="69"/>
        <v>1401.6215331997109</v>
      </c>
      <c r="DW41" s="1174">
        <f t="shared" ca="1" si="69"/>
        <v>1656.4289374137215</v>
      </c>
      <c r="DX41" s="1174">
        <f t="shared" ca="1" si="69"/>
        <v>1675.2470796763214</v>
      </c>
      <c r="DY41" s="1759">
        <f t="shared" ca="1" si="69"/>
        <v>1634.497229414048</v>
      </c>
      <c r="DZ41" s="1173">
        <f t="shared" ca="1" si="69"/>
        <v>6367.7947797037805</v>
      </c>
      <c r="EA41" s="1758">
        <f t="shared" ref="EA41:EE41" ca="1" si="70">EA33-SUM(EA35:EA40)</f>
        <v>1446.9545027976137</v>
      </c>
      <c r="EB41" s="1174">
        <f t="shared" ca="1" si="70"/>
        <v>1679.9419307136095</v>
      </c>
      <c r="EC41" s="1174">
        <f t="shared" ca="1" si="70"/>
        <v>1713.0647830979533</v>
      </c>
      <c r="ED41" s="1759">
        <f t="shared" ca="1" si="70"/>
        <v>1675.234876386771</v>
      </c>
      <c r="EE41" s="1173">
        <f t="shared" ca="1" si="70"/>
        <v>6515.1960929959605</v>
      </c>
      <c r="EF41" s="1"/>
      <c r="EG41" s="1"/>
      <c r="EH41"/>
      <c r="EI41"/>
      <c r="EJ41"/>
      <c r="EK41"/>
      <c r="EL41"/>
      <c r="EM41"/>
      <c r="EN41" s="1"/>
      <c r="EO41" s="1"/>
      <c r="EP41" s="1"/>
      <c r="EQ41" s="1"/>
      <c r="ER41" s="1"/>
      <c r="ES41" s="1"/>
      <c r="ET41" s="1"/>
      <c r="EU41" s="1"/>
      <c r="EV41" s="1"/>
      <c r="EW41" s="1"/>
      <c r="EX41" s="1"/>
      <c r="EY41" s="1"/>
      <c r="EZ41" s="1"/>
      <c r="FA41" s="1"/>
      <c r="FB41" s="1"/>
      <c r="FC41" s="1"/>
      <c r="FD41" s="1"/>
      <c r="FE41" s="1"/>
      <c r="FF41" s="1"/>
      <c r="FG41" s="1"/>
      <c r="FH41" s="1"/>
      <c r="FI41" s="1"/>
      <c r="FJ41" s="1"/>
      <c r="FK41" s="1"/>
      <c r="FL41" s="1"/>
      <c r="FM41" s="1"/>
      <c r="FN41" s="1"/>
      <c r="FO41" s="1"/>
      <c r="FP41" s="1"/>
      <c r="FQ41" s="1"/>
      <c r="FR41" s="1"/>
      <c r="FS41" s="1"/>
      <c r="FT41" s="1"/>
      <c r="FU41" s="1"/>
      <c r="FV41" s="1"/>
      <c r="FW41" s="1"/>
      <c r="FX41" s="1"/>
      <c r="FY41" s="1"/>
      <c r="FZ41" s="1"/>
      <c r="GA41" s="1"/>
      <c r="GB41" s="1"/>
      <c r="GC41" s="1"/>
      <c r="GD41" s="1"/>
      <c r="GE41" s="1"/>
      <c r="GF41" s="1"/>
      <c r="GG41" s="1"/>
      <c r="GH41" s="1"/>
      <c r="GI41" s="1"/>
      <c r="GJ41" s="1"/>
      <c r="GK41" s="1"/>
      <c r="GL41" s="1"/>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1"/>
      <c r="HQ41" s="1"/>
      <c r="HR41" s="1"/>
      <c r="HS41" s="1"/>
      <c r="HT41" s="1"/>
      <c r="HU41" s="1"/>
      <c r="HV41" s="1"/>
      <c r="HW41" s="1"/>
      <c r="HX41" s="1"/>
    </row>
    <row r="42" spans="2:232" s="64" customFormat="1" ht="12" thickBot="1">
      <c r="CG42" s="77"/>
      <c r="CH42" s="333"/>
      <c r="CJ42" s="62"/>
      <c r="CK42" s="62"/>
      <c r="CM42" s="333"/>
      <c r="CO42" s="62"/>
      <c r="CP42" s="62"/>
      <c r="CR42" s="1349"/>
      <c r="CS42" s="1349"/>
      <c r="CT42" s="1349"/>
      <c r="CU42" s="1349"/>
      <c r="CV42" s="335"/>
      <c r="CW42" s="1504"/>
      <c r="CX42" s="1504"/>
      <c r="CY42" s="1504"/>
      <c r="CZ42" s="1504"/>
      <c r="DA42" s="335"/>
      <c r="DB42" s="131"/>
      <c r="DC42" s="62"/>
      <c r="DD42" s="62"/>
      <c r="DE42" s="62"/>
      <c r="DF42" s="335"/>
      <c r="DG42" s="62"/>
      <c r="DH42" s="62"/>
      <c r="DI42" s="62"/>
      <c r="DJ42" s="62"/>
      <c r="DK42" s="335"/>
      <c r="DL42" s="62"/>
      <c r="DM42" s="62"/>
      <c r="DN42" s="62"/>
      <c r="DO42" s="62"/>
      <c r="DP42" s="335"/>
      <c r="DQ42" s="62"/>
      <c r="DR42" s="335"/>
      <c r="DS42" s="335"/>
      <c r="DT42" s="335"/>
      <c r="DU42" s="335"/>
      <c r="DV42" s="335"/>
      <c r="DW42" s="335"/>
      <c r="DX42" s="335"/>
      <c r="DY42" s="335"/>
      <c r="DZ42" s="335"/>
      <c r="EA42" s="335"/>
      <c r="EB42" s="335"/>
      <c r="EC42" s="335"/>
      <c r="ED42" s="335"/>
      <c r="EE42" s="335"/>
      <c r="EF42" s="38"/>
      <c r="EG42" s="38"/>
      <c r="EH42"/>
      <c r="EI42"/>
      <c r="EJ42"/>
      <c r="EK42"/>
      <c r="EL42"/>
      <c r="EM42"/>
      <c r="EN42" s="38"/>
      <c r="EO42" s="38"/>
      <c r="EP42" s="38"/>
      <c r="EQ42" s="38"/>
      <c r="ER42" s="38"/>
      <c r="ES42" s="38"/>
      <c r="ET42" s="38"/>
      <c r="EU42" s="38"/>
      <c r="EV42" s="38"/>
      <c r="EW42" s="38"/>
      <c r="EX42" s="38"/>
      <c r="EY42" s="38"/>
      <c r="EZ42" s="38"/>
      <c r="FA42" s="38"/>
      <c r="FB42" s="38"/>
      <c r="FC42" s="38"/>
      <c r="FD42" s="38"/>
      <c r="FE42" s="38"/>
      <c r="FF42" s="38"/>
      <c r="FG42" s="38"/>
      <c r="FH42" s="38"/>
      <c r="FI42" s="38"/>
      <c r="FJ42" s="38"/>
      <c r="FK42" s="38"/>
      <c r="FL42" s="38"/>
      <c r="FM42" s="38"/>
      <c r="FN42" s="38"/>
      <c r="FO42" s="38"/>
      <c r="FP42" s="38"/>
      <c r="FQ42" s="38"/>
      <c r="FR42" s="38"/>
      <c r="FS42" s="38"/>
      <c r="FT42" s="38"/>
      <c r="FU42" s="38"/>
      <c r="FV42" s="38"/>
      <c r="FW42" s="38"/>
      <c r="FX42" s="38"/>
      <c r="FY42" s="38"/>
      <c r="FZ42" s="38"/>
      <c r="GA42" s="38"/>
      <c r="GB42" s="38"/>
      <c r="GC42" s="38"/>
      <c r="GD42" s="38"/>
      <c r="GE42" s="38"/>
      <c r="GF42" s="38"/>
      <c r="GG42" s="38"/>
      <c r="GH42" s="38"/>
      <c r="GI42" s="38"/>
      <c r="GJ42" s="38"/>
      <c r="GK42" s="38"/>
      <c r="GL42" s="38"/>
      <c r="GM42" s="38"/>
      <c r="GN42" s="38"/>
      <c r="GO42" s="38"/>
      <c r="GP42" s="38"/>
      <c r="GQ42" s="38"/>
      <c r="GR42" s="38"/>
      <c r="GS42" s="38"/>
      <c r="GT42" s="38"/>
      <c r="GU42" s="38"/>
      <c r="GV42" s="38"/>
      <c r="GW42" s="38"/>
      <c r="GX42" s="38"/>
      <c r="GY42" s="38"/>
      <c r="GZ42" s="38"/>
      <c r="HA42" s="38"/>
      <c r="HB42" s="38"/>
      <c r="HC42" s="38"/>
      <c r="HD42" s="38"/>
      <c r="HE42" s="38"/>
      <c r="HF42" s="38"/>
      <c r="HG42" s="38"/>
      <c r="HH42" s="38"/>
      <c r="HI42" s="38"/>
      <c r="HJ42" s="38"/>
      <c r="HK42" s="38"/>
      <c r="HL42" s="38"/>
      <c r="HM42" s="38"/>
      <c r="HN42" s="38"/>
      <c r="HO42" s="38"/>
      <c r="HP42" s="38"/>
      <c r="HQ42" s="38"/>
      <c r="HR42" s="38"/>
      <c r="HS42" s="38"/>
      <c r="HT42" s="38"/>
      <c r="HU42" s="38"/>
      <c r="HV42" s="38"/>
      <c r="HW42" s="38"/>
      <c r="HX42" s="38"/>
    </row>
    <row r="43" spans="2:232" s="339" customFormat="1">
      <c r="B43" s="582" t="s">
        <v>305</v>
      </c>
      <c r="C43" s="583"/>
      <c r="D43" s="584">
        <f>D45+D44</f>
        <v>0.1562287686473838</v>
      </c>
      <c r="E43" s="584">
        <f>E45+E44</f>
        <v>0.17667425232468392</v>
      </c>
      <c r="F43" s="584">
        <f>F45+F44</f>
        <v>0.19700469006169749</v>
      </c>
      <c r="G43" s="584">
        <f>G45+G44</f>
        <v>0.22277660236153005</v>
      </c>
      <c r="H43" s="584">
        <v>0.22364522445317442</v>
      </c>
      <c r="I43" s="584">
        <v>0.28473156495898816</v>
      </c>
      <c r="J43" s="584">
        <f>J45+J44</f>
        <v>0.32325154778931614</v>
      </c>
      <c r="K43" s="585">
        <f>K33/K52</f>
        <v>6.4076080060989596E-2</v>
      </c>
      <c r="L43" s="584">
        <f>L33/L52</f>
        <v>0.132792530495457</v>
      </c>
      <c r="M43" s="584">
        <f>M33/M52</f>
        <v>9.5562347207322026E-2</v>
      </c>
      <c r="N43" s="586">
        <f>N33/N52</f>
        <v>8.5131485498527087E-2</v>
      </c>
      <c r="O43" s="584">
        <f>O44+O45</f>
        <v>0.37764237131490452</v>
      </c>
      <c r="P43" s="585">
        <f>P33/P52</f>
        <v>8.126785075992117E-2</v>
      </c>
      <c r="Q43" s="584">
        <f>Q33/Q52</f>
        <v>0.15730435219115477</v>
      </c>
      <c r="R43" s="584">
        <f>R33/R52</f>
        <v>0.1126895578586158</v>
      </c>
      <c r="S43" s="586">
        <f>S33/S52</f>
        <v>0.10296597558297545</v>
      </c>
      <c r="T43" s="587">
        <f>T44+T45</f>
        <v>0.45418714101845553</v>
      </c>
      <c r="U43" s="585">
        <f>0.13/2</f>
        <v>6.5000000000000002E-2</v>
      </c>
      <c r="V43" s="584">
        <f>V33/V52</f>
        <v>0.17986394043313758</v>
      </c>
      <c r="W43" s="584">
        <f>W33/W52</f>
        <v>0.14131319831431466</v>
      </c>
      <c r="X43" s="586">
        <f>X33/X52</f>
        <v>0.16524474831549735</v>
      </c>
      <c r="Y43" s="587">
        <f>Y44+Y45</f>
        <v>0.58040381217283565</v>
      </c>
      <c r="Z43" s="585">
        <f>Z33/Z52</f>
        <v>0.11659414556962015</v>
      </c>
      <c r="AA43" s="584">
        <f>AA33/AA52</f>
        <v>0.21349644830307829</v>
      </c>
      <c r="AB43" s="584">
        <f>AB33/AB52</f>
        <v>0.17241039779440678</v>
      </c>
      <c r="AC43" s="586">
        <f>AC33/AC52</f>
        <v>0.1572426000590029</v>
      </c>
      <c r="AD43" s="587">
        <f>SUM(Z43:AC43)</f>
        <v>0.65974359172610819</v>
      </c>
      <c r="AE43" s="585">
        <f>+AE33/AE52</f>
        <v>0.14289926289926264</v>
      </c>
      <c r="AF43" s="584">
        <f>+AF33/AF52</f>
        <v>0.23435354129880329</v>
      </c>
      <c r="AG43" s="584">
        <f>+AG33/AG52</f>
        <v>0.18974811330001023</v>
      </c>
      <c r="AH43" s="586">
        <f>+AH33/AH52</f>
        <v>0.21187518340995803</v>
      </c>
      <c r="AI43" s="587">
        <f>AI33/AI52</f>
        <v>0.77900648949958884</v>
      </c>
      <c r="AJ43" s="585">
        <f>+AJ33/AJ52</f>
        <v>0.15435587604755355</v>
      </c>
      <c r="AK43" s="584">
        <f>+AK33/AK52</f>
        <v>0.28839242350655669</v>
      </c>
      <c r="AL43" s="584">
        <f>+AL33/AL52</f>
        <v>0.20700358909690517</v>
      </c>
      <c r="AM43" s="586">
        <f>+AM33/AM52</f>
        <v>0.21056208135132554</v>
      </c>
      <c r="AN43" s="587">
        <f>AN33/AN52</f>
        <v>0.86068605388372865</v>
      </c>
      <c r="AO43" s="585">
        <f>+AO33/AO52</f>
        <v>0.18050296145256772</v>
      </c>
      <c r="AP43" s="584">
        <f>+AP33/AP52</f>
        <v>0.31653421205659982</v>
      </c>
      <c r="AQ43" s="584">
        <f>+AQ33/AQ52</f>
        <v>0.2505077860528096</v>
      </c>
      <c r="AR43" s="586">
        <f>+AR33/AR52</f>
        <v>0.23962464931798397</v>
      </c>
      <c r="AS43" s="588">
        <f>AS31/AS52</f>
        <v>0.97658558322919409</v>
      </c>
      <c r="AT43" s="585">
        <f>AT31/AT52</f>
        <v>0.20815575358388202</v>
      </c>
      <c r="AU43" s="584">
        <f>+AU33/AU52</f>
        <v>0.35974781765276459</v>
      </c>
      <c r="AV43" s="584">
        <f>AV31/AV52</f>
        <v>0.27553098632528372</v>
      </c>
      <c r="AW43" s="586">
        <f>+AW33/AW52</f>
        <v>0.26771348260153105</v>
      </c>
      <c r="AX43" s="588">
        <f>AX31/AX52</f>
        <v>1.1078474140856005</v>
      </c>
      <c r="AY43" s="585">
        <f>+AY33/AY52</f>
        <v>0.24694826583995305</v>
      </c>
      <c r="AZ43" s="584">
        <f>AZ31/AZ52</f>
        <v>0.41002902847733474</v>
      </c>
      <c r="BA43" s="584">
        <f>+BA33/BA52</f>
        <v>0.33446568960496975</v>
      </c>
      <c r="BB43" s="586">
        <f>+BB33/BB52</f>
        <v>0.30730429721602576</v>
      </c>
      <c r="BC43" s="588">
        <f>BC31/BC52</f>
        <v>1.2983271651482815</v>
      </c>
      <c r="BD43" s="585">
        <f>+BD33/BD52</f>
        <v>0.31921507674373456</v>
      </c>
      <c r="BE43" s="584">
        <f>+BE33/BE52</f>
        <v>0.47678710178710226</v>
      </c>
      <c r="BF43" s="584">
        <f>+BF33/BF52</f>
        <v>0.39937809736663182</v>
      </c>
      <c r="BG43" s="586">
        <f>+BG33/BG52</f>
        <v>0.32100692750512178</v>
      </c>
      <c r="BH43" s="588">
        <f>SUM(BD43:BG43)</f>
        <v>1.5163872034025905</v>
      </c>
      <c r="BI43" s="585">
        <f>+BI33/BI52</f>
        <v>0.33806123447129038</v>
      </c>
      <c r="BJ43" s="584">
        <f>+BJ33/BJ52</f>
        <v>0.51323529411764801</v>
      </c>
      <c r="BK43" s="584">
        <f>+BK33/BK52</f>
        <v>0.46094901267315141</v>
      </c>
      <c r="BL43" s="586">
        <f>+BL33/BL52</f>
        <v>0.40548780487804731</v>
      </c>
      <c r="BM43" s="588">
        <f>SUM(BI43:BL43)</f>
        <v>1.7177333461401372</v>
      </c>
      <c r="BN43" s="585">
        <f>+BN33/BN52</f>
        <v>0.42599171107164058</v>
      </c>
      <c r="BO43" s="584">
        <f>+BO33/BO52</f>
        <v>0.64723987291501284</v>
      </c>
      <c r="BP43" s="584">
        <f>+BP33/BP52</f>
        <v>0.55952143569292012</v>
      </c>
      <c r="BQ43" s="586">
        <f>+BQ33/BQ52</f>
        <v>0.39653965396539564</v>
      </c>
      <c r="BR43" s="588">
        <f>BR33/BR52</f>
        <v>2.0282408153105491</v>
      </c>
      <c r="BS43" s="585">
        <f>+BS33/BS52</f>
        <v>0.45674185463659112</v>
      </c>
      <c r="BT43" s="584">
        <f>+BT33/BT52</f>
        <v>0.68874371859296524</v>
      </c>
      <c r="BU43" s="584">
        <f>+BU33/BU52</f>
        <v>0.576659959758552</v>
      </c>
      <c r="BV43" s="586">
        <f>+BV33/BV52</f>
        <v>0.4467261185006049</v>
      </c>
      <c r="BW43" s="588">
        <f>BW33/BW52</f>
        <v>2.0376105175413337</v>
      </c>
      <c r="BX43" s="584">
        <f>+BX33/BX52</f>
        <v>0.41203797212684307</v>
      </c>
      <c r="BY43" s="584">
        <f>+BY33/BY52</f>
        <v>0.64718373950854491</v>
      </c>
      <c r="BZ43" s="584">
        <f>+BZ33/BZ52</f>
        <v>0.52567975830815705</v>
      </c>
      <c r="CA43" s="586">
        <f>+CA33/CA52</f>
        <v>0.43891654513896372</v>
      </c>
      <c r="CB43" s="842">
        <f>ROUNDDOWN(SUM(BX43:CA43),2)</f>
        <v>2.02</v>
      </c>
      <c r="CC43" s="584">
        <f>+CC31/CC52</f>
        <v>0.49224884235957317</v>
      </c>
      <c r="CD43" s="584">
        <f>+CD31/CD52</f>
        <v>0.67589412002424731</v>
      </c>
      <c r="CE43" s="584">
        <f>+CE31/CE52</f>
        <v>0.47148676171079429</v>
      </c>
      <c r="CF43" s="584">
        <f>+CF31/CF52</f>
        <v>0.48704663212435234</v>
      </c>
      <c r="CG43" s="842">
        <f>ROUNDDOWN(SUM(CC43:CF43),2)</f>
        <v>2.12</v>
      </c>
      <c r="CH43" s="584">
        <f>+CH31/CH52</f>
        <v>0.62078561489885475</v>
      </c>
      <c r="CI43" s="584">
        <f>+CI31/CI52</f>
        <v>0.79633620689655171</v>
      </c>
      <c r="CJ43" s="584">
        <f>+CJ31/CJ52</f>
        <v>0.65387117761873781</v>
      </c>
      <c r="CK43" s="584">
        <f>+CK31/CK52</f>
        <v>0.86966070056000877</v>
      </c>
      <c r="CL43" s="842">
        <f>SUM(CH43:CK43)</f>
        <v>2.940653699974153</v>
      </c>
      <c r="CM43" s="584">
        <f>+CM31/CM52</f>
        <v>0.62588261876518103</v>
      </c>
      <c r="CN43" s="584">
        <f>+CN31/CN52</f>
        <v>0.78083914484966266</v>
      </c>
      <c r="CO43" s="584">
        <f>+CO31/CO52</f>
        <v>0.62066574202496527</v>
      </c>
      <c r="CP43" s="584">
        <f>+CP31/CP52</f>
        <v>0.39428124650954988</v>
      </c>
      <c r="CQ43" s="842">
        <f>SUM(CM43:CP43)</f>
        <v>2.4216687521493592</v>
      </c>
      <c r="CR43" s="584">
        <f>+CR31/CR52</f>
        <v>0.43418839360807404</v>
      </c>
      <c r="CS43" s="584">
        <f>+CS33/CS52</f>
        <v>0.79295154185022032</v>
      </c>
      <c r="CT43" s="584">
        <f>+CT33/CT52</f>
        <v>0.65067778936392073</v>
      </c>
      <c r="CU43" s="584">
        <f>+CU33/CU52</f>
        <v>0.68630523346913186</v>
      </c>
      <c r="CV43" s="842">
        <f>SUM(CR43:CU43)</f>
        <v>2.564122958291347</v>
      </c>
      <c r="CW43" s="585">
        <f>+CW33/CW52</f>
        <v>0.72282891315652631</v>
      </c>
      <c r="CX43" s="584">
        <f>+CX33/CX52</f>
        <v>0.78240116218740274</v>
      </c>
      <c r="CY43" s="584">
        <f>+CY33/CY52</f>
        <v>0.74617610582885496</v>
      </c>
      <c r="CZ43" s="586">
        <f>+CZ33/CZ52</f>
        <v>-0.24692633536522368</v>
      </c>
      <c r="DA43" s="842">
        <f>SUM(CW43:CZ43)</f>
        <v>2.0044798458075599</v>
      </c>
      <c r="DB43" s="585">
        <f>+DB33/DB52</f>
        <v>0.88912133891213385</v>
      </c>
      <c r="DC43" s="584">
        <v>1.93</v>
      </c>
      <c r="DD43" s="584">
        <f>+DD33/DD52</f>
        <v>1.1810595065312046</v>
      </c>
      <c r="DE43" s="584">
        <f>+DE33/DE52</f>
        <v>2.3582766439909298E-2</v>
      </c>
      <c r="DF43" s="842">
        <f>SUM(DB43:DE43)</f>
        <v>4.0237636118832478</v>
      </c>
      <c r="DG43" s="584">
        <f>+DG33/DG52</f>
        <v>1.0103768432550519</v>
      </c>
      <c r="DH43" s="584">
        <f>+DH33/DH52</f>
        <v>0.85446527012127882</v>
      </c>
      <c r="DI43" s="584">
        <f>+DI33/DI52</f>
        <v>1.0136004410953869</v>
      </c>
      <c r="DJ43" s="584">
        <f>+DJ33/DJ52</f>
        <v>0.94582185491276405</v>
      </c>
      <c r="DK43" s="842">
        <f>SUM(DG43:DJ43)</f>
        <v>3.8242644093844822</v>
      </c>
      <c r="DL43" s="584">
        <f>+DL33/DL52</f>
        <v>0.96848295506753657</v>
      </c>
      <c r="DM43" s="584">
        <f>+DM33/DM52</f>
        <v>0.97650852141870104</v>
      </c>
      <c r="DN43" s="584">
        <f>+DN33/DN52</f>
        <v>1.0733419545538518</v>
      </c>
      <c r="DO43" s="584">
        <f>+DO33/DO52</f>
        <v>0.75696083058046248</v>
      </c>
      <c r="DP43" s="842">
        <f>SUM(DL43:DO43)</f>
        <v>3.7752942616205516</v>
      </c>
      <c r="DQ43" s="584">
        <f>+DQ33/DQ52</f>
        <v>0.81198694491148249</v>
      </c>
      <c r="DR43" s="588">
        <f ca="1">+DR33/DR52</f>
        <v>1.2690296669572751</v>
      </c>
      <c r="DS43" s="588">
        <f ca="1">+DS33/DS52</f>
        <v>1.2249716516304401</v>
      </c>
      <c r="DT43" s="1761">
        <f ca="1">+DT33/DT52</f>
        <v>1.2193583011068032</v>
      </c>
      <c r="DU43" s="842">
        <f ca="1">SUM(DQ43:DT43)</f>
        <v>4.5253465646060009</v>
      </c>
      <c r="DV43" s="1760">
        <f ca="1">+DV33/DV52</f>
        <v>1.1229322840331943</v>
      </c>
      <c r="DW43" s="588">
        <f ca="1">+DW33/DW52</f>
        <v>1.4018696196993015</v>
      </c>
      <c r="DX43" s="588">
        <f ca="1">+DX33/DX52</f>
        <v>1.4390793368811499</v>
      </c>
      <c r="DY43" s="1761">
        <f ca="1">+DY33/DY52</f>
        <v>1.4900506022797853</v>
      </c>
      <c r="DZ43" s="842">
        <f ca="1">SUM(DV43:DY43)</f>
        <v>5.4539318428934314</v>
      </c>
      <c r="EA43" s="1760">
        <f ca="1">+EA33/EA52</f>
        <v>1.4161272830051954</v>
      </c>
      <c r="EB43" s="588">
        <f ca="1">+EB33/EB52</f>
        <v>1.6900702724797947</v>
      </c>
      <c r="EC43" s="588">
        <f ca="1">+EC33/EC52</f>
        <v>1.7487056211781189</v>
      </c>
      <c r="ED43" s="1761">
        <f ca="1">+ED33/ED52</f>
        <v>1.8098319650693691</v>
      </c>
      <c r="EE43" s="842">
        <f ca="1">SUM(EA43:ED43)</f>
        <v>6.6647351417324785</v>
      </c>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row>
    <row r="44" spans="2:232" s="339" customFormat="1" ht="11.25" hidden="1" customHeight="1" outlineLevel="1">
      <c r="B44" s="1248" t="s">
        <v>386</v>
      </c>
      <c r="C44" s="1249"/>
      <c r="D44" s="1254">
        <v>0</v>
      </c>
      <c r="E44" s="1254">
        <v>0</v>
      </c>
      <c r="F44" s="1254">
        <v>0</v>
      </c>
      <c r="G44" s="1254">
        <v>0</v>
      </c>
      <c r="H44" s="1254">
        <v>-2.3833926435526183E-2</v>
      </c>
      <c r="I44" s="1254">
        <v>0</v>
      </c>
      <c r="J44" s="1254">
        <v>0</v>
      </c>
      <c r="K44" s="1251">
        <f t="shared" ref="K44:W44" si="71">K32/K52</f>
        <v>0</v>
      </c>
      <c r="L44" s="1250">
        <f t="shared" si="71"/>
        <v>0</v>
      </c>
      <c r="M44" s="1250">
        <f t="shared" si="71"/>
        <v>0</v>
      </c>
      <c r="N44" s="1252">
        <f t="shared" si="71"/>
        <v>0</v>
      </c>
      <c r="O44" s="1254">
        <f t="shared" si="71"/>
        <v>0</v>
      </c>
      <c r="P44" s="1251">
        <f t="shared" si="71"/>
        <v>0</v>
      </c>
      <c r="Q44" s="1250">
        <f t="shared" si="71"/>
        <v>0</v>
      </c>
      <c r="R44" s="1250">
        <f t="shared" si="71"/>
        <v>0</v>
      </c>
      <c r="S44" s="1252">
        <f t="shared" si="71"/>
        <v>0</v>
      </c>
      <c r="T44" s="1254">
        <f t="shared" si="71"/>
        <v>0</v>
      </c>
      <c r="U44" s="1251">
        <f t="shared" si="71"/>
        <v>-2.6366169853431445E-2</v>
      </c>
      <c r="V44" s="1250">
        <f t="shared" si="71"/>
        <v>0</v>
      </c>
      <c r="W44" s="1250">
        <f t="shared" si="71"/>
        <v>0</v>
      </c>
      <c r="X44" s="1252">
        <f>0.052/2</f>
        <v>2.5999999999999999E-2</v>
      </c>
      <c r="Y44" s="1254">
        <f>Y32/Y52</f>
        <v>2.6265472973722222E-2</v>
      </c>
      <c r="Z44" s="1251">
        <f>Z32/Z52</f>
        <v>0</v>
      </c>
      <c r="AA44" s="1250">
        <f>AA32/AA52</f>
        <v>0</v>
      </c>
      <c r="AB44" s="1250">
        <f>AB32/AB52</f>
        <v>0</v>
      </c>
      <c r="AC44" s="1252">
        <f>AC32/AC52</f>
        <v>0</v>
      </c>
      <c r="AD44" s="1254">
        <f>SUM(Z44:AC44)</f>
        <v>0</v>
      </c>
      <c r="AE44" s="1251">
        <f>AE32/AE52</f>
        <v>0</v>
      </c>
      <c r="AF44" s="1250">
        <f>AF32/AF52</f>
        <v>0</v>
      </c>
      <c r="AG44" s="1250">
        <f>AG32/AG52</f>
        <v>0</v>
      </c>
      <c r="AH44" s="1252">
        <v>0.02</v>
      </c>
      <c r="AI44" s="1254">
        <f>AI32/AI52</f>
        <v>0</v>
      </c>
      <c r="AJ44" s="1251">
        <f>AJ32/AJ52</f>
        <v>0</v>
      </c>
      <c r="AK44" s="1250">
        <v>0.01</v>
      </c>
      <c r="AL44" s="1250">
        <f>AL32/AL52</f>
        <v>0</v>
      </c>
      <c r="AM44" s="1252">
        <f>AM32/AM52</f>
        <v>0</v>
      </c>
      <c r="AN44" s="1254">
        <f>SUM(AJ44:AM44)</f>
        <v>0.01</v>
      </c>
      <c r="AO44" s="1251">
        <f>-(AO26*(1-AO103))/AO52</f>
        <v>3.3236233277171888E-3</v>
      </c>
      <c r="AP44" s="1250">
        <f>-(AP26*(1-AP103))/AP52</f>
        <v>0</v>
      </c>
      <c r="AQ44" s="1250">
        <f>-(AQ26*(1-AQ103))/AQ52</f>
        <v>0</v>
      </c>
      <c r="AR44" s="1252">
        <f>-(AR26*(1-AR103))/AR52</f>
        <v>1.9868375445963489E-3</v>
      </c>
      <c r="AS44" s="1254">
        <f>-AS32/AS52</f>
        <v>0</v>
      </c>
      <c r="AT44" s="1251">
        <f>-(AT26*(1-AT103))/AT52</f>
        <v>0</v>
      </c>
      <c r="AU44" s="1250">
        <f>-(AU26*(1-AU103))/AU52</f>
        <v>0</v>
      </c>
      <c r="AV44" s="1250">
        <f>-(AV26*(1-AV103))/AV52</f>
        <v>0</v>
      </c>
      <c r="AW44" s="1252">
        <f>-(AW26*(1-AW103))/AW52</f>
        <v>1.5666330289533681E-3</v>
      </c>
      <c r="AX44" s="1254">
        <f>AX32/AX52</f>
        <v>-2.1617953565023509E-2</v>
      </c>
      <c r="AY44" s="1251">
        <f>-(AY26*(1-AY103))/AY52</f>
        <v>0</v>
      </c>
      <c r="AZ44" s="1250">
        <f>-(AZ26*(1-AZ103))/AZ52</f>
        <v>0</v>
      </c>
      <c r="BA44" s="1250">
        <f>BA32/BA52</f>
        <v>0</v>
      </c>
      <c r="BB44" s="1252">
        <f>BB32/BB52</f>
        <v>0</v>
      </c>
      <c r="BC44" s="1254">
        <f>BC32/BC52</f>
        <v>-9.8720986973555996E-3</v>
      </c>
      <c r="BD44" s="1251">
        <v>0</v>
      </c>
      <c r="BE44" s="1250">
        <f>-(BE26*(1-BE103))/BE52</f>
        <v>0</v>
      </c>
      <c r="BF44" s="1250">
        <v>0</v>
      </c>
      <c r="BG44" s="1252">
        <v>0.03</v>
      </c>
      <c r="BH44" s="1254">
        <f t="shared" ref="BH44:BO44" si="72">BH32/BH52</f>
        <v>0</v>
      </c>
      <c r="BI44" s="1251">
        <f t="shared" si="72"/>
        <v>0</v>
      </c>
      <c r="BJ44" s="1250">
        <f t="shared" si="72"/>
        <v>0</v>
      </c>
      <c r="BK44" s="1250">
        <f t="shared" si="72"/>
        <v>0</v>
      </c>
      <c r="BL44" s="1252">
        <f t="shared" si="72"/>
        <v>0</v>
      </c>
      <c r="BM44" s="1254">
        <f t="shared" si="72"/>
        <v>0</v>
      </c>
      <c r="BN44" s="1251">
        <f t="shared" si="72"/>
        <v>0</v>
      </c>
      <c r="BO44" s="1250">
        <f t="shared" si="72"/>
        <v>0</v>
      </c>
      <c r="BP44" s="1250">
        <f>0.02+0.01</f>
        <v>0.03</v>
      </c>
      <c r="BQ44" s="1252">
        <f t="shared" ref="BQ44:CK44" si="73">BQ32/BQ52</f>
        <v>0</v>
      </c>
      <c r="BR44" s="1254">
        <f t="shared" si="73"/>
        <v>0</v>
      </c>
      <c r="BS44" s="1251">
        <f t="shared" si="73"/>
        <v>0</v>
      </c>
      <c r="BT44" s="1250">
        <f t="shared" si="73"/>
        <v>0</v>
      </c>
      <c r="BU44" s="1250">
        <f t="shared" si="73"/>
        <v>0</v>
      </c>
      <c r="BV44" s="1252">
        <f t="shared" si="73"/>
        <v>-5.0151148730350668E-2</v>
      </c>
      <c r="BW44" s="1254">
        <f t="shared" si="73"/>
        <v>4.9992790571513589E-2</v>
      </c>
      <c r="BX44" s="1251">
        <f t="shared" si="73"/>
        <v>0</v>
      </c>
      <c r="BY44" s="1250">
        <f t="shared" si="73"/>
        <v>0</v>
      </c>
      <c r="BZ44" s="1250">
        <f t="shared" si="73"/>
        <v>0</v>
      </c>
      <c r="CA44" s="1252">
        <f t="shared" si="73"/>
        <v>0</v>
      </c>
      <c r="CB44" s="1255">
        <f>CB32/CB52</f>
        <v>0</v>
      </c>
      <c r="CC44" s="1251">
        <f t="shared" si="73"/>
        <v>0</v>
      </c>
      <c r="CD44" s="1250">
        <f t="shared" si="73"/>
        <v>0</v>
      </c>
      <c r="CE44" s="1250">
        <f t="shared" si="73"/>
        <v>0</v>
      </c>
      <c r="CF44" s="1250">
        <f t="shared" si="73"/>
        <v>0</v>
      </c>
      <c r="CG44" s="1255">
        <f>CG32/CG52</f>
        <v>0</v>
      </c>
      <c r="CH44" s="1250">
        <f t="shared" si="73"/>
        <v>0</v>
      </c>
      <c r="CI44" s="1250">
        <f t="shared" si="73"/>
        <v>0</v>
      </c>
      <c r="CJ44" s="1250">
        <f t="shared" si="73"/>
        <v>0</v>
      </c>
      <c r="CK44" s="1250">
        <f t="shared" si="73"/>
        <v>0</v>
      </c>
      <c r="CL44" s="1255">
        <f>SUM(CH44:CK44)</f>
        <v>0</v>
      </c>
      <c r="CM44" s="1250">
        <f>CM32/CM52</f>
        <v>0</v>
      </c>
      <c r="CN44" s="1250">
        <f>CN32/CN52</f>
        <v>0</v>
      </c>
      <c r="CO44" s="1250">
        <f>CO32/CO52</f>
        <v>0</v>
      </c>
      <c r="CP44" s="1250">
        <f>CP32/CP52</f>
        <v>0</v>
      </c>
      <c r="CQ44" s="1255">
        <f>SUM(CM44:CP44)</f>
        <v>0</v>
      </c>
      <c r="CR44" s="1250">
        <f>CR32/CR52</f>
        <v>0</v>
      </c>
      <c r="CS44" s="1250">
        <f>CS32/CS52</f>
        <v>0</v>
      </c>
      <c r="CT44" s="1250">
        <f>CT32/CT52</f>
        <v>0</v>
      </c>
      <c r="CU44" s="1250">
        <f>CU32/CU52</f>
        <v>0</v>
      </c>
      <c r="CV44" s="1255">
        <f>SUM(CR44:CU44)</f>
        <v>0</v>
      </c>
      <c r="CW44" s="1251">
        <v>0</v>
      </c>
      <c r="CX44" s="1250">
        <v>0</v>
      </c>
      <c r="CY44" s="1250">
        <v>0</v>
      </c>
      <c r="CZ44" s="1252">
        <v>0</v>
      </c>
      <c r="DA44" s="1255">
        <f>SUM(CW44:CZ44)</f>
        <v>0</v>
      </c>
      <c r="DB44" s="1251">
        <v>0</v>
      </c>
      <c r="DC44" s="1698">
        <v>0</v>
      </c>
      <c r="DD44" s="1698">
        <v>0</v>
      </c>
      <c r="DE44" s="1698">
        <v>0</v>
      </c>
      <c r="DF44" s="1255">
        <f>SUM(DB44:DE44)</f>
        <v>0</v>
      </c>
      <c r="DG44" s="1698">
        <v>0</v>
      </c>
      <c r="DH44" s="1698">
        <v>0</v>
      </c>
      <c r="DI44" s="1698">
        <v>0</v>
      </c>
      <c r="DJ44" s="1698">
        <v>0</v>
      </c>
      <c r="DK44" s="1255">
        <f>SUM(DG44:DJ44)</f>
        <v>0</v>
      </c>
      <c r="DL44" s="1698">
        <v>0</v>
      </c>
      <c r="DM44" s="1698">
        <v>0</v>
      </c>
      <c r="DN44" s="1698">
        <v>0</v>
      </c>
      <c r="DO44" s="1698">
        <v>0</v>
      </c>
      <c r="DP44" s="1255">
        <f>SUM(DL44:DO44)</f>
        <v>0</v>
      </c>
      <c r="DQ44" s="1698">
        <v>0</v>
      </c>
      <c r="DR44" s="1254">
        <v>0</v>
      </c>
      <c r="DS44" s="1254">
        <v>0</v>
      </c>
      <c r="DT44" s="1763">
        <v>0</v>
      </c>
      <c r="DU44" s="1255">
        <f>SUM(DQ44:DT44)</f>
        <v>0</v>
      </c>
      <c r="DV44" s="1762">
        <v>0</v>
      </c>
      <c r="DW44" s="1254">
        <v>0</v>
      </c>
      <c r="DX44" s="1254">
        <v>0</v>
      </c>
      <c r="DY44" s="1763">
        <v>0</v>
      </c>
      <c r="DZ44" s="1255">
        <f>SUM(DV44:DY44)</f>
        <v>0</v>
      </c>
      <c r="EA44" s="1762">
        <v>0</v>
      </c>
      <c r="EB44" s="1254">
        <v>0</v>
      </c>
      <c r="EC44" s="1254">
        <v>0</v>
      </c>
      <c r="ED44" s="1763">
        <v>0</v>
      </c>
      <c r="EE44" s="1255">
        <f>SUM(EA44:ED44)</f>
        <v>0</v>
      </c>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row>
    <row r="45" spans="2:232" s="339" customFormat="1" ht="11.25" hidden="1" customHeight="1" outlineLevel="1">
      <c r="B45" s="1248" t="s">
        <v>304</v>
      </c>
      <c r="C45" s="1249"/>
      <c r="D45" s="1250">
        <f>D33/D52</f>
        <v>0.1562287686473838</v>
      </c>
      <c r="E45" s="1250">
        <f>E33/E52</f>
        <v>0.17667425232468392</v>
      </c>
      <c r="F45" s="1250">
        <f>F33/F52</f>
        <v>0.19700469006169749</v>
      </c>
      <c r="G45" s="1250">
        <f>G33/G52</f>
        <v>0.22277660236153005</v>
      </c>
      <c r="H45" s="1250">
        <v>0.24747915088870059</v>
      </c>
      <c r="I45" s="1250">
        <v>0.28473156495898816</v>
      </c>
      <c r="J45" s="1250">
        <f>J33/J52</f>
        <v>0.32325154778931614</v>
      </c>
      <c r="K45" s="1251">
        <f>(+K31/K52)</f>
        <v>6.4076080060989596E-2</v>
      </c>
      <c r="L45" s="1250">
        <f>(+L31/L52)</f>
        <v>0.132792530495457</v>
      </c>
      <c r="M45" s="1250">
        <f>(+M31/M52)</f>
        <v>9.5562347207322026E-2</v>
      </c>
      <c r="N45" s="1252">
        <f>(+N31/N52)</f>
        <v>8.5131485498527087E-2</v>
      </c>
      <c r="O45" s="1250">
        <f>O33/O52</f>
        <v>0.37764237131490452</v>
      </c>
      <c r="P45" s="1251">
        <f>P31/P52</f>
        <v>8.126785075992117E-2</v>
      </c>
      <c r="Q45" s="1250">
        <f>Q31/Q52</f>
        <v>0.15730435219115477</v>
      </c>
      <c r="R45" s="1250">
        <f>R31/R52</f>
        <v>0.1126895578586158</v>
      </c>
      <c r="S45" s="1252">
        <f>S31/S52</f>
        <v>0.10296597558297545</v>
      </c>
      <c r="T45" s="1253">
        <f>T33/T52</f>
        <v>0.45418714101845553</v>
      </c>
      <c r="U45" s="1251">
        <f>U31/U52</f>
        <v>9.372042976407674E-2</v>
      </c>
      <c r="V45" s="1250">
        <f>V31/V52</f>
        <v>0.17986394043313758</v>
      </c>
      <c r="W45" s="1250">
        <f>W31/W52</f>
        <v>0.14131319831431466</v>
      </c>
      <c r="X45" s="1252">
        <f>0.25/2</f>
        <v>0.125</v>
      </c>
      <c r="Y45" s="1253">
        <f>Y33/Y52</f>
        <v>0.55413833919911348</v>
      </c>
      <c r="Z45" s="1251">
        <f>Z31/Z52</f>
        <v>0.11659414556962015</v>
      </c>
      <c r="AA45" s="1250">
        <f>AA31/AA52</f>
        <v>0.21349644830307829</v>
      </c>
      <c r="AB45" s="1250">
        <f>AB31/AB52</f>
        <v>0.17241039779440678</v>
      </c>
      <c r="AC45" s="1252">
        <f>AC31/AC52</f>
        <v>0.1572426000590029</v>
      </c>
      <c r="AD45" s="1253">
        <f>AD33/AD52</f>
        <v>0.61531228530527027</v>
      </c>
      <c r="AE45" s="1251">
        <f>+AE43-AE44</f>
        <v>0.14289926289926264</v>
      </c>
      <c r="AF45" s="1250">
        <f>+AF43-AF44</f>
        <v>0.23435354129880329</v>
      </c>
      <c r="AG45" s="1250">
        <f>+AG43-AG44</f>
        <v>0.18974811330001023</v>
      </c>
      <c r="AH45" s="1252">
        <f>+AH43-AH44</f>
        <v>0.19187518340995804</v>
      </c>
      <c r="AI45" s="1253">
        <f>AI31/AI52</f>
        <v>0.77900648949958884</v>
      </c>
      <c r="AJ45" s="1251">
        <f>+AJ43-AJ44</f>
        <v>0.15435587604755355</v>
      </c>
      <c r="AK45" s="1250">
        <f>+AK43-AK44</f>
        <v>0.27839242350655669</v>
      </c>
      <c r="AL45" s="1250">
        <f>+AL43-AL44</f>
        <v>0.20700358909690517</v>
      </c>
      <c r="AM45" s="1252">
        <f>+AM43-AM44</f>
        <v>0.21056208135132554</v>
      </c>
      <c r="AN45" s="1253">
        <f>AN31/AN52</f>
        <v>0.86068605388372865</v>
      </c>
      <c r="AO45" s="1251">
        <f>+AO43-AO44</f>
        <v>0.17717933812485054</v>
      </c>
      <c r="AP45" s="1250">
        <f>+AP43-AP44</f>
        <v>0.31653421205659982</v>
      </c>
      <c r="AQ45" s="1250">
        <f>+AQ43-AQ44</f>
        <v>0.2505077860528096</v>
      </c>
      <c r="AR45" s="1252">
        <f>+AR43-AR44</f>
        <v>0.23763781177338761</v>
      </c>
      <c r="AS45" s="1254">
        <f>AS33/AS52</f>
        <v>0.97658558322919409</v>
      </c>
      <c r="AT45" s="1251">
        <f>AT33/AT52</f>
        <v>0.19808213870592775</v>
      </c>
      <c r="AU45" s="1250">
        <f>+AU43-AU44</f>
        <v>0.35974781765276459</v>
      </c>
      <c r="AV45" s="1250">
        <f>AV33/AV52</f>
        <v>0.26398991368441477</v>
      </c>
      <c r="AW45" s="1252">
        <f>+AW43-AW44</f>
        <v>0.26614684957257767</v>
      </c>
      <c r="AX45" s="1254">
        <f>AX33/AX52</f>
        <v>1.1294653676506239</v>
      </c>
      <c r="AY45" s="1251">
        <f>+AY43-AY44</f>
        <v>0.24694826583995305</v>
      </c>
      <c r="AZ45" s="1250">
        <f>AZ33/AZ52</f>
        <v>0.41989538980621066</v>
      </c>
      <c r="BA45" s="1250">
        <f>+BA43-BA44</f>
        <v>0.33446568960496975</v>
      </c>
      <c r="BB45" s="1252">
        <f>+BB43-BB44</f>
        <v>0.30730429721602576</v>
      </c>
      <c r="BC45" s="1254">
        <f>BC33/BC52</f>
        <v>1.308199263845637</v>
      </c>
      <c r="BD45" s="1251">
        <f>+BD43-BD44</f>
        <v>0.31921507674373456</v>
      </c>
      <c r="BE45" s="1250">
        <f>+BE43+BE44</f>
        <v>0.47678710178710226</v>
      </c>
      <c r="BF45" s="1250">
        <f>+BF43+BF44</f>
        <v>0.39937809736663182</v>
      </c>
      <c r="BG45" s="1252">
        <f>+BG43+BG44</f>
        <v>0.35100692750512175</v>
      </c>
      <c r="BH45" s="1254">
        <f>BH33/BH52</f>
        <v>1.5165308543837654</v>
      </c>
      <c r="BI45" s="1251">
        <f>+BI43-BI44</f>
        <v>0.33806123447129038</v>
      </c>
      <c r="BJ45" s="1250">
        <f>+BJ43-BJ44</f>
        <v>0.51323529411764801</v>
      </c>
      <c r="BK45" s="1250">
        <f>+BK43-BK44</f>
        <v>0.46094901267315141</v>
      </c>
      <c r="BL45" s="1252">
        <f>+BL43-BL44</f>
        <v>0.40548780487804731</v>
      </c>
      <c r="BM45" s="1254">
        <f>SUM(BI45:BL45)</f>
        <v>1.7177333461401372</v>
      </c>
      <c r="BN45" s="1251">
        <f>+BN43-BN44</f>
        <v>0.42599171107164058</v>
      </c>
      <c r="BO45" s="1250">
        <f>+BO43-BO44</f>
        <v>0.64723987291501284</v>
      </c>
      <c r="BP45" s="1250">
        <f>+BP43-BP44</f>
        <v>0.52952143569292009</v>
      </c>
      <c r="BQ45" s="1252">
        <f>+BQ43-BQ44</f>
        <v>0.39653965396539564</v>
      </c>
      <c r="BR45" s="1254">
        <f t="shared" ref="BR45:CJ45" si="74">BR31/BR52</f>
        <v>2.0282408153105491</v>
      </c>
      <c r="BS45" s="1251">
        <f t="shared" si="74"/>
        <v>0.45674185463659112</v>
      </c>
      <c r="BT45" s="1250">
        <f t="shared" si="74"/>
        <v>0.68874371859296524</v>
      </c>
      <c r="BU45" s="1250">
        <f t="shared" si="74"/>
        <v>0.576659959758552</v>
      </c>
      <c r="BV45" s="1252">
        <f t="shared" si="74"/>
        <v>0.39657496977025425</v>
      </c>
      <c r="BW45" s="1254">
        <f t="shared" si="74"/>
        <v>2.0876033081128473</v>
      </c>
      <c r="BX45" s="1251">
        <f t="shared" si="74"/>
        <v>0.41203797212684307</v>
      </c>
      <c r="BY45" s="1250">
        <f t="shared" si="74"/>
        <v>0.64718373950854491</v>
      </c>
      <c r="BZ45" s="1250">
        <f t="shared" si="74"/>
        <v>0.52567975830815705</v>
      </c>
      <c r="CA45" s="1252">
        <f t="shared" si="74"/>
        <v>0.43891654513896372</v>
      </c>
      <c r="CB45" s="1255">
        <f>CB31/CB52</f>
        <v>2.0235423027177442</v>
      </c>
      <c r="CC45" s="1251">
        <f t="shared" si="74"/>
        <v>0.49224884235957317</v>
      </c>
      <c r="CD45" s="1250">
        <f t="shared" si="74"/>
        <v>0.67589412002424731</v>
      </c>
      <c r="CE45" s="1250">
        <f t="shared" si="74"/>
        <v>0.47148676171079429</v>
      </c>
      <c r="CF45" s="1250">
        <f t="shared" si="74"/>
        <v>0.48704663212435234</v>
      </c>
      <c r="CG45" s="1255">
        <f>CG31/CG52</f>
        <v>2.1166109930154873</v>
      </c>
      <c r="CH45" s="1250">
        <f t="shared" si="74"/>
        <v>0.62078561489885475</v>
      </c>
      <c r="CI45" s="1250">
        <f t="shared" si="74"/>
        <v>0.79633620689655171</v>
      </c>
      <c r="CJ45" s="1250">
        <f t="shared" si="74"/>
        <v>0.65387117761873781</v>
      </c>
      <c r="CK45" s="1250">
        <f>(CK31-(-CK26*(1-CK103)))/CK52</f>
        <v>0.86966070056000877</v>
      </c>
      <c r="CL45" s="1255">
        <f>SUM(CH45:CK45)</f>
        <v>2.940653699974153</v>
      </c>
      <c r="CM45" s="1250">
        <f>+CM43-CM44</f>
        <v>0.62588261876518103</v>
      </c>
      <c r="CN45" s="1250">
        <f>+CN43-CN44</f>
        <v>0.78083914484966266</v>
      </c>
      <c r="CO45" s="1250">
        <f>+CO43-CO44</f>
        <v>0.62066574202496527</v>
      </c>
      <c r="CP45" s="1250">
        <f>+CP43-CP44</f>
        <v>0.39428124650954988</v>
      </c>
      <c r="CQ45" s="1255">
        <f>SUM(CM45:CP45)</f>
        <v>2.4216687521493592</v>
      </c>
      <c r="CR45" s="1250">
        <f>+CR43-CR44</f>
        <v>0.43418839360807404</v>
      </c>
      <c r="CS45" s="1250">
        <f>+CS43-CS44</f>
        <v>0.79295154185022032</v>
      </c>
      <c r="CT45" s="1250">
        <f>+CT43-CT44</f>
        <v>0.65067778936392073</v>
      </c>
      <c r="CU45" s="1250">
        <f>+CU43-CU44</f>
        <v>0.68630523346913186</v>
      </c>
      <c r="CV45" s="1255">
        <f>SUM(CR45:CU45)</f>
        <v>2.564122958291347</v>
      </c>
      <c r="CW45" s="1251">
        <f>+CW43-CW44</f>
        <v>0.72282891315652631</v>
      </c>
      <c r="CX45" s="1250">
        <f>+CX43-CX44</f>
        <v>0.78240116218740274</v>
      </c>
      <c r="CY45" s="1250">
        <f>+CY43-CY44</f>
        <v>0.74617610582885496</v>
      </c>
      <c r="CZ45" s="1252">
        <f>+CZ43-CZ44</f>
        <v>-0.24692633536522368</v>
      </c>
      <c r="DA45" s="1255">
        <f>SUM(CW45:CZ45)</f>
        <v>2.0044798458075599</v>
      </c>
      <c r="DB45" s="1251">
        <f>+DB43-DB44</f>
        <v>0.88912133891213385</v>
      </c>
      <c r="DC45" s="1250">
        <f>+DC43-DC44</f>
        <v>1.93</v>
      </c>
      <c r="DD45" s="1250">
        <f>+DD43-DD44</f>
        <v>1.1810595065312046</v>
      </c>
      <c r="DE45" s="1250">
        <f>+DE43-DE44</f>
        <v>2.3582766439909298E-2</v>
      </c>
      <c r="DF45" s="1255">
        <f>SUM(DB45:DE45)</f>
        <v>4.0237636118832478</v>
      </c>
      <c r="DG45" s="1250">
        <f>+DG43-DG44</f>
        <v>1.0103768432550519</v>
      </c>
      <c r="DH45" s="1250">
        <f>+DH43-DH44</f>
        <v>0.85446527012127882</v>
      </c>
      <c r="DI45" s="1250">
        <f>+DI43-DI44</f>
        <v>1.0136004410953869</v>
      </c>
      <c r="DJ45" s="1250">
        <f>+DJ43-DJ44</f>
        <v>0.94582185491276405</v>
      </c>
      <c r="DK45" s="1255">
        <f>SUM(DG45:DJ45)</f>
        <v>3.8242644093844822</v>
      </c>
      <c r="DL45" s="1250">
        <f>+DL43-DL44</f>
        <v>0.96848295506753657</v>
      </c>
      <c r="DM45" s="1250">
        <f>+DM43-DM44</f>
        <v>0.97650852141870104</v>
      </c>
      <c r="DN45" s="1250">
        <f>+DN43-DN44</f>
        <v>1.0733419545538518</v>
      </c>
      <c r="DO45" s="1250">
        <f>+DO43-DO44</f>
        <v>0.75696083058046248</v>
      </c>
      <c r="DP45" s="1255">
        <f>SUM(DL45:DO45)</f>
        <v>3.7752942616205516</v>
      </c>
      <c r="DQ45" s="1250">
        <f>+DQ43-DQ44</f>
        <v>0.81198694491148249</v>
      </c>
      <c r="DR45" s="1254">
        <f ca="1">+DR43-DR44</f>
        <v>1.2690296669572751</v>
      </c>
      <c r="DS45" s="1254">
        <f ca="1">+DS43-DS44</f>
        <v>1.2249716516304401</v>
      </c>
      <c r="DT45" s="1763">
        <f ca="1">+DT43-DT44</f>
        <v>1.2193583011068032</v>
      </c>
      <c r="DU45" s="1255">
        <f ca="1">SUM(DQ45:DT45)</f>
        <v>4.5253465646060009</v>
      </c>
      <c r="DV45" s="1762">
        <f ca="1">+DV43-DV44</f>
        <v>1.1229322840331943</v>
      </c>
      <c r="DW45" s="1254">
        <f ca="1">+DW43-DW44</f>
        <v>1.4018696196993015</v>
      </c>
      <c r="DX45" s="1254">
        <f ca="1">+DX43-DX44</f>
        <v>1.4390793368811499</v>
      </c>
      <c r="DY45" s="1763">
        <f ca="1">+DY43-DY44</f>
        <v>1.4900506022797853</v>
      </c>
      <c r="DZ45" s="1255">
        <f ca="1">SUM(DV45:DY45)</f>
        <v>5.4539318428934314</v>
      </c>
      <c r="EA45" s="1762">
        <f ca="1">+EA43-EA44</f>
        <v>1.4161272830051954</v>
      </c>
      <c r="EB45" s="1254">
        <f ca="1">+EB43-EB44</f>
        <v>1.6900702724797947</v>
      </c>
      <c r="EC45" s="1254">
        <f ca="1">+EC43-EC44</f>
        <v>1.7487056211781189</v>
      </c>
      <c r="ED45" s="1763">
        <f ca="1">+ED43-ED44</f>
        <v>1.8098319650693691</v>
      </c>
      <c r="EE45" s="1255">
        <f ca="1">SUM(EA45:ED45)</f>
        <v>6.6647351417324785</v>
      </c>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row>
    <row r="46" spans="2:232" s="339" customFormat="1" ht="12" collapsed="1" thickBot="1">
      <c r="B46" s="589" t="s">
        <v>185</v>
      </c>
      <c r="C46" s="590"/>
      <c r="D46" s="591">
        <f t="shared" ref="D46:AI46" si="75">D41/D52</f>
        <v>0.1562287686473838</v>
      </c>
      <c r="E46" s="591">
        <f t="shared" si="75"/>
        <v>0.17667425232468392</v>
      </c>
      <c r="F46" s="591">
        <f t="shared" si="75"/>
        <v>0.19700469006169749</v>
      </c>
      <c r="G46" s="591">
        <f t="shared" si="75"/>
        <v>0.22277660236153005</v>
      </c>
      <c r="H46" s="591">
        <f t="shared" si="75"/>
        <v>0.22364522445317442</v>
      </c>
      <c r="I46" s="591">
        <f t="shared" si="75"/>
        <v>0.28473156495898816</v>
      </c>
      <c r="J46" s="591">
        <f t="shared" si="75"/>
        <v>0.32325154778931614</v>
      </c>
      <c r="K46" s="592">
        <f t="shared" si="75"/>
        <v>6.4076080060989596E-2</v>
      </c>
      <c r="L46" s="593">
        <f t="shared" si="75"/>
        <v>0.132792530495457</v>
      </c>
      <c r="M46" s="593">
        <f t="shared" si="75"/>
        <v>9.5562347207322026E-2</v>
      </c>
      <c r="N46" s="594">
        <f t="shared" si="75"/>
        <v>8.5131485498527087E-2</v>
      </c>
      <c r="O46" s="591">
        <f t="shared" si="75"/>
        <v>0.37764237131490452</v>
      </c>
      <c r="P46" s="592">
        <f t="shared" si="75"/>
        <v>8.126785075992117E-2</v>
      </c>
      <c r="Q46" s="593">
        <f t="shared" si="75"/>
        <v>0.15730435219115477</v>
      </c>
      <c r="R46" s="593">
        <f t="shared" si="75"/>
        <v>0.1126895578586158</v>
      </c>
      <c r="S46" s="594">
        <f t="shared" si="75"/>
        <v>0.10296597558297545</v>
      </c>
      <c r="T46" s="591">
        <f t="shared" si="75"/>
        <v>0.45418714101845553</v>
      </c>
      <c r="U46" s="592">
        <f t="shared" si="75"/>
        <v>6.7354259910645295E-2</v>
      </c>
      <c r="V46" s="593">
        <f t="shared" si="75"/>
        <v>0.17986394043313758</v>
      </c>
      <c r="W46" s="593">
        <f t="shared" si="75"/>
        <v>0.14131319831431466</v>
      </c>
      <c r="X46" s="594">
        <f t="shared" si="75"/>
        <v>0.16524474831549735</v>
      </c>
      <c r="Y46" s="591">
        <f t="shared" si="75"/>
        <v>0.55413833919911348</v>
      </c>
      <c r="Z46" s="592">
        <f t="shared" si="75"/>
        <v>0.11659414556962015</v>
      </c>
      <c r="AA46" s="593">
        <f t="shared" si="75"/>
        <v>0.21349644830307829</v>
      </c>
      <c r="AB46" s="593">
        <f t="shared" si="75"/>
        <v>0.17241039779440678</v>
      </c>
      <c r="AC46" s="594">
        <f t="shared" si="75"/>
        <v>0.1572426000590029</v>
      </c>
      <c r="AD46" s="591">
        <f t="shared" si="75"/>
        <v>0.61531228530527027</v>
      </c>
      <c r="AE46" s="592">
        <f t="shared" si="75"/>
        <v>0.14289926289926264</v>
      </c>
      <c r="AF46" s="593">
        <f t="shared" si="75"/>
        <v>0.23435354129880329</v>
      </c>
      <c r="AG46" s="593">
        <f t="shared" si="75"/>
        <v>0.18974811330001023</v>
      </c>
      <c r="AH46" s="594">
        <f t="shared" si="75"/>
        <v>0.21187518340995803</v>
      </c>
      <c r="AI46" s="591">
        <f t="shared" si="75"/>
        <v>0.77900648949958884</v>
      </c>
      <c r="AJ46" s="592">
        <f t="shared" ref="AJ46:BO46" si="76">AJ41/AJ52</f>
        <v>0.15435587604755355</v>
      </c>
      <c r="AK46" s="593">
        <f t="shared" si="76"/>
        <v>0.28839242350655669</v>
      </c>
      <c r="AL46" s="593">
        <f t="shared" si="76"/>
        <v>0.20700358909690517</v>
      </c>
      <c r="AM46" s="594">
        <f t="shared" si="76"/>
        <v>0.21056208135132554</v>
      </c>
      <c r="AN46" s="591">
        <f t="shared" si="76"/>
        <v>0.86068605388372865</v>
      </c>
      <c r="AO46" s="592">
        <f t="shared" si="76"/>
        <v>0.18050296145256772</v>
      </c>
      <c r="AP46" s="593">
        <f t="shared" si="76"/>
        <v>0.31653421205659982</v>
      </c>
      <c r="AQ46" s="593">
        <f t="shared" si="76"/>
        <v>0.2505077860528096</v>
      </c>
      <c r="AR46" s="594">
        <f t="shared" si="76"/>
        <v>0.23962464931798397</v>
      </c>
      <c r="AS46" s="591">
        <f t="shared" si="76"/>
        <v>0.97658558322919409</v>
      </c>
      <c r="AT46" s="592">
        <f t="shared" si="76"/>
        <v>0.19808213870592775</v>
      </c>
      <c r="AU46" s="593">
        <f t="shared" si="76"/>
        <v>0.35974781765276459</v>
      </c>
      <c r="AV46" s="593">
        <f t="shared" si="76"/>
        <v>0.26398991368441477</v>
      </c>
      <c r="AW46" s="594">
        <f t="shared" si="76"/>
        <v>0.26771348260153105</v>
      </c>
      <c r="AX46" s="591">
        <f t="shared" si="76"/>
        <v>1.1294653676506239</v>
      </c>
      <c r="AY46" s="592">
        <f t="shared" si="76"/>
        <v>0.24694826583995305</v>
      </c>
      <c r="AZ46" s="593">
        <f t="shared" si="76"/>
        <v>0.41989538980621066</v>
      </c>
      <c r="BA46" s="593">
        <f t="shared" si="76"/>
        <v>0.33446568960496975</v>
      </c>
      <c r="BB46" s="594">
        <f t="shared" si="76"/>
        <v>0.30730429721602576</v>
      </c>
      <c r="BC46" s="591">
        <f t="shared" si="76"/>
        <v>1.308199263845637</v>
      </c>
      <c r="BD46" s="592">
        <f t="shared" si="76"/>
        <v>0.31921507674373456</v>
      </c>
      <c r="BE46" s="593">
        <f t="shared" si="76"/>
        <v>0.47678710178710226</v>
      </c>
      <c r="BF46" s="593">
        <f t="shared" si="76"/>
        <v>0.39937809736663182</v>
      </c>
      <c r="BG46" s="594">
        <f t="shared" si="76"/>
        <v>0.32100692750512178</v>
      </c>
      <c r="BH46" s="591">
        <f t="shared" si="76"/>
        <v>1.5165308543837654</v>
      </c>
      <c r="BI46" s="592">
        <f t="shared" si="76"/>
        <v>0.33806123447129038</v>
      </c>
      <c r="BJ46" s="593">
        <f t="shared" si="76"/>
        <v>0.51323529411764801</v>
      </c>
      <c r="BK46" s="593">
        <f t="shared" si="76"/>
        <v>0.46094901267315141</v>
      </c>
      <c r="BL46" s="594">
        <f t="shared" si="76"/>
        <v>0.40548780487804731</v>
      </c>
      <c r="BM46" s="591">
        <f t="shared" si="76"/>
        <v>1.7172817730098378</v>
      </c>
      <c r="BN46" s="592">
        <f t="shared" si="76"/>
        <v>0.42599171107164058</v>
      </c>
      <c r="BO46" s="593">
        <f t="shared" si="76"/>
        <v>0.64723987291501284</v>
      </c>
      <c r="BP46" s="593">
        <f t="shared" ref="BP46:CK46" si="77">BP41/BP52</f>
        <v>0.55952143569292012</v>
      </c>
      <c r="BQ46" s="594">
        <f t="shared" si="77"/>
        <v>0.39653965396539564</v>
      </c>
      <c r="BR46" s="591">
        <f t="shared" si="77"/>
        <v>2.0282408153105491</v>
      </c>
      <c r="BS46" s="592">
        <f t="shared" si="77"/>
        <v>0.45674185463659112</v>
      </c>
      <c r="BT46" s="593">
        <f t="shared" si="77"/>
        <v>0.68874371859296524</v>
      </c>
      <c r="BU46" s="593">
        <f t="shared" si="77"/>
        <v>0.576659959758552</v>
      </c>
      <c r="BV46" s="594">
        <f t="shared" si="77"/>
        <v>0.4467261185006049</v>
      </c>
      <c r="BW46" s="591">
        <f t="shared" si="77"/>
        <v>2.0376105175413337</v>
      </c>
      <c r="BX46" s="592">
        <f t="shared" si="77"/>
        <v>0.41203797212684307</v>
      </c>
      <c r="BY46" s="593">
        <f t="shared" si="77"/>
        <v>0.64718373950854491</v>
      </c>
      <c r="BZ46" s="593">
        <f t="shared" si="77"/>
        <v>0.52567975830815705</v>
      </c>
      <c r="CA46" s="594">
        <f t="shared" si="77"/>
        <v>0.43891654513896372</v>
      </c>
      <c r="CB46" s="843">
        <f>ROUNDDOWN(SUM(BX46:CA46),2)</f>
        <v>2.02</v>
      </c>
      <c r="CC46" s="592">
        <f t="shared" si="77"/>
        <v>0.53754781558284681</v>
      </c>
      <c r="CD46" s="593">
        <f t="shared" si="77"/>
        <v>0.71731662962214593</v>
      </c>
      <c r="CE46" s="593">
        <f t="shared" si="77"/>
        <v>0.56008146639511203</v>
      </c>
      <c r="CF46" s="593">
        <f t="shared" si="77"/>
        <v>0.56269430051813474</v>
      </c>
      <c r="CG46" s="843">
        <f>ROUNDDOWN(SUM(CC46:CF46),2)</f>
        <v>2.37</v>
      </c>
      <c r="CH46" s="593">
        <f t="shared" si="77"/>
        <v>0.68393449641442794</v>
      </c>
      <c r="CI46" s="593">
        <f t="shared" si="77"/>
        <v>0.86422413793103448</v>
      </c>
      <c r="CJ46" s="593">
        <f t="shared" si="77"/>
        <v>0.72652353068748643</v>
      </c>
      <c r="CK46" s="593">
        <f t="shared" si="77"/>
        <v>0.65773580762051165</v>
      </c>
      <c r="CL46" s="843">
        <f>SUM(CH46:CK46)</f>
        <v>2.93241797265346</v>
      </c>
      <c r="CM46" s="593">
        <v>0.71</v>
      </c>
      <c r="CN46" s="593">
        <f>CN41/CN52</f>
        <v>0.87687207042414539</v>
      </c>
      <c r="CO46" s="593">
        <v>0.72</v>
      </c>
      <c r="CP46" s="593">
        <v>0.63</v>
      </c>
      <c r="CQ46" s="843">
        <v>2.93</v>
      </c>
      <c r="CR46" s="593">
        <f>CR41/CR52</f>
        <v>0.58137089991589574</v>
      </c>
      <c r="CS46" s="593">
        <f>CS41/CS52</f>
        <v>0.95972309628697294</v>
      </c>
      <c r="CT46" s="593">
        <f>CT41/CT52</f>
        <v>0.84671532846715325</v>
      </c>
      <c r="CU46" s="593">
        <f>CU41/CU52</f>
        <v>0.73331244124099026</v>
      </c>
      <c r="CV46" s="843">
        <f>SUM(CR46:CU46)</f>
        <v>3.121121765911012</v>
      </c>
      <c r="CW46" s="592">
        <f>CW41/CW52</f>
        <v>0.71554862194487778</v>
      </c>
      <c r="CX46" s="593">
        <f>CX41/CX52</f>
        <v>0.91314724499325528</v>
      </c>
      <c r="CY46" s="593">
        <f>CY41/CY52</f>
        <v>0.91256717651922292</v>
      </c>
      <c r="CZ46" s="594">
        <f>CZ41/CZ52</f>
        <v>0.73767951234631679</v>
      </c>
      <c r="DA46" s="843">
        <f>SUM(CW46:CZ46)</f>
        <v>3.2789425558036727</v>
      </c>
      <c r="DB46" s="592">
        <f t="shared" ref="DB46:DF46" si="78">DB41/DB52</f>
        <v>0.78347280334728031</v>
      </c>
      <c r="DC46" s="593">
        <f t="shared" si="78"/>
        <v>1.1794823172466107</v>
      </c>
      <c r="DD46" s="593">
        <f t="shared" si="78"/>
        <v>1.0186865021770681</v>
      </c>
      <c r="DE46" s="593">
        <f t="shared" si="78"/>
        <v>0.87891156462585029</v>
      </c>
      <c r="DF46" s="843">
        <f t="shared" si="78"/>
        <v>3.8760793244140808</v>
      </c>
      <c r="DG46" s="593">
        <f t="shared" ref="DG46" si="79">DG41/DG52</f>
        <v>1.0304023302384855</v>
      </c>
      <c r="DH46" s="593">
        <f t="shared" ref="DH46:DI46" si="80">DH41/DH52</f>
        <v>1.3074237412715912</v>
      </c>
      <c r="DI46" s="593">
        <f t="shared" si="80"/>
        <v>1.1836059547877229</v>
      </c>
      <c r="DJ46" s="593">
        <f t="shared" ref="DJ46:DL46" si="81">DJ41/DJ52</f>
        <v>1.0707070707070707</v>
      </c>
      <c r="DK46" s="843">
        <f>SUM(DG46:DJ46)</f>
        <v>4.5921390970048703</v>
      </c>
      <c r="DL46" s="593">
        <f t="shared" si="81"/>
        <v>1.1035560047780943</v>
      </c>
      <c r="DM46" s="593">
        <f t="shared" ref="DM46:DN46" si="82">DM41/DM52</f>
        <v>1.3597420543528327</v>
      </c>
      <c r="DN46" s="593">
        <f t="shared" si="82"/>
        <v>1.3310548679105858</v>
      </c>
      <c r="DO46" s="593">
        <f t="shared" ref="DO46:DQ46" si="83">DO41/DO52</f>
        <v>1.3072203869749881</v>
      </c>
      <c r="DP46" s="843">
        <f>SUM(DL46:DO46)</f>
        <v>5.1015733140165009</v>
      </c>
      <c r="DQ46" s="593">
        <f t="shared" si="83"/>
        <v>1.2807833053110473</v>
      </c>
      <c r="DR46" s="591">
        <f ca="1">DR41/DR52</f>
        <v>1.5408670389247578</v>
      </c>
      <c r="DS46" s="591">
        <f ca="1">DS41/DS52</f>
        <v>1.5124919489037392</v>
      </c>
      <c r="DT46" s="1765">
        <f ca="1">DT41/DT52</f>
        <v>1.4347913768735403</v>
      </c>
      <c r="DU46" s="843">
        <f ca="1">SUM(DQ46:DT46)</f>
        <v>5.7689336700130847</v>
      </c>
      <c r="DV46" s="1764">
        <f ca="1">DV41/DV52</f>
        <v>1.416392701727091</v>
      </c>
      <c r="DW46" s="591">
        <f ca="1">DW41/DW52</f>
        <v>1.6947711794590334</v>
      </c>
      <c r="DX46" s="591">
        <f ca="1">DX41/DX52</f>
        <v>1.7356817259382828</v>
      </c>
      <c r="DY46" s="1765">
        <f ca="1">DY41/DY52</f>
        <v>1.7151326288981761</v>
      </c>
      <c r="DZ46" s="843">
        <f ca="1">SUM(DV46:DY46)</f>
        <v>6.5619782360225836</v>
      </c>
      <c r="EA46" s="1764">
        <f ca="1">EA41/EA52</f>
        <v>1.5380194203814843</v>
      </c>
      <c r="EB46" s="591">
        <f ca="1">EB41/EB52</f>
        <v>1.8091210111551781</v>
      </c>
      <c r="EC46" s="591">
        <f ca="1">EC41/EC52</f>
        <v>1.8693406433696269</v>
      </c>
      <c r="ED46" s="1765">
        <f ca="1">ED41/ED52</f>
        <v>1.8527149195848873</v>
      </c>
      <c r="EE46" s="843">
        <f ca="1">SUM(EA46:ED46)</f>
        <v>7.0691959944911762</v>
      </c>
      <c r="EF46" s="1607"/>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row>
    <row r="47" spans="2:232" s="348" customFormat="1" ht="11.25" customHeight="1" thickBot="1">
      <c r="B47" s="340"/>
      <c r="C47" s="340"/>
      <c r="D47" s="341"/>
      <c r="E47" s="341"/>
      <c r="F47" s="341"/>
      <c r="G47" s="341"/>
      <c r="H47" s="341"/>
      <c r="I47" s="341"/>
      <c r="J47" s="341"/>
      <c r="K47" s="341"/>
      <c r="L47" s="341"/>
      <c r="M47" s="342"/>
      <c r="N47" s="342"/>
      <c r="O47" s="341"/>
      <c r="P47" s="341"/>
      <c r="Q47" s="341"/>
      <c r="R47" s="342"/>
      <c r="S47" s="342"/>
      <c r="T47" s="343"/>
      <c r="U47" s="341"/>
      <c r="V47" s="341"/>
      <c r="W47" s="342"/>
      <c r="X47" s="342"/>
      <c r="Y47" s="343"/>
      <c r="Z47" s="341"/>
      <c r="AA47" s="341"/>
      <c r="AB47" s="342"/>
      <c r="AC47" s="342"/>
      <c r="AD47" s="343"/>
      <c r="AE47" s="341"/>
      <c r="AF47" s="341"/>
      <c r="AG47" s="342"/>
      <c r="AH47" s="342"/>
      <c r="AI47" s="343"/>
      <c r="AJ47" s="341"/>
      <c r="AK47" s="341"/>
      <c r="AL47" s="342"/>
      <c r="AM47" s="342"/>
      <c r="AN47" s="343"/>
      <c r="AO47" s="341"/>
      <c r="AP47" s="341"/>
      <c r="AQ47" s="342"/>
      <c r="AR47" s="342"/>
      <c r="AS47" s="344"/>
      <c r="AT47" s="341"/>
      <c r="AU47" s="341"/>
      <c r="AV47" s="342"/>
      <c r="AW47" s="342"/>
      <c r="AX47" s="344"/>
      <c r="AY47" s="341"/>
      <c r="AZ47" s="341"/>
      <c r="BA47" s="342"/>
      <c r="BB47" s="342"/>
      <c r="BC47" s="344"/>
      <c r="BD47" s="341"/>
      <c r="BE47" s="341"/>
      <c r="BF47" s="342"/>
      <c r="BG47" s="342"/>
      <c r="BH47" s="344"/>
      <c r="BI47" s="341"/>
      <c r="BJ47" s="341"/>
      <c r="BK47" s="342"/>
      <c r="BL47" s="342"/>
      <c r="BM47" s="344"/>
      <c r="BN47" s="341"/>
      <c r="BO47" s="341"/>
      <c r="BP47" s="342"/>
      <c r="BQ47" s="342"/>
      <c r="BR47" s="345"/>
      <c r="BS47" s="341"/>
      <c r="BT47" s="341"/>
      <c r="BU47" s="342"/>
      <c r="BV47" s="342"/>
      <c r="BW47" s="345"/>
      <c r="BX47" s="341"/>
      <c r="BY47" s="341"/>
      <c r="BZ47" s="342"/>
      <c r="CA47" s="342"/>
      <c r="CB47" s="345"/>
      <c r="CC47" s="341"/>
      <c r="CD47" s="341"/>
      <c r="CE47" s="341"/>
      <c r="CF47" s="341"/>
      <c r="CG47" s="345"/>
      <c r="CH47" s="341"/>
      <c r="CI47" s="341"/>
      <c r="CJ47" s="346"/>
      <c r="CK47" s="667"/>
      <c r="CL47" s="345"/>
      <c r="CM47" s="341"/>
      <c r="CN47" s="341"/>
      <c r="CO47" s="346"/>
      <c r="CP47" s="346"/>
      <c r="CQ47" s="345"/>
      <c r="CR47" s="1349"/>
      <c r="CS47" s="1349"/>
      <c r="CT47" s="1351"/>
      <c r="CU47" s="1351"/>
      <c r="CV47" s="1521"/>
      <c r="CW47" s="1632"/>
      <c r="CX47" s="1632"/>
      <c r="CY47" s="1632"/>
      <c r="CZ47" s="1632"/>
      <c r="DA47" s="1632"/>
      <c r="DB47" s="1634"/>
      <c r="DC47" s="1627"/>
      <c r="DD47" s="1627"/>
      <c r="DE47" s="1627"/>
      <c r="DF47" s="1543"/>
      <c r="DG47" s="1627"/>
      <c r="DH47" s="1627"/>
      <c r="DI47" s="1627"/>
      <c r="DJ47" s="1627"/>
      <c r="DK47" s="1627"/>
      <c r="DL47" s="1627"/>
      <c r="DM47" s="1627"/>
      <c r="DN47" s="1627"/>
      <c r="DO47" s="1627"/>
      <c r="DP47" s="1627"/>
      <c r="DQ47" s="1627"/>
      <c r="DR47" s="1627"/>
      <c r="DS47" s="1627"/>
      <c r="DT47" s="1627"/>
      <c r="DU47" s="1627"/>
      <c r="DV47" s="1627"/>
      <c r="DW47" s="1627"/>
      <c r="DX47" s="1627"/>
      <c r="DY47" s="1627"/>
      <c r="DZ47" s="1627"/>
      <c r="EA47" s="1627"/>
      <c r="EB47" s="1627"/>
      <c r="EC47" s="1627"/>
      <c r="ED47" s="1627"/>
      <c r="EE47" s="1627"/>
      <c r="EF47" s="2174"/>
      <c r="EG47" s="38"/>
      <c r="EH47"/>
      <c r="EI47"/>
      <c r="EJ47"/>
      <c r="EK47"/>
      <c r="EL47"/>
      <c r="EM47"/>
      <c r="EN47" s="38"/>
      <c r="EO47" s="38"/>
      <c r="EP47" s="38"/>
      <c r="EQ47" s="38"/>
      <c r="ER47" s="38"/>
      <c r="ES47" s="38"/>
      <c r="ET47" s="38"/>
      <c r="EU47" s="38"/>
      <c r="EV47" s="38"/>
      <c r="EW47" s="38"/>
      <c r="EX47" s="38"/>
      <c r="EY47" s="38"/>
      <c r="EZ47" s="38"/>
      <c r="FA47" s="38"/>
      <c r="FB47" s="38"/>
      <c r="FC47" s="38"/>
      <c r="FD47" s="38"/>
      <c r="FE47" s="38"/>
      <c r="FF47" s="38"/>
      <c r="FG47" s="38"/>
      <c r="FH47" s="38"/>
      <c r="FI47" s="38"/>
      <c r="FJ47" s="38"/>
      <c r="FK47" s="38"/>
      <c r="FL47" s="38"/>
      <c r="FM47" s="38"/>
      <c r="FN47" s="38"/>
      <c r="FO47" s="38"/>
      <c r="FP47" s="38"/>
      <c r="FQ47" s="38"/>
      <c r="FR47" s="38"/>
      <c r="FS47" s="38"/>
      <c r="FT47" s="38"/>
      <c r="FU47" s="38"/>
      <c r="FV47" s="38"/>
      <c r="FW47" s="38"/>
      <c r="FX47" s="38"/>
      <c r="FY47" s="38"/>
      <c r="FZ47" s="38"/>
      <c r="GA47" s="38"/>
      <c r="GB47" s="38"/>
      <c r="GC47" s="38"/>
      <c r="GD47" s="38"/>
      <c r="GE47" s="38"/>
      <c r="GF47" s="38"/>
      <c r="GG47" s="38"/>
      <c r="GH47" s="38"/>
      <c r="GI47" s="38"/>
      <c r="GJ47" s="38"/>
      <c r="GK47" s="38"/>
      <c r="GL47" s="38"/>
      <c r="GM47" s="38"/>
      <c r="GN47" s="38"/>
      <c r="GO47" s="38"/>
      <c r="GP47" s="38"/>
      <c r="GQ47" s="38"/>
      <c r="GR47" s="38"/>
      <c r="GS47" s="38"/>
      <c r="GT47" s="38"/>
      <c r="GU47" s="38"/>
      <c r="GV47" s="38"/>
      <c r="GW47" s="38"/>
      <c r="GX47" s="38"/>
      <c r="GY47" s="38"/>
      <c r="GZ47" s="38"/>
      <c r="HA47" s="38"/>
      <c r="HB47" s="38"/>
      <c r="HC47" s="38"/>
      <c r="HD47" s="38"/>
      <c r="HE47" s="38"/>
      <c r="HF47" s="38"/>
      <c r="HG47" s="38"/>
      <c r="HH47" s="38"/>
      <c r="HI47" s="38"/>
      <c r="HJ47" s="38"/>
      <c r="HK47" s="38"/>
      <c r="HL47" s="38"/>
      <c r="HM47" s="38"/>
      <c r="HN47" s="38"/>
      <c r="HO47" s="38"/>
      <c r="HP47" s="38"/>
      <c r="HQ47" s="38"/>
      <c r="HR47" s="38"/>
      <c r="HS47" s="38"/>
      <c r="HT47" s="38"/>
      <c r="HU47" s="38"/>
      <c r="HV47" s="38"/>
      <c r="HW47" s="38"/>
      <c r="HX47" s="38"/>
    </row>
    <row r="48" spans="2:232" s="64" customFormat="1" ht="11.25" hidden="1" customHeight="1" outlineLevel="1">
      <c r="D48" s="80"/>
      <c r="E48" s="80"/>
      <c r="F48" s="80"/>
      <c r="G48" s="80"/>
      <c r="H48" s="80"/>
      <c r="I48" s="80"/>
      <c r="J48" s="80"/>
      <c r="K48" s="124"/>
      <c r="L48" s="349"/>
      <c r="M48" s="350"/>
      <c r="N48" s="122"/>
      <c r="O48" s="80"/>
      <c r="P48" s="124"/>
      <c r="Q48" s="349"/>
      <c r="R48" s="350"/>
      <c r="S48" s="122"/>
      <c r="T48" s="80"/>
      <c r="U48" s="124"/>
      <c r="V48" s="349"/>
      <c r="W48" s="350"/>
      <c r="X48" s="122"/>
      <c r="Y48" s="80"/>
      <c r="Z48" s="124"/>
      <c r="AA48" s="349"/>
      <c r="AB48" s="350"/>
      <c r="AC48" s="122"/>
      <c r="AD48" s="80"/>
      <c r="AE48" s="124"/>
      <c r="AF48" s="349"/>
      <c r="AG48" s="350"/>
      <c r="AH48" s="122"/>
      <c r="AI48" s="80"/>
      <c r="AJ48" s="124"/>
      <c r="AK48" s="349"/>
      <c r="AL48" s="350"/>
      <c r="AM48" s="122"/>
      <c r="AN48" s="80"/>
      <c r="AO48" s="124"/>
      <c r="AP48" s="349"/>
      <c r="AQ48" s="350"/>
      <c r="AR48" s="122"/>
      <c r="AS48" s="351"/>
      <c r="AT48" s="124"/>
      <c r="AU48" s="349"/>
      <c r="AV48" s="350"/>
      <c r="AW48" s="122"/>
      <c r="AX48" s="335"/>
      <c r="AY48" s="124"/>
      <c r="AZ48" s="349"/>
      <c r="BA48" s="350"/>
      <c r="BB48" s="122"/>
      <c r="BC48" s="80"/>
      <c r="BD48" s="124"/>
      <c r="BE48" s="349"/>
      <c r="BF48" s="350"/>
      <c r="BG48" s="122"/>
      <c r="BH48" s="352"/>
      <c r="BI48" s="124"/>
      <c r="BJ48" s="349"/>
      <c r="BK48" s="350"/>
      <c r="BL48" s="122"/>
      <c r="BM48" s="352"/>
      <c r="BN48" s="124"/>
      <c r="BO48" s="349"/>
      <c r="BP48" s="350"/>
      <c r="BQ48" s="122"/>
      <c r="BR48" s="352"/>
      <c r="BS48" s="124"/>
      <c r="BT48" s="349"/>
      <c r="BU48" s="350"/>
      <c r="BV48" s="122"/>
      <c r="BW48" s="352"/>
      <c r="BX48" s="124"/>
      <c r="BY48" s="349"/>
      <c r="BZ48" s="350"/>
      <c r="CA48" s="122"/>
      <c r="CB48" s="352"/>
      <c r="CC48" s="124"/>
      <c r="CD48" s="349"/>
      <c r="CE48" s="350"/>
      <c r="CF48" s="122"/>
      <c r="CG48" s="352"/>
      <c r="CH48" s="124"/>
      <c r="CI48" s="349"/>
      <c r="CJ48" s="350"/>
      <c r="CK48" s="131"/>
      <c r="CL48" s="352"/>
      <c r="CM48" s="124"/>
      <c r="CN48" s="349"/>
      <c r="CO48" s="350"/>
      <c r="CP48" s="131"/>
      <c r="CQ48" s="352"/>
      <c r="CR48" s="124"/>
      <c r="CS48" s="349"/>
      <c r="CT48" s="350"/>
      <c r="CU48" s="350"/>
      <c r="CV48" s="131"/>
      <c r="CW48" s="124"/>
      <c r="CX48" s="124"/>
      <c r="CY48" s="124"/>
      <c r="CZ48" s="124"/>
      <c r="DA48" s="1652"/>
      <c r="DB48" s="1626"/>
      <c r="DC48" s="1626"/>
      <c r="DD48" s="1626"/>
      <c r="DE48" s="1626"/>
      <c r="DF48" s="1627"/>
      <c r="DG48" s="1626"/>
      <c r="DH48" s="1626"/>
      <c r="DI48" s="1626"/>
      <c r="DJ48" s="1626"/>
      <c r="DK48" s="859"/>
      <c r="DL48" s="1626"/>
      <c r="DM48" s="1626"/>
      <c r="DN48" s="1626"/>
      <c r="DO48" s="1626"/>
      <c r="DP48" s="77"/>
      <c r="DQ48" s="1626"/>
      <c r="DR48" s="859"/>
      <c r="DS48" s="859"/>
      <c r="DT48" s="859"/>
      <c r="DU48" s="77"/>
      <c r="DV48" s="859"/>
      <c r="DW48" s="859"/>
      <c r="DX48" s="859"/>
      <c r="DY48" s="859"/>
      <c r="EA48" s="859"/>
      <c r="EB48" s="859"/>
      <c r="EC48" s="859"/>
      <c r="ED48" s="859"/>
      <c r="EF48" s="38"/>
      <c r="EG48" s="38"/>
      <c r="EH48"/>
      <c r="EI48"/>
      <c r="EJ48"/>
      <c r="EK48"/>
      <c r="EL48"/>
      <c r="EM48"/>
      <c r="EN48" s="38"/>
      <c r="EO48" s="38"/>
      <c r="EP48" s="38"/>
      <c r="EQ48" s="38"/>
      <c r="ER48" s="38"/>
      <c r="ES48" s="38"/>
      <c r="ET48" s="38"/>
      <c r="EU48" s="38"/>
      <c r="EV48" s="38"/>
      <c r="EW48" s="38"/>
      <c r="EX48" s="38"/>
      <c r="EY48" s="38"/>
      <c r="EZ48" s="38"/>
      <c r="FA48" s="38"/>
      <c r="FB48" s="38"/>
      <c r="FC48" s="38"/>
      <c r="FD48" s="38"/>
      <c r="FE48" s="38"/>
      <c r="FF48" s="38"/>
      <c r="FG48" s="38"/>
      <c r="FH48" s="38"/>
      <c r="FI48" s="38"/>
      <c r="FJ48" s="38"/>
      <c r="FK48" s="38"/>
      <c r="FL48" s="38"/>
      <c r="FM48" s="38"/>
      <c r="FN48" s="38"/>
      <c r="FO48" s="38"/>
      <c r="FP48" s="38"/>
      <c r="FQ48" s="38"/>
      <c r="FR48" s="38"/>
      <c r="FS48" s="38"/>
      <c r="FT48" s="38"/>
      <c r="FU48" s="38"/>
      <c r="FV48" s="38"/>
      <c r="FW48" s="38"/>
      <c r="FX48" s="38"/>
      <c r="FY48" s="38"/>
      <c r="FZ48" s="38"/>
      <c r="GA48" s="38"/>
      <c r="GB48" s="38"/>
      <c r="GC48" s="38"/>
      <c r="GD48" s="38"/>
      <c r="GE48" s="38"/>
      <c r="GF48" s="38"/>
      <c r="GG48" s="38"/>
      <c r="GH48" s="38"/>
      <c r="GI48" s="38"/>
      <c r="GJ48" s="38"/>
      <c r="GK48" s="38"/>
      <c r="GL48" s="38"/>
      <c r="GM48" s="38"/>
      <c r="GN48" s="38"/>
      <c r="GO48" s="38"/>
      <c r="GP48" s="38"/>
      <c r="GQ48" s="38"/>
      <c r="GR48" s="38"/>
      <c r="GS48" s="38"/>
      <c r="GT48" s="38"/>
      <c r="GU48" s="38"/>
      <c r="GV48" s="38"/>
      <c r="GW48" s="38"/>
      <c r="GX48" s="38"/>
      <c r="GY48" s="38"/>
      <c r="GZ48" s="38"/>
      <c r="HA48" s="38"/>
      <c r="HB48" s="38"/>
      <c r="HC48" s="38"/>
      <c r="HD48" s="38"/>
      <c r="HE48" s="38"/>
      <c r="HF48" s="38"/>
      <c r="HG48" s="38"/>
      <c r="HH48" s="38"/>
      <c r="HI48" s="38"/>
      <c r="HJ48" s="38"/>
      <c r="HK48" s="38"/>
      <c r="HL48" s="38"/>
      <c r="HM48" s="38"/>
      <c r="HN48" s="38"/>
      <c r="HO48" s="38"/>
      <c r="HP48" s="38"/>
      <c r="HQ48" s="38"/>
      <c r="HR48" s="38"/>
      <c r="HS48" s="38"/>
      <c r="HT48" s="38"/>
      <c r="HU48" s="38"/>
      <c r="HV48" s="38"/>
      <c r="HW48" s="38"/>
      <c r="HX48" s="38"/>
    </row>
    <row r="49" spans="2:232" s="64" customFormat="1" ht="12" hidden="1" customHeight="1" outlineLevel="1" thickBot="1">
      <c r="B49" s="162"/>
      <c r="C49" s="162"/>
      <c r="D49" s="353"/>
      <c r="E49" s="354"/>
      <c r="F49" s="354"/>
      <c r="G49" s="354"/>
      <c r="H49" s="338"/>
      <c r="I49" s="354"/>
      <c r="J49" s="354"/>
      <c r="N49" s="122"/>
      <c r="O49" s="354"/>
      <c r="S49" s="122"/>
      <c r="T49" s="354"/>
      <c r="X49" s="122"/>
      <c r="Y49" s="354"/>
      <c r="AC49" s="122"/>
      <c r="AD49" s="354"/>
      <c r="AH49" s="122"/>
      <c r="AI49" s="354"/>
      <c r="AM49" s="122"/>
      <c r="AN49" s="354"/>
      <c r="AR49" s="122"/>
      <c r="AS49" s="355"/>
      <c r="AW49" s="122"/>
      <c r="AX49" s="355"/>
      <c r="BB49" s="122"/>
      <c r="BC49" s="355"/>
      <c r="BG49" s="122"/>
      <c r="BH49" s="356"/>
      <c r="BL49" s="122"/>
      <c r="BM49" s="60"/>
      <c r="BQ49" s="122"/>
      <c r="BR49" s="60"/>
      <c r="BV49" s="122"/>
      <c r="BW49" s="60"/>
      <c r="CA49" s="122"/>
      <c r="CB49" s="60"/>
      <c r="CG49" s="60"/>
      <c r="CJ49" s="62"/>
      <c r="CK49" s="62"/>
      <c r="CO49" s="62"/>
      <c r="CP49" s="334"/>
      <c r="CR49" s="61"/>
      <c r="CS49" s="61"/>
      <c r="CT49" s="1207"/>
      <c r="CU49" s="1207"/>
      <c r="CW49" s="131"/>
      <c r="CX49" s="131"/>
      <c r="CY49" s="131"/>
      <c r="CZ49" s="131"/>
      <c r="DA49" s="1630"/>
      <c r="DB49" s="1526"/>
      <c r="DC49" s="1526"/>
      <c r="DD49" s="1526"/>
      <c r="DE49" s="1526"/>
      <c r="DG49" s="1526"/>
      <c r="DH49" s="1526"/>
      <c r="DI49" s="1526"/>
      <c r="DJ49" s="1526"/>
      <c r="DK49" s="80"/>
      <c r="DL49" s="1526"/>
      <c r="DM49" s="1526"/>
      <c r="DN49" s="1526"/>
      <c r="DO49" s="1526"/>
      <c r="DQ49" s="1526"/>
      <c r="DT49" s="305"/>
      <c r="EF49" s="38"/>
      <c r="EG49" s="38"/>
      <c r="EH49"/>
      <c r="EI49"/>
      <c r="EJ49"/>
      <c r="EK49"/>
      <c r="EL49"/>
      <c r="EM49"/>
      <c r="EN49" s="38"/>
      <c r="EO49" s="38"/>
      <c r="EP49" s="38"/>
      <c r="EQ49" s="38"/>
      <c r="ER49" s="38"/>
      <c r="ES49" s="38"/>
      <c r="ET49" s="38"/>
      <c r="EU49" s="38"/>
      <c r="EV49" s="38"/>
      <c r="EW49" s="38"/>
      <c r="EX49" s="38"/>
      <c r="EY49" s="38"/>
      <c r="EZ49" s="38"/>
      <c r="FA49" s="38"/>
      <c r="FB49" s="38"/>
      <c r="FC49" s="38"/>
      <c r="FD49" s="38"/>
      <c r="FE49" s="38"/>
      <c r="FF49" s="38"/>
      <c r="FG49" s="38"/>
      <c r="FH49" s="38"/>
      <c r="FI49" s="38"/>
      <c r="FJ49" s="38"/>
      <c r="FK49" s="38"/>
      <c r="FL49" s="38"/>
      <c r="FM49" s="38"/>
      <c r="FN49" s="38"/>
      <c r="FO49" s="38"/>
      <c r="FP49" s="38"/>
      <c r="FQ49" s="38"/>
      <c r="FR49" s="38"/>
      <c r="FS49" s="38"/>
      <c r="FT49" s="38"/>
      <c r="FU49" s="38"/>
      <c r="FV49" s="38"/>
      <c r="FW49" s="38"/>
      <c r="FX49" s="38"/>
      <c r="FY49" s="38"/>
      <c r="FZ49" s="38"/>
      <c r="GA49" s="38"/>
      <c r="GB49" s="38"/>
      <c r="GC49" s="38"/>
      <c r="GD49" s="38"/>
      <c r="GE49" s="38"/>
      <c r="GF49" s="38"/>
      <c r="GG49" s="38"/>
      <c r="GH49" s="38"/>
      <c r="GI49" s="38"/>
      <c r="GJ49" s="38"/>
      <c r="GK49" s="38"/>
      <c r="GL49" s="38"/>
      <c r="GM49" s="38"/>
      <c r="GN49" s="38"/>
      <c r="GO49" s="38"/>
      <c r="GP49" s="38"/>
      <c r="GQ49" s="38"/>
      <c r="GR49" s="38"/>
      <c r="GS49" s="38"/>
      <c r="GT49" s="38"/>
      <c r="GU49" s="38"/>
      <c r="GV49" s="38"/>
      <c r="GW49" s="38"/>
      <c r="GX49" s="38"/>
      <c r="GY49" s="38"/>
      <c r="GZ49" s="38"/>
      <c r="HA49" s="38"/>
      <c r="HB49" s="38"/>
      <c r="HC49" s="38"/>
      <c r="HD49" s="38"/>
      <c r="HE49" s="38"/>
      <c r="HF49" s="38"/>
      <c r="HG49" s="38"/>
      <c r="HH49" s="38"/>
      <c r="HI49" s="38"/>
      <c r="HJ49" s="38"/>
      <c r="HK49" s="38"/>
      <c r="HL49" s="38"/>
      <c r="HM49" s="38"/>
      <c r="HN49" s="38"/>
      <c r="HO49" s="38"/>
      <c r="HP49" s="38"/>
      <c r="HQ49" s="38"/>
      <c r="HR49" s="38"/>
      <c r="HS49" s="38"/>
      <c r="HT49" s="38"/>
      <c r="HU49" s="38"/>
      <c r="HV49" s="38"/>
      <c r="HW49" s="38"/>
      <c r="HX49" s="38"/>
    </row>
    <row r="50" spans="2:232" s="360" customFormat="1" ht="11.25" hidden="1" customHeight="1" outlineLevel="1">
      <c r="B50" s="658" t="s">
        <v>353</v>
      </c>
      <c r="C50" s="659"/>
      <c r="D50" s="660">
        <f>2*246.574164*2</f>
        <v>986.29665599999998</v>
      </c>
      <c r="E50" s="660">
        <f>2*246.785532*2</f>
        <v>987.14212799999996</v>
      </c>
      <c r="F50" s="660">
        <f>2*247.164458*2</f>
        <v>988.65783199999998</v>
      </c>
      <c r="G50" s="660">
        <f>2*247.341496*2</f>
        <v>989.36598400000003</v>
      </c>
      <c r="H50" s="660">
        <v>990.16</v>
      </c>
      <c r="I50" s="660">
        <v>989.16800000000001</v>
      </c>
      <c r="J50" s="660">
        <v>990.149</v>
      </c>
      <c r="K50" s="661">
        <f>248.109*2*2</f>
        <v>992.43600000000004</v>
      </c>
      <c r="L50" s="662">
        <f>248.509*2*2</f>
        <v>994.03599999999994</v>
      </c>
      <c r="M50" s="662">
        <f>248.636*2*2</f>
        <v>994.54399999999998</v>
      </c>
      <c r="N50" s="663">
        <f>497.491*2</f>
        <v>994.98199999999997</v>
      </c>
      <c r="O50" s="660">
        <f>(SUM(K50:N50))/4</f>
        <v>993.99950000000001</v>
      </c>
      <c r="P50" s="661">
        <f>248.755*2*2</f>
        <v>995.02</v>
      </c>
      <c r="Q50" s="662">
        <f>492.282*2</f>
        <v>984.56399999999996</v>
      </c>
      <c r="R50" s="662">
        <f>249.175*2*2</f>
        <v>996.7</v>
      </c>
      <c r="S50" s="663">
        <f>2*499.423</f>
        <v>998.846</v>
      </c>
      <c r="T50" s="660">
        <f>(SUM(P50:S50))/4</f>
        <v>993.78249999999991</v>
      </c>
      <c r="U50" s="661">
        <f>2*494.344</f>
        <v>988.68799999999999</v>
      </c>
      <c r="V50" s="662">
        <f>2*495.581</f>
        <v>991.16200000000003</v>
      </c>
      <c r="W50" s="662">
        <f>2*496.767</f>
        <v>993.53399999999999</v>
      </c>
      <c r="X50" s="663">
        <v>995.4</v>
      </c>
      <c r="Y50" s="660">
        <v>992.16923999999995</v>
      </c>
      <c r="Z50" s="661">
        <v>997.2</v>
      </c>
      <c r="AA50" s="662">
        <v>999</v>
      </c>
      <c r="AB50" s="662">
        <v>1001.7</v>
      </c>
      <c r="AC50" s="663">
        <v>1003.6</v>
      </c>
      <c r="AD50" s="660">
        <v>1000.363234</v>
      </c>
      <c r="AE50" s="661">
        <v>1004.7</v>
      </c>
      <c r="AF50" s="662">
        <v>1006.4</v>
      </c>
      <c r="AG50" s="662">
        <v>1008.3</v>
      </c>
      <c r="AH50" s="663">
        <v>1010.1</v>
      </c>
      <c r="AI50" s="660">
        <v>1007.3935719999999</v>
      </c>
      <c r="AJ50" s="661">
        <v>1012.4</v>
      </c>
      <c r="AK50" s="662">
        <v>1015.8</v>
      </c>
      <c r="AL50" s="662">
        <v>1018</v>
      </c>
      <c r="AM50" s="663">
        <f>AL50+1</f>
        <v>1019</v>
      </c>
      <c r="AN50" s="660">
        <v>1016.197785</v>
      </c>
      <c r="AO50" s="661">
        <v>1020.1</v>
      </c>
      <c r="AP50" s="662">
        <v>1022.1</v>
      </c>
      <c r="AQ50" s="662">
        <v>1023.6</v>
      </c>
      <c r="AR50" s="663">
        <v>1024.5</v>
      </c>
      <c r="AS50" s="660">
        <v>1022.554</v>
      </c>
      <c r="AT50" s="661">
        <v>1024.9000000000001</v>
      </c>
      <c r="AU50" s="662">
        <v>1024.9000000000001</v>
      </c>
      <c r="AV50" s="662">
        <v>1024.9000000000001</v>
      </c>
      <c r="AW50" s="663">
        <v>1024.9000000000001</v>
      </c>
      <c r="AX50" s="662">
        <v>1024.9000000000001</v>
      </c>
      <c r="AY50" s="661">
        <v>1025</v>
      </c>
      <c r="AZ50" s="662">
        <v>1024.2</v>
      </c>
      <c r="BA50" s="662">
        <v>1023.3</v>
      </c>
      <c r="BB50" s="663">
        <v>1024</v>
      </c>
      <c r="BC50" s="660">
        <v>1024.5</v>
      </c>
      <c r="BD50" s="661">
        <v>1022.6</v>
      </c>
      <c r="BE50" s="662">
        <v>1021.6</v>
      </c>
      <c r="BF50" s="662">
        <v>1019.5</v>
      </c>
      <c r="BG50" s="663">
        <v>1014.7</v>
      </c>
      <c r="BH50" s="662">
        <v>1019.66963</v>
      </c>
      <c r="BI50" s="661">
        <v>1012.8</v>
      </c>
      <c r="BJ50" s="662">
        <v>1010.7</v>
      </c>
      <c r="BK50" s="662">
        <v>1008.8</v>
      </c>
      <c r="BL50" s="663">
        <v>1008</v>
      </c>
      <c r="BM50" s="662">
        <v>1010.252562</v>
      </c>
      <c r="BN50" s="661">
        <v>1005.2</v>
      </c>
      <c r="BO50" s="662">
        <v>999.6</v>
      </c>
      <c r="BP50" s="662">
        <v>996</v>
      </c>
      <c r="BQ50" s="663">
        <v>992.6</v>
      </c>
      <c r="BR50" s="477">
        <v>998.63355899999999</v>
      </c>
      <c r="BS50" s="661">
        <v>991.1</v>
      </c>
      <c r="BT50" s="662">
        <v>991.1</v>
      </c>
      <c r="BU50" s="662">
        <v>990.2</v>
      </c>
      <c r="BV50" s="663">
        <v>989.8</v>
      </c>
      <c r="BW50" s="477">
        <v>990.60986500000001</v>
      </c>
      <c r="BX50" s="1180">
        <v>988.6</v>
      </c>
      <c r="BY50" s="1181">
        <v>988</v>
      </c>
      <c r="BZ50" s="1181">
        <v>992</v>
      </c>
      <c r="CA50" s="663">
        <f>BZ50</f>
        <v>992</v>
      </c>
      <c r="CB50" s="849">
        <v>989.97576800000002</v>
      </c>
      <c r="CC50" s="1180">
        <v>988.4</v>
      </c>
      <c r="CD50" s="1181">
        <v>982.9</v>
      </c>
      <c r="CE50" s="1181">
        <v>976.4</v>
      </c>
      <c r="CF50" s="1181">
        <v>961.3</v>
      </c>
      <c r="CG50" s="1270">
        <v>981.7</v>
      </c>
      <c r="CH50" s="662">
        <v>928.8</v>
      </c>
      <c r="CI50" s="662">
        <v>919.1</v>
      </c>
      <c r="CJ50" s="662">
        <v>911.3</v>
      </c>
      <c r="CK50" s="663">
        <v>900.9</v>
      </c>
      <c r="CL50" s="844">
        <f>AVERAGE(CH50:CK50)</f>
        <v>915.02499999999998</v>
      </c>
      <c r="CM50" s="1180">
        <v>879.7</v>
      </c>
      <c r="CN50" s="1181">
        <v>869.3</v>
      </c>
      <c r="CO50" s="1181">
        <v>859.8</v>
      </c>
      <c r="CP50" s="1269">
        <v>889.8</v>
      </c>
      <c r="CQ50" s="844">
        <f>CQ52-CQ51</f>
        <v>870.6717150170648</v>
      </c>
      <c r="CR50" s="1180">
        <v>945.3</v>
      </c>
      <c r="CS50" s="1181">
        <v>945.4</v>
      </c>
      <c r="CT50" s="1181">
        <v>947.7</v>
      </c>
      <c r="CU50" s="1181">
        <v>945.7</v>
      </c>
      <c r="CV50" s="844">
        <f>CV52-CV51</f>
        <v>946.22571666683939</v>
      </c>
      <c r="CW50" s="1181">
        <v>949.3</v>
      </c>
      <c r="CX50" s="1181">
        <v>951.9</v>
      </c>
      <c r="CY50" s="1181">
        <v>955.3</v>
      </c>
      <c r="CZ50" s="1181">
        <v>956</v>
      </c>
      <c r="DA50" s="844">
        <f>AVERAGE(CV55,DA55)</f>
        <v>951.29778899999997</v>
      </c>
      <c r="DB50" s="1181">
        <v>945.8</v>
      </c>
      <c r="DC50" s="1699">
        <v>1043.5999999999999</v>
      </c>
      <c r="DD50" s="1699">
        <v>1091.4000000000001</v>
      </c>
      <c r="DE50" s="1699">
        <v>1091.9000000000001</v>
      </c>
      <c r="DF50" s="844">
        <f>AVERAGE(DA55,DF55)</f>
        <v>1020.5507494696971</v>
      </c>
      <c r="DG50" s="1699">
        <v>1089</v>
      </c>
      <c r="DH50" s="1699">
        <v>1080.2</v>
      </c>
      <c r="DI50" s="1699">
        <v>1080.8</v>
      </c>
      <c r="DJ50" s="1699">
        <v>1082.5</v>
      </c>
      <c r="DK50" s="844">
        <f>AVERAGE(DF55,DK55)</f>
        <v>1084.192079969697</v>
      </c>
      <c r="DL50" s="1699">
        <v>1082.0999999999999</v>
      </c>
      <c r="DM50" s="1699">
        <v>1079.7</v>
      </c>
      <c r="DN50" s="1699">
        <v>1077.0999999999999</v>
      </c>
      <c r="DO50" s="1699">
        <v>1055.0999999999999</v>
      </c>
      <c r="DP50" s="844">
        <f>AVERAGE(DK55,DP55)</f>
        <v>1046.4159394999999</v>
      </c>
      <c r="DQ50" s="1699">
        <v>1006.1</v>
      </c>
      <c r="DR50" s="477">
        <f>AVERAGE(DQ55,DR55)</f>
        <v>990.66883700000005</v>
      </c>
      <c r="DS50" s="477">
        <f>AVERAGE(DR55,DS55)</f>
        <v>990.66883700000005</v>
      </c>
      <c r="DT50" s="664">
        <f>AVERAGE(DS55,DT55)</f>
        <v>990.66883700000005</v>
      </c>
      <c r="DU50" s="844">
        <f>AVERAGE(DP55,DU55)</f>
        <v>1000.1090275</v>
      </c>
      <c r="DV50" s="676">
        <f>AVERAGE(DU55,DV55)</f>
        <v>984.57127602439027</v>
      </c>
      <c r="DW50" s="477">
        <f>AVERAGE(DV55,DW55)</f>
        <v>972.37615407317071</v>
      </c>
      <c r="DX50" s="477">
        <f>AVERAGE(DW55,DX55)</f>
        <v>960.18103212195115</v>
      </c>
      <c r="DY50" s="664">
        <f>AVERAGE(DX55,DY55)</f>
        <v>947.98591017073159</v>
      </c>
      <c r="DZ50" s="844">
        <f>AVERAGE(DU55,DZ55)</f>
        <v>966.27859309756093</v>
      </c>
      <c r="EA50" s="676">
        <f>AVERAGE(DZ55,EA55)</f>
        <v>935.79078821951202</v>
      </c>
      <c r="EB50" s="477">
        <f>AVERAGE(EA55,EB55)</f>
        <v>923.59566626829246</v>
      </c>
      <c r="EC50" s="477">
        <f>AVERAGE(EB55,EC55)</f>
        <v>911.4005443170729</v>
      </c>
      <c r="ED50" s="664">
        <f>AVERAGE(EC55,ED55)</f>
        <v>899.20542236585334</v>
      </c>
      <c r="EE50" s="844">
        <f>AVERAGE(DZ55,EE55)</f>
        <v>917.49810529268268</v>
      </c>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row>
    <row r="51" spans="2:232" s="369" customFormat="1" ht="12" hidden="1" customHeight="1" outlineLevel="2" thickBot="1">
      <c r="B51" s="665" t="s">
        <v>72</v>
      </c>
      <c r="C51" s="361"/>
      <c r="D51" s="362"/>
      <c r="E51" s="362"/>
      <c r="F51" s="362"/>
      <c r="G51" s="362"/>
      <c r="H51" s="362"/>
      <c r="I51" s="362"/>
      <c r="J51" s="362"/>
      <c r="K51" s="363"/>
      <c r="L51" s="364"/>
      <c r="M51" s="364"/>
      <c r="N51" s="365"/>
      <c r="O51" s="362"/>
      <c r="P51" s="363"/>
      <c r="Q51" s="364"/>
      <c r="R51" s="364"/>
      <c r="S51" s="365"/>
      <c r="T51" s="362"/>
      <c r="U51" s="363"/>
      <c r="V51" s="364"/>
      <c r="W51" s="364"/>
      <c r="X51" s="365"/>
      <c r="Y51" s="362"/>
      <c r="Z51" s="363"/>
      <c r="AA51" s="364"/>
      <c r="AB51" s="364"/>
      <c r="AC51" s="365"/>
      <c r="AD51" s="362"/>
      <c r="AE51" s="363"/>
      <c r="AF51" s="364"/>
      <c r="AG51" s="364"/>
      <c r="AH51" s="365"/>
      <c r="AI51" s="362"/>
      <c r="AJ51" s="363"/>
      <c r="AK51" s="364"/>
      <c r="AL51" s="364"/>
      <c r="AM51" s="365"/>
      <c r="AN51" s="362"/>
      <c r="AO51" s="363"/>
      <c r="AP51" s="364"/>
      <c r="AQ51" s="364"/>
      <c r="AR51" s="365"/>
      <c r="AS51" s="362"/>
      <c r="AT51" s="363"/>
      <c r="AU51" s="364"/>
      <c r="AV51" s="364"/>
      <c r="AW51" s="365"/>
      <c r="AX51" s="364"/>
      <c r="AY51" s="363"/>
      <c r="AZ51" s="364"/>
      <c r="BA51" s="364"/>
      <c r="BB51" s="365"/>
      <c r="BC51" s="364"/>
      <c r="BD51" s="363"/>
      <c r="BE51" s="364"/>
      <c r="BF51" s="364"/>
      <c r="BG51" s="365"/>
      <c r="BH51" s="364">
        <v>8.6642119999999991</v>
      </c>
      <c r="BI51" s="363"/>
      <c r="BJ51" s="364"/>
      <c r="BK51" s="364"/>
      <c r="BL51" s="365"/>
      <c r="BM51" s="364">
        <v>9.1491620000000005</v>
      </c>
      <c r="BN51" s="363"/>
      <c r="BO51" s="364"/>
      <c r="BP51" s="364"/>
      <c r="BQ51" s="365"/>
      <c r="BR51" s="64">
        <v>7.7065089999999996</v>
      </c>
      <c r="BS51" s="363"/>
      <c r="BT51" s="364"/>
      <c r="BU51" s="364"/>
      <c r="BV51" s="365"/>
      <c r="BW51" s="64">
        <v>4.933681</v>
      </c>
      <c r="BX51" s="363">
        <v>1.6</v>
      </c>
      <c r="BY51" s="364">
        <v>0.9</v>
      </c>
      <c r="BZ51" s="364">
        <v>1</v>
      </c>
      <c r="CA51" s="365">
        <v>1.3551260000000001</v>
      </c>
      <c r="CB51" s="64">
        <v>1.3551260000000001</v>
      </c>
      <c r="CC51" s="363">
        <v>5</v>
      </c>
      <c r="CD51" s="364">
        <v>6.9</v>
      </c>
      <c r="CE51" s="364">
        <v>5.6</v>
      </c>
      <c r="CF51" s="364">
        <v>3.7</v>
      </c>
      <c r="CG51" s="1271">
        <v>6.2</v>
      </c>
      <c r="CH51" s="364">
        <v>5.5</v>
      </c>
      <c r="CI51" s="364">
        <v>8.9</v>
      </c>
      <c r="CJ51" s="364">
        <f t="shared" ref="CJ51:CP51" si="84">CJ52-CJ50</f>
        <v>10.900000000000091</v>
      </c>
      <c r="CK51" s="365">
        <f t="shared" si="84"/>
        <v>9.8000000000000682</v>
      </c>
      <c r="CL51" s="619">
        <f t="shared" si="84"/>
        <v>9.1270224171179279</v>
      </c>
      <c r="CM51" s="368">
        <f t="shared" si="84"/>
        <v>5.4499999999999318</v>
      </c>
      <c r="CN51" s="366">
        <f t="shared" si="84"/>
        <v>5.4000000000000909</v>
      </c>
      <c r="CO51" s="366">
        <f t="shared" si="84"/>
        <v>5.4000000000000909</v>
      </c>
      <c r="CP51" s="367">
        <f t="shared" si="84"/>
        <v>5.5</v>
      </c>
      <c r="CQ51" s="619">
        <f>AVERAGE(CM51:CP51)</f>
        <v>5.4375000000000284</v>
      </c>
      <c r="CR51" s="368">
        <v>5.9</v>
      </c>
      <c r="CS51" s="366">
        <v>8</v>
      </c>
      <c r="CT51" s="1529">
        <v>11.3</v>
      </c>
      <c r="CU51" s="1529">
        <v>11.6</v>
      </c>
      <c r="CV51" s="619">
        <f>AVERAGE(CR51:CU51)</f>
        <v>9.2000000000000011</v>
      </c>
      <c r="CW51" s="1529">
        <v>12.2</v>
      </c>
      <c r="CX51" s="1529">
        <v>11.8</v>
      </c>
      <c r="CY51" s="1529">
        <v>12.3</v>
      </c>
      <c r="CZ51" s="1541">
        <v>11.9</v>
      </c>
      <c r="DA51" s="619">
        <f>AVERAGE(CW51:CZ51)</f>
        <v>12.049999999999999</v>
      </c>
      <c r="DB51" s="1542">
        <v>10.199999999999999</v>
      </c>
      <c r="DC51" s="1700">
        <v>11.1</v>
      </c>
      <c r="DD51" s="1700">
        <v>11</v>
      </c>
      <c r="DE51" s="1700">
        <v>10.6</v>
      </c>
      <c r="DF51" s="619">
        <f>AVERAGE(DB51:DE51)</f>
        <v>10.725</v>
      </c>
      <c r="DG51" s="1700">
        <v>9.6</v>
      </c>
      <c r="DH51" s="1700">
        <v>8.1999999999999993</v>
      </c>
      <c r="DI51" s="1700">
        <v>7.4</v>
      </c>
      <c r="DJ51" s="1700">
        <v>6.5</v>
      </c>
      <c r="DK51" s="1271">
        <f>AVERAGE(DG51:DJ51)</f>
        <v>7.9249999999999989</v>
      </c>
      <c r="DL51" s="1700">
        <v>6.2</v>
      </c>
      <c r="DM51" s="1700">
        <v>5.8</v>
      </c>
      <c r="DN51" s="1700">
        <v>5.5</v>
      </c>
      <c r="DO51" s="2284">
        <f>DO52-DO50</f>
        <v>4.4000000000000909</v>
      </c>
      <c r="DP51" s="1271">
        <f>AVERAGE(DL51:DO51)</f>
        <v>5.4750000000000227</v>
      </c>
      <c r="DQ51" s="2284">
        <f>DQ52-DQ50</f>
        <v>5</v>
      </c>
      <c r="DR51" s="328">
        <f>DQ51</f>
        <v>5</v>
      </c>
      <c r="DS51" s="328">
        <f>DR51</f>
        <v>5</v>
      </c>
      <c r="DT51" s="1315">
        <f>DS51</f>
        <v>5</v>
      </c>
      <c r="DU51" s="1271">
        <f>AVERAGE(DQ51:DT51)</f>
        <v>5</v>
      </c>
      <c r="DV51" s="1314">
        <f>DU51</f>
        <v>5</v>
      </c>
      <c r="DW51" s="328">
        <f>DV51</f>
        <v>5</v>
      </c>
      <c r="DX51" s="328">
        <f>DW51</f>
        <v>5</v>
      </c>
      <c r="DY51" s="1315">
        <f>DX51</f>
        <v>5</v>
      </c>
      <c r="DZ51" s="1271">
        <f>AVERAGE(DV51:DY51)</f>
        <v>5</v>
      </c>
      <c r="EA51" s="1314">
        <f>DZ51</f>
        <v>5</v>
      </c>
      <c r="EB51" s="328">
        <f>EA51</f>
        <v>5</v>
      </c>
      <c r="EC51" s="328">
        <f>EB51</f>
        <v>5</v>
      </c>
      <c r="ED51" s="1315">
        <f>EC51</f>
        <v>5</v>
      </c>
      <c r="EE51" s="1271">
        <f>AVERAGE(EA51:ED51)</f>
        <v>5</v>
      </c>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row>
    <row r="52" spans="2:232" s="360" customFormat="1" ht="12" collapsed="1" thickBot="1">
      <c r="B52" s="1319" t="s">
        <v>238</v>
      </c>
      <c r="C52" s="1320"/>
      <c r="D52" s="1321">
        <f>D50*1.001</f>
        <v>987.28295265599991</v>
      </c>
      <c r="E52" s="1321">
        <f>E50*1.001</f>
        <v>988.1292701279998</v>
      </c>
      <c r="F52" s="1321">
        <f>F50*1.001</f>
        <v>989.64648983199993</v>
      </c>
      <c r="G52" s="1321">
        <f>G50*1.001</f>
        <v>990.35534998399987</v>
      </c>
      <c r="H52" s="1321">
        <v>991.15015999999991</v>
      </c>
      <c r="I52" s="1321">
        <v>990.15716799999984</v>
      </c>
      <c r="J52" s="1321">
        <v>992.38813299999993</v>
      </c>
      <c r="K52" s="1322">
        <f>K50*1.001</f>
        <v>993.42843599999992</v>
      </c>
      <c r="L52" s="1323">
        <f>2*498.025</f>
        <v>996.05</v>
      </c>
      <c r="M52" s="1323">
        <f>M50*1.001</f>
        <v>995.53854399999989</v>
      </c>
      <c r="N52" s="1324">
        <f>N50*1.001</f>
        <v>995.97698199999991</v>
      </c>
      <c r="O52" s="1321">
        <f>(SUM(K52:N52))/4</f>
        <v>995.24849049999989</v>
      </c>
      <c r="P52" s="1322">
        <f>P50*1.001</f>
        <v>996.01501999999982</v>
      </c>
      <c r="Q52" s="1323">
        <f>2*498.025</f>
        <v>996.05</v>
      </c>
      <c r="R52" s="1323">
        <f>R50*1.001</f>
        <v>997.69669999999996</v>
      </c>
      <c r="S52" s="1324">
        <f>S50*1.001</f>
        <v>999.84484599999985</v>
      </c>
      <c r="T52" s="1321">
        <f>(SUM(P52:S52))/4</f>
        <v>997.40164149999987</v>
      </c>
      <c r="U52" s="1322">
        <f>2*500.926</f>
        <v>1001.852</v>
      </c>
      <c r="V52" s="1323">
        <f>2*502.427</f>
        <v>1004.854</v>
      </c>
      <c r="W52" s="1323">
        <f>2*503.534</f>
        <v>1007.068</v>
      </c>
      <c r="X52" s="1324">
        <v>1009.2</v>
      </c>
      <c r="Y52" s="1321">
        <v>1005.692912</v>
      </c>
      <c r="Z52" s="1322">
        <v>1011.2</v>
      </c>
      <c r="AA52" s="1323">
        <v>1013.6</v>
      </c>
      <c r="AB52" s="1323">
        <v>1015.6</v>
      </c>
      <c r="AC52" s="1324">
        <v>1016.9</v>
      </c>
      <c r="AD52" s="1321">
        <v>1014.281715</v>
      </c>
      <c r="AE52" s="1322">
        <v>1017.5</v>
      </c>
      <c r="AF52" s="1323">
        <v>1019.4</v>
      </c>
      <c r="AG52" s="1323">
        <v>1020.3</v>
      </c>
      <c r="AH52" s="1324">
        <v>1022.3</v>
      </c>
      <c r="AI52" s="1321">
        <v>1019.888808</v>
      </c>
      <c r="AJ52" s="1322">
        <v>1026.2</v>
      </c>
      <c r="AK52" s="1323">
        <v>1029.5</v>
      </c>
      <c r="AL52" s="1323">
        <v>1030.9000000000001</v>
      </c>
      <c r="AM52" s="1324">
        <v>1030.0999999999999</v>
      </c>
      <c r="AN52" s="1321">
        <v>1028.9466130000001</v>
      </c>
      <c r="AO52" s="1322">
        <v>1029.9000000000001</v>
      </c>
      <c r="AP52" s="1323">
        <v>1031.8</v>
      </c>
      <c r="AQ52" s="1323">
        <v>1033.9000000000001</v>
      </c>
      <c r="AR52" s="1324">
        <v>1033.7</v>
      </c>
      <c r="AS52" s="1321">
        <v>1032.27</v>
      </c>
      <c r="AT52" s="1322">
        <v>1032.4000000000001</v>
      </c>
      <c r="AU52" s="1323">
        <v>1031</v>
      </c>
      <c r="AV52" s="1323">
        <v>1031.0999999999999</v>
      </c>
      <c r="AW52" s="1324">
        <v>1031.7</v>
      </c>
      <c r="AX52" s="1323">
        <f>SUM(AT52:AW52)/4</f>
        <v>1031.55</v>
      </c>
      <c r="AY52" s="1322">
        <v>1032.2</v>
      </c>
      <c r="AZ52" s="1323">
        <v>1032.4000000000001</v>
      </c>
      <c r="BA52" s="1323">
        <v>1030.3</v>
      </c>
      <c r="BB52" s="1324">
        <v>1030.9000000000001</v>
      </c>
      <c r="BC52" s="1321">
        <v>1031.8</v>
      </c>
      <c r="BD52" s="1322">
        <v>1029.4000000000001</v>
      </c>
      <c r="BE52" s="1323">
        <v>1029.5999999999999</v>
      </c>
      <c r="BF52" s="1323">
        <v>1029.0999999999999</v>
      </c>
      <c r="BG52" s="1324">
        <v>1024.9000000000001</v>
      </c>
      <c r="BH52" s="1323">
        <f>BH50+BH51</f>
        <v>1028.333842</v>
      </c>
      <c r="BI52" s="1322">
        <v>1022.3</v>
      </c>
      <c r="BJ52" s="1323">
        <v>1020</v>
      </c>
      <c r="BK52" s="1323">
        <v>1017.9</v>
      </c>
      <c r="BL52" s="1324">
        <v>1016.8</v>
      </c>
      <c r="BM52" s="1323">
        <f>BM50+BM51</f>
        <v>1019.4017240000001</v>
      </c>
      <c r="BN52" s="1322">
        <v>1013.4</v>
      </c>
      <c r="BO52" s="1323">
        <v>1007.2</v>
      </c>
      <c r="BP52" s="1323">
        <v>1003</v>
      </c>
      <c r="BQ52" s="1324">
        <v>999.9</v>
      </c>
      <c r="BR52" s="1307">
        <f>BR50+BR51</f>
        <v>1006.340068</v>
      </c>
      <c r="BS52" s="1322">
        <v>997.5</v>
      </c>
      <c r="BT52" s="1323">
        <v>995</v>
      </c>
      <c r="BU52" s="1323">
        <v>994</v>
      </c>
      <c r="BV52" s="1324">
        <f>BV50+2.6</f>
        <v>992.4</v>
      </c>
      <c r="BW52" s="1307">
        <f t="shared" ref="BW52:CI52" si="85">BW50+BW51</f>
        <v>995.54354599999999</v>
      </c>
      <c r="BX52" s="1322">
        <f t="shared" si="85"/>
        <v>990.2</v>
      </c>
      <c r="BY52" s="1323">
        <f t="shared" si="85"/>
        <v>988.9</v>
      </c>
      <c r="BZ52" s="1323">
        <f t="shared" si="85"/>
        <v>993</v>
      </c>
      <c r="CA52" s="1324">
        <f t="shared" si="85"/>
        <v>993.35512600000004</v>
      </c>
      <c r="CB52" s="1307">
        <f t="shared" si="85"/>
        <v>991.33089400000006</v>
      </c>
      <c r="CC52" s="1322">
        <f t="shared" si="85"/>
        <v>993.4</v>
      </c>
      <c r="CD52" s="1323">
        <f t="shared" si="85"/>
        <v>989.8</v>
      </c>
      <c r="CE52" s="1323">
        <f t="shared" si="85"/>
        <v>982</v>
      </c>
      <c r="CF52" s="1323">
        <f t="shared" si="85"/>
        <v>965</v>
      </c>
      <c r="CG52" s="1325">
        <f t="shared" si="85"/>
        <v>987.90000000000009</v>
      </c>
      <c r="CH52" s="1323">
        <f t="shared" si="85"/>
        <v>934.3</v>
      </c>
      <c r="CI52" s="1323">
        <f t="shared" si="85"/>
        <v>928</v>
      </c>
      <c r="CJ52" s="1323">
        <v>922.2</v>
      </c>
      <c r="CK52" s="1324">
        <v>910.7</v>
      </c>
      <c r="CL52" s="1325">
        <f>CL41/CL46</f>
        <v>924.15202241711791</v>
      </c>
      <c r="CM52" s="1326">
        <v>885.15</v>
      </c>
      <c r="CN52" s="1327">
        <v>874.7</v>
      </c>
      <c r="CO52" s="1327">
        <v>865.2</v>
      </c>
      <c r="CP52" s="1328">
        <v>895.3</v>
      </c>
      <c r="CQ52" s="1325">
        <f>CQ41/CQ46</f>
        <v>876.1092150170648</v>
      </c>
      <c r="CR52" s="1322">
        <f>CR50+CR51</f>
        <v>951.19999999999993</v>
      </c>
      <c r="CS52" s="1323">
        <f>CS50+CS51</f>
        <v>953.4</v>
      </c>
      <c r="CT52" s="1323">
        <f>CT50+CT51</f>
        <v>959</v>
      </c>
      <c r="CU52" s="1323">
        <f>CU50+CU51</f>
        <v>957.30000000000007</v>
      </c>
      <c r="CV52" s="1325">
        <f>CV41/CV46</f>
        <v>955.42571666683943</v>
      </c>
      <c r="CW52" s="1533">
        <f>CW50+CW51</f>
        <v>961.5</v>
      </c>
      <c r="CX52" s="1323">
        <f>CX50+CX51</f>
        <v>963.69999999999993</v>
      </c>
      <c r="CY52" s="1323">
        <f>CY50+CY51</f>
        <v>967.59999999999991</v>
      </c>
      <c r="CZ52" s="1324">
        <f>CZ50+CZ51</f>
        <v>967.9</v>
      </c>
      <c r="DA52" s="1604">
        <f>DA41/DA46</f>
        <v>965.25021287671041</v>
      </c>
      <c r="DB52" s="1322">
        <f>DB50+DB51</f>
        <v>956</v>
      </c>
      <c r="DC52" s="1323">
        <f>DC50+DC51</f>
        <v>1054.6999999999998</v>
      </c>
      <c r="DD52" s="1323">
        <f>DD50+DD51</f>
        <v>1102.4000000000001</v>
      </c>
      <c r="DE52" s="1323">
        <f>DE50+DE51</f>
        <v>1102.5</v>
      </c>
      <c r="DF52" s="1325">
        <f>AVERAGE(DB52:DE52)</f>
        <v>1053.9000000000001</v>
      </c>
      <c r="DG52" s="1323">
        <f>DG50+DG51</f>
        <v>1098.5999999999999</v>
      </c>
      <c r="DH52" s="1323">
        <f>DH50+DH51</f>
        <v>1088.4000000000001</v>
      </c>
      <c r="DI52" s="1323">
        <f>DI50+DI51</f>
        <v>1088.2</v>
      </c>
      <c r="DJ52" s="1323">
        <f>DJ50+DJ51</f>
        <v>1089</v>
      </c>
      <c r="DK52" s="1325">
        <f>DK41/DK46</f>
        <v>1090.7770636274975</v>
      </c>
      <c r="DL52" s="1323">
        <f>DL50+DL51</f>
        <v>1088.3</v>
      </c>
      <c r="DM52" s="1323">
        <f>DM50+DM51</f>
        <v>1085.5</v>
      </c>
      <c r="DN52" s="2205">
        <f>DN50+DN51</f>
        <v>1082.5999999999999</v>
      </c>
      <c r="DO52" s="2205">
        <v>1059.5</v>
      </c>
      <c r="DP52" s="1325">
        <f>DP41/DP46</f>
        <v>1078.6868405635935</v>
      </c>
      <c r="DQ52" s="2205">
        <v>1011.1</v>
      </c>
      <c r="DR52" s="1307">
        <f>DR50+DR51</f>
        <v>995.66883700000005</v>
      </c>
      <c r="DS52" s="1307">
        <f>DS50+DS51</f>
        <v>995.66883700000005</v>
      </c>
      <c r="DT52" s="1766">
        <f>DT50+DT51</f>
        <v>995.66883700000005</v>
      </c>
      <c r="DU52" s="1325">
        <f ca="1">DU41/DU46</f>
        <v>999.09476925758122</v>
      </c>
      <c r="DV52" s="1355">
        <f>DV50+DV51</f>
        <v>989.57127602439027</v>
      </c>
      <c r="DW52" s="1307">
        <f>DW50+DW51</f>
        <v>977.37615407317071</v>
      </c>
      <c r="DX52" s="1307">
        <f>DX50+DX51</f>
        <v>965.18103212195115</v>
      </c>
      <c r="DY52" s="1766">
        <f>DY50+DY51</f>
        <v>952.98591017073159</v>
      </c>
      <c r="DZ52" s="1325">
        <f ca="1">DZ41/DZ46</f>
        <v>970.40778720465494</v>
      </c>
      <c r="EA52" s="1355">
        <f>EA50+EA51</f>
        <v>940.79078821951202</v>
      </c>
      <c r="EB52" s="1307">
        <f>EB50+EB51</f>
        <v>928.59566626829246</v>
      </c>
      <c r="EC52" s="1307">
        <f>EC50+EC51</f>
        <v>916.4005443170729</v>
      </c>
      <c r="ED52" s="1766">
        <f>ED50+ED51</f>
        <v>904.20542236585334</v>
      </c>
      <c r="EE52" s="1325">
        <f ca="1">EE41/EE46</f>
        <v>921.63183735082009</v>
      </c>
      <c r="EF52" s="1689"/>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row>
    <row r="53" spans="2:232" s="359" customFormat="1" ht="12" thickBot="1">
      <c r="B53" s="357"/>
      <c r="C53" s="357"/>
      <c r="D53" s="358"/>
      <c r="E53" s="358"/>
      <c r="F53" s="358"/>
      <c r="G53" s="358"/>
      <c r="H53" s="358"/>
      <c r="I53" s="358"/>
      <c r="J53" s="358"/>
      <c r="O53" s="358"/>
      <c r="T53" s="358"/>
      <c r="Y53" s="358"/>
      <c r="AD53" s="358"/>
      <c r="AI53" s="358"/>
      <c r="AN53" s="358"/>
      <c r="AS53" s="358"/>
      <c r="BC53" s="358"/>
      <c r="CG53" s="170"/>
      <c r="CL53" s="170"/>
      <c r="CQ53" s="170"/>
      <c r="CS53" s="64"/>
      <c r="CT53" s="64"/>
      <c r="CU53" s="64"/>
      <c r="CV53" s="122"/>
      <c r="DA53" s="1630"/>
      <c r="DB53" s="1633"/>
      <c r="DC53" s="1626"/>
      <c r="DD53" s="1626"/>
      <c r="DE53" s="1626"/>
      <c r="DF53" s="1626"/>
      <c r="DG53" s="2146"/>
      <c r="DH53" s="2146"/>
      <c r="DI53" s="2146"/>
      <c r="DJ53" s="2146"/>
      <c r="DK53" s="1626"/>
      <c r="DL53" s="2146"/>
      <c r="DM53" s="2146"/>
      <c r="DN53" s="2146"/>
      <c r="DO53" s="2146"/>
      <c r="DP53" s="2117"/>
      <c r="DQ53" s="2146"/>
      <c r="DR53" s="1626"/>
      <c r="DS53" s="1626"/>
      <c r="DT53" s="1626"/>
      <c r="DU53" s="2337"/>
      <c r="DV53" s="1626"/>
      <c r="DW53" s="1626"/>
      <c r="DX53" s="1626"/>
      <c r="DY53" s="1626"/>
      <c r="DZ53" s="122"/>
      <c r="EA53" s="1626"/>
      <c r="EB53" s="1626"/>
      <c r="EC53" s="1626"/>
      <c r="ED53" s="1626"/>
      <c r="EE53" s="122"/>
      <c r="EF53" s="38"/>
      <c r="EG53" s="38"/>
      <c r="EH53"/>
      <c r="EI53"/>
      <c r="EJ53"/>
      <c r="EK53"/>
      <c r="EL53"/>
      <c r="EM53"/>
      <c r="EN53" s="38"/>
      <c r="EO53" s="38"/>
      <c r="EP53" s="38"/>
      <c r="EQ53" s="38"/>
      <c r="ER53" s="38"/>
      <c r="ES53" s="38"/>
      <c r="ET53" s="38"/>
      <c r="EU53" s="38"/>
      <c r="EV53" s="38"/>
      <c r="EW53" s="38"/>
      <c r="EX53" s="38"/>
      <c r="EY53" s="38"/>
      <c r="EZ53" s="38"/>
      <c r="FA53" s="38"/>
      <c r="FB53" s="38"/>
      <c r="FC53" s="38"/>
      <c r="FD53" s="38"/>
      <c r="FE53" s="38"/>
      <c r="FF53" s="38"/>
      <c r="FG53" s="38"/>
      <c r="FH53" s="38"/>
      <c r="FI53" s="38"/>
      <c r="FJ53" s="38"/>
      <c r="FK53" s="38"/>
      <c r="FL53" s="38"/>
      <c r="FM53" s="38"/>
      <c r="FN53" s="38"/>
      <c r="FO53" s="38"/>
      <c r="FP53" s="38"/>
      <c r="FQ53" s="38"/>
      <c r="FR53" s="38"/>
      <c r="FS53" s="38"/>
      <c r="FT53" s="38"/>
      <c r="FU53" s="38"/>
      <c r="FV53" s="38"/>
      <c r="FW53" s="38"/>
      <c r="FX53" s="38"/>
      <c r="FY53" s="38"/>
      <c r="FZ53" s="38"/>
      <c r="GA53" s="38"/>
      <c r="GB53" s="38"/>
      <c r="GC53" s="38"/>
      <c r="GD53" s="38"/>
      <c r="GE53" s="38"/>
      <c r="GF53" s="38"/>
      <c r="GG53" s="38"/>
      <c r="GH53" s="38"/>
      <c r="GI53" s="38"/>
      <c r="GJ53" s="38"/>
      <c r="GK53" s="38"/>
      <c r="GL53" s="38"/>
      <c r="GM53" s="38"/>
      <c r="GN53" s="38"/>
      <c r="GO53" s="38"/>
      <c r="GP53" s="38"/>
      <c r="GQ53" s="38"/>
      <c r="GR53" s="38"/>
      <c r="GS53" s="38"/>
      <c r="GT53" s="38"/>
      <c r="GU53" s="38"/>
      <c r="GV53" s="38"/>
      <c r="GW53" s="38"/>
      <c r="GX53" s="38"/>
      <c r="GY53" s="38"/>
      <c r="GZ53" s="38"/>
      <c r="HA53" s="38"/>
      <c r="HB53" s="38"/>
      <c r="HC53" s="38"/>
      <c r="HD53" s="38"/>
      <c r="HE53" s="38"/>
      <c r="HF53" s="38"/>
      <c r="HG53" s="38"/>
      <c r="HH53" s="38"/>
      <c r="HI53" s="38"/>
      <c r="HJ53" s="38"/>
      <c r="HK53" s="38"/>
      <c r="HL53" s="38"/>
      <c r="HM53" s="38"/>
      <c r="HN53" s="38"/>
      <c r="HO53" s="38"/>
      <c r="HP53" s="38"/>
      <c r="HQ53" s="38"/>
      <c r="HR53" s="38"/>
      <c r="HS53" s="38"/>
      <c r="HT53" s="38"/>
      <c r="HU53" s="38"/>
      <c r="HV53" s="38"/>
      <c r="HW53" s="38"/>
      <c r="HX53" s="38"/>
    </row>
    <row r="54" spans="2:232" s="54" customFormat="1" ht="11.25" customHeight="1" outlineLevel="1">
      <c r="B54" s="668" t="s">
        <v>64</v>
      </c>
      <c r="C54" s="669"/>
      <c r="D54" s="670"/>
      <c r="E54" s="670"/>
      <c r="F54" s="670"/>
      <c r="G54" s="670"/>
      <c r="H54" s="670"/>
      <c r="I54" s="670"/>
      <c r="J54" s="670"/>
      <c r="K54" s="671"/>
      <c r="L54" s="477"/>
      <c r="M54" s="477"/>
      <c r="N54" s="672"/>
      <c r="O54" s="670"/>
      <c r="P54" s="671"/>
      <c r="Q54" s="477"/>
      <c r="R54" s="477"/>
      <c r="S54" s="672"/>
      <c r="T54" s="670"/>
      <c r="U54" s="671"/>
      <c r="V54" s="477"/>
      <c r="W54" s="477"/>
      <c r="X54" s="672"/>
      <c r="Y54" s="670"/>
      <c r="Z54" s="671"/>
      <c r="AA54" s="477"/>
      <c r="AB54" s="477"/>
      <c r="AC54" s="672"/>
      <c r="AD54" s="670"/>
      <c r="AE54" s="671"/>
      <c r="AF54" s="477"/>
      <c r="AG54" s="477"/>
      <c r="AH54" s="672"/>
      <c r="AI54" s="670"/>
      <c r="AJ54" s="671"/>
      <c r="AK54" s="477"/>
      <c r="AL54" s="477"/>
      <c r="AM54" s="672"/>
      <c r="AN54" s="670"/>
      <c r="AO54" s="671"/>
      <c r="AP54" s="477"/>
      <c r="AQ54" s="477"/>
      <c r="AR54" s="672"/>
      <c r="AS54" s="670"/>
      <c r="AT54" s="671"/>
      <c r="AU54" s="477"/>
      <c r="AV54" s="477"/>
      <c r="AW54" s="672"/>
      <c r="AX54" s="477"/>
      <c r="AY54" s="671"/>
      <c r="AZ54" s="477"/>
      <c r="BA54" s="477"/>
      <c r="BB54" s="672"/>
      <c r="BC54" s="670"/>
      <c r="BD54" s="671"/>
      <c r="BE54" s="477"/>
      <c r="BF54" s="477"/>
      <c r="BG54" s="672"/>
      <c r="BH54" s="477">
        <f>BH55-BC55</f>
        <v>-12.719636999999921</v>
      </c>
      <c r="BI54" s="671"/>
      <c r="BJ54" s="477"/>
      <c r="BK54" s="477"/>
      <c r="BL54" s="672"/>
      <c r="BM54" s="477">
        <f>BM55-BH55</f>
        <v>-4.218244000000027</v>
      </c>
      <c r="BN54" s="671"/>
      <c r="BO54" s="477"/>
      <c r="BP54" s="477"/>
      <c r="BQ54" s="672"/>
      <c r="BR54" s="477">
        <f>BR55-BM55</f>
        <v>-16.720762000000036</v>
      </c>
      <c r="BS54" s="671"/>
      <c r="BT54" s="477"/>
      <c r="BU54" s="477"/>
      <c r="BV54" s="477"/>
      <c r="BW54" s="844">
        <f>BW55-BR55</f>
        <v>-1.965139000000022</v>
      </c>
      <c r="BX54" s="477"/>
      <c r="BY54" s="477"/>
      <c r="BZ54" s="477"/>
      <c r="CA54" s="477"/>
      <c r="CB54" s="844">
        <f>CB55-BW55</f>
        <v>-0.61482799999998861</v>
      </c>
      <c r="CC54" s="477">
        <f>CC55-CA55</f>
        <v>-3.3874529999999368</v>
      </c>
      <c r="CD54" s="477">
        <f>CD55-CC55</f>
        <v>-6.7446340000000191</v>
      </c>
      <c r="CE54" s="477">
        <f>CE55-CD55</f>
        <v>-5.2512100000000146</v>
      </c>
      <c r="CF54" s="477">
        <f>CF55-CE55</f>
        <v>-43.434043999999972</v>
      </c>
      <c r="CG54" s="844">
        <f>CG55-CB55</f>
        <v>-58.817340999999942</v>
      </c>
      <c r="CH54" s="676">
        <f>CH55-CF55</f>
        <v>-7.3290490000000545</v>
      </c>
      <c r="CI54" s="477">
        <f>CI55-CH55</f>
        <v>-6.9555980000000091</v>
      </c>
      <c r="CJ54" s="477">
        <f>CJ55-CI55</f>
        <v>-10.040555999999924</v>
      </c>
      <c r="CK54" s="664">
        <f>CK55-CJ55</f>
        <v>-16.124716000000035</v>
      </c>
      <c r="CL54" s="477">
        <f>CL55-CG55</f>
        <v>-40.449919000000023</v>
      </c>
      <c r="CM54" s="676">
        <f>CM55-CK55</f>
        <v>-15.791803999999956</v>
      </c>
      <c r="CN54" s="477">
        <f>CN55-CM55</f>
        <v>-10.751792000000023</v>
      </c>
      <c r="CO54" s="477">
        <f>CO55-CN55</f>
        <v>-4.2855920000000651</v>
      </c>
      <c r="CP54" s="1466">
        <f>CP55-CO55</f>
        <v>85.590392000000065</v>
      </c>
      <c r="CQ54" s="477">
        <f>CQ55-CL55</f>
        <v>54.761204000000021</v>
      </c>
      <c r="CR54" s="1461">
        <f>CR55-CP55</f>
        <v>1.0494049999999788</v>
      </c>
      <c r="CS54" s="1179">
        <f>CS55-CR55</f>
        <v>2.3805579999999509</v>
      </c>
      <c r="CT54" s="1179">
        <f>CT55-CS55</f>
        <v>-2.4816169999999147</v>
      </c>
      <c r="CU54" s="1462">
        <f>CU55-CT55</f>
        <v>1.5918980000000147</v>
      </c>
      <c r="CV54" s="477">
        <f>CV55-CQ55</f>
        <v>2.5402440000000297</v>
      </c>
      <c r="CW54" s="1461">
        <f>CW55-CU55</f>
        <v>2.7044219999999086</v>
      </c>
      <c r="CX54" s="1532">
        <f>CX55-CW55</f>
        <v>2.6000000000000227</v>
      </c>
      <c r="CY54" s="1532">
        <f>CY55-CX55</f>
        <v>4.6606120000000146</v>
      </c>
      <c r="CZ54" s="1465">
        <f>CZ55-CY55</f>
        <v>-0.56061199999999189</v>
      </c>
      <c r="DA54" s="844">
        <f>DA55-CV55</f>
        <v>9.4044219999999541</v>
      </c>
      <c r="DB54" s="1571">
        <f>Model!DB298</f>
        <v>-7.6923076923076925</v>
      </c>
      <c r="DC54" s="1571">
        <f>144.3+Model!DC298</f>
        <v>143.08709677419355</v>
      </c>
      <c r="DD54" s="1571">
        <f>Model!DD298</f>
        <v>-2.8727272727272726</v>
      </c>
      <c r="DE54" s="1571">
        <f>Model!DE298</f>
        <v>-4.7878787878787881</v>
      </c>
      <c r="DF54" s="477">
        <f>DF55-DA55</f>
        <v>129.10149893939411</v>
      </c>
      <c r="DG54" s="1571">
        <f>Model!DG298</f>
        <v>-6.4121212121212121</v>
      </c>
      <c r="DH54" s="1571">
        <f>Model!DH298</f>
        <v>-7.5515151515151517</v>
      </c>
      <c r="DI54" s="1571">
        <f>Model!DI298</f>
        <v>0</v>
      </c>
      <c r="DJ54" s="1571">
        <f>Model!DJ298</f>
        <v>0</v>
      </c>
      <c r="DK54" s="844">
        <f>DK55-DF55</f>
        <v>-1.8188379393941432</v>
      </c>
      <c r="DL54" s="1571">
        <f>Model!DL298</f>
        <v>0</v>
      </c>
      <c r="DM54" s="1571">
        <f>Model!DM298</f>
        <v>-5.6728575604950402</v>
      </c>
      <c r="DN54" s="1571">
        <f>Model!DN298</f>
        <v>-12.195121951219512</v>
      </c>
      <c r="DO54" s="1571">
        <f>Model!DO298</f>
        <v>-45.890243902439025</v>
      </c>
      <c r="DP54" s="844">
        <f>DP55-DK55</f>
        <v>-73.733442999999966</v>
      </c>
      <c r="DQ54" s="1571">
        <f>Model!DQ298</f>
        <v>0.3902439024390244</v>
      </c>
      <c r="DR54" s="477">
        <f>Model!DR298</f>
        <v>0</v>
      </c>
      <c r="DS54" s="477">
        <f>Model!DS298</f>
        <v>0</v>
      </c>
      <c r="DT54" s="664">
        <f>Model!DT298</f>
        <v>0</v>
      </c>
      <c r="DU54" s="844">
        <f>DU55-DP55</f>
        <v>-18.880380999999943</v>
      </c>
      <c r="DV54" s="676">
        <f>Model!DV298</f>
        <v>-12.195121951219512</v>
      </c>
      <c r="DW54" s="477">
        <f>Model!DW298</f>
        <v>-12.195121951219512</v>
      </c>
      <c r="DX54" s="477">
        <f>Model!DX298</f>
        <v>-12.195121951219512</v>
      </c>
      <c r="DY54" s="664">
        <f>Model!DY298</f>
        <v>-12.195121951219512</v>
      </c>
      <c r="DZ54" s="844">
        <f>DZ55-DU55</f>
        <v>-48.780487804878248</v>
      </c>
      <c r="EA54" s="676">
        <f>Model!EA298</f>
        <v>-12.195121951219512</v>
      </c>
      <c r="EB54" s="477">
        <f>Model!EB298</f>
        <v>-12.195121951219512</v>
      </c>
      <c r="EC54" s="477">
        <f>Model!EC298</f>
        <v>-12.195121951219512</v>
      </c>
      <c r="ED54" s="664">
        <f>Model!ED298</f>
        <v>-12.195121951219512</v>
      </c>
      <c r="EE54" s="844">
        <f>EE55-DZ55</f>
        <v>-48.780487804878248</v>
      </c>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row>
    <row r="55" spans="2:232" s="54" customFormat="1" ht="12" customHeight="1" outlineLevel="1" thickBot="1">
      <c r="B55" s="673" t="s">
        <v>89</v>
      </c>
      <c r="C55" s="579"/>
      <c r="D55" s="674"/>
      <c r="E55" s="674"/>
      <c r="F55" s="674"/>
      <c r="G55" s="674"/>
      <c r="H55" s="674"/>
      <c r="I55" s="674"/>
      <c r="J55" s="674"/>
      <c r="K55" s="580"/>
      <c r="L55" s="581"/>
      <c r="M55" s="581"/>
      <c r="N55" s="675"/>
      <c r="O55" s="674"/>
      <c r="P55" s="580"/>
      <c r="Q55" s="581"/>
      <c r="R55" s="581"/>
      <c r="S55" s="675"/>
      <c r="T55" s="674"/>
      <c r="U55" s="580"/>
      <c r="V55" s="581"/>
      <c r="W55" s="581"/>
      <c r="X55" s="675"/>
      <c r="Y55" s="674"/>
      <c r="Z55" s="580"/>
      <c r="AA55" s="581"/>
      <c r="AB55" s="581"/>
      <c r="AC55" s="675"/>
      <c r="AD55" s="674"/>
      <c r="AE55" s="580"/>
      <c r="AF55" s="581"/>
      <c r="AG55" s="581"/>
      <c r="AH55" s="675"/>
      <c r="AI55" s="674"/>
      <c r="AJ55" s="580"/>
      <c r="AK55" s="581"/>
      <c r="AL55" s="581"/>
      <c r="AM55" s="675"/>
      <c r="AN55" s="674">
        <v>1010.81889</v>
      </c>
      <c r="AO55" s="580"/>
      <c r="AP55" s="581"/>
      <c r="AQ55" s="581"/>
      <c r="AR55" s="675"/>
      <c r="AS55" s="674">
        <v>1019.4250520000001</v>
      </c>
      <c r="AT55" s="580"/>
      <c r="AU55" s="581"/>
      <c r="AV55" s="581"/>
      <c r="AW55" s="675"/>
      <c r="AX55" s="581">
        <v>1025.2</v>
      </c>
      <c r="AY55" s="580"/>
      <c r="AZ55" s="581"/>
      <c r="BA55" s="581"/>
      <c r="BB55" s="675"/>
      <c r="BC55" s="581">
        <f>BC50+0.3</f>
        <v>1024.8</v>
      </c>
      <c r="BD55" s="580"/>
      <c r="BE55" s="581"/>
      <c r="BF55" s="581"/>
      <c r="BG55" s="675"/>
      <c r="BH55" s="581">
        <v>1012.080363</v>
      </c>
      <c r="BI55" s="580"/>
      <c r="BJ55" s="581"/>
      <c r="BK55" s="581"/>
      <c r="BL55" s="675"/>
      <c r="BM55" s="581">
        <v>1007.862119</v>
      </c>
      <c r="BN55" s="580"/>
      <c r="BO55" s="581"/>
      <c r="BP55" s="581"/>
      <c r="BQ55" s="675"/>
      <c r="BR55" s="581">
        <v>991.14135699999997</v>
      </c>
      <c r="BS55" s="580"/>
      <c r="BT55" s="581"/>
      <c r="BU55" s="581"/>
      <c r="BV55" s="581"/>
      <c r="BW55" s="652">
        <v>989.17621799999995</v>
      </c>
      <c r="BX55" s="581"/>
      <c r="BY55" s="581"/>
      <c r="BZ55" s="581"/>
      <c r="CA55" s="581">
        <v>988.56138999999996</v>
      </c>
      <c r="CB55" s="652">
        <v>988.56138999999996</v>
      </c>
      <c r="CC55" s="581">
        <v>985.17393700000002</v>
      </c>
      <c r="CD55" s="581">
        <v>978.429303</v>
      </c>
      <c r="CE55" s="581">
        <v>973.17809299999999</v>
      </c>
      <c r="CF55" s="581">
        <v>929.74404900000002</v>
      </c>
      <c r="CG55" s="652">
        <f>CF55</f>
        <v>929.74404900000002</v>
      </c>
      <c r="CH55" s="612">
        <v>922.41499999999996</v>
      </c>
      <c r="CI55" s="581">
        <v>915.45940199999995</v>
      </c>
      <c r="CJ55" s="581">
        <v>905.41884600000003</v>
      </c>
      <c r="CK55" s="666">
        <v>889.29413</v>
      </c>
      <c r="CL55" s="581">
        <f>CK55</f>
        <v>889.29413</v>
      </c>
      <c r="CM55" s="612">
        <v>873.50232600000004</v>
      </c>
      <c r="CN55" s="581">
        <v>862.75053400000002</v>
      </c>
      <c r="CO55" s="581">
        <v>858.46494199999995</v>
      </c>
      <c r="CP55" s="666">
        <v>944.05533400000002</v>
      </c>
      <c r="CQ55" s="581">
        <f>CP55</f>
        <v>944.05533400000002</v>
      </c>
      <c r="CR55" s="1463">
        <v>945.104739</v>
      </c>
      <c r="CS55" s="1182">
        <v>947.48529699999995</v>
      </c>
      <c r="CT55" s="1182">
        <v>945.00368000000003</v>
      </c>
      <c r="CU55" s="1464">
        <v>946.59557800000005</v>
      </c>
      <c r="CV55" s="581">
        <f>CU55</f>
        <v>946.59557800000005</v>
      </c>
      <c r="CW55" s="1463">
        <v>949.3</v>
      </c>
      <c r="CX55" s="1182">
        <v>951.9</v>
      </c>
      <c r="CY55" s="1182">
        <v>956.56061199999999</v>
      </c>
      <c r="CZ55" s="1182">
        <v>956</v>
      </c>
      <c r="DA55" s="652">
        <f>CZ55</f>
        <v>956</v>
      </c>
      <c r="DB55" s="1463">
        <v>945.64229799999998</v>
      </c>
      <c r="DC55" s="1666">
        <f>1172.513618-79.751513</f>
        <v>1092.762105</v>
      </c>
      <c r="DD55" s="1666">
        <f>DC55+DD54</f>
        <v>1089.8893777272729</v>
      </c>
      <c r="DE55" s="1666">
        <f>DD55+DE54</f>
        <v>1085.1014989393941</v>
      </c>
      <c r="DF55" s="581">
        <f>DE55</f>
        <v>1085.1014989393941</v>
      </c>
      <c r="DG55" s="1666">
        <v>1078.7468710000001</v>
      </c>
      <c r="DH55" s="1666">
        <v>1080.2449999999999</v>
      </c>
      <c r="DI55" s="1666">
        <v>1082.317487</v>
      </c>
      <c r="DJ55" s="1666">
        <v>1083.282661</v>
      </c>
      <c r="DK55" s="652">
        <f>DJ55</f>
        <v>1083.282661</v>
      </c>
      <c r="DL55" s="1666">
        <v>1079.4096280000001</v>
      </c>
      <c r="DM55" s="1666">
        <v>1080.9508940000001</v>
      </c>
      <c r="DN55" s="1666">
        <v>1070.0964859999999</v>
      </c>
      <c r="DO55" s="2292">
        <v>1009.549218</v>
      </c>
      <c r="DP55" s="652">
        <f>DO55</f>
        <v>1009.549218</v>
      </c>
      <c r="DQ55" s="2292">
        <v>990.66883700000005</v>
      </c>
      <c r="DR55" s="581">
        <f>DQ55+DR54</f>
        <v>990.66883700000005</v>
      </c>
      <c r="DS55" s="581">
        <f>DR55+DS54</f>
        <v>990.66883700000005</v>
      </c>
      <c r="DT55" s="666">
        <f>DS55+DT54</f>
        <v>990.66883700000005</v>
      </c>
      <c r="DU55" s="652">
        <f>DT55</f>
        <v>990.66883700000005</v>
      </c>
      <c r="DV55" s="612">
        <f>DU55+DV54</f>
        <v>978.47371504878049</v>
      </c>
      <c r="DW55" s="581">
        <f>DV55+DW54</f>
        <v>966.27859309756093</v>
      </c>
      <c r="DX55" s="581">
        <f>DW55+DX54</f>
        <v>954.08347114634137</v>
      </c>
      <c r="DY55" s="666">
        <f>DX55+DY54</f>
        <v>941.8883491951218</v>
      </c>
      <c r="DZ55" s="652">
        <f>DY55</f>
        <v>941.8883491951218</v>
      </c>
      <c r="EA55" s="612">
        <f>DZ55+EA54</f>
        <v>929.69322724390224</v>
      </c>
      <c r="EB55" s="581">
        <f>EA55+EB54</f>
        <v>917.49810529268268</v>
      </c>
      <c r="EC55" s="581">
        <f>EB55+EC54</f>
        <v>905.30298334146312</v>
      </c>
      <c r="ED55" s="666">
        <f>EC55+ED54</f>
        <v>893.10786139024356</v>
      </c>
      <c r="EE55" s="652">
        <f>ED55</f>
        <v>893.10786139024356</v>
      </c>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row>
    <row r="56" spans="2:232" s="64" customFormat="1" ht="12" customHeight="1" outlineLevel="1" thickBot="1">
      <c r="AS56" s="311"/>
      <c r="AX56" s="311"/>
      <c r="BC56" s="311"/>
      <c r="BH56" s="1294"/>
      <c r="BM56" s="1294"/>
      <c r="BR56" s="1294"/>
      <c r="BW56" s="1294"/>
      <c r="CB56" s="1294"/>
      <c r="CG56" s="1294"/>
      <c r="CJ56" s="62"/>
      <c r="CK56" s="62"/>
      <c r="CL56" s="1294"/>
      <c r="CO56" s="62"/>
      <c r="CP56" s="62"/>
      <c r="CQ56" s="889"/>
      <c r="CR56" s="62"/>
      <c r="CV56" s="889"/>
      <c r="CW56" s="62"/>
      <c r="CX56" s="62"/>
      <c r="CY56" s="62"/>
      <c r="CZ56" s="131"/>
      <c r="DA56" s="889"/>
      <c r="DB56" s="62"/>
      <c r="DC56" s="62"/>
      <c r="DD56" s="62"/>
      <c r="DE56" s="62"/>
      <c r="DF56" s="889"/>
      <c r="DG56" s="62"/>
      <c r="DH56" s="62"/>
      <c r="DI56" s="62"/>
      <c r="DJ56" s="62"/>
      <c r="DK56" s="889"/>
      <c r="DL56" s="62"/>
      <c r="DM56" s="62"/>
      <c r="DN56" s="62"/>
      <c r="DO56" s="62"/>
      <c r="DP56" s="889"/>
      <c r="DQ56" s="62"/>
      <c r="DR56" s="889"/>
      <c r="DS56" s="889"/>
      <c r="DT56" s="889"/>
      <c r="DU56" s="889"/>
      <c r="DV56" s="889"/>
      <c r="DW56" s="889"/>
      <c r="DX56" s="889"/>
      <c r="DY56" s="889"/>
      <c r="DZ56" s="889"/>
      <c r="EA56" s="889"/>
      <c r="EB56" s="889"/>
      <c r="EC56" s="889"/>
      <c r="ED56" s="889"/>
      <c r="EE56" s="889"/>
      <c r="EF56" s="53"/>
      <c r="EG56" s="53"/>
      <c r="EH56"/>
      <c r="EI56"/>
      <c r="EJ56"/>
      <c r="EK56"/>
      <c r="EL56"/>
      <c r="EM56"/>
      <c r="EN56" s="53"/>
      <c r="EO56" s="53"/>
      <c r="EP56" s="53"/>
      <c r="EQ56" s="53"/>
      <c r="ER56" s="53"/>
      <c r="ES56" s="53"/>
      <c r="ET56" s="53"/>
      <c r="EU56" s="53"/>
      <c r="EV56" s="53"/>
      <c r="EW56" s="53"/>
      <c r="EX56" s="53"/>
      <c r="EY56" s="53"/>
      <c r="EZ56" s="53"/>
      <c r="FA56" s="53"/>
      <c r="FB56" s="53"/>
      <c r="FC56" s="53"/>
      <c r="FD56" s="53"/>
      <c r="FE56" s="53"/>
      <c r="FF56" s="53"/>
      <c r="FG56" s="53"/>
      <c r="FH56" s="53"/>
      <c r="FI56" s="53"/>
      <c r="FJ56" s="53"/>
      <c r="FK56" s="53"/>
      <c r="FL56" s="53"/>
      <c r="FM56" s="53"/>
      <c r="FN56" s="53"/>
      <c r="FO56" s="53"/>
      <c r="FP56" s="53"/>
      <c r="FQ56" s="53"/>
      <c r="FR56" s="53"/>
      <c r="FS56" s="53"/>
      <c r="FT56" s="53"/>
      <c r="FU56" s="53"/>
      <c r="FV56" s="53"/>
      <c r="FW56" s="53"/>
      <c r="FX56" s="53"/>
      <c r="FY56" s="53"/>
      <c r="FZ56" s="53"/>
      <c r="GA56" s="53"/>
      <c r="GB56" s="53"/>
      <c r="GC56" s="53"/>
      <c r="GD56" s="53"/>
      <c r="GE56" s="53"/>
      <c r="GF56" s="53"/>
      <c r="GG56" s="53"/>
      <c r="GH56" s="53"/>
      <c r="GI56" s="53"/>
      <c r="GJ56" s="53"/>
      <c r="GK56" s="53"/>
      <c r="GL56" s="53"/>
      <c r="GM56" s="53"/>
      <c r="GN56" s="53"/>
      <c r="GO56" s="53"/>
      <c r="GP56" s="53"/>
      <c r="GQ56" s="53"/>
      <c r="GR56" s="53"/>
      <c r="GS56" s="53"/>
      <c r="GT56" s="53"/>
      <c r="GU56" s="53"/>
      <c r="GV56" s="53"/>
      <c r="GW56" s="53"/>
      <c r="GX56" s="53"/>
      <c r="GY56" s="53"/>
      <c r="GZ56" s="53"/>
      <c r="HA56" s="53"/>
      <c r="HB56" s="53"/>
      <c r="HC56" s="53"/>
      <c r="HD56" s="53"/>
      <c r="HE56" s="53"/>
      <c r="HF56" s="53"/>
      <c r="HG56" s="53"/>
      <c r="HH56" s="53"/>
      <c r="HI56" s="53"/>
      <c r="HJ56" s="53"/>
      <c r="HK56" s="53"/>
      <c r="HL56" s="53"/>
      <c r="HM56" s="53"/>
      <c r="HN56" s="53"/>
      <c r="HO56" s="53"/>
      <c r="HP56" s="53"/>
      <c r="HQ56" s="53"/>
      <c r="HR56" s="53"/>
      <c r="HS56" s="53"/>
      <c r="HT56" s="53"/>
      <c r="HU56" s="53"/>
      <c r="HV56" s="53"/>
      <c r="HW56" s="53"/>
      <c r="HX56" s="53"/>
    </row>
    <row r="57" spans="2:232" s="64" customFormat="1" ht="12" thickBot="1">
      <c r="B57" s="683" t="s">
        <v>212</v>
      </c>
      <c r="C57" s="684"/>
      <c r="D57" s="684"/>
      <c r="E57" s="685"/>
      <c r="F57" s="685"/>
      <c r="G57" s="685"/>
      <c r="H57" s="685"/>
      <c r="I57" s="685"/>
      <c r="J57" s="685"/>
      <c r="K57" s="684"/>
      <c r="L57" s="684"/>
      <c r="M57" s="684"/>
      <c r="N57" s="684"/>
      <c r="O57" s="685"/>
      <c r="P57" s="684"/>
      <c r="Q57" s="684"/>
      <c r="R57" s="684"/>
      <c r="S57" s="684"/>
      <c r="T57" s="685"/>
      <c r="U57" s="684"/>
      <c r="V57" s="684"/>
      <c r="W57" s="684"/>
      <c r="X57" s="684"/>
      <c r="Y57" s="685"/>
      <c r="Z57" s="684"/>
      <c r="AA57" s="684"/>
      <c r="AB57" s="684"/>
      <c r="AC57" s="684"/>
      <c r="AD57" s="685"/>
      <c r="AE57" s="684"/>
      <c r="AF57" s="684"/>
      <c r="AG57" s="684"/>
      <c r="AH57" s="684"/>
      <c r="AI57" s="685"/>
      <c r="AJ57" s="684"/>
      <c r="AK57" s="684"/>
      <c r="AL57" s="684"/>
      <c r="AM57" s="684"/>
      <c r="AN57" s="685"/>
      <c r="AO57" s="684"/>
      <c r="AP57" s="684"/>
      <c r="AQ57" s="684"/>
      <c r="AR57" s="684"/>
      <c r="AS57" s="685"/>
      <c r="AT57" s="684"/>
      <c r="AU57" s="684"/>
      <c r="AV57" s="684"/>
      <c r="AW57" s="684"/>
      <c r="AX57" s="685"/>
      <c r="AY57" s="684"/>
      <c r="AZ57" s="684"/>
      <c r="BA57" s="684"/>
      <c r="BB57" s="684"/>
      <c r="BC57" s="685"/>
      <c r="BD57" s="684"/>
      <c r="BE57" s="684"/>
      <c r="BF57" s="684"/>
      <c r="BG57" s="684"/>
      <c r="BH57" s="685"/>
      <c r="BI57" s="684"/>
      <c r="BJ57" s="684"/>
      <c r="BK57" s="684"/>
      <c r="BL57" s="684"/>
      <c r="BM57" s="685"/>
      <c r="BN57" s="684"/>
      <c r="BO57" s="684"/>
      <c r="BP57" s="684"/>
      <c r="BQ57" s="684"/>
      <c r="BR57" s="685"/>
      <c r="BS57" s="684"/>
      <c r="BT57" s="684"/>
      <c r="BU57" s="684"/>
      <c r="BV57" s="684"/>
      <c r="BW57" s="685"/>
      <c r="BX57" s="684"/>
      <c r="BY57" s="684"/>
      <c r="BZ57" s="684"/>
      <c r="CA57" s="684"/>
      <c r="CB57" s="685"/>
      <c r="CC57" s="684"/>
      <c r="CD57" s="684"/>
      <c r="CE57" s="686"/>
      <c r="CF57" s="686"/>
      <c r="CG57" s="685"/>
      <c r="CH57" s="686"/>
      <c r="CI57" s="686"/>
      <c r="CJ57" s="686"/>
      <c r="CK57" s="686"/>
      <c r="CL57" s="687"/>
      <c r="CM57" s="684"/>
      <c r="CN57" s="684"/>
      <c r="CO57" s="684"/>
      <c r="CP57" s="684"/>
      <c r="CQ57" s="685"/>
      <c r="CR57" s="684"/>
      <c r="CS57" s="684"/>
      <c r="CT57" s="684"/>
      <c r="CU57" s="684"/>
      <c r="CV57" s="685"/>
      <c r="CW57" s="684"/>
      <c r="CX57" s="684"/>
      <c r="CY57" s="684"/>
      <c r="CZ57" s="684"/>
      <c r="DA57" s="685"/>
      <c r="DB57" s="684"/>
      <c r="DC57" s="684"/>
      <c r="DD57" s="684"/>
      <c r="DE57" s="684"/>
      <c r="DF57" s="685"/>
      <c r="DG57" s="684"/>
      <c r="DH57" s="684"/>
      <c r="DI57" s="684"/>
      <c r="DJ57" s="684"/>
      <c r="DK57" s="688"/>
      <c r="DL57" s="684"/>
      <c r="DM57" s="684"/>
      <c r="DN57" s="684"/>
      <c r="DO57" s="684"/>
      <c r="DP57" s="688"/>
      <c r="DQ57" s="684"/>
      <c r="DR57" s="685"/>
      <c r="DS57" s="685"/>
      <c r="DT57" s="688"/>
      <c r="DU57" s="688"/>
      <c r="DV57" s="685"/>
      <c r="DW57" s="685"/>
      <c r="DX57" s="685"/>
      <c r="DY57" s="688"/>
      <c r="DZ57" s="688"/>
      <c r="EA57" s="685"/>
      <c r="EB57" s="685"/>
      <c r="EC57" s="685"/>
      <c r="ED57" s="688"/>
      <c r="EE57" s="688"/>
      <c r="EF57" s="53"/>
      <c r="EG57" s="53"/>
      <c r="EH57"/>
      <c r="EI57"/>
      <c r="EJ57"/>
      <c r="EK57"/>
      <c r="EL57"/>
      <c r="EM57"/>
      <c r="EN57" s="53"/>
      <c r="EO57" s="53"/>
      <c r="EP57" s="53"/>
      <c r="EQ57" s="53"/>
      <c r="ER57" s="53"/>
      <c r="ES57" s="53"/>
      <c r="ET57" s="53"/>
      <c r="EU57" s="53"/>
      <c r="EV57" s="53"/>
      <c r="EW57" s="53"/>
      <c r="EX57" s="53"/>
      <c r="EY57" s="53"/>
      <c r="EZ57" s="53"/>
      <c r="FA57" s="53"/>
      <c r="FB57" s="53"/>
      <c r="FC57" s="53"/>
      <c r="FD57" s="53"/>
      <c r="FE57" s="53"/>
      <c r="FF57" s="53"/>
      <c r="FG57" s="53"/>
      <c r="FH57" s="53"/>
      <c r="FI57" s="53"/>
      <c r="FJ57" s="53"/>
      <c r="FK57" s="53"/>
      <c r="FL57" s="53"/>
      <c r="FM57" s="53"/>
      <c r="FN57" s="53"/>
      <c r="FO57" s="53"/>
      <c r="FP57" s="53"/>
      <c r="FQ57" s="53"/>
      <c r="FR57" s="53"/>
      <c r="FS57" s="53"/>
      <c r="FT57" s="53"/>
      <c r="FU57" s="53"/>
      <c r="FV57" s="53"/>
      <c r="FW57" s="53"/>
      <c r="FX57" s="53"/>
      <c r="FY57" s="53"/>
      <c r="FZ57" s="53"/>
      <c r="GA57" s="53"/>
      <c r="GB57" s="53"/>
      <c r="GC57" s="53"/>
      <c r="GD57" s="53"/>
      <c r="GE57" s="53"/>
      <c r="GF57" s="53"/>
      <c r="GG57" s="53"/>
      <c r="GH57" s="53"/>
      <c r="GI57" s="53"/>
      <c r="GJ57" s="53"/>
      <c r="GK57" s="53"/>
      <c r="GL57" s="53"/>
      <c r="GM57" s="53"/>
      <c r="GN57" s="53"/>
      <c r="GO57" s="53"/>
      <c r="GP57" s="53"/>
      <c r="GQ57" s="53"/>
      <c r="GR57" s="53"/>
      <c r="GS57" s="53"/>
      <c r="GT57" s="53"/>
      <c r="GU57" s="53"/>
      <c r="GV57" s="53"/>
      <c r="GW57" s="53"/>
      <c r="GX57" s="53"/>
      <c r="GY57" s="53"/>
      <c r="GZ57" s="53"/>
      <c r="HA57" s="53"/>
      <c r="HB57" s="53"/>
      <c r="HC57" s="53"/>
      <c r="HD57" s="53"/>
      <c r="HE57" s="53"/>
      <c r="HF57" s="53"/>
      <c r="HG57" s="53"/>
      <c r="HH57" s="53"/>
      <c r="HI57" s="53"/>
      <c r="HJ57" s="53"/>
      <c r="HK57" s="53"/>
      <c r="HL57" s="53"/>
      <c r="HM57" s="53"/>
      <c r="HN57" s="53"/>
      <c r="HO57" s="53"/>
      <c r="HP57" s="53"/>
      <c r="HQ57" s="53"/>
      <c r="HR57" s="53"/>
      <c r="HS57" s="53"/>
      <c r="HT57" s="53"/>
      <c r="HU57" s="53"/>
      <c r="HV57" s="53"/>
      <c r="HW57" s="53"/>
      <c r="HX57" s="53"/>
    </row>
    <row r="58" spans="2:232" s="64" customFormat="1" outlineLevel="1">
      <c r="B58" s="676" t="s">
        <v>209</v>
      </c>
      <c r="C58" s="477"/>
      <c r="D58" s="477"/>
      <c r="E58" s="477"/>
      <c r="F58" s="477"/>
      <c r="G58" s="477"/>
      <c r="H58" s="477"/>
      <c r="I58" s="477"/>
      <c r="J58" s="477"/>
      <c r="K58" s="1308">
        <f>K11</f>
        <v>738.98199999999974</v>
      </c>
      <c r="L58" s="1308">
        <f>L11</f>
        <v>894.75199999999995</v>
      </c>
      <c r="M58" s="1308">
        <f>M11</f>
        <v>826.78499999999985</v>
      </c>
      <c r="N58" s="1308">
        <f>N11</f>
        <v>807.25799999999981</v>
      </c>
      <c r="O58" s="1308">
        <f>SUM(K58:N58)</f>
        <v>3267.7769999999991</v>
      </c>
      <c r="P58" s="1308">
        <f>P11</f>
        <v>835.9409999999998</v>
      </c>
      <c r="Q58" s="1308">
        <f>Q11</f>
        <v>1015.3159999999998</v>
      </c>
      <c r="R58" s="1308">
        <f>R11</f>
        <v>936.9670000000001</v>
      </c>
      <c r="S58" s="1308">
        <f>S11</f>
        <v>909.49499999999989</v>
      </c>
      <c r="T58" s="1308">
        <f>SUM(P58:S58)</f>
        <v>3697.7189999999996</v>
      </c>
      <c r="U58" s="1308">
        <f>U11</f>
        <v>950.28899999999976</v>
      </c>
      <c r="V58" s="1308">
        <f>V11</f>
        <v>1142.692</v>
      </c>
      <c r="W58" s="1308">
        <f>W11</f>
        <v>1063.0390000000002</v>
      </c>
      <c r="X58" s="1308">
        <f>X11</f>
        <v>1057.6289999999999</v>
      </c>
      <c r="Y58" s="1308">
        <f>SUM(U58:X58)</f>
        <v>4213.6489999999994</v>
      </c>
      <c r="Z58" s="1308">
        <f>Z11</f>
        <v>1088.5999999999999</v>
      </c>
      <c r="AA58" s="1308">
        <f>AA11</f>
        <v>1314.8000000000002</v>
      </c>
      <c r="AB58" s="1308">
        <f>AB11</f>
        <v>1256.4999999999995</v>
      </c>
      <c r="AC58" s="1308">
        <f>AC11</f>
        <v>1245.5</v>
      </c>
      <c r="AD58" s="1308">
        <f>SUM(Z58:AC58)</f>
        <v>4905.3999999999996</v>
      </c>
      <c r="AE58" s="1308">
        <f>AE11</f>
        <v>1289.7999999999997</v>
      </c>
      <c r="AF58" s="1308">
        <f>AF11</f>
        <v>1543.5</v>
      </c>
      <c r="AG58" s="1308">
        <f>AG11</f>
        <v>1451.0000000000005</v>
      </c>
      <c r="AH58" s="1308">
        <f>AH11</f>
        <v>1474.3000000000002</v>
      </c>
      <c r="AI58" s="1308">
        <f>SUM(AE58:AH58)</f>
        <v>5758.6</v>
      </c>
      <c r="AJ58" s="1308">
        <f>AJ11</f>
        <v>1488.0999999999995</v>
      </c>
      <c r="AK58" s="1308">
        <f>AK11</f>
        <v>1770.8000000000002</v>
      </c>
      <c r="AL58" s="1308">
        <f>AL11</f>
        <v>1651.5999999999995</v>
      </c>
      <c r="AM58" s="1308">
        <f>AM11</f>
        <v>1663.6000000000004</v>
      </c>
      <c r="AN58" s="1308">
        <f>SUM(AJ58:AM58)</f>
        <v>6574.0999999999995</v>
      </c>
      <c r="AO58" s="1308">
        <f>AO11</f>
        <v>1697.8999999999996</v>
      </c>
      <c r="AP58" s="1308">
        <f>AP11</f>
        <v>2033.8999999999996</v>
      </c>
      <c r="AQ58" s="1308">
        <f>AQ11</f>
        <v>1937.1999999999998</v>
      </c>
      <c r="AR58" s="1308">
        <f>AR11</f>
        <v>1936</v>
      </c>
      <c r="AS58" s="1308">
        <f>SUM(AO58:AR58)</f>
        <v>7604.9999999999991</v>
      </c>
      <c r="AT58" s="1308">
        <f>AT11</f>
        <v>1995.6999999999998</v>
      </c>
      <c r="AU58" s="1308">
        <f>AU11</f>
        <v>2348.1000000000004</v>
      </c>
      <c r="AV58" s="1308">
        <f>AV11</f>
        <v>2230</v>
      </c>
      <c r="AW58" s="1308">
        <f>AW11</f>
        <v>2225.3999999999996</v>
      </c>
      <c r="AX58" s="1308">
        <f>SUM(AT58:AW58)</f>
        <v>8799.2000000000007</v>
      </c>
      <c r="AY58" s="1308">
        <f>AY11</f>
        <v>2300.0999999999995</v>
      </c>
      <c r="AZ58" s="1308">
        <f>AZ11</f>
        <v>2705.6000000000004</v>
      </c>
      <c r="BA58" s="1308">
        <f>BA11</f>
        <v>2577.8000000000002</v>
      </c>
      <c r="BB58" s="1308">
        <f>BB11</f>
        <v>2614.3000000000011</v>
      </c>
      <c r="BC58" s="1308">
        <f>SUM(AY58:BB58)</f>
        <v>10197.800000000001</v>
      </c>
      <c r="BD58" s="1308">
        <f>BD11</f>
        <v>2707.9000000000005</v>
      </c>
      <c r="BE58" s="1308">
        <f>BE11</f>
        <v>3130.6000000000004</v>
      </c>
      <c r="BF58" s="1308">
        <f>BF11</f>
        <v>3016.2000000000007</v>
      </c>
      <c r="BG58" s="1308">
        <f>BG11</f>
        <v>2933.0999999999995</v>
      </c>
      <c r="BH58" s="1308">
        <f>SUM(BD58:BG58)</f>
        <v>11787.8</v>
      </c>
      <c r="BI58" s="1308">
        <f>BI11</f>
        <v>3002.5</v>
      </c>
      <c r="BJ58" s="1308">
        <f>BJ11</f>
        <v>3459.3000000000011</v>
      </c>
      <c r="BK58" s="1308">
        <f>BK11</f>
        <v>3343.2000000000007</v>
      </c>
      <c r="BL58" s="1308">
        <f>BL11</f>
        <v>3363.5999999999985</v>
      </c>
      <c r="BM58" s="1308">
        <f>SUM(BI58:BL58)</f>
        <v>13168.6</v>
      </c>
      <c r="BN58" s="1308">
        <f>BN11</f>
        <v>3575.6000000000004</v>
      </c>
      <c r="BO58" s="1308">
        <f>BO11</f>
        <v>4035.8000000000011</v>
      </c>
      <c r="BP58" s="1308">
        <f>BP11</f>
        <v>3877.1999999999989</v>
      </c>
      <c r="BQ58" s="1308">
        <f>BQ11</f>
        <v>3755.2999999999993</v>
      </c>
      <c r="BR58" s="1308">
        <f>SUM(BN58:BQ58)</f>
        <v>15243.9</v>
      </c>
      <c r="BS58" s="1308">
        <f>BS11</f>
        <v>3920.8999999999996</v>
      </c>
      <c r="BT58" s="1308">
        <f>BT11</f>
        <v>4441.6000000000004</v>
      </c>
      <c r="BU58" s="1308">
        <f>BU11</f>
        <v>4245.7000000000007</v>
      </c>
      <c r="BV58" s="1308">
        <f>BV11</f>
        <v>4034.6000000000004</v>
      </c>
      <c r="BW58" s="1308">
        <f>SUM(BS58:BV58)</f>
        <v>16642.800000000003</v>
      </c>
      <c r="BX58" s="1312">
        <f>BX11</f>
        <v>4151</v>
      </c>
      <c r="BY58" s="1308">
        <f>BY11</f>
        <v>4657</v>
      </c>
      <c r="BZ58" s="1308">
        <f>BZ11</f>
        <v>4459</v>
      </c>
      <c r="CA58" s="1309">
        <f>CA11</f>
        <v>4346</v>
      </c>
      <c r="CB58" s="1308">
        <f>SUM(BX58:CA58)</f>
        <v>17613</v>
      </c>
      <c r="CC58" s="1312">
        <f>CC11</f>
        <v>4538</v>
      </c>
      <c r="CD58" s="1308">
        <f>CD11</f>
        <v>4897</v>
      </c>
      <c r="CE58" s="1308">
        <f>CE11</f>
        <v>4749</v>
      </c>
      <c r="CF58" s="1309">
        <f>CF11</f>
        <v>4792</v>
      </c>
      <c r="CG58" s="1316">
        <f>SUM(CC58:CF58)</f>
        <v>18976</v>
      </c>
      <c r="CH58" s="1308">
        <f>CH11</f>
        <v>4945</v>
      </c>
      <c r="CI58" s="1308">
        <f>CI11</f>
        <v>5324</v>
      </c>
      <c r="CJ58" s="1308">
        <f>CJ11</f>
        <v>5154</v>
      </c>
      <c r="CK58" s="1308">
        <f>CK11</f>
        <v>5069</v>
      </c>
      <c r="CL58" s="1316">
        <f>SUM(CH58:CK58)</f>
        <v>20492</v>
      </c>
      <c r="CM58" s="1312">
        <f>CM11</f>
        <v>5104</v>
      </c>
      <c r="CN58" s="1308">
        <f>CN11</f>
        <v>5389</v>
      </c>
      <c r="CO58" s="1308">
        <f>CO11</f>
        <v>5014</v>
      </c>
      <c r="CP58" s="1309">
        <f>CP11</f>
        <v>4835</v>
      </c>
      <c r="CQ58" s="1316">
        <f>SUM(CM58:CP58)</f>
        <v>20342</v>
      </c>
      <c r="CR58" s="1312">
        <f>CR11</f>
        <v>5099</v>
      </c>
      <c r="CS58" s="1308">
        <f>CS11</f>
        <v>5607</v>
      </c>
      <c r="CT58" s="1308">
        <f>CT11</f>
        <v>5222</v>
      </c>
      <c r="CU58" s="1308">
        <f>CU11</f>
        <v>5191</v>
      </c>
      <c r="CV58" s="1316">
        <f>SUM(CR58:CU58)</f>
        <v>21119</v>
      </c>
      <c r="CW58" s="1312">
        <f>CW11</f>
        <v>5152</v>
      </c>
      <c r="CX58" s="1308">
        <f>CX11</f>
        <v>5650</v>
      </c>
      <c r="CY58" s="1308">
        <f>CY11</f>
        <v>5440</v>
      </c>
      <c r="CZ58" s="1309">
        <f>CZ11</f>
        <v>5327</v>
      </c>
      <c r="DA58" s="1316">
        <f>SUM(CW58:CZ58)</f>
        <v>21569</v>
      </c>
      <c r="DB58" s="1312">
        <f>DB11</f>
        <v>5296</v>
      </c>
      <c r="DC58" s="1308">
        <f>DC11</f>
        <v>6882</v>
      </c>
      <c r="DD58" s="1308">
        <f>DD11</f>
        <v>7481</v>
      </c>
      <c r="DE58" s="1308">
        <f>DE11</f>
        <v>7265</v>
      </c>
      <c r="DF58" s="1316">
        <f>SUM(DB58:DE58)</f>
        <v>26924</v>
      </c>
      <c r="DG58" s="1312">
        <f>DG11</f>
        <v>7502</v>
      </c>
      <c r="DH58" s="1308">
        <f>DH11</f>
        <v>7944</v>
      </c>
      <c r="DI58" s="1308">
        <f>DI11</f>
        <v>7497</v>
      </c>
      <c r="DJ58" s="1308">
        <f>DJ11</f>
        <v>7155</v>
      </c>
      <c r="DK58" s="1316">
        <f>SUM(DG58:DJ58)</f>
        <v>30098</v>
      </c>
      <c r="DL58" s="1308">
        <f>DL11</f>
        <v>7116</v>
      </c>
      <c r="DM58" s="1308">
        <f>DM11</f>
        <v>7561</v>
      </c>
      <c r="DN58" s="1308">
        <f>DN11</f>
        <v>7145</v>
      </c>
      <c r="DO58" s="1308">
        <f>DO11</f>
        <v>7340</v>
      </c>
      <c r="DP58" s="1316">
        <f>SUM(DL58:DO58)</f>
        <v>29162</v>
      </c>
      <c r="DQ58" s="1308">
        <f>DQ11</f>
        <v>7341</v>
      </c>
      <c r="DR58" s="1308">
        <f ca="1">DR11</f>
        <v>8297.8390253425878</v>
      </c>
      <c r="DS58" s="1308">
        <f ca="1">DS11</f>
        <v>8132.3036935442333</v>
      </c>
      <c r="DT58" s="1309">
        <f>DT11</f>
        <v>8033.4841696022559</v>
      </c>
      <c r="DU58" s="1316">
        <f ca="1">SUM(DQ58:DT58)</f>
        <v>31804.626888489078</v>
      </c>
      <c r="DV58" s="1312">
        <f>DV11</f>
        <v>7926.5777207918818</v>
      </c>
      <c r="DW58" s="1308">
        <f ca="1">DW11</f>
        <v>8519.1062221134598</v>
      </c>
      <c r="DX58" s="1308">
        <f ca="1">DX11</f>
        <v>8332.776412285737</v>
      </c>
      <c r="DY58" s="1309">
        <f>DY11</f>
        <v>8237.6084434622862</v>
      </c>
      <c r="DZ58" s="1316">
        <f ca="1">SUM(DV58:DY58)</f>
        <v>33016.068798653367</v>
      </c>
      <c r="EA58" s="1312">
        <f>EA11</f>
        <v>8116.7739832998295</v>
      </c>
      <c r="EB58" s="1308">
        <f ca="1">EB11</f>
        <v>8693.9773569173849</v>
      </c>
      <c r="EC58" s="1308">
        <f ca="1">EC11</f>
        <v>8520.1310341027765</v>
      </c>
      <c r="ED58" s="1309">
        <f>ED11</f>
        <v>8425.1024660429139</v>
      </c>
      <c r="EE58" s="1316">
        <f ca="1">SUM(EA58:ED58)</f>
        <v>33755.9848403629</v>
      </c>
      <c r="EF58" s="53"/>
      <c r="EG58" s="53"/>
      <c r="EH58"/>
      <c r="EI58"/>
      <c r="EJ58"/>
      <c r="EK58"/>
      <c r="EL58"/>
      <c r="EM58"/>
      <c r="EN58" s="53"/>
      <c r="EO58" s="53"/>
      <c r="EP58" s="53"/>
      <c r="EQ58" s="53"/>
      <c r="ER58" s="53"/>
      <c r="ES58" s="53"/>
      <c r="ET58" s="53"/>
      <c r="EU58" s="53"/>
      <c r="EV58" s="53"/>
      <c r="EW58" s="53"/>
      <c r="EX58" s="53"/>
      <c r="EY58" s="53"/>
      <c r="EZ58" s="53"/>
      <c r="FA58" s="53"/>
      <c r="FB58" s="53"/>
      <c r="FC58" s="53"/>
      <c r="FD58" s="53"/>
      <c r="FE58" s="53"/>
      <c r="FF58" s="53"/>
      <c r="FG58" s="53"/>
      <c r="FH58" s="53"/>
      <c r="FI58" s="53"/>
      <c r="FJ58" s="53"/>
      <c r="FK58" s="53"/>
      <c r="FL58" s="53"/>
      <c r="FM58" s="53"/>
      <c r="FN58" s="53"/>
      <c r="FO58" s="53"/>
      <c r="FP58" s="53"/>
      <c r="FQ58" s="53"/>
      <c r="FR58" s="53"/>
      <c r="FS58" s="53"/>
      <c r="FT58" s="53"/>
      <c r="FU58" s="53"/>
      <c r="FV58" s="53"/>
      <c r="FW58" s="53"/>
      <c r="FX58" s="53"/>
      <c r="FY58" s="53"/>
      <c r="FZ58" s="53"/>
      <c r="GA58" s="53"/>
      <c r="GB58" s="53"/>
      <c r="GC58" s="53"/>
      <c r="GD58" s="53"/>
      <c r="GE58" s="53"/>
      <c r="GF58" s="53"/>
      <c r="GG58" s="53"/>
      <c r="GH58" s="53"/>
      <c r="GI58" s="53"/>
      <c r="GJ58" s="53"/>
      <c r="GK58" s="53"/>
      <c r="GL58" s="53"/>
      <c r="GM58" s="53"/>
      <c r="GN58" s="53"/>
      <c r="GO58" s="53"/>
      <c r="GP58" s="53"/>
      <c r="GQ58" s="53"/>
      <c r="GR58" s="53"/>
      <c r="GS58" s="53"/>
      <c r="GT58" s="53"/>
      <c r="GU58" s="53"/>
      <c r="GV58" s="53"/>
      <c r="GW58" s="53"/>
      <c r="GX58" s="53"/>
      <c r="GY58" s="53"/>
      <c r="GZ58" s="53"/>
      <c r="HA58" s="53"/>
      <c r="HB58" s="53"/>
      <c r="HC58" s="53"/>
      <c r="HD58" s="53"/>
      <c r="HE58" s="53"/>
      <c r="HF58" s="53"/>
      <c r="HG58" s="53"/>
      <c r="HH58" s="53"/>
      <c r="HI58" s="53"/>
      <c r="HJ58" s="53"/>
      <c r="HK58" s="53"/>
      <c r="HL58" s="53"/>
      <c r="HM58" s="53"/>
      <c r="HN58" s="53"/>
      <c r="HO58" s="53"/>
      <c r="HP58" s="53"/>
      <c r="HQ58" s="53"/>
      <c r="HR58" s="53"/>
      <c r="HS58" s="53"/>
      <c r="HT58" s="53"/>
      <c r="HU58" s="53"/>
      <c r="HV58" s="53"/>
      <c r="HW58" s="53"/>
      <c r="HX58" s="53"/>
    </row>
    <row r="59" spans="2:232" s="64" customFormat="1" outlineLevel="1">
      <c r="B59" s="573" t="s">
        <v>216</v>
      </c>
      <c r="C59" s="270"/>
      <c r="D59" s="270"/>
      <c r="E59" s="270"/>
      <c r="F59" s="270"/>
      <c r="G59" s="270"/>
      <c r="H59" s="270"/>
      <c r="I59" s="270"/>
      <c r="J59" s="270"/>
      <c r="K59" s="1331">
        <f>K134</f>
        <v>8.5640000000000001</v>
      </c>
      <c r="L59" s="1331">
        <f>L134</f>
        <v>5.4660000000000002</v>
      </c>
      <c r="M59" s="1331">
        <f>M134</f>
        <v>3.5609999999999999</v>
      </c>
      <c r="N59" s="1331">
        <f>N134</f>
        <v>-4.8390000000000004</v>
      </c>
      <c r="O59" s="1331">
        <f>SUM(K59:N59)</f>
        <v>12.752000000000001</v>
      </c>
      <c r="P59" s="1331">
        <f>P134</f>
        <v>5.9249999999999998</v>
      </c>
      <c r="Q59" s="1331">
        <f>Q134</f>
        <v>9.2430000000000003</v>
      </c>
      <c r="R59" s="1331">
        <f>R134</f>
        <v>4.3289999999999997</v>
      </c>
      <c r="S59" s="1331">
        <f>S134</f>
        <v>-2.9510000000000001</v>
      </c>
      <c r="T59" s="1331">
        <f>SUM(P59:S59)</f>
        <v>16.545999999999999</v>
      </c>
      <c r="U59" s="1331">
        <f>U134</f>
        <v>6.1390000000000002</v>
      </c>
      <c r="V59" s="1331">
        <f>V134</f>
        <v>9.907</v>
      </c>
      <c r="W59" s="1331">
        <f>W134</f>
        <v>16.353000000000002</v>
      </c>
      <c r="X59" s="1331">
        <f>X134</f>
        <v>14.108000000000001</v>
      </c>
      <c r="Y59" s="1331">
        <f>SUM(U59:X59)</f>
        <v>46.507000000000005</v>
      </c>
      <c r="Z59" s="1331">
        <f>Z134</f>
        <v>13.9</v>
      </c>
      <c r="AA59" s="1331">
        <f>AA134</f>
        <v>16.2</v>
      </c>
      <c r="AB59" s="1331">
        <f>AB134</f>
        <v>15.8</v>
      </c>
      <c r="AC59" s="1331">
        <f>AC134</f>
        <v>-0.7</v>
      </c>
      <c r="AD59" s="1331">
        <f>SUM(Z59:AC59)</f>
        <v>45.2</v>
      </c>
      <c r="AE59" s="1331">
        <f>AE134</f>
        <v>17.600000000000001</v>
      </c>
      <c r="AF59" s="1331">
        <f>AF134</f>
        <v>16.899999999999999</v>
      </c>
      <c r="AG59" s="1331">
        <f>AG134</f>
        <v>13</v>
      </c>
      <c r="AH59" s="1331">
        <f>AH134</f>
        <v>-8.6999999999999993</v>
      </c>
      <c r="AI59" s="1331">
        <f>SUM(AE59:AH59)</f>
        <v>38.799999999999997</v>
      </c>
      <c r="AJ59" s="1331">
        <f>AJ134</f>
        <v>16.399999999999999</v>
      </c>
      <c r="AK59" s="1331">
        <f>AK134</f>
        <v>26.8</v>
      </c>
      <c r="AL59" s="1331">
        <f>AL134</f>
        <v>16.8</v>
      </c>
      <c r="AM59" s="1331">
        <f>AM134</f>
        <v>2.8</v>
      </c>
      <c r="AN59" s="1331">
        <f>SUM(AJ59:AM59)</f>
        <v>62.8</v>
      </c>
      <c r="AO59" s="1331">
        <f>AO134</f>
        <v>22.4</v>
      </c>
      <c r="AP59" s="1331">
        <f>AP134</f>
        <v>20.8</v>
      </c>
      <c r="AQ59" s="1331">
        <f>AQ134</f>
        <v>22.6</v>
      </c>
      <c r="AR59" s="1331">
        <f>AR134</f>
        <v>-9.9</v>
      </c>
      <c r="AS59" s="1331">
        <f>SUM(AO59:AR59)</f>
        <v>55.900000000000013</v>
      </c>
      <c r="AT59" s="1331">
        <f>AT134</f>
        <v>21.8</v>
      </c>
      <c r="AU59" s="1331">
        <f>AU134</f>
        <v>24.9</v>
      </c>
      <c r="AV59" s="1331">
        <f>AV134</f>
        <v>9</v>
      </c>
      <c r="AW59" s="1331">
        <f>AW134</f>
        <v>-19.5</v>
      </c>
      <c r="AX59" s="1331">
        <f>SUM(AT59:AW59)</f>
        <v>36.200000000000003</v>
      </c>
      <c r="AY59" s="1331">
        <f>AY134</f>
        <v>20.100000000000001</v>
      </c>
      <c r="AZ59" s="1331">
        <f>AZ134</f>
        <v>22.4</v>
      </c>
      <c r="BA59" s="1331">
        <f>BA134</f>
        <v>12.7</v>
      </c>
      <c r="BB59" s="1331">
        <f>BB134</f>
        <v>-48.5</v>
      </c>
      <c r="BC59" s="1331">
        <f>SUM(AY59:BB59)</f>
        <v>6.7000000000000028</v>
      </c>
      <c r="BD59" s="1331">
        <f>BD134</f>
        <v>18.5</v>
      </c>
      <c r="BE59" s="1331">
        <f>BE134</f>
        <v>27.1</v>
      </c>
      <c r="BF59" s="1331">
        <f>BF134</f>
        <v>24.2</v>
      </c>
      <c r="BG59" s="1331">
        <f>BG134</f>
        <v>-2</v>
      </c>
      <c r="BH59" s="1331">
        <f>SUM(BD59:BG59)</f>
        <v>67.8</v>
      </c>
      <c r="BI59" s="1331">
        <f>BI134</f>
        <v>21.2</v>
      </c>
      <c r="BJ59" s="1331">
        <f>BJ134</f>
        <v>23.8</v>
      </c>
      <c r="BK59" s="1331">
        <f>BK134</f>
        <v>24.2</v>
      </c>
      <c r="BL59" s="1331">
        <f>BL134</f>
        <v>26.1</v>
      </c>
      <c r="BM59" s="1331">
        <f>SUM(BI59:BL59)</f>
        <v>95.300000000000011</v>
      </c>
      <c r="BN59" s="1331">
        <f>BN134</f>
        <v>27.4</v>
      </c>
      <c r="BO59" s="1331">
        <f>BO134</f>
        <v>13.4</v>
      </c>
      <c r="BP59" s="1331">
        <f>BP134</f>
        <v>-3.5</v>
      </c>
      <c r="BQ59" s="1331">
        <f>BQ134</f>
        <v>32</v>
      </c>
      <c r="BR59" s="1331">
        <f>SUM(BN59:BQ59)</f>
        <v>69.3</v>
      </c>
      <c r="BS59" s="1331">
        <f>BS134</f>
        <v>26.9</v>
      </c>
      <c r="BT59" s="1331">
        <f>BT134</f>
        <v>30.6</v>
      </c>
      <c r="BU59" s="1331">
        <f>BU134</f>
        <v>16.100000000000001</v>
      </c>
      <c r="BV59" s="1331">
        <f>BV134</f>
        <v>24.9</v>
      </c>
      <c r="BW59" s="1331">
        <f>SUM(BS59:BV59)</f>
        <v>98.5</v>
      </c>
      <c r="BX59" s="1334">
        <f>BX134</f>
        <v>48</v>
      </c>
      <c r="BY59" s="1331">
        <f>BY134</f>
        <v>49</v>
      </c>
      <c r="BZ59" s="1331">
        <f>BZ134</f>
        <v>32</v>
      </c>
      <c r="CA59" s="1333">
        <f>CA134</f>
        <v>48</v>
      </c>
      <c r="CB59" s="1331">
        <f>SUM(BX59:CA59)</f>
        <v>177</v>
      </c>
      <c r="CC59" s="1334">
        <f>CC134</f>
        <v>34</v>
      </c>
      <c r="CD59" s="1331">
        <f>CD134</f>
        <v>27</v>
      </c>
      <c r="CE59" s="1331">
        <f>CE134</f>
        <v>18</v>
      </c>
      <c r="CF59" s="1333">
        <f>CF134</f>
        <v>61</v>
      </c>
      <c r="CG59" s="1332">
        <f>SUM(CC59:CF59)</f>
        <v>140</v>
      </c>
      <c r="CH59" s="1331">
        <f>CH134</f>
        <v>42</v>
      </c>
      <c r="CI59" s="1331">
        <f>CI134</f>
        <v>56</v>
      </c>
      <c r="CJ59" s="1331">
        <f>CJ134</f>
        <v>50</v>
      </c>
      <c r="CK59" s="1331">
        <f>CK134</f>
        <v>60</v>
      </c>
      <c r="CL59" s="1332">
        <f>SUM(CH59:CK59)</f>
        <v>208</v>
      </c>
      <c r="CM59" s="1334">
        <f>CM134</f>
        <v>45</v>
      </c>
      <c r="CN59" s="1331">
        <f>CN134</f>
        <v>72</v>
      </c>
      <c r="CO59" s="1331">
        <f>CO134</f>
        <v>60</v>
      </c>
      <c r="CP59" s="1333">
        <f>CP134</f>
        <v>132</v>
      </c>
      <c r="CQ59" s="1332">
        <f>SUM(CM59:CP59)</f>
        <v>309</v>
      </c>
      <c r="CR59" s="1334">
        <f>CR134</f>
        <v>55</v>
      </c>
      <c r="CS59" s="1331">
        <f>CS134</f>
        <v>72</v>
      </c>
      <c r="CT59" s="1331">
        <f>CT134</f>
        <v>120</v>
      </c>
      <c r="CU59" s="1331">
        <f>CU134</f>
        <v>-8</v>
      </c>
      <c r="CV59" s="1332">
        <f>SUM(CR59:CU59)</f>
        <v>239</v>
      </c>
      <c r="CW59" s="1334">
        <f>CW134</f>
        <v>63</v>
      </c>
      <c r="CX59" s="1331">
        <f>CX134</f>
        <v>51</v>
      </c>
      <c r="CY59" s="1331">
        <f>CY134</f>
        <v>41</v>
      </c>
      <c r="CZ59" s="1333">
        <f>CZ134+7</f>
        <v>-11</v>
      </c>
      <c r="DA59" s="1332">
        <f>SUM(CW59:CZ59)</f>
        <v>144</v>
      </c>
      <c r="DB59" s="1334">
        <f>DB134</f>
        <v>52</v>
      </c>
      <c r="DC59" s="1331">
        <f>DC134</f>
        <v>55</v>
      </c>
      <c r="DD59" s="1331">
        <f>DD134</f>
        <v>69</v>
      </c>
      <c r="DE59" s="1331">
        <f>DE134</f>
        <v>109</v>
      </c>
      <c r="DF59" s="1332">
        <f>SUM(DB59:DE59)</f>
        <v>285</v>
      </c>
      <c r="DG59" s="2126">
        <f>DG134</f>
        <v>46</v>
      </c>
      <c r="DH59" s="1701">
        <f>DH134</f>
        <v>68</v>
      </c>
      <c r="DI59" s="1701">
        <f>DI134</f>
        <v>92</v>
      </c>
      <c r="DJ59" s="1701">
        <f>DJ134</f>
        <v>8</v>
      </c>
      <c r="DK59" s="1332">
        <f>SUM(DG59:DJ59)</f>
        <v>214</v>
      </c>
      <c r="DL59" s="1701">
        <f>DL134</f>
        <v>58</v>
      </c>
      <c r="DM59" s="1701">
        <f>DM134</f>
        <v>49</v>
      </c>
      <c r="DN59" s="1701">
        <f>DN134</f>
        <v>49</v>
      </c>
      <c r="DO59" s="2285">
        <f>-38+28</f>
        <v>-10</v>
      </c>
      <c r="DP59" s="1332">
        <f>SUM(DL59:DO59)</f>
        <v>146</v>
      </c>
      <c r="DQ59" s="1701">
        <f>43+54</f>
        <v>97</v>
      </c>
      <c r="DR59" s="1331">
        <f>DR134</f>
        <v>49</v>
      </c>
      <c r="DS59" s="1331">
        <f>DS134</f>
        <v>49</v>
      </c>
      <c r="DT59" s="1333">
        <f>DT134</f>
        <v>-38</v>
      </c>
      <c r="DU59" s="1332">
        <f>SUM(DQ59:DT59)</f>
        <v>157</v>
      </c>
      <c r="DV59" s="1334">
        <f>DV134</f>
        <v>54</v>
      </c>
      <c r="DW59" s="1331">
        <f>DW134</f>
        <v>49</v>
      </c>
      <c r="DX59" s="1331">
        <f>DX134</f>
        <v>49</v>
      </c>
      <c r="DY59" s="1333">
        <f>DY134</f>
        <v>-38</v>
      </c>
      <c r="DZ59" s="1332">
        <f>SUM(DV59:DY59)</f>
        <v>114</v>
      </c>
      <c r="EA59" s="1334">
        <f>EA134</f>
        <v>54</v>
      </c>
      <c r="EB59" s="1331">
        <f>EB134</f>
        <v>49</v>
      </c>
      <c r="EC59" s="1331">
        <f>EC134</f>
        <v>49</v>
      </c>
      <c r="ED59" s="1333">
        <f>ED134</f>
        <v>-38</v>
      </c>
      <c r="EE59" s="1332">
        <f>SUM(EA59:ED59)</f>
        <v>114</v>
      </c>
      <c r="EF59" s="53"/>
      <c r="EG59" s="53"/>
      <c r="EH59"/>
      <c r="EI59"/>
      <c r="EJ59"/>
      <c r="EK59"/>
      <c r="EL59"/>
      <c r="EM59"/>
      <c r="EN59" s="53"/>
      <c r="EO59" s="53"/>
      <c r="EP59" s="53"/>
      <c r="EQ59" s="53"/>
      <c r="ER59" s="53"/>
      <c r="ES59" s="53"/>
      <c r="ET59" s="53"/>
      <c r="EU59" s="53"/>
      <c r="EV59" s="53"/>
      <c r="EW59" s="53"/>
      <c r="EX59" s="53"/>
      <c r="EY59" s="53"/>
      <c r="EZ59" s="53"/>
      <c r="FA59" s="53"/>
      <c r="FB59" s="53"/>
      <c r="FC59" s="53"/>
      <c r="FD59" s="53"/>
      <c r="FE59" s="53"/>
      <c r="FF59" s="53"/>
      <c r="FG59" s="53"/>
      <c r="FH59" s="53"/>
      <c r="FI59" s="53"/>
      <c r="FJ59" s="53"/>
      <c r="FK59" s="53"/>
      <c r="FL59" s="53"/>
      <c r="FM59" s="53"/>
      <c r="FN59" s="53"/>
      <c r="FO59" s="53"/>
      <c r="FP59" s="53"/>
      <c r="FQ59" s="53"/>
      <c r="FR59" s="53"/>
      <c r="FS59" s="53"/>
      <c r="FT59" s="53"/>
      <c r="FU59" s="53"/>
      <c r="FV59" s="53"/>
      <c r="FW59" s="53"/>
      <c r="FX59" s="53"/>
      <c r="FY59" s="53"/>
      <c r="FZ59" s="53"/>
      <c r="GA59" s="53"/>
      <c r="GB59" s="53"/>
      <c r="GC59" s="53"/>
      <c r="GD59" s="53"/>
      <c r="GE59" s="53"/>
      <c r="GF59" s="53"/>
      <c r="GG59" s="53"/>
      <c r="GH59" s="53"/>
      <c r="GI59" s="53"/>
      <c r="GJ59" s="53"/>
      <c r="GK59" s="53"/>
      <c r="GL59" s="53"/>
      <c r="GM59" s="53"/>
      <c r="GN59" s="53"/>
      <c r="GO59" s="53"/>
      <c r="GP59" s="53"/>
      <c r="GQ59" s="53"/>
      <c r="GR59" s="53"/>
      <c r="GS59" s="53"/>
      <c r="GT59" s="53"/>
      <c r="GU59" s="53"/>
      <c r="GV59" s="53"/>
      <c r="GW59" s="53"/>
      <c r="GX59" s="53"/>
      <c r="GY59" s="53"/>
      <c r="GZ59" s="53"/>
      <c r="HA59" s="53"/>
      <c r="HB59" s="53"/>
      <c r="HC59" s="53"/>
      <c r="HD59" s="53"/>
      <c r="HE59" s="53"/>
      <c r="HF59" s="53"/>
      <c r="HG59" s="53"/>
      <c r="HH59" s="53"/>
      <c r="HI59" s="53"/>
      <c r="HJ59" s="53"/>
      <c r="HK59" s="53"/>
      <c r="HL59" s="53"/>
      <c r="HM59" s="53"/>
      <c r="HN59" s="53"/>
      <c r="HO59" s="53"/>
      <c r="HP59" s="53"/>
      <c r="HQ59" s="53"/>
      <c r="HR59" s="53"/>
      <c r="HS59" s="53"/>
      <c r="HT59" s="53"/>
      <c r="HU59" s="53"/>
      <c r="HV59" s="53"/>
      <c r="HW59" s="53"/>
      <c r="HX59" s="53"/>
    </row>
    <row r="60" spans="2:232" s="64" customFormat="1">
      <c r="B60" s="608" t="s">
        <v>214</v>
      </c>
      <c r="K60" s="1295">
        <f>K58+K59</f>
        <v>747.54599999999971</v>
      </c>
      <c r="L60" s="1295">
        <f>L58+L59</f>
        <v>900.21799999999996</v>
      </c>
      <c r="M60" s="1295">
        <f>M58+M59</f>
        <v>830.34599999999989</v>
      </c>
      <c r="N60" s="1295">
        <f>N58+N59</f>
        <v>802.41899999999976</v>
      </c>
      <c r="O60" s="1295">
        <f>SUM(K60:N60)</f>
        <v>3280.5289999999995</v>
      </c>
      <c r="P60" s="1295">
        <f>P58+P59</f>
        <v>841.86599999999976</v>
      </c>
      <c r="Q60" s="1295">
        <f>Q58+Q59</f>
        <v>1024.5589999999997</v>
      </c>
      <c r="R60" s="1295">
        <f>R58+R59</f>
        <v>941.29600000000005</v>
      </c>
      <c r="S60" s="1295">
        <f>S58+S59</f>
        <v>906.54399999999987</v>
      </c>
      <c r="T60" s="1295">
        <f>SUM(P60:S60)</f>
        <v>3714.2649999999994</v>
      </c>
      <c r="U60" s="1295">
        <f>U58+U59</f>
        <v>956.42799999999977</v>
      </c>
      <c r="V60" s="1295">
        <f>V58+V59</f>
        <v>1152.5989999999999</v>
      </c>
      <c r="W60" s="1295">
        <f>W58+W59</f>
        <v>1079.3920000000003</v>
      </c>
      <c r="X60" s="1295">
        <f>X58+X59</f>
        <v>1071.7369999999999</v>
      </c>
      <c r="Y60" s="1295">
        <f>SUM(U60:X60)</f>
        <v>4260.1559999999999</v>
      </c>
      <c r="Z60" s="1295">
        <f>Z58+Z59</f>
        <v>1102.5</v>
      </c>
      <c r="AA60" s="1295">
        <f>AA58+AA59</f>
        <v>1331.0000000000002</v>
      </c>
      <c r="AB60" s="1295">
        <f>AB58+AB59</f>
        <v>1272.2999999999995</v>
      </c>
      <c r="AC60" s="1295">
        <f>AC58+AC59</f>
        <v>1244.8</v>
      </c>
      <c r="AD60" s="1295">
        <f>SUM(Z60:AC60)</f>
        <v>4950.5999999999995</v>
      </c>
      <c r="AE60" s="1295">
        <f>AE58+AE59</f>
        <v>1307.3999999999996</v>
      </c>
      <c r="AF60" s="1295">
        <f>AF58+AF59</f>
        <v>1560.4</v>
      </c>
      <c r="AG60" s="1295">
        <f>AG58+AG59</f>
        <v>1464.0000000000005</v>
      </c>
      <c r="AH60" s="1295">
        <f>AH58+AH59</f>
        <v>1465.6000000000001</v>
      </c>
      <c r="AI60" s="1295">
        <f>SUM(AE60:AH60)</f>
        <v>5797.4000000000005</v>
      </c>
      <c r="AJ60" s="1295">
        <f>AJ58+AJ59</f>
        <v>1504.4999999999995</v>
      </c>
      <c r="AK60" s="1295">
        <f>AK58+AK59</f>
        <v>1797.6000000000001</v>
      </c>
      <c r="AL60" s="1295">
        <f>AL58+AL59</f>
        <v>1668.3999999999994</v>
      </c>
      <c r="AM60" s="1295">
        <f>AM58+AM59</f>
        <v>1666.4000000000003</v>
      </c>
      <c r="AN60" s="1295">
        <f>SUM(AJ60:AM60)</f>
        <v>6636.9</v>
      </c>
      <c r="AO60" s="1295">
        <f>AO58+AO59</f>
        <v>1720.2999999999997</v>
      </c>
      <c r="AP60" s="1295">
        <f>AP58+AP59</f>
        <v>2054.6999999999998</v>
      </c>
      <c r="AQ60" s="1295">
        <f>AQ58+AQ59</f>
        <v>1959.7999999999997</v>
      </c>
      <c r="AR60" s="1295">
        <f>AR58+AR59</f>
        <v>1926.1</v>
      </c>
      <c r="AS60" s="1295">
        <f>SUM(AO60:AR60)</f>
        <v>7660.9</v>
      </c>
      <c r="AT60" s="1295">
        <f>AT58+AT59</f>
        <v>2017.4999999999998</v>
      </c>
      <c r="AU60" s="1295">
        <f>AU58+AU59</f>
        <v>2373.0000000000005</v>
      </c>
      <c r="AV60" s="1295">
        <f>AV58+AV59</f>
        <v>2239</v>
      </c>
      <c r="AW60" s="1295">
        <f>AW58+AW59</f>
        <v>2205.8999999999996</v>
      </c>
      <c r="AX60" s="1295">
        <f>SUM(AT60:AW60)</f>
        <v>8835.4</v>
      </c>
      <c r="AY60" s="1295">
        <f>AY58+AY59</f>
        <v>2320.1999999999994</v>
      </c>
      <c r="AZ60" s="1295">
        <f>AZ58+AZ59</f>
        <v>2728.0000000000005</v>
      </c>
      <c r="BA60" s="1295">
        <f>BA58+BA59</f>
        <v>2590.5</v>
      </c>
      <c r="BB60" s="1295">
        <f>BB58+BB59</f>
        <v>2565.8000000000011</v>
      </c>
      <c r="BC60" s="1295">
        <f>SUM(AY60:BB60)</f>
        <v>10204.5</v>
      </c>
      <c r="BD60" s="1295">
        <f>BD58+BD59</f>
        <v>2726.4000000000005</v>
      </c>
      <c r="BE60" s="1295">
        <f>BE58+BE59</f>
        <v>3157.7000000000003</v>
      </c>
      <c r="BF60" s="1295">
        <f>BF58+BF59</f>
        <v>3040.4000000000005</v>
      </c>
      <c r="BG60" s="1295">
        <f>BG58+BG59</f>
        <v>2931.0999999999995</v>
      </c>
      <c r="BH60" s="1295">
        <f>SUM(BD60:BG60)</f>
        <v>11855.599999999999</v>
      </c>
      <c r="BI60" s="1295">
        <f>BI58+BI59</f>
        <v>3023.7</v>
      </c>
      <c r="BJ60" s="1295">
        <f>BJ58+BJ59</f>
        <v>3483.1000000000013</v>
      </c>
      <c r="BK60" s="1295">
        <f>BK58+BK59</f>
        <v>3367.4000000000005</v>
      </c>
      <c r="BL60" s="1295">
        <f>BL58+BL59</f>
        <v>3389.6999999999985</v>
      </c>
      <c r="BM60" s="1295">
        <f>SUM(BI60:BL60)</f>
        <v>13263.9</v>
      </c>
      <c r="BN60" s="1295">
        <f>BN58+BN59</f>
        <v>3603.0000000000005</v>
      </c>
      <c r="BO60" s="1295">
        <f>BO58+BO59</f>
        <v>4049.2000000000012</v>
      </c>
      <c r="BP60" s="1295">
        <f>BP58+BP59</f>
        <v>3873.6999999999989</v>
      </c>
      <c r="BQ60" s="1295">
        <f>BQ58+BQ59</f>
        <v>3787.2999999999993</v>
      </c>
      <c r="BR60" s="1295">
        <f>SUM(BN60:BQ60)</f>
        <v>15313.2</v>
      </c>
      <c r="BS60" s="1295">
        <f>BS58+BS59</f>
        <v>3947.7999999999997</v>
      </c>
      <c r="BT60" s="1295">
        <f>BT58+BT59</f>
        <v>4472.2000000000007</v>
      </c>
      <c r="BU60" s="1295">
        <f>BU58+BU59</f>
        <v>4261.8000000000011</v>
      </c>
      <c r="BV60" s="1295">
        <f>BV58+BV59</f>
        <v>4059.5000000000005</v>
      </c>
      <c r="BW60" s="1295">
        <f>SUM(BS60:BV60)</f>
        <v>16741.300000000003</v>
      </c>
      <c r="BX60" s="1313">
        <f>BX58+BX59</f>
        <v>4199</v>
      </c>
      <c r="BY60" s="1295">
        <f>BY58+BY59</f>
        <v>4706</v>
      </c>
      <c r="BZ60" s="1295">
        <f>BZ58+BZ59</f>
        <v>4491</v>
      </c>
      <c r="CA60" s="1310">
        <f>CA58+CA59</f>
        <v>4394</v>
      </c>
      <c r="CB60" s="1295">
        <f>SUM(BX60:CA60)</f>
        <v>17790</v>
      </c>
      <c r="CC60" s="1313">
        <f>CC58+CC59</f>
        <v>4572</v>
      </c>
      <c r="CD60" s="1295">
        <f>CD58+CD59</f>
        <v>4924</v>
      </c>
      <c r="CE60" s="1295">
        <f>CE58+CE59</f>
        <v>4767</v>
      </c>
      <c r="CF60" s="1310">
        <f>CF58+CF59</f>
        <v>4853</v>
      </c>
      <c r="CG60" s="1317">
        <f>SUM(CC60:CF60)</f>
        <v>19116</v>
      </c>
      <c r="CH60" s="1295">
        <f>CH58+CH59</f>
        <v>4987</v>
      </c>
      <c r="CI60" s="1295">
        <f>CI58+CI59</f>
        <v>5380</v>
      </c>
      <c r="CJ60" s="1295">
        <f>CJ58+CJ59</f>
        <v>5204</v>
      </c>
      <c r="CK60" s="1295">
        <f>CK58+CK59</f>
        <v>5129</v>
      </c>
      <c r="CL60" s="1317">
        <f>SUM(CH60:CK60)</f>
        <v>20700</v>
      </c>
      <c r="CM60" s="1313">
        <f>CM58+CM59</f>
        <v>5149</v>
      </c>
      <c r="CN60" s="1295">
        <f>CN58+CN59</f>
        <v>5461</v>
      </c>
      <c r="CO60" s="1295">
        <f>CO58+CO59</f>
        <v>5074</v>
      </c>
      <c r="CP60" s="1310">
        <f>CP58+CP59</f>
        <v>4967</v>
      </c>
      <c r="CQ60" s="1317">
        <f>SUM(CM60:CP60)</f>
        <v>20651</v>
      </c>
      <c r="CR60" s="1313">
        <f>CR58+CR59</f>
        <v>5154</v>
      </c>
      <c r="CS60" s="1295">
        <f>CS58+CS59</f>
        <v>5679</v>
      </c>
      <c r="CT60" s="1295">
        <f>CT58+CT59</f>
        <v>5342</v>
      </c>
      <c r="CU60" s="1295">
        <f>CU58+CU59</f>
        <v>5183</v>
      </c>
      <c r="CV60" s="1317">
        <f>SUM(CR60:CU60)</f>
        <v>21358</v>
      </c>
      <c r="CW60" s="1313">
        <f>CW58+CW59</f>
        <v>5215</v>
      </c>
      <c r="CX60" s="1295">
        <f>CX58+CX59</f>
        <v>5701</v>
      </c>
      <c r="CY60" s="1295">
        <f>CY58+CY59</f>
        <v>5481</v>
      </c>
      <c r="CZ60" s="1310">
        <f>CZ58+CZ59</f>
        <v>5316</v>
      </c>
      <c r="DA60" s="1317">
        <f>SUM(CW60:CZ60)</f>
        <v>21713</v>
      </c>
      <c r="DB60" s="1313">
        <v>5348</v>
      </c>
      <c r="DC60" s="1295">
        <f>DC58+DC59</f>
        <v>6937</v>
      </c>
      <c r="DD60" s="1295">
        <f>DD58+DD59</f>
        <v>7550</v>
      </c>
      <c r="DE60" s="1295">
        <f>DE58+DE59</f>
        <v>7374</v>
      </c>
      <c r="DF60" s="1317">
        <f>SUM(DB60:DE60)</f>
        <v>27209</v>
      </c>
      <c r="DG60" s="1295">
        <f>DG58+DG59</f>
        <v>7548</v>
      </c>
      <c r="DH60" s="1295">
        <f>DH58+DH59</f>
        <v>8012</v>
      </c>
      <c r="DI60" s="1295">
        <f>DI58+DI59</f>
        <v>7589</v>
      </c>
      <c r="DJ60" s="1295">
        <f>DJ58+DJ59</f>
        <v>7163</v>
      </c>
      <c r="DK60" s="1317">
        <f>SUM(DG60:DJ60)</f>
        <v>30312</v>
      </c>
      <c r="DL60" s="1295">
        <f>DL58+DL59</f>
        <v>7174</v>
      </c>
      <c r="DM60" s="1295">
        <f>DM58+DM59</f>
        <v>7610</v>
      </c>
      <c r="DN60" s="1295">
        <f>DN58+DN59</f>
        <v>7194</v>
      </c>
      <c r="DO60" s="1295">
        <f>DO58+DO59</f>
        <v>7330</v>
      </c>
      <c r="DP60" s="1317">
        <f>SUM(DL60:DO60)</f>
        <v>29308</v>
      </c>
      <c r="DQ60" s="1295">
        <f>DQ58+DQ59</f>
        <v>7438</v>
      </c>
      <c r="DR60" s="1295">
        <f ca="1">DR58+DR59</f>
        <v>8346.8390253425878</v>
      </c>
      <c r="DS60" s="1295">
        <f ca="1">DS58+DS59</f>
        <v>8181.3036935442333</v>
      </c>
      <c r="DT60" s="1310">
        <f>DT58+DT59</f>
        <v>7995.4841696022559</v>
      </c>
      <c r="DU60" s="1317">
        <f ca="1">SUM(DQ60:DT60)</f>
        <v>31961.626888489078</v>
      </c>
      <c r="DV60" s="1313">
        <f>DV58+DV59</f>
        <v>7980.5777207918818</v>
      </c>
      <c r="DW60" s="1295">
        <f ca="1">DW58+DW59</f>
        <v>8568.1062221134598</v>
      </c>
      <c r="DX60" s="1295">
        <f ca="1">DX58+DX59</f>
        <v>8381.776412285737</v>
      </c>
      <c r="DY60" s="1310">
        <f>DY58+DY59</f>
        <v>8199.6084434622862</v>
      </c>
      <c r="DZ60" s="1317">
        <f ca="1">SUM(DV60:DY60)</f>
        <v>33130.068798653367</v>
      </c>
      <c r="EA60" s="1313">
        <f>EA58+EA59</f>
        <v>8170.7739832998295</v>
      </c>
      <c r="EB60" s="1295">
        <f ca="1">EB58+EB59</f>
        <v>8742.9773569173849</v>
      </c>
      <c r="EC60" s="1295">
        <f ca="1">EC58+EC59</f>
        <v>8569.1310341027765</v>
      </c>
      <c r="ED60" s="1310">
        <f>ED58+ED59</f>
        <v>8387.1024660429139</v>
      </c>
      <c r="EE60" s="1317">
        <f ca="1">SUM(EA60:ED60)</f>
        <v>33869.9848403629</v>
      </c>
      <c r="EF60" s="53"/>
      <c r="EG60" s="53"/>
      <c r="EH60"/>
      <c r="EI60"/>
      <c r="EJ60"/>
      <c r="EK60"/>
      <c r="EL60"/>
      <c r="EM60"/>
      <c r="EN60" s="53"/>
      <c r="EO60" s="53"/>
      <c r="EP60" s="53"/>
      <c r="EQ60" s="53"/>
      <c r="ER60" s="53"/>
      <c r="ES60" s="53"/>
      <c r="ET60" s="53"/>
      <c r="EU60" s="53"/>
      <c r="EV60" s="53"/>
      <c r="EW60" s="53"/>
      <c r="EX60" s="53"/>
      <c r="EY60" s="53"/>
      <c r="EZ60" s="53"/>
      <c r="FA60" s="53"/>
      <c r="FB60" s="53"/>
      <c r="FC60" s="53"/>
      <c r="FD60" s="53"/>
      <c r="FE60" s="53"/>
      <c r="FF60" s="53"/>
      <c r="FG60" s="53"/>
      <c r="FH60" s="53"/>
      <c r="FI60" s="53"/>
      <c r="FJ60" s="53"/>
      <c r="FK60" s="53"/>
      <c r="FL60" s="53"/>
      <c r="FM60" s="53"/>
      <c r="FN60" s="53"/>
      <c r="FO60" s="53"/>
      <c r="FP60" s="53"/>
      <c r="FQ60" s="53"/>
      <c r="FR60" s="53"/>
      <c r="FS60" s="53"/>
      <c r="FT60" s="53"/>
      <c r="FU60" s="53"/>
      <c r="FV60" s="53"/>
      <c r="FW60" s="53"/>
      <c r="FX60" s="53"/>
      <c r="FY60" s="53"/>
      <c r="FZ60" s="53"/>
      <c r="GA60" s="53"/>
      <c r="GB60" s="53"/>
      <c r="GC60" s="53"/>
      <c r="GD60" s="53"/>
      <c r="GE60" s="53"/>
      <c r="GF60" s="53"/>
      <c r="GG60" s="53"/>
      <c r="GH60" s="53"/>
      <c r="GI60" s="53"/>
      <c r="GJ60" s="53"/>
      <c r="GK60" s="53"/>
      <c r="GL60" s="53"/>
      <c r="GM60" s="53"/>
      <c r="GN60" s="53"/>
      <c r="GO60" s="53"/>
      <c r="GP60" s="53"/>
      <c r="GQ60" s="53"/>
      <c r="GR60" s="53"/>
      <c r="GS60" s="53"/>
      <c r="GT60" s="53"/>
      <c r="GU60" s="53"/>
      <c r="GV60" s="53"/>
      <c r="GW60" s="53"/>
      <c r="GX60" s="53"/>
      <c r="GY60" s="53"/>
      <c r="GZ60" s="53"/>
      <c r="HA60" s="53"/>
      <c r="HB60" s="53"/>
      <c r="HC60" s="53"/>
      <c r="HD60" s="53"/>
      <c r="HE60" s="53"/>
      <c r="HF60" s="53"/>
      <c r="HG60" s="53"/>
      <c r="HH60" s="53"/>
      <c r="HI60" s="53"/>
      <c r="HJ60" s="53"/>
      <c r="HK60" s="53"/>
      <c r="HL60" s="53"/>
      <c r="HM60" s="53"/>
      <c r="HN60" s="53"/>
      <c r="HO60" s="53"/>
      <c r="HP60" s="53"/>
      <c r="HQ60" s="53"/>
      <c r="HR60" s="53"/>
      <c r="HS60" s="53"/>
      <c r="HT60" s="53"/>
      <c r="HU60" s="53"/>
      <c r="HV60" s="53"/>
      <c r="HW60" s="53"/>
      <c r="HX60" s="53"/>
    </row>
    <row r="61" spans="2:232" s="64" customFormat="1" outlineLevel="1">
      <c r="B61" s="538"/>
      <c r="AS61" s="311"/>
      <c r="AX61" s="311"/>
      <c r="BC61" s="311"/>
      <c r="BH61" s="1294"/>
      <c r="BM61" s="1294"/>
      <c r="BR61" s="1294"/>
      <c r="BW61" s="1294"/>
      <c r="BX61" s="1313"/>
      <c r="BY61" s="1295"/>
      <c r="BZ61" s="1295"/>
      <c r="CA61" s="1310"/>
      <c r="CB61" s="1295"/>
      <c r="CC61" s="1313"/>
      <c r="CD61" s="1295"/>
      <c r="CE61" s="1295"/>
      <c r="CF61" s="1310"/>
      <c r="CG61" s="1317"/>
      <c r="CH61" s="1295"/>
      <c r="CI61" s="1295"/>
      <c r="CJ61" s="1295"/>
      <c r="CK61" s="1295"/>
      <c r="CL61" s="1317"/>
      <c r="CM61" s="1313"/>
      <c r="CN61" s="1295"/>
      <c r="CO61" s="1295"/>
      <c r="CP61" s="1310"/>
      <c r="CQ61" s="1317"/>
      <c r="CR61" s="1313"/>
      <c r="CS61" s="1295"/>
      <c r="CT61" s="1295"/>
      <c r="CU61" s="1295"/>
      <c r="CV61" s="1317"/>
      <c r="CW61" s="1313"/>
      <c r="CX61" s="1295"/>
      <c r="CY61" s="1295"/>
      <c r="CZ61" s="1310"/>
      <c r="DA61" s="1317"/>
      <c r="DB61" s="1313"/>
      <c r="DC61" s="1295"/>
      <c r="DD61" s="1295"/>
      <c r="DE61" s="1295"/>
      <c r="DF61" s="1317"/>
      <c r="DG61" s="1295"/>
      <c r="DH61" s="1295"/>
      <c r="DI61" s="1295"/>
      <c r="DJ61" s="1295"/>
      <c r="DK61" s="1317"/>
      <c r="DL61" s="1295"/>
      <c r="DM61" s="1295"/>
      <c r="DN61" s="1295"/>
      <c r="DO61" s="1295"/>
      <c r="DP61" s="1317"/>
      <c r="DQ61" s="1295"/>
      <c r="DR61" s="1295"/>
      <c r="DS61" s="1295"/>
      <c r="DT61" s="1310"/>
      <c r="DU61" s="1317"/>
      <c r="DV61" s="1313"/>
      <c r="DW61" s="1295"/>
      <c r="DX61" s="1295"/>
      <c r="DY61" s="1310"/>
      <c r="DZ61" s="1317"/>
      <c r="EA61" s="1313"/>
      <c r="EB61" s="1295"/>
      <c r="EC61" s="1295"/>
      <c r="ED61" s="1310"/>
      <c r="EE61" s="1317"/>
      <c r="EF61" s="53"/>
      <c r="EG61" s="53"/>
      <c r="EH61"/>
      <c r="EI61"/>
      <c r="EJ61"/>
      <c r="EK61"/>
      <c r="EL61"/>
      <c r="EM61"/>
      <c r="EN61" s="53"/>
      <c r="EO61" s="53"/>
      <c r="EP61" s="53"/>
      <c r="EQ61" s="53"/>
      <c r="ER61" s="53"/>
      <c r="ES61" s="53"/>
      <c r="ET61" s="53"/>
      <c r="EU61" s="53"/>
      <c r="EV61" s="53"/>
      <c r="EW61" s="53"/>
      <c r="EX61" s="53"/>
      <c r="EY61" s="53"/>
      <c r="EZ61" s="53"/>
      <c r="FA61" s="53"/>
      <c r="FB61" s="53"/>
      <c r="FC61" s="53"/>
      <c r="FD61" s="53"/>
      <c r="FE61" s="53"/>
      <c r="FF61" s="53"/>
      <c r="FG61" s="53"/>
      <c r="FH61" s="53"/>
      <c r="FI61" s="53"/>
      <c r="FJ61" s="53"/>
      <c r="FK61" s="53"/>
      <c r="FL61" s="53"/>
      <c r="FM61" s="53"/>
      <c r="FN61" s="53"/>
      <c r="FO61" s="53"/>
      <c r="FP61" s="53"/>
      <c r="FQ61" s="53"/>
      <c r="FR61" s="53"/>
      <c r="FS61" s="53"/>
      <c r="FT61" s="53"/>
      <c r="FU61" s="53"/>
      <c r="FV61" s="53"/>
      <c r="FW61" s="53"/>
      <c r="FX61" s="53"/>
      <c r="FY61" s="53"/>
      <c r="FZ61" s="53"/>
      <c r="GA61" s="53"/>
      <c r="GB61" s="53"/>
      <c r="GC61" s="53"/>
      <c r="GD61" s="53"/>
      <c r="GE61" s="53"/>
      <c r="GF61" s="53"/>
      <c r="GG61" s="53"/>
      <c r="GH61" s="53"/>
      <c r="GI61" s="53"/>
      <c r="GJ61" s="53"/>
      <c r="GK61" s="53"/>
      <c r="GL61" s="53"/>
      <c r="GM61" s="53"/>
      <c r="GN61" s="53"/>
      <c r="GO61" s="53"/>
      <c r="GP61" s="53"/>
      <c r="GQ61" s="53"/>
      <c r="GR61" s="53"/>
      <c r="GS61" s="53"/>
      <c r="GT61" s="53"/>
      <c r="GU61" s="53"/>
      <c r="GV61" s="53"/>
      <c r="GW61" s="53"/>
      <c r="GX61" s="53"/>
      <c r="GY61" s="53"/>
      <c r="GZ61" s="53"/>
      <c r="HA61" s="53"/>
      <c r="HB61" s="53"/>
      <c r="HC61" s="53"/>
      <c r="HD61" s="53"/>
      <c r="HE61" s="53"/>
      <c r="HF61" s="53"/>
      <c r="HG61" s="53"/>
      <c r="HH61" s="53"/>
      <c r="HI61" s="53"/>
      <c r="HJ61" s="53"/>
      <c r="HK61" s="53"/>
      <c r="HL61" s="53"/>
      <c r="HM61" s="53"/>
      <c r="HN61" s="53"/>
      <c r="HO61" s="53"/>
      <c r="HP61" s="53"/>
      <c r="HQ61" s="53"/>
      <c r="HR61" s="53"/>
      <c r="HS61" s="53"/>
      <c r="HT61" s="53"/>
      <c r="HU61" s="53"/>
      <c r="HV61" s="53"/>
      <c r="HW61" s="53"/>
      <c r="HX61" s="53"/>
    </row>
    <row r="62" spans="2:232" s="64" customFormat="1" outlineLevel="1">
      <c r="B62" s="538" t="s">
        <v>378</v>
      </c>
      <c r="K62" s="1295">
        <f>K18</f>
        <v>635.20800000000008</v>
      </c>
      <c r="L62" s="1295">
        <f>L18</f>
        <v>682.86</v>
      </c>
      <c r="M62" s="1295">
        <f>M18</f>
        <v>674.90200000000004</v>
      </c>
      <c r="N62" s="1295">
        <f>N18</f>
        <v>666.55500000000006</v>
      </c>
      <c r="O62" s="1295">
        <f>SUM(K62:N62)</f>
        <v>2659.5250000000005</v>
      </c>
      <c r="P62" s="1295">
        <f>P18</f>
        <v>707.66699999999992</v>
      </c>
      <c r="Q62" s="1295">
        <f>Q18</f>
        <v>766.55900000000008</v>
      </c>
      <c r="R62" s="1295">
        <f>R18</f>
        <v>757.44100000000003</v>
      </c>
      <c r="S62" s="1295">
        <f>S18</f>
        <v>740.82900000000006</v>
      </c>
      <c r="T62" s="1295">
        <f>SUM(P62:S62)</f>
        <v>2972.4960000000005</v>
      </c>
      <c r="U62" s="1295">
        <f>U18</f>
        <v>800.8</v>
      </c>
      <c r="V62" s="1295">
        <f>V18</f>
        <v>854.38099999999997</v>
      </c>
      <c r="W62" s="1295">
        <f>W18</f>
        <v>842.61199999999997</v>
      </c>
      <c r="X62" s="1295">
        <f>X18</f>
        <v>834.20799999999997</v>
      </c>
      <c r="Y62" s="1295">
        <f>SUM(U62:X62)</f>
        <v>3332.0010000000002</v>
      </c>
      <c r="Z62" s="1295">
        <f>Z18</f>
        <v>906</v>
      </c>
      <c r="AA62" s="1295">
        <f>AA18</f>
        <v>968.6</v>
      </c>
      <c r="AB62" s="1295">
        <f>AB18</f>
        <v>984.4</v>
      </c>
      <c r="AC62" s="1295">
        <f>AC18</f>
        <v>985.8</v>
      </c>
      <c r="AD62" s="1295">
        <f>SUM(Z62:AC62)</f>
        <v>3844.8</v>
      </c>
      <c r="AE62" s="1295">
        <f>AE18</f>
        <v>1062</v>
      </c>
      <c r="AF62" s="1295">
        <f>AF18</f>
        <v>1152.3</v>
      </c>
      <c r="AG62" s="1295">
        <f>AG18</f>
        <v>1138.2</v>
      </c>
      <c r="AH62" s="1295">
        <f>AH18</f>
        <v>1164.4000000000001</v>
      </c>
      <c r="AI62" s="1295">
        <f>SUM(AE62:AH62)</f>
        <v>4516.8999999999996</v>
      </c>
      <c r="AJ62" s="1295">
        <f>AJ18</f>
        <v>1230.5</v>
      </c>
      <c r="AK62" s="1295">
        <f>AK18</f>
        <v>1313.9</v>
      </c>
      <c r="AL62" s="1295">
        <f>AL18</f>
        <v>1306.0999999999999</v>
      </c>
      <c r="AM62" s="1295">
        <f>AM18</f>
        <v>1325.3</v>
      </c>
      <c r="AN62" s="1295">
        <f>SUM(AJ62:AM62)</f>
        <v>5175.8</v>
      </c>
      <c r="AO62" s="1295">
        <f>AO18</f>
        <v>1405.9</v>
      </c>
      <c r="AP62" s="1295">
        <f>AP18</f>
        <v>1510.5</v>
      </c>
      <c r="AQ62" s="1295">
        <f>AQ18</f>
        <v>1523.1</v>
      </c>
      <c r="AR62" s="1295">
        <f>AR18</f>
        <v>1541.3</v>
      </c>
      <c r="AS62" s="1295">
        <f>SUM(AO62:AR62)</f>
        <v>5980.8</v>
      </c>
      <c r="AT62" s="1295">
        <f>AT18</f>
        <v>1643</v>
      </c>
      <c r="AU62" s="1295">
        <f>AU18</f>
        <v>1754.9</v>
      </c>
      <c r="AV62" s="1295">
        <f>AV18</f>
        <v>1769.3</v>
      </c>
      <c r="AW62" s="1295">
        <f>AW18</f>
        <v>1783.7</v>
      </c>
      <c r="AX62" s="1295">
        <f>SUM(AT62:AW62)</f>
        <v>6950.9</v>
      </c>
      <c r="AY62" s="1295">
        <f>AY18</f>
        <v>1895.1</v>
      </c>
      <c r="AZ62" s="1295">
        <f>AZ18</f>
        <v>2028.6</v>
      </c>
      <c r="BA62" s="1295">
        <f>BA18</f>
        <v>2033.1</v>
      </c>
      <c r="BB62" s="1295">
        <f>BB18</f>
        <v>2114.9</v>
      </c>
      <c r="BC62" s="1295">
        <f>SUM(AY62:BB62)</f>
        <v>8071.6999999999989</v>
      </c>
      <c r="BD62" s="1295">
        <f>BD18</f>
        <v>2201.8000000000002</v>
      </c>
      <c r="BE62" s="1295">
        <f>BE18</f>
        <v>2355</v>
      </c>
      <c r="BF62" s="1295">
        <f>BF18</f>
        <v>2372.1</v>
      </c>
      <c r="BG62" s="1295">
        <f>BG18</f>
        <v>2434.9</v>
      </c>
      <c r="BH62" s="1295">
        <f>SUM(BD62:BG62)</f>
        <v>9363.7999999999993</v>
      </c>
      <c r="BI62" s="1295">
        <f>BI18</f>
        <v>2460.6999999999998</v>
      </c>
      <c r="BJ62" s="1295">
        <f>BJ18</f>
        <v>2638.4</v>
      </c>
      <c r="BK62" s="1295">
        <f>BK18</f>
        <v>2635.6</v>
      </c>
      <c r="BL62" s="1295">
        <f>BL18</f>
        <v>2732.4</v>
      </c>
      <c r="BM62" s="1295">
        <f>SUM(BI62:BL62)</f>
        <v>10467.1</v>
      </c>
      <c r="BN62" s="1295">
        <f>BN18</f>
        <v>2903.7</v>
      </c>
      <c r="BO62" s="1295">
        <f>BO18</f>
        <v>3015.3</v>
      </c>
      <c r="BP62" s="1295">
        <f>BP18</f>
        <v>3022.4</v>
      </c>
      <c r="BQ62" s="1295">
        <f>BQ18</f>
        <v>3151.8</v>
      </c>
      <c r="BR62" s="1295">
        <f>SUM(BN62:BQ62)</f>
        <v>12093.2</v>
      </c>
      <c r="BS62" s="1295">
        <f>BS18</f>
        <v>3193</v>
      </c>
      <c r="BT62" s="1295">
        <f>BT18</f>
        <v>3354</v>
      </c>
      <c r="BU62" s="1295">
        <f>BU18</f>
        <v>3331</v>
      </c>
      <c r="BV62" s="1295">
        <f>BV18</f>
        <v>3402.7</v>
      </c>
      <c r="BW62" s="1295">
        <f>SUM(BS62:BV62)</f>
        <v>13280.7</v>
      </c>
      <c r="BX62" s="1313">
        <f>BX18</f>
        <v>3482</v>
      </c>
      <c r="BY62" s="1295">
        <f>BY18</f>
        <v>3627</v>
      </c>
      <c r="BZ62" s="1295">
        <f>BZ18</f>
        <v>3613</v>
      </c>
      <c r="CA62" s="1310">
        <f>CA18</f>
        <v>3644</v>
      </c>
      <c r="CB62" s="1295">
        <f t="shared" ref="CB62:CB67" si="86">SUM(BX62:CA62)</f>
        <v>14366</v>
      </c>
      <c r="CC62" s="1313">
        <f>CC18</f>
        <v>3741</v>
      </c>
      <c r="CD62" s="1295">
        <f>CD18</f>
        <v>3811</v>
      </c>
      <c r="CE62" s="1295">
        <f>CE18</f>
        <v>3920</v>
      </c>
      <c r="CF62" s="1310">
        <f>CF18</f>
        <v>4046</v>
      </c>
      <c r="CG62" s="1317">
        <f t="shared" ref="CG62:CG67" si="87">SUM(CC62:CF62)</f>
        <v>15518</v>
      </c>
      <c r="CH62" s="1295">
        <f>CH18</f>
        <v>4004</v>
      </c>
      <c r="CI62" s="1295">
        <f>CI18</f>
        <v>4117</v>
      </c>
      <c r="CJ62" s="1295">
        <f>CJ18</f>
        <v>4203</v>
      </c>
      <c r="CK62" s="1295">
        <f>CK18</f>
        <v>4237</v>
      </c>
      <c r="CL62" s="1317">
        <f t="shared" ref="CL62:CL67" si="88">SUM(CH62:CK62)</f>
        <v>16561</v>
      </c>
      <c r="CM62" s="1313">
        <f>CM18</f>
        <v>4204</v>
      </c>
      <c r="CN62" s="1295">
        <f>CN18</f>
        <v>4284</v>
      </c>
      <c r="CO62" s="1295">
        <f>CO18</f>
        <v>4141</v>
      </c>
      <c r="CP62" s="1310">
        <f>CP18</f>
        <v>4249</v>
      </c>
      <c r="CQ62" s="1317">
        <f t="shared" ref="CQ62:CQ67" si="89">SUM(CM62:CP62)</f>
        <v>16878</v>
      </c>
      <c r="CR62" s="1313">
        <f>CR18</f>
        <v>4398</v>
      </c>
      <c r="CS62" s="1295">
        <f>CS18</f>
        <v>4497</v>
      </c>
      <c r="CT62" s="1295">
        <f>CT18</f>
        <v>4362</v>
      </c>
      <c r="CU62" s="1295">
        <f>CU18</f>
        <v>4286</v>
      </c>
      <c r="CV62" s="1317">
        <f t="shared" ref="CV62:CV67" si="90">SUM(CR62:CU62)</f>
        <v>17543</v>
      </c>
      <c r="CW62" s="1313">
        <f>CW18</f>
        <v>4379</v>
      </c>
      <c r="CX62" s="1295">
        <f>CX18</f>
        <v>4569</v>
      </c>
      <c r="CY62" s="1295">
        <f>CY18</f>
        <v>4551</v>
      </c>
      <c r="CZ62" s="1310">
        <f>CZ18</f>
        <v>4493</v>
      </c>
      <c r="DA62" s="1317">
        <f t="shared" ref="DA62:DA67" si="91">SUM(CW62:CZ62)</f>
        <v>17992</v>
      </c>
      <c r="DB62" s="1313">
        <f>DB18</f>
        <v>4456</v>
      </c>
      <c r="DC62" s="1295">
        <f>DC18</f>
        <v>5606</v>
      </c>
      <c r="DD62" s="1295">
        <f>DD18</f>
        <v>6080</v>
      </c>
      <c r="DE62" s="1295">
        <f>DE18</f>
        <v>6429</v>
      </c>
      <c r="DF62" s="1317">
        <f t="shared" ref="DF62:DF67" si="92">SUM(DB62:DE62)</f>
        <v>22571</v>
      </c>
      <c r="DG62" s="1295">
        <f>DG18</f>
        <v>6034</v>
      </c>
      <c r="DH62" s="1295">
        <f>DH18</f>
        <v>6084</v>
      </c>
      <c r="DI62" s="1295">
        <f>DI18</f>
        <v>5967</v>
      </c>
      <c r="DJ62" s="1295">
        <f>DJ18</f>
        <v>6049</v>
      </c>
      <c r="DK62" s="1317">
        <f t="shared" ref="DK62:DK67" si="93">SUM(DG62:DJ62)</f>
        <v>24134</v>
      </c>
      <c r="DL62" s="1295">
        <f>DL18</f>
        <v>5686</v>
      </c>
      <c r="DM62" s="1295">
        <f>DM18</f>
        <v>6124</v>
      </c>
      <c r="DN62" s="1295">
        <f>DN18</f>
        <v>5712</v>
      </c>
      <c r="DO62" s="1295">
        <f>DO18</f>
        <v>6218</v>
      </c>
      <c r="DP62" s="1317">
        <f t="shared" ref="DP62:DP67" si="94">SUM(DL62:DO62)</f>
        <v>23740</v>
      </c>
      <c r="DQ62" s="1295">
        <f>DQ18</f>
        <v>5907</v>
      </c>
      <c r="DR62" s="1295">
        <f>DR66+SUM(DR63:DR65)</f>
        <v>6415.4821041039313</v>
      </c>
      <c r="DS62" s="1295">
        <f>DS66+SUM(DS63:DS65)</f>
        <v>6405.027361458473</v>
      </c>
      <c r="DT62" s="1310">
        <f>DT66+SUM(DT63:DT65)</f>
        <v>6299.1350444760055</v>
      </c>
      <c r="DU62" s="1317">
        <f t="shared" ref="DU62:DU67" si="95">SUM(DQ62:DT62)</f>
        <v>25026.644510038412</v>
      </c>
      <c r="DV62" s="1313">
        <f>DV66+SUM(DV63:DV65)</f>
        <v>6316.7288629040859</v>
      </c>
      <c r="DW62" s="1295">
        <f>DW66+SUM(DW63:DW65)</f>
        <v>6597.9346812630383</v>
      </c>
      <c r="DX62" s="1295">
        <f>DX66+SUM(DX63:DX65)</f>
        <v>6407.2405828947849</v>
      </c>
      <c r="DY62" s="1310">
        <f>DY66+SUM(DY63:DY65)</f>
        <v>6267.3689953158409</v>
      </c>
      <c r="DZ62" s="1317">
        <f t="shared" ref="DZ62:DZ67" si="96">SUM(DV62:DY62)</f>
        <v>25589.273122377752</v>
      </c>
      <c r="EA62" s="1313">
        <f>EA66+SUM(EA63:EA65)</f>
        <v>6458.78755302022</v>
      </c>
      <c r="EB62" s="1295">
        <f>EB66+SUM(EB63:EB65)</f>
        <v>6747.5875373052104</v>
      </c>
      <c r="EC62" s="1295">
        <f>EC66+SUM(EC63:EC65)</f>
        <v>6552.1793694937269</v>
      </c>
      <c r="ED62" s="1310">
        <f>ED66+SUM(ED63:ED65)</f>
        <v>6408.9214540731164</v>
      </c>
      <c r="EE62" s="1317">
        <f t="shared" ref="EE62:EE67" si="97">SUM(EA62:ED62)</f>
        <v>26167.475913892271</v>
      </c>
      <c r="EF62" s="53"/>
      <c r="EG62" s="53"/>
      <c r="EH62"/>
      <c r="EI62"/>
      <c r="EJ62"/>
      <c r="EK62"/>
      <c r="EL62"/>
      <c r="EM62"/>
      <c r="EN62" s="53"/>
      <c r="EO62" s="53"/>
      <c r="EP62" s="53"/>
      <c r="EQ62" s="53"/>
      <c r="ER62" s="53"/>
      <c r="ES62" s="53"/>
      <c r="ET62" s="53"/>
      <c r="EU62" s="53"/>
      <c r="EV62" s="53"/>
      <c r="EW62" s="53"/>
      <c r="EX62" s="53"/>
      <c r="EY62" s="53"/>
      <c r="EZ62" s="53"/>
      <c r="FA62" s="53"/>
      <c r="FB62" s="53"/>
      <c r="FC62" s="53"/>
      <c r="FD62" s="53"/>
      <c r="FE62" s="53"/>
      <c r="FF62" s="53"/>
      <c r="FG62" s="53"/>
      <c r="FH62" s="53"/>
      <c r="FI62" s="53"/>
      <c r="FJ62" s="53"/>
      <c r="FK62" s="53"/>
      <c r="FL62" s="53"/>
      <c r="FM62" s="53"/>
      <c r="FN62" s="53"/>
      <c r="FO62" s="53"/>
      <c r="FP62" s="53"/>
      <c r="FQ62" s="53"/>
      <c r="FR62" s="53"/>
      <c r="FS62" s="53"/>
      <c r="FT62" s="53"/>
      <c r="FU62" s="53"/>
      <c r="FV62" s="53"/>
      <c r="FW62" s="53"/>
      <c r="FX62" s="53"/>
      <c r="FY62" s="53"/>
      <c r="FZ62" s="53"/>
      <c r="GA62" s="53"/>
      <c r="GB62" s="53"/>
      <c r="GC62" s="53"/>
      <c r="GD62" s="53"/>
      <c r="GE62" s="53"/>
      <c r="GF62" s="53"/>
      <c r="GG62" s="53"/>
      <c r="GH62" s="53"/>
      <c r="GI62" s="53"/>
      <c r="GJ62" s="53"/>
      <c r="GK62" s="53"/>
      <c r="GL62" s="53"/>
      <c r="GM62" s="53"/>
      <c r="GN62" s="53"/>
      <c r="GO62" s="53"/>
      <c r="GP62" s="53"/>
      <c r="GQ62" s="53"/>
      <c r="GR62" s="53"/>
      <c r="GS62" s="53"/>
      <c r="GT62" s="53"/>
      <c r="GU62" s="53"/>
      <c r="GV62" s="53"/>
      <c r="GW62" s="53"/>
      <c r="GX62" s="53"/>
      <c r="GY62" s="53"/>
      <c r="GZ62" s="53"/>
      <c r="HA62" s="53"/>
      <c r="HB62" s="53"/>
      <c r="HC62" s="53"/>
      <c r="HD62" s="53"/>
      <c r="HE62" s="53"/>
      <c r="HF62" s="53"/>
      <c r="HG62" s="53"/>
      <c r="HH62" s="53"/>
      <c r="HI62" s="53"/>
      <c r="HJ62" s="53"/>
      <c r="HK62" s="53"/>
      <c r="HL62" s="53"/>
      <c r="HM62" s="53"/>
      <c r="HN62" s="53"/>
      <c r="HO62" s="53"/>
      <c r="HP62" s="53"/>
      <c r="HQ62" s="53"/>
      <c r="HR62" s="53"/>
      <c r="HS62" s="53"/>
      <c r="HT62" s="53"/>
      <c r="HU62" s="53"/>
      <c r="HV62" s="53"/>
      <c r="HW62" s="53"/>
      <c r="HX62" s="53"/>
    </row>
    <row r="63" spans="2:232" s="64" customFormat="1" outlineLevel="1">
      <c r="B63" s="538" t="s">
        <v>217</v>
      </c>
      <c r="K63" s="328">
        <v>0</v>
      </c>
      <c r="L63" s="328">
        <v>0</v>
      </c>
      <c r="M63" s="328">
        <v>0</v>
      </c>
      <c r="N63" s="328">
        <v>0</v>
      </c>
      <c r="O63" s="1295">
        <f>SUM(K63:N63)</f>
        <v>0</v>
      </c>
      <c r="P63" s="328">
        <v>0</v>
      </c>
      <c r="Q63" s="328">
        <v>0</v>
      </c>
      <c r="R63" s="328">
        <v>0</v>
      </c>
      <c r="S63" s="328">
        <v>0</v>
      </c>
      <c r="T63" s="1295">
        <f>SUM(P63:S63)</f>
        <v>0</v>
      </c>
      <c r="U63" s="328">
        <v>0</v>
      </c>
      <c r="V63" s="328">
        <v>0</v>
      </c>
      <c r="W63" s="328">
        <v>0</v>
      </c>
      <c r="X63" s="328">
        <v>0</v>
      </c>
      <c r="Y63" s="1295">
        <f>SUM(U63:X63)</f>
        <v>0</v>
      </c>
      <c r="Z63" s="328">
        <v>0</v>
      </c>
      <c r="AA63" s="328">
        <v>0</v>
      </c>
      <c r="AB63" s="328">
        <v>0</v>
      </c>
      <c r="AC63" s="328">
        <v>0</v>
      </c>
      <c r="AD63" s="1295">
        <f>SUM(Z63:AC63)</f>
        <v>0</v>
      </c>
      <c r="AE63" s="328">
        <v>0</v>
      </c>
      <c r="AF63" s="328">
        <v>0</v>
      </c>
      <c r="AG63" s="328">
        <v>0</v>
      </c>
      <c r="AH63" s="328">
        <v>0</v>
      </c>
      <c r="AI63" s="1295">
        <f>SUM(AE63:AH63)</f>
        <v>0</v>
      </c>
      <c r="AJ63" s="328">
        <v>0</v>
      </c>
      <c r="AK63" s="328">
        <v>0</v>
      </c>
      <c r="AL63" s="328">
        <v>0</v>
      </c>
      <c r="AM63" s="328">
        <v>0</v>
      </c>
      <c r="AN63" s="1295">
        <f>SUM(AJ63:AM63)</f>
        <v>0</v>
      </c>
      <c r="AO63" s="328">
        <v>0</v>
      </c>
      <c r="AP63" s="328">
        <v>0</v>
      </c>
      <c r="AQ63" s="328">
        <v>0</v>
      </c>
      <c r="AR63" s="328">
        <v>0</v>
      </c>
      <c r="AS63" s="1295">
        <f>SUM(AO63:AR63)</f>
        <v>0</v>
      </c>
      <c r="AT63" s="328">
        <v>0</v>
      </c>
      <c r="AU63" s="328">
        <v>0</v>
      </c>
      <c r="AV63" s="328">
        <v>0</v>
      </c>
      <c r="AW63" s="328">
        <v>0</v>
      </c>
      <c r="AX63" s="1295">
        <f>SUM(AT63:AW63)</f>
        <v>0</v>
      </c>
      <c r="AY63" s="328">
        <v>0</v>
      </c>
      <c r="AZ63" s="328">
        <v>0</v>
      </c>
      <c r="BA63" s="328">
        <v>0</v>
      </c>
      <c r="BB63" s="328">
        <v>0</v>
      </c>
      <c r="BC63" s="1295">
        <f>SUM(AY63:BB63)</f>
        <v>0</v>
      </c>
      <c r="BD63" s="328">
        <v>0</v>
      </c>
      <c r="BE63" s="328">
        <v>0</v>
      </c>
      <c r="BF63" s="328">
        <v>0</v>
      </c>
      <c r="BG63" s="328">
        <v>0</v>
      </c>
      <c r="BH63" s="1295">
        <f>SUM(BD63:BG63)</f>
        <v>0</v>
      </c>
      <c r="BI63" s="328">
        <v>0</v>
      </c>
      <c r="BJ63" s="328">
        <v>0</v>
      </c>
      <c r="BK63" s="328">
        <v>0</v>
      </c>
      <c r="BL63" s="328">
        <v>0</v>
      </c>
      <c r="BM63" s="1295">
        <f>SUM(BI63:BL63)</f>
        <v>0</v>
      </c>
      <c r="BN63" s="328">
        <v>0</v>
      </c>
      <c r="BO63" s="328">
        <v>0</v>
      </c>
      <c r="BP63" s="328">
        <v>0</v>
      </c>
      <c r="BQ63" s="328">
        <v>0</v>
      </c>
      <c r="BR63" s="1295">
        <f>SUM(BN63:BQ63)</f>
        <v>0</v>
      </c>
      <c r="BS63" s="328">
        <v>0</v>
      </c>
      <c r="BT63" s="328">
        <v>0</v>
      </c>
      <c r="BU63" s="328">
        <v>0</v>
      </c>
      <c r="BV63" s="328">
        <v>0</v>
      </c>
      <c r="BW63" s="1295">
        <f>SUM(BS63:BV63)</f>
        <v>0</v>
      </c>
      <c r="BX63" s="1314">
        <v>35</v>
      </c>
      <c r="BY63" s="328">
        <v>35</v>
      </c>
      <c r="BZ63" s="328">
        <v>38</v>
      </c>
      <c r="CA63" s="1315">
        <v>40</v>
      </c>
      <c r="CB63" s="1295">
        <f t="shared" si="86"/>
        <v>148</v>
      </c>
      <c r="CC63" s="1314">
        <v>39</v>
      </c>
      <c r="CD63" s="328">
        <v>38</v>
      </c>
      <c r="CE63" s="328">
        <v>52</v>
      </c>
      <c r="CF63" s="1315">
        <v>53</v>
      </c>
      <c r="CG63" s="1317">
        <f t="shared" si="87"/>
        <v>182</v>
      </c>
      <c r="CH63" s="328">
        <v>52</v>
      </c>
      <c r="CI63" s="328">
        <v>46</v>
      </c>
      <c r="CJ63" s="328">
        <v>54</v>
      </c>
      <c r="CK63" s="328">
        <v>67</v>
      </c>
      <c r="CL63" s="1317">
        <f t="shared" si="88"/>
        <v>219</v>
      </c>
      <c r="CM63" s="1314">
        <v>60</v>
      </c>
      <c r="CN63" s="328">
        <v>61</v>
      </c>
      <c r="CO63" s="328">
        <v>64</v>
      </c>
      <c r="CP63" s="1315">
        <v>70</v>
      </c>
      <c r="CQ63" s="1317">
        <f t="shared" si="89"/>
        <v>255</v>
      </c>
      <c r="CR63" s="1314">
        <v>74</v>
      </c>
      <c r="CS63" s="328">
        <v>75</v>
      </c>
      <c r="CT63" s="328">
        <v>67</v>
      </c>
      <c r="CU63" s="328">
        <v>73</v>
      </c>
      <c r="CV63" s="1317">
        <f t="shared" si="90"/>
        <v>289</v>
      </c>
      <c r="CW63" s="1314">
        <v>70</v>
      </c>
      <c r="CX63" s="328">
        <v>73</v>
      </c>
      <c r="CY63" s="328">
        <v>71</v>
      </c>
      <c r="CZ63" s="1315">
        <v>68</v>
      </c>
      <c r="DA63" s="1317">
        <f t="shared" si="91"/>
        <v>282</v>
      </c>
      <c r="DB63" s="1314">
        <v>67</v>
      </c>
      <c r="DC63" s="1694">
        <v>217</v>
      </c>
      <c r="DD63" s="1694">
        <v>96</v>
      </c>
      <c r="DE63" s="1694">
        <v>113</v>
      </c>
      <c r="DF63" s="1317">
        <f t="shared" si="92"/>
        <v>493</v>
      </c>
      <c r="DG63" s="1694">
        <v>81</v>
      </c>
      <c r="DH63" s="1694">
        <v>101</v>
      </c>
      <c r="DI63" s="1694">
        <v>96</v>
      </c>
      <c r="DJ63" s="1694">
        <v>91</v>
      </c>
      <c r="DK63" s="619">
        <f t="shared" si="93"/>
        <v>369</v>
      </c>
      <c r="DL63" s="1694">
        <v>82</v>
      </c>
      <c r="DM63" s="1694">
        <v>82</v>
      </c>
      <c r="DN63" s="1694">
        <v>82</v>
      </c>
      <c r="DO63" s="1696">
        <v>85</v>
      </c>
      <c r="DP63" s="619">
        <f t="shared" si="94"/>
        <v>331</v>
      </c>
      <c r="DQ63" s="1696">
        <v>85</v>
      </c>
      <c r="DR63" s="64">
        <f>DQ63</f>
        <v>85</v>
      </c>
      <c r="DS63" s="64">
        <f>DR63</f>
        <v>85</v>
      </c>
      <c r="DT63" s="539">
        <f>DS63</f>
        <v>85</v>
      </c>
      <c r="DU63" s="619">
        <f t="shared" si="95"/>
        <v>340</v>
      </c>
      <c r="DV63" s="538">
        <f>DT63</f>
        <v>85</v>
      </c>
      <c r="DW63" s="64">
        <f>DV63</f>
        <v>85</v>
      </c>
      <c r="DX63" s="64">
        <f>DW63</f>
        <v>85</v>
      </c>
      <c r="DY63" s="539">
        <f>DX63</f>
        <v>85</v>
      </c>
      <c r="DZ63" s="619">
        <f t="shared" si="96"/>
        <v>340</v>
      </c>
      <c r="EA63" s="538">
        <f>DY63</f>
        <v>85</v>
      </c>
      <c r="EB63" s="64">
        <f>EA63</f>
        <v>85</v>
      </c>
      <c r="EC63" s="64">
        <f>EB63</f>
        <v>85</v>
      </c>
      <c r="ED63" s="539">
        <f>EC63</f>
        <v>85</v>
      </c>
      <c r="EE63" s="619">
        <f t="shared" si="97"/>
        <v>340</v>
      </c>
      <c r="EF63" s="53"/>
      <c r="EG63" s="53"/>
      <c r="EH63"/>
      <c r="EI63"/>
      <c r="EJ63"/>
      <c r="EK63"/>
      <c r="EL63"/>
      <c r="EM63"/>
      <c r="EN63" s="53"/>
      <c r="EO63" s="53"/>
      <c r="EP63" s="53"/>
      <c r="EQ63" s="53"/>
      <c r="ER63" s="53"/>
      <c r="ES63" s="53"/>
      <c r="ET63" s="53"/>
      <c r="EU63" s="53"/>
      <c r="EV63" s="53"/>
      <c r="EW63" s="53"/>
      <c r="EX63" s="53"/>
      <c r="EY63" s="53"/>
      <c r="EZ63" s="53"/>
      <c r="FA63" s="53"/>
      <c r="FB63" s="53"/>
      <c r="FC63" s="53"/>
      <c r="FD63" s="53"/>
      <c r="FE63" s="53"/>
      <c r="FF63" s="53"/>
      <c r="FG63" s="53"/>
      <c r="FH63" s="53"/>
      <c r="FI63" s="53"/>
      <c r="FJ63" s="53"/>
      <c r="FK63" s="53"/>
      <c r="FL63" s="53"/>
      <c r="FM63" s="53"/>
      <c r="FN63" s="53"/>
      <c r="FO63" s="53"/>
      <c r="FP63" s="53"/>
      <c r="FQ63" s="53"/>
      <c r="FR63" s="53"/>
      <c r="FS63" s="53"/>
      <c r="FT63" s="53"/>
      <c r="FU63" s="53"/>
      <c r="FV63" s="53"/>
      <c r="FW63" s="53"/>
      <c r="FX63" s="53"/>
      <c r="FY63" s="53"/>
      <c r="FZ63" s="53"/>
      <c r="GA63" s="53"/>
      <c r="GB63" s="53"/>
      <c r="GC63" s="53"/>
      <c r="GD63" s="53"/>
      <c r="GE63" s="53"/>
      <c r="GF63" s="53"/>
      <c r="GG63" s="53"/>
      <c r="GH63" s="53"/>
      <c r="GI63" s="53"/>
      <c r="GJ63" s="53"/>
      <c r="GK63" s="53"/>
      <c r="GL63" s="53"/>
      <c r="GM63" s="53"/>
      <c r="GN63" s="53"/>
      <c r="GO63" s="53"/>
      <c r="GP63" s="53"/>
      <c r="GQ63" s="53"/>
      <c r="GR63" s="53"/>
      <c r="GS63" s="53"/>
      <c r="GT63" s="53"/>
      <c r="GU63" s="53"/>
      <c r="GV63" s="53"/>
      <c r="GW63" s="53"/>
      <c r="GX63" s="53"/>
      <c r="GY63" s="53"/>
      <c r="GZ63" s="53"/>
      <c r="HA63" s="53"/>
      <c r="HB63" s="53"/>
      <c r="HC63" s="53"/>
      <c r="HD63" s="53"/>
      <c r="HE63" s="53"/>
      <c r="HF63" s="53"/>
      <c r="HG63" s="53"/>
      <c r="HH63" s="53"/>
      <c r="HI63" s="53"/>
      <c r="HJ63" s="53"/>
      <c r="HK63" s="53"/>
      <c r="HL63" s="53"/>
      <c r="HM63" s="53"/>
      <c r="HN63" s="53"/>
      <c r="HO63" s="53"/>
      <c r="HP63" s="53"/>
      <c r="HQ63" s="53"/>
      <c r="HR63" s="53"/>
      <c r="HS63" s="53"/>
      <c r="HT63" s="53"/>
      <c r="HU63" s="53"/>
      <c r="HV63" s="53"/>
      <c r="HW63" s="53"/>
      <c r="HX63" s="53"/>
    </row>
    <row r="64" spans="2:232" s="64" customFormat="1" outlineLevel="1">
      <c r="B64" s="538" t="s">
        <v>218</v>
      </c>
      <c r="K64" s="328"/>
      <c r="L64" s="328"/>
      <c r="M64" s="328"/>
      <c r="N64" s="328"/>
      <c r="O64" s="1295">
        <f>SUM(K64:N64)</f>
        <v>0</v>
      </c>
      <c r="P64" s="328"/>
      <c r="Q64" s="328"/>
      <c r="R64" s="328"/>
      <c r="S64" s="328"/>
      <c r="T64" s="1295">
        <f>SUM(P64:S64)</f>
        <v>0</v>
      </c>
      <c r="U64" s="328"/>
      <c r="V64" s="328"/>
      <c r="W64" s="328"/>
      <c r="X64" s="328"/>
      <c r="Y64" s="1295">
        <f>SUM(U64:X64)</f>
        <v>0</v>
      </c>
      <c r="Z64" s="328"/>
      <c r="AA64" s="328"/>
      <c r="AB64" s="328"/>
      <c r="AC64" s="328"/>
      <c r="AD64" s="1295">
        <f>SUM(Z64:AC64)</f>
        <v>0</v>
      </c>
      <c r="AE64" s="328"/>
      <c r="AF64" s="328"/>
      <c r="AG64" s="328"/>
      <c r="AH64" s="328"/>
      <c r="AI64" s="1295">
        <f>SUM(AE64:AH64)</f>
        <v>0</v>
      </c>
      <c r="AJ64" s="328"/>
      <c r="AK64" s="328"/>
      <c r="AL64" s="328"/>
      <c r="AM64" s="328"/>
      <c r="AN64" s="1295">
        <f>SUM(AJ64:AM64)</f>
        <v>0</v>
      </c>
      <c r="AO64" s="328"/>
      <c r="AP64" s="328"/>
      <c r="AQ64" s="328"/>
      <c r="AR64" s="328"/>
      <c r="AS64" s="1295">
        <f>SUM(AO64:AR64)</f>
        <v>0</v>
      </c>
      <c r="AT64" s="328"/>
      <c r="AU64" s="328"/>
      <c r="AV64" s="328"/>
      <c r="AW64" s="328"/>
      <c r="AX64" s="1295">
        <f>SUM(AT64:AW64)</f>
        <v>0</v>
      </c>
      <c r="AY64" s="328"/>
      <c r="AZ64" s="328"/>
      <c r="BA64" s="328"/>
      <c r="BB64" s="328"/>
      <c r="BC64" s="1295">
        <f>SUM(AY64:BB64)</f>
        <v>0</v>
      </c>
      <c r="BD64" s="328"/>
      <c r="BE64" s="328"/>
      <c r="BF64" s="328"/>
      <c r="BG64" s="328"/>
      <c r="BH64" s="1295">
        <f>SUM(BD64:BG64)</f>
        <v>0</v>
      </c>
      <c r="BI64" s="328"/>
      <c r="BJ64" s="328"/>
      <c r="BK64" s="328"/>
      <c r="BL64" s="328"/>
      <c r="BM64" s="1295">
        <f>SUM(BI64:BL64)</f>
        <v>0</v>
      </c>
      <c r="BN64" s="328"/>
      <c r="BO64" s="328"/>
      <c r="BP64" s="328"/>
      <c r="BQ64" s="328"/>
      <c r="BR64" s="1295">
        <f>SUM(BN64:BQ64)</f>
        <v>0</v>
      </c>
      <c r="BS64" s="328"/>
      <c r="BT64" s="328"/>
      <c r="BU64" s="328"/>
      <c r="BV64" s="328"/>
      <c r="BW64" s="1295">
        <f>SUM(BS64:BV64)</f>
        <v>0</v>
      </c>
      <c r="BX64" s="1314"/>
      <c r="BY64" s="328"/>
      <c r="BZ64" s="328"/>
      <c r="CA64" s="1315"/>
      <c r="CB64" s="1295">
        <f t="shared" si="86"/>
        <v>0</v>
      </c>
      <c r="CC64" s="1314"/>
      <c r="CD64" s="328"/>
      <c r="CE64" s="328"/>
      <c r="CF64" s="1315"/>
      <c r="CG64" s="1317">
        <f t="shared" si="87"/>
        <v>0</v>
      </c>
      <c r="CH64" s="328"/>
      <c r="CI64" s="328"/>
      <c r="CJ64" s="328"/>
      <c r="CK64" s="328"/>
      <c r="CL64" s="1317">
        <f t="shared" si="88"/>
        <v>0</v>
      </c>
      <c r="CM64" s="1314"/>
      <c r="CN64" s="328"/>
      <c r="CO64" s="328">
        <v>19</v>
      </c>
      <c r="CP64" s="1315">
        <v>50</v>
      </c>
      <c r="CQ64" s="1317">
        <f t="shared" si="89"/>
        <v>69</v>
      </c>
      <c r="CR64" s="1314">
        <v>37</v>
      </c>
      <c r="CS64" s="328">
        <v>21</v>
      </c>
      <c r="CT64" s="328">
        <v>27</v>
      </c>
      <c r="CU64" s="328">
        <v>11</v>
      </c>
      <c r="CV64" s="1317">
        <f t="shared" si="90"/>
        <v>96</v>
      </c>
      <c r="CW64" s="1314">
        <v>25</v>
      </c>
      <c r="CX64" s="328">
        <v>17</v>
      </c>
      <c r="CY64" s="328">
        <v>20</v>
      </c>
      <c r="CZ64" s="1315">
        <v>20</v>
      </c>
      <c r="DA64" s="1317">
        <f t="shared" si="91"/>
        <v>82</v>
      </c>
      <c r="DB64" s="1314">
        <v>24</v>
      </c>
      <c r="DC64" s="1694">
        <v>59</v>
      </c>
      <c r="DD64" s="1694">
        <v>4</v>
      </c>
      <c r="DE64" s="1694">
        <v>5</v>
      </c>
      <c r="DF64" s="1317">
        <f t="shared" si="92"/>
        <v>92</v>
      </c>
      <c r="DG64" s="1694">
        <v>34</v>
      </c>
      <c r="DH64" s="1694">
        <v>28</v>
      </c>
      <c r="DI64" s="1694">
        <v>73</v>
      </c>
      <c r="DJ64" s="1694">
        <v>20</v>
      </c>
      <c r="DK64" s="1271">
        <f t="shared" si="93"/>
        <v>155</v>
      </c>
      <c r="DL64" s="1694">
        <v>81</v>
      </c>
      <c r="DM64" s="1694">
        <v>29</v>
      </c>
      <c r="DN64" s="1694">
        <v>29</v>
      </c>
      <c r="DO64" s="1696">
        <v>399</v>
      </c>
      <c r="DP64" s="1271">
        <f t="shared" si="94"/>
        <v>538</v>
      </c>
      <c r="DQ64" s="1696">
        <v>51</v>
      </c>
      <c r="DR64" s="328"/>
      <c r="DS64" s="328"/>
      <c r="DT64" s="1315"/>
      <c r="DU64" s="1271">
        <f t="shared" si="95"/>
        <v>51</v>
      </c>
      <c r="DV64" s="1314"/>
      <c r="DW64" s="328"/>
      <c r="DX64" s="328"/>
      <c r="DY64" s="1315"/>
      <c r="DZ64" s="1271">
        <f t="shared" si="96"/>
        <v>0</v>
      </c>
      <c r="EA64" s="1314"/>
      <c r="EB64" s="328"/>
      <c r="EC64" s="328"/>
      <c r="ED64" s="1315"/>
      <c r="EE64" s="1271">
        <f t="shared" si="97"/>
        <v>0</v>
      </c>
      <c r="EF64" s="53"/>
      <c r="EG64" s="53"/>
      <c r="EH64"/>
      <c r="EI64"/>
      <c r="EJ64"/>
      <c r="EK64"/>
      <c r="EL64"/>
      <c r="EM64"/>
      <c r="EN64" s="53"/>
      <c r="EO64" s="53"/>
      <c r="EP64" s="53"/>
      <c r="EQ64" s="53"/>
      <c r="ER64" s="53"/>
      <c r="ES64" s="53"/>
      <c r="ET64" s="53"/>
      <c r="EU64" s="53"/>
      <c r="EV64" s="53"/>
      <c r="EW64" s="53"/>
      <c r="EX64" s="53"/>
      <c r="EY64" s="53"/>
      <c r="EZ64" s="53"/>
      <c r="FA64" s="53"/>
      <c r="FB64" s="53"/>
      <c r="FC64" s="53"/>
      <c r="FD64" s="53"/>
      <c r="FE64" s="53"/>
      <c r="FF64" s="53"/>
      <c r="FG64" s="53"/>
      <c r="FH64" s="53"/>
      <c r="FI64" s="53"/>
      <c r="FJ64" s="53"/>
      <c r="FK64" s="53"/>
      <c r="FL64" s="53"/>
      <c r="FM64" s="53"/>
      <c r="FN64" s="53"/>
      <c r="FO64" s="53"/>
      <c r="FP64" s="53"/>
      <c r="FQ64" s="53"/>
      <c r="FR64" s="53"/>
      <c r="FS64" s="53"/>
      <c r="FT64" s="53"/>
      <c r="FU64" s="53"/>
      <c r="FV64" s="53"/>
      <c r="FW64" s="53"/>
      <c r="FX64" s="53"/>
      <c r="FY64" s="53"/>
      <c r="FZ64" s="53"/>
      <c r="GA64" s="53"/>
      <c r="GB64" s="53"/>
      <c r="GC64" s="53"/>
      <c r="GD64" s="53"/>
      <c r="GE64" s="53"/>
      <c r="GF64" s="53"/>
      <c r="GG64" s="53"/>
      <c r="GH64" s="53"/>
      <c r="GI64" s="53"/>
      <c r="GJ64" s="53"/>
      <c r="GK64" s="53"/>
      <c r="GL64" s="53"/>
      <c r="GM64" s="53"/>
      <c r="GN64" s="53"/>
      <c r="GO64" s="53"/>
      <c r="GP64" s="53"/>
      <c r="GQ64" s="53"/>
      <c r="GR64" s="53"/>
      <c r="GS64" s="53"/>
      <c r="GT64" s="53"/>
      <c r="GU64" s="53"/>
      <c r="GV64" s="53"/>
      <c r="GW64" s="53"/>
      <c r="GX64" s="53"/>
      <c r="GY64" s="53"/>
      <c r="GZ64" s="53"/>
      <c r="HA64" s="53"/>
      <c r="HB64" s="53"/>
      <c r="HC64" s="53"/>
      <c r="HD64" s="53"/>
      <c r="HE64" s="53"/>
      <c r="HF64" s="53"/>
      <c r="HG64" s="53"/>
      <c r="HH64" s="53"/>
      <c r="HI64" s="53"/>
      <c r="HJ64" s="53"/>
      <c r="HK64" s="53"/>
      <c r="HL64" s="53"/>
      <c r="HM64" s="53"/>
      <c r="HN64" s="53"/>
      <c r="HO64" s="53"/>
      <c r="HP64" s="53"/>
      <c r="HQ64" s="53"/>
      <c r="HR64" s="53"/>
      <c r="HS64" s="53"/>
      <c r="HT64" s="53"/>
      <c r="HU64" s="53"/>
      <c r="HV64" s="53"/>
      <c r="HW64" s="53"/>
      <c r="HX64" s="53"/>
    </row>
    <row r="65" spans="2:232" s="64" customFormat="1" outlineLevel="1">
      <c r="B65" s="573" t="s">
        <v>219</v>
      </c>
      <c r="C65" s="270"/>
      <c r="D65" s="270"/>
      <c r="E65" s="270"/>
      <c r="F65" s="270"/>
      <c r="G65" s="270"/>
      <c r="H65" s="270"/>
      <c r="I65" s="270"/>
      <c r="J65" s="270"/>
      <c r="K65" s="654"/>
      <c r="L65" s="654"/>
      <c r="M65" s="654"/>
      <c r="N65" s="654"/>
      <c r="O65" s="1331">
        <f>SUM(K65:N65)</f>
        <v>0</v>
      </c>
      <c r="P65" s="654"/>
      <c r="Q65" s="654"/>
      <c r="R65" s="654"/>
      <c r="S65" s="654"/>
      <c r="T65" s="1331">
        <f>SUM(P65:S65)</f>
        <v>0</v>
      </c>
      <c r="U65" s="654"/>
      <c r="V65" s="654"/>
      <c r="W65" s="654"/>
      <c r="X65" s="654"/>
      <c r="Y65" s="1331">
        <f>SUM(U65:X65)</f>
        <v>0</v>
      </c>
      <c r="Z65" s="654"/>
      <c r="AA65" s="654"/>
      <c r="AB65" s="654"/>
      <c r="AC65" s="654"/>
      <c r="AD65" s="1331">
        <f>SUM(Z65:AC65)</f>
        <v>0</v>
      </c>
      <c r="AE65" s="654"/>
      <c r="AF65" s="654"/>
      <c r="AG65" s="654"/>
      <c r="AH65" s="654"/>
      <c r="AI65" s="1331">
        <f>SUM(AE65:AH65)</f>
        <v>0</v>
      </c>
      <c r="AJ65" s="654"/>
      <c r="AK65" s="654"/>
      <c r="AL65" s="654"/>
      <c r="AM65" s="654"/>
      <c r="AN65" s="1331">
        <f>SUM(AJ65:AM65)</f>
        <v>0</v>
      </c>
      <c r="AO65" s="654"/>
      <c r="AP65" s="654"/>
      <c r="AQ65" s="654"/>
      <c r="AR65" s="654"/>
      <c r="AS65" s="1331">
        <f>SUM(AO65:AR65)</f>
        <v>0</v>
      </c>
      <c r="AT65" s="654"/>
      <c r="AU65" s="654"/>
      <c r="AV65" s="654"/>
      <c r="AW65" s="654"/>
      <c r="AX65" s="1331">
        <f>SUM(AT65:AW65)</f>
        <v>0</v>
      </c>
      <c r="AY65" s="654"/>
      <c r="AZ65" s="654"/>
      <c r="BA65" s="654"/>
      <c r="BB65" s="654"/>
      <c r="BC65" s="1331">
        <f>SUM(AY65:BB65)</f>
        <v>0</v>
      </c>
      <c r="BD65" s="654"/>
      <c r="BE65" s="654"/>
      <c r="BF65" s="654"/>
      <c r="BG65" s="654"/>
      <c r="BH65" s="1331">
        <f>SUM(BD65:BG65)</f>
        <v>0</v>
      </c>
      <c r="BI65" s="654"/>
      <c r="BJ65" s="654"/>
      <c r="BK65" s="654"/>
      <c r="BL65" s="654"/>
      <c r="BM65" s="1331">
        <f>SUM(BI65:BL65)</f>
        <v>0</v>
      </c>
      <c r="BN65" s="654"/>
      <c r="BO65" s="654"/>
      <c r="BP65" s="654"/>
      <c r="BQ65" s="654"/>
      <c r="BR65" s="1331">
        <f>SUM(BN65:BQ65)</f>
        <v>0</v>
      </c>
      <c r="BS65" s="654"/>
      <c r="BT65" s="654"/>
      <c r="BU65" s="654"/>
      <c r="BV65" s="654"/>
      <c r="BW65" s="1331">
        <f>SUM(BS65:BV65)</f>
        <v>0</v>
      </c>
      <c r="BX65" s="1336"/>
      <c r="BY65" s="654"/>
      <c r="BZ65" s="654"/>
      <c r="CA65" s="1335"/>
      <c r="CB65" s="1331">
        <f t="shared" si="86"/>
        <v>0</v>
      </c>
      <c r="CC65" s="1336"/>
      <c r="CD65" s="654"/>
      <c r="CE65" s="654"/>
      <c r="CF65" s="1335"/>
      <c r="CG65" s="1332">
        <f t="shared" si="87"/>
        <v>0</v>
      </c>
      <c r="CH65" s="654"/>
      <c r="CI65" s="654"/>
      <c r="CJ65" s="654"/>
      <c r="CK65" s="654"/>
      <c r="CL65" s="1332">
        <f t="shared" si="88"/>
        <v>0</v>
      </c>
      <c r="CM65" s="1336"/>
      <c r="CN65" s="654"/>
      <c r="CO65" s="654"/>
      <c r="CP65" s="1335"/>
      <c r="CQ65" s="1332">
        <f t="shared" si="89"/>
        <v>0</v>
      </c>
      <c r="CR65" s="1336">
        <v>39</v>
      </c>
      <c r="CS65" s="654"/>
      <c r="CT65" s="654">
        <v>28</v>
      </c>
      <c r="CU65" s="654">
        <v>13</v>
      </c>
      <c r="CV65" s="1332">
        <f t="shared" si="90"/>
        <v>80</v>
      </c>
      <c r="CW65" s="1336">
        <v>19</v>
      </c>
      <c r="CX65" s="654">
        <v>2</v>
      </c>
      <c r="CY65" s="654">
        <v>99</v>
      </c>
      <c r="CZ65" s="654">
        <f>139-9</f>
        <v>130</v>
      </c>
      <c r="DA65" s="1332">
        <f t="shared" si="91"/>
        <v>250</v>
      </c>
      <c r="DB65" s="1336">
        <v>28</v>
      </c>
      <c r="DC65" s="654">
        <f>110+16+6</f>
        <v>132</v>
      </c>
      <c r="DD65" s="654">
        <f>160+7+12</f>
        <v>179</v>
      </c>
      <c r="DE65" s="654">
        <f>382+5</f>
        <v>387</v>
      </c>
      <c r="DF65" s="1332">
        <f t="shared" si="92"/>
        <v>726</v>
      </c>
      <c r="DG65" s="654">
        <v>90</v>
      </c>
      <c r="DH65" s="654">
        <f>33+30</f>
        <v>63</v>
      </c>
      <c r="DI65" s="654">
        <v>15</v>
      </c>
      <c r="DJ65" s="654">
        <f>233+47</f>
        <v>280</v>
      </c>
      <c r="DK65" s="1420">
        <f t="shared" si="93"/>
        <v>448</v>
      </c>
      <c r="DL65" s="654">
        <v>17</v>
      </c>
      <c r="DM65" s="654">
        <v>340</v>
      </c>
      <c r="DN65" s="654">
        <v>340</v>
      </c>
      <c r="DO65" s="655">
        <f>215-11</f>
        <v>204</v>
      </c>
      <c r="DP65" s="1420">
        <f t="shared" si="94"/>
        <v>901</v>
      </c>
      <c r="DQ65" s="655">
        <f>40+25</f>
        <v>65</v>
      </c>
      <c r="DR65" s="654"/>
      <c r="DS65" s="654"/>
      <c r="DT65" s="1335"/>
      <c r="DU65" s="1420">
        <f t="shared" si="95"/>
        <v>65</v>
      </c>
      <c r="DV65" s="1336"/>
      <c r="DW65" s="654"/>
      <c r="DX65" s="654"/>
      <c r="DY65" s="1335"/>
      <c r="DZ65" s="1420">
        <f t="shared" si="96"/>
        <v>0</v>
      </c>
      <c r="EA65" s="1336"/>
      <c r="EB65" s="654"/>
      <c r="EC65" s="654"/>
      <c r="ED65" s="1335"/>
      <c r="EE65" s="1420">
        <f t="shared" si="97"/>
        <v>0</v>
      </c>
      <c r="EF65" s="53"/>
      <c r="EG65" s="53"/>
      <c r="EH65"/>
      <c r="EI65"/>
      <c r="EJ65"/>
      <c r="EK65"/>
      <c r="EL65"/>
      <c r="EM65"/>
      <c r="EN65" s="53"/>
      <c r="EO65" s="53"/>
      <c r="EP65" s="53"/>
      <c r="EQ65" s="53"/>
      <c r="ER65" s="53"/>
      <c r="ES65" s="53"/>
      <c r="ET65" s="53"/>
      <c r="EU65" s="53"/>
      <c r="EV65" s="53"/>
      <c r="EW65" s="53"/>
      <c r="EX65" s="53"/>
      <c r="EY65" s="53"/>
      <c r="EZ65" s="53"/>
      <c r="FA65" s="53"/>
      <c r="FB65" s="53"/>
      <c r="FC65" s="53"/>
      <c r="FD65" s="53"/>
      <c r="FE65" s="53"/>
      <c r="FF65" s="53"/>
      <c r="FG65" s="53"/>
      <c r="FH65" s="53"/>
      <c r="FI65" s="53"/>
      <c r="FJ65" s="53"/>
      <c r="FK65" s="53"/>
      <c r="FL65" s="53"/>
      <c r="FM65" s="53"/>
      <c r="FN65" s="53"/>
      <c r="FO65" s="53"/>
      <c r="FP65" s="53"/>
      <c r="FQ65" s="53"/>
      <c r="FR65" s="53"/>
      <c r="FS65" s="53"/>
      <c r="FT65" s="53"/>
      <c r="FU65" s="53"/>
      <c r="FV65" s="53"/>
      <c r="FW65" s="53"/>
      <c r="FX65" s="53"/>
      <c r="FY65" s="53"/>
      <c r="FZ65" s="53"/>
      <c r="GA65" s="53"/>
      <c r="GB65" s="53"/>
      <c r="GC65" s="53"/>
      <c r="GD65" s="53"/>
      <c r="GE65" s="53"/>
      <c r="GF65" s="53"/>
      <c r="GG65" s="53"/>
      <c r="GH65" s="53"/>
      <c r="GI65" s="53"/>
      <c r="GJ65" s="53"/>
      <c r="GK65" s="53"/>
      <c r="GL65" s="53"/>
      <c r="GM65" s="53"/>
      <c r="GN65" s="53"/>
      <c r="GO65" s="53"/>
      <c r="GP65" s="53"/>
      <c r="GQ65" s="53"/>
      <c r="GR65" s="53"/>
      <c r="GS65" s="53"/>
      <c r="GT65" s="53"/>
      <c r="GU65" s="53"/>
      <c r="GV65" s="53"/>
      <c r="GW65" s="53"/>
      <c r="GX65" s="53"/>
      <c r="GY65" s="53"/>
      <c r="GZ65" s="53"/>
      <c r="HA65" s="53"/>
      <c r="HB65" s="53"/>
      <c r="HC65" s="53"/>
      <c r="HD65" s="53"/>
      <c r="HE65" s="53"/>
      <c r="HF65" s="53"/>
      <c r="HG65" s="53"/>
      <c r="HH65" s="53"/>
      <c r="HI65" s="53"/>
      <c r="HJ65" s="53"/>
      <c r="HK65" s="53"/>
      <c r="HL65" s="53"/>
      <c r="HM65" s="53"/>
      <c r="HN65" s="53"/>
      <c r="HO65" s="53"/>
      <c r="HP65" s="53"/>
      <c r="HQ65" s="53"/>
      <c r="HR65" s="53"/>
      <c r="HS65" s="53"/>
      <c r="HT65" s="53"/>
      <c r="HU65" s="53"/>
      <c r="HV65" s="53"/>
      <c r="HW65" s="53"/>
      <c r="HX65" s="53"/>
    </row>
    <row r="66" spans="2:232" s="64" customFormat="1">
      <c r="B66" s="608" t="s">
        <v>445</v>
      </c>
      <c r="K66" s="64">
        <f>K62-SUM(K63:K65)</f>
        <v>635.20800000000008</v>
      </c>
      <c r="L66" s="64">
        <f>L62-SUM(L63:L65)</f>
        <v>682.86</v>
      </c>
      <c r="M66" s="64">
        <f>M62-SUM(M63:M65)</f>
        <v>674.90200000000004</v>
      </c>
      <c r="N66" s="64">
        <f>N62-SUM(N63:N65)</f>
        <v>666.55500000000006</v>
      </c>
      <c r="O66" s="1295">
        <f>SUM(K66:N66)</f>
        <v>2659.5250000000005</v>
      </c>
      <c r="P66" s="64">
        <f>P62-SUM(P63:P65)</f>
        <v>707.66699999999992</v>
      </c>
      <c r="Q66" s="64">
        <f>Q62-SUM(Q63:Q65)</f>
        <v>766.55900000000008</v>
      </c>
      <c r="R66" s="64">
        <f>R62-SUM(R63:R65)</f>
        <v>757.44100000000003</v>
      </c>
      <c r="S66" s="64">
        <f>S62-SUM(S63:S65)</f>
        <v>740.82900000000006</v>
      </c>
      <c r="T66" s="1295">
        <f>SUM(P66:S66)</f>
        <v>2972.4960000000005</v>
      </c>
      <c r="U66" s="64">
        <f>U62-SUM(U63:U65)</f>
        <v>800.8</v>
      </c>
      <c r="V66" s="64">
        <f>V62-SUM(V63:V65)</f>
        <v>854.38099999999997</v>
      </c>
      <c r="W66" s="64">
        <f>W62-SUM(W63:W65)</f>
        <v>842.61199999999997</v>
      </c>
      <c r="X66" s="64">
        <f>X62-SUM(X63:X65)</f>
        <v>834.20799999999997</v>
      </c>
      <c r="Y66" s="1295">
        <f>SUM(U66:X66)</f>
        <v>3332.0010000000002</v>
      </c>
      <c r="Z66" s="64">
        <f>Z62-SUM(Z63:Z65)</f>
        <v>906</v>
      </c>
      <c r="AA66" s="64">
        <f>AA62-SUM(AA63:AA65)</f>
        <v>968.6</v>
      </c>
      <c r="AB66" s="64">
        <f>AB62-SUM(AB63:AB65)</f>
        <v>984.4</v>
      </c>
      <c r="AC66" s="64">
        <f>AC62-SUM(AC63:AC65)</f>
        <v>985.8</v>
      </c>
      <c r="AD66" s="1295">
        <f>SUM(Z66:AC66)</f>
        <v>3844.8</v>
      </c>
      <c r="AE66" s="64">
        <f>AE62-SUM(AE63:AE65)</f>
        <v>1062</v>
      </c>
      <c r="AF66" s="64">
        <f>AF62-SUM(AF63:AF65)</f>
        <v>1152.3</v>
      </c>
      <c r="AG66" s="64">
        <f>AG62-SUM(AG63:AG65)</f>
        <v>1138.2</v>
      </c>
      <c r="AH66" s="64">
        <f>AH62-SUM(AH63:AH65)</f>
        <v>1164.4000000000001</v>
      </c>
      <c r="AI66" s="1295">
        <f>SUM(AE66:AH66)</f>
        <v>4516.8999999999996</v>
      </c>
      <c r="AJ66" s="64">
        <f>AJ62-SUM(AJ63:AJ65)</f>
        <v>1230.5</v>
      </c>
      <c r="AK66" s="64">
        <f>AK62-SUM(AK63:AK65)</f>
        <v>1313.9</v>
      </c>
      <c r="AL66" s="64">
        <f>AL62-SUM(AL63:AL65)</f>
        <v>1306.0999999999999</v>
      </c>
      <c r="AM66" s="64">
        <f>AM62-SUM(AM63:AM65)</f>
        <v>1325.3</v>
      </c>
      <c r="AN66" s="1295">
        <f>SUM(AJ66:AM66)</f>
        <v>5175.8</v>
      </c>
      <c r="AO66" s="64">
        <f>AO62-SUM(AO63:AO65)</f>
        <v>1405.9</v>
      </c>
      <c r="AP66" s="64">
        <f>AP62-SUM(AP63:AP65)</f>
        <v>1510.5</v>
      </c>
      <c r="AQ66" s="64">
        <f>AQ62-SUM(AQ63:AQ65)</f>
        <v>1523.1</v>
      </c>
      <c r="AR66" s="64">
        <f>AR62-SUM(AR63:AR65)</f>
        <v>1541.3</v>
      </c>
      <c r="AS66" s="1295">
        <f>SUM(AO66:AR66)</f>
        <v>5980.8</v>
      </c>
      <c r="AT66" s="64">
        <f>AT62-SUM(AT63:AT65)</f>
        <v>1643</v>
      </c>
      <c r="AU66" s="64">
        <f>AU62-SUM(AU63:AU65)</f>
        <v>1754.9</v>
      </c>
      <c r="AV66" s="64">
        <f>AV62-SUM(AV63:AV65)</f>
        <v>1769.3</v>
      </c>
      <c r="AW66" s="64">
        <f>AW62-SUM(AW63:AW65)</f>
        <v>1783.7</v>
      </c>
      <c r="AX66" s="1295">
        <f>SUM(AT66:AW66)</f>
        <v>6950.9</v>
      </c>
      <c r="AY66" s="64">
        <f>AY62-SUM(AY63:AY65)</f>
        <v>1895.1</v>
      </c>
      <c r="AZ66" s="64">
        <f>AZ62-SUM(AZ63:AZ65)</f>
        <v>2028.6</v>
      </c>
      <c r="BA66" s="64">
        <f>BA62-SUM(BA63:BA65)</f>
        <v>2033.1</v>
      </c>
      <c r="BB66" s="64">
        <f>BB62-SUM(BB63:BB65)</f>
        <v>2114.9</v>
      </c>
      <c r="BC66" s="1295">
        <f>SUM(AY66:BB66)</f>
        <v>8071.6999999999989</v>
      </c>
      <c r="BD66" s="64">
        <f>BD62-SUM(BD63:BD65)</f>
        <v>2201.8000000000002</v>
      </c>
      <c r="BE66" s="64">
        <f>BE62-SUM(BE63:BE65)</f>
        <v>2355</v>
      </c>
      <c r="BF66" s="64">
        <f>BF62-SUM(BF63:BF65)</f>
        <v>2372.1</v>
      </c>
      <c r="BG66" s="64">
        <f>BG62-SUM(BG63:BG65)</f>
        <v>2434.9</v>
      </c>
      <c r="BH66" s="1295">
        <f>SUM(BD66:BG66)</f>
        <v>9363.7999999999993</v>
      </c>
      <c r="BI66" s="64">
        <f>BI62-SUM(BI63:BI65)</f>
        <v>2460.6999999999998</v>
      </c>
      <c r="BJ66" s="64">
        <f>BJ62-SUM(BJ63:BJ65)</f>
        <v>2638.4</v>
      </c>
      <c r="BK66" s="64">
        <f>BK62-SUM(BK63:BK65)</f>
        <v>2635.6</v>
      </c>
      <c r="BL66" s="64">
        <f>BL62-SUM(BL63:BL65)</f>
        <v>2732.4</v>
      </c>
      <c r="BM66" s="1295">
        <f>SUM(BI66:BL66)</f>
        <v>10467.1</v>
      </c>
      <c r="BN66" s="64">
        <f>BN62-SUM(BN63:BN65)</f>
        <v>2903.7</v>
      </c>
      <c r="BO66" s="64">
        <f>BO62-SUM(BO63:BO65)</f>
        <v>3015.3</v>
      </c>
      <c r="BP66" s="64">
        <f>BP62-SUM(BP63:BP65)</f>
        <v>3022.4</v>
      </c>
      <c r="BQ66" s="64">
        <f>BQ62-SUM(BQ63:BQ65)</f>
        <v>3151.8</v>
      </c>
      <c r="BR66" s="1295">
        <f>SUM(BN66:BQ66)</f>
        <v>12093.2</v>
      </c>
      <c r="BS66" s="64">
        <f>BS62-SUM(BS63:BS65)</f>
        <v>3193</v>
      </c>
      <c r="BT66" s="64">
        <f>BT62-SUM(BT63:BT65)</f>
        <v>3354</v>
      </c>
      <c r="BU66" s="64">
        <f>BU62-SUM(BU63:BU65)</f>
        <v>3331</v>
      </c>
      <c r="BV66" s="64">
        <f>BV62-SUM(BV63:BV65)</f>
        <v>3402.7</v>
      </c>
      <c r="BW66" s="1295">
        <f>SUM(BS66:BV66)</f>
        <v>13280.7</v>
      </c>
      <c r="BX66" s="538">
        <f>BX62-SUM(BX63:BX65)</f>
        <v>3447</v>
      </c>
      <c r="BY66" s="64">
        <f>BY62-SUM(BY63:BY65)</f>
        <v>3592</v>
      </c>
      <c r="BZ66" s="64">
        <f>BZ62-SUM(BZ63:BZ65)</f>
        <v>3575</v>
      </c>
      <c r="CA66" s="539">
        <f>CA62-SUM(CA63:CA65)</f>
        <v>3604</v>
      </c>
      <c r="CB66" s="1295">
        <f t="shared" si="86"/>
        <v>14218</v>
      </c>
      <c r="CC66" s="538">
        <f>CC62-SUM(CC63:CC65)</f>
        <v>3702</v>
      </c>
      <c r="CD66" s="64">
        <f>CD62-SUM(CD63:CD65)</f>
        <v>3773</v>
      </c>
      <c r="CE66" s="64">
        <f>CE62-SUM(CE63:CE65)</f>
        <v>3868</v>
      </c>
      <c r="CF66" s="539">
        <f>CF62-SUM(CF63:CF65)</f>
        <v>3993</v>
      </c>
      <c r="CG66" s="1317">
        <f t="shared" si="87"/>
        <v>15336</v>
      </c>
      <c r="CH66" s="64">
        <f>CH62-SUM(CH63:CH65)</f>
        <v>3952</v>
      </c>
      <c r="CI66" s="64">
        <f>CI62-SUM(CI63:CI65)</f>
        <v>4071</v>
      </c>
      <c r="CJ66" s="64">
        <f>CJ62-SUM(CJ63:CJ65)</f>
        <v>4149</v>
      </c>
      <c r="CK66" s="64">
        <f>CK62-SUM(CK63:CK65)</f>
        <v>4170</v>
      </c>
      <c r="CL66" s="1317">
        <f t="shared" si="88"/>
        <v>16342</v>
      </c>
      <c r="CM66" s="538">
        <f>CM62-SUM(CM63:CM65)</f>
        <v>4144</v>
      </c>
      <c r="CN66" s="64">
        <f>CN62-SUM(CN63:CN65)</f>
        <v>4223</v>
      </c>
      <c r="CO66" s="64">
        <f>CO62-SUM(CO63:CO65)</f>
        <v>4058</v>
      </c>
      <c r="CP66" s="539">
        <f>CP62-SUM(CP63:CP65)</f>
        <v>4129</v>
      </c>
      <c r="CQ66" s="1317">
        <f t="shared" si="89"/>
        <v>16554</v>
      </c>
      <c r="CR66" s="538">
        <f>CR62-SUM(CR63:CR65)</f>
        <v>4248</v>
      </c>
      <c r="CS66" s="64">
        <f>CS62-SUM(CS63:CS65)</f>
        <v>4401</v>
      </c>
      <c r="CT66" s="64">
        <f>CT62-SUM(CT63:CT65)</f>
        <v>4240</v>
      </c>
      <c r="CU66" s="64">
        <f>CU62-SUM(CU63:CU65)</f>
        <v>4189</v>
      </c>
      <c r="CV66" s="1317">
        <f t="shared" si="90"/>
        <v>17078</v>
      </c>
      <c r="CW66" s="538">
        <f>CW62-SUM(CW63:CW65)</f>
        <v>4265</v>
      </c>
      <c r="CX66" s="64">
        <f>CX62-SUM(CX63:CX65)</f>
        <v>4477</v>
      </c>
      <c r="CY66" s="64">
        <f>CY62-SUM(CY63:CY65)</f>
        <v>4361</v>
      </c>
      <c r="CZ66" s="539">
        <f>CZ62-SUM(CZ63:CZ65)</f>
        <v>4275</v>
      </c>
      <c r="DA66" s="1317">
        <f t="shared" si="91"/>
        <v>17378</v>
      </c>
      <c r="DB66" s="538">
        <f>DB62-SUM(DB63:DB65)</f>
        <v>4337</v>
      </c>
      <c r="DC66" s="64">
        <f>DC62-SUM(DC63:DC65)</f>
        <v>5198</v>
      </c>
      <c r="DD66" s="64">
        <f>DD62-SUM(DD63:DD65)</f>
        <v>5801</v>
      </c>
      <c r="DE66" s="64">
        <f>DE62-SUM(DE63:DE65)</f>
        <v>5924</v>
      </c>
      <c r="DF66" s="1317">
        <f t="shared" si="92"/>
        <v>21260</v>
      </c>
      <c r="DG66" s="64">
        <f>DG62-SUM(DG63:DG65)</f>
        <v>5829</v>
      </c>
      <c r="DH66" s="64">
        <f>DH62-SUM(DH63:DH65)</f>
        <v>5892</v>
      </c>
      <c r="DI66" s="64">
        <f>DI62-SUM(DI63:DI65)</f>
        <v>5783</v>
      </c>
      <c r="DJ66" s="64">
        <f>DJ62-SUM(DJ63:DJ65)</f>
        <v>5658</v>
      </c>
      <c r="DK66" s="619">
        <f t="shared" si="93"/>
        <v>23162</v>
      </c>
      <c r="DL66" s="64">
        <f>DL62-SUM(DL63:DL65)</f>
        <v>5506</v>
      </c>
      <c r="DM66" s="64">
        <f>DM62-SUM(DM63:DM65)</f>
        <v>5673</v>
      </c>
      <c r="DN66" s="64">
        <f>DN62-SUM(DN63:DN65)</f>
        <v>5261</v>
      </c>
      <c r="DO66" s="64">
        <f>DO62-SUM(DO63:DO65)</f>
        <v>5530</v>
      </c>
      <c r="DP66" s="619">
        <f t="shared" si="94"/>
        <v>21970</v>
      </c>
      <c r="DQ66" s="64">
        <f>DQ62-SUM(DQ63:DQ65)</f>
        <v>5706</v>
      </c>
      <c r="DR66" s="64">
        <f>DR67+'International Retail'!DR27+'International Wholesale'!DR26</f>
        <v>6330.4821041039313</v>
      </c>
      <c r="DS66" s="64">
        <f>DS67+'International Retail'!DS27+'International Wholesale'!DS26</f>
        <v>6320.027361458473</v>
      </c>
      <c r="DT66" s="539">
        <f>DT67+'International Retail'!DT27+'International Wholesale'!DT26</f>
        <v>6214.1350444760055</v>
      </c>
      <c r="DU66" s="619">
        <f t="shared" si="95"/>
        <v>24570.644510038412</v>
      </c>
      <c r="DV66" s="538">
        <f>DV67+'International Retail'!DV27+'International Wholesale'!DV26</f>
        <v>6231.7288629040859</v>
      </c>
      <c r="DW66" s="64">
        <f>DW67+'International Retail'!DW27+'International Wholesale'!DW26</f>
        <v>6512.9346812630383</v>
      </c>
      <c r="DX66" s="64">
        <f>DX67+'International Retail'!DX27+'International Wholesale'!DX26</f>
        <v>6322.2405828947849</v>
      </c>
      <c r="DY66" s="539">
        <f>DY67+'International Retail'!DY27+'International Wholesale'!DY26</f>
        <v>6182.3689953158409</v>
      </c>
      <c r="DZ66" s="619">
        <f t="shared" si="96"/>
        <v>25249.273122377752</v>
      </c>
      <c r="EA66" s="538">
        <f>EA67+'International Retail'!EA27+'International Wholesale'!EA26</f>
        <v>6373.78755302022</v>
      </c>
      <c r="EB66" s="64">
        <f>EB67+'International Retail'!EB27+'International Wholesale'!EB26</f>
        <v>6662.5875373052104</v>
      </c>
      <c r="EC66" s="64">
        <f>EC67+'International Retail'!EC27+'International Wholesale'!EC26</f>
        <v>6467.1793694937269</v>
      </c>
      <c r="ED66" s="539">
        <f>ED67+'International Retail'!ED27+'International Wholesale'!ED26</f>
        <v>6323.9214540731164</v>
      </c>
      <c r="EE66" s="619">
        <f t="shared" si="97"/>
        <v>25827.475913892271</v>
      </c>
      <c r="EF66" s="53"/>
      <c r="EG66" s="53"/>
      <c r="EH66"/>
      <c r="EI66"/>
      <c r="EJ66"/>
      <c r="EK66"/>
      <c r="EL66"/>
      <c r="EM66"/>
      <c r="EN66" s="53"/>
      <c r="EO66" s="53"/>
      <c r="EP66" s="53"/>
      <c r="EQ66" s="53"/>
      <c r="ER66" s="53"/>
      <c r="ES66" s="53"/>
      <c r="ET66" s="53"/>
      <c r="EU66" s="53"/>
      <c r="EV66" s="53"/>
      <c r="EW66" s="53"/>
      <c r="EX66" s="53"/>
      <c r="EY66" s="53"/>
      <c r="EZ66" s="53"/>
      <c r="FA66" s="53"/>
      <c r="FB66" s="53"/>
      <c r="FC66" s="53"/>
      <c r="FD66" s="53"/>
      <c r="FE66" s="53"/>
      <c r="FF66" s="53"/>
      <c r="FG66" s="53"/>
      <c r="FH66" s="53"/>
      <c r="FI66" s="53"/>
      <c r="FJ66" s="53"/>
      <c r="FK66" s="53"/>
      <c r="FL66" s="53"/>
      <c r="FM66" s="53"/>
      <c r="FN66" s="53"/>
      <c r="FO66" s="53"/>
      <c r="FP66" s="53"/>
      <c r="FQ66" s="53"/>
      <c r="FR66" s="53"/>
      <c r="FS66" s="53"/>
      <c r="FT66" s="53"/>
      <c r="FU66" s="53"/>
      <c r="FV66" s="53"/>
      <c r="FW66" s="53"/>
      <c r="FX66" s="53"/>
      <c r="FY66" s="53"/>
      <c r="FZ66" s="53"/>
      <c r="GA66" s="53"/>
      <c r="GB66" s="53"/>
      <c r="GC66" s="53"/>
      <c r="GD66" s="53"/>
      <c r="GE66" s="53"/>
      <c r="GF66" s="53"/>
      <c r="GG66" s="53"/>
      <c r="GH66" s="53"/>
      <c r="GI66" s="53"/>
      <c r="GJ66" s="53"/>
      <c r="GK66" s="53"/>
      <c r="GL66" s="53"/>
      <c r="GM66" s="53"/>
      <c r="GN66" s="53"/>
      <c r="GO66" s="53"/>
      <c r="GP66" s="53"/>
      <c r="GQ66" s="53"/>
      <c r="GR66" s="53"/>
      <c r="GS66" s="53"/>
      <c r="GT66" s="53"/>
      <c r="GU66" s="53"/>
      <c r="GV66" s="53"/>
      <c r="GW66" s="53"/>
      <c r="GX66" s="53"/>
      <c r="GY66" s="53"/>
      <c r="GZ66" s="53"/>
      <c r="HA66" s="53"/>
      <c r="HB66" s="53"/>
      <c r="HC66" s="53"/>
      <c r="HD66" s="53"/>
      <c r="HE66" s="53"/>
      <c r="HF66" s="53"/>
      <c r="HG66" s="53"/>
      <c r="HH66" s="53"/>
      <c r="HI66" s="53"/>
      <c r="HJ66" s="53"/>
      <c r="HK66" s="53"/>
      <c r="HL66" s="53"/>
      <c r="HM66" s="53"/>
      <c r="HN66" s="53"/>
      <c r="HO66" s="53"/>
      <c r="HP66" s="53"/>
      <c r="HQ66" s="53"/>
      <c r="HR66" s="53"/>
      <c r="HS66" s="53"/>
      <c r="HT66" s="53"/>
      <c r="HU66" s="53"/>
      <c r="HV66" s="53"/>
      <c r="HW66" s="53"/>
      <c r="HX66" s="53"/>
    </row>
    <row r="67" spans="2:232" s="64" customFormat="1">
      <c r="B67" s="1509" t="s">
        <v>230</v>
      </c>
      <c r="K67" s="64">
        <f>K66</f>
        <v>635.20800000000008</v>
      </c>
      <c r="L67" s="64">
        <f t="shared" ref="L67:BW67" si="98">L66</f>
        <v>682.86</v>
      </c>
      <c r="M67" s="64">
        <f t="shared" si="98"/>
        <v>674.90200000000004</v>
      </c>
      <c r="N67" s="64">
        <f t="shared" si="98"/>
        <v>666.55500000000006</v>
      </c>
      <c r="O67" s="64">
        <f t="shared" si="98"/>
        <v>2659.5250000000005</v>
      </c>
      <c r="P67" s="64">
        <f t="shared" si="98"/>
        <v>707.66699999999992</v>
      </c>
      <c r="Q67" s="64">
        <f t="shared" si="98"/>
        <v>766.55900000000008</v>
      </c>
      <c r="R67" s="64">
        <f t="shared" si="98"/>
        <v>757.44100000000003</v>
      </c>
      <c r="S67" s="64">
        <f t="shared" si="98"/>
        <v>740.82900000000006</v>
      </c>
      <c r="T67" s="64">
        <f t="shared" si="98"/>
        <v>2972.4960000000005</v>
      </c>
      <c r="U67" s="64">
        <f t="shared" si="98"/>
        <v>800.8</v>
      </c>
      <c r="V67" s="64">
        <f t="shared" si="98"/>
        <v>854.38099999999997</v>
      </c>
      <c r="W67" s="64">
        <f t="shared" si="98"/>
        <v>842.61199999999997</v>
      </c>
      <c r="X67" s="64">
        <f t="shared" si="98"/>
        <v>834.20799999999997</v>
      </c>
      <c r="Y67" s="64">
        <f t="shared" si="98"/>
        <v>3332.0010000000002</v>
      </c>
      <c r="Z67" s="64">
        <f t="shared" si="98"/>
        <v>906</v>
      </c>
      <c r="AA67" s="64">
        <f t="shared" si="98"/>
        <v>968.6</v>
      </c>
      <c r="AB67" s="64">
        <f t="shared" si="98"/>
        <v>984.4</v>
      </c>
      <c r="AC67" s="64">
        <f t="shared" si="98"/>
        <v>985.8</v>
      </c>
      <c r="AD67" s="64">
        <f t="shared" si="98"/>
        <v>3844.8</v>
      </c>
      <c r="AE67" s="64">
        <f t="shared" si="98"/>
        <v>1062</v>
      </c>
      <c r="AF67" s="64">
        <f t="shared" si="98"/>
        <v>1152.3</v>
      </c>
      <c r="AG67" s="64">
        <f t="shared" si="98"/>
        <v>1138.2</v>
      </c>
      <c r="AH67" s="64">
        <f t="shared" si="98"/>
        <v>1164.4000000000001</v>
      </c>
      <c r="AI67" s="64">
        <f t="shared" si="98"/>
        <v>4516.8999999999996</v>
      </c>
      <c r="AJ67" s="64">
        <f t="shared" si="98"/>
        <v>1230.5</v>
      </c>
      <c r="AK67" s="64">
        <f t="shared" si="98"/>
        <v>1313.9</v>
      </c>
      <c r="AL67" s="64">
        <f t="shared" si="98"/>
        <v>1306.0999999999999</v>
      </c>
      <c r="AM67" s="64">
        <f t="shared" si="98"/>
        <v>1325.3</v>
      </c>
      <c r="AN67" s="64">
        <f t="shared" si="98"/>
        <v>5175.8</v>
      </c>
      <c r="AO67" s="64">
        <f t="shared" si="98"/>
        <v>1405.9</v>
      </c>
      <c r="AP67" s="64">
        <f t="shared" si="98"/>
        <v>1510.5</v>
      </c>
      <c r="AQ67" s="64">
        <f t="shared" si="98"/>
        <v>1523.1</v>
      </c>
      <c r="AR67" s="64">
        <f t="shared" si="98"/>
        <v>1541.3</v>
      </c>
      <c r="AS67" s="64">
        <f t="shared" si="98"/>
        <v>5980.8</v>
      </c>
      <c r="AT67" s="64">
        <f t="shared" si="98"/>
        <v>1643</v>
      </c>
      <c r="AU67" s="64">
        <f t="shared" si="98"/>
        <v>1754.9</v>
      </c>
      <c r="AV67" s="64">
        <f t="shared" si="98"/>
        <v>1769.3</v>
      </c>
      <c r="AW67" s="64">
        <f t="shared" si="98"/>
        <v>1783.7</v>
      </c>
      <c r="AX67" s="64">
        <f t="shared" si="98"/>
        <v>6950.9</v>
      </c>
      <c r="AY67" s="64">
        <f t="shared" si="98"/>
        <v>1895.1</v>
      </c>
      <c r="AZ67" s="64">
        <f t="shared" si="98"/>
        <v>2028.6</v>
      </c>
      <c r="BA67" s="64">
        <f t="shared" si="98"/>
        <v>2033.1</v>
      </c>
      <c r="BB67" s="64">
        <f t="shared" si="98"/>
        <v>2114.9</v>
      </c>
      <c r="BC67" s="64">
        <f t="shared" si="98"/>
        <v>8071.6999999999989</v>
      </c>
      <c r="BD67" s="64">
        <f t="shared" si="98"/>
        <v>2201.8000000000002</v>
      </c>
      <c r="BE67" s="64">
        <f t="shared" si="98"/>
        <v>2355</v>
      </c>
      <c r="BF67" s="64">
        <f t="shared" si="98"/>
        <v>2372.1</v>
      </c>
      <c r="BG67" s="64">
        <f t="shared" si="98"/>
        <v>2434.9</v>
      </c>
      <c r="BH67" s="64">
        <f t="shared" si="98"/>
        <v>9363.7999999999993</v>
      </c>
      <c r="BI67" s="64">
        <f t="shared" si="98"/>
        <v>2460.6999999999998</v>
      </c>
      <c r="BJ67" s="64">
        <f t="shared" si="98"/>
        <v>2638.4</v>
      </c>
      <c r="BK67" s="64">
        <f t="shared" si="98"/>
        <v>2635.6</v>
      </c>
      <c r="BL67" s="64">
        <f t="shared" si="98"/>
        <v>2732.4</v>
      </c>
      <c r="BM67" s="64">
        <f t="shared" si="98"/>
        <v>10467.1</v>
      </c>
      <c r="BN67" s="64">
        <f t="shared" si="98"/>
        <v>2903.7</v>
      </c>
      <c r="BO67" s="64">
        <f t="shared" si="98"/>
        <v>3015.3</v>
      </c>
      <c r="BP67" s="64">
        <f t="shared" si="98"/>
        <v>3022.4</v>
      </c>
      <c r="BQ67" s="64">
        <f t="shared" si="98"/>
        <v>3151.8</v>
      </c>
      <c r="BR67" s="64">
        <f t="shared" si="98"/>
        <v>12093.2</v>
      </c>
      <c r="BS67" s="64">
        <f t="shared" si="98"/>
        <v>3193</v>
      </c>
      <c r="BT67" s="64">
        <f t="shared" si="98"/>
        <v>3354</v>
      </c>
      <c r="BU67" s="64">
        <f t="shared" si="98"/>
        <v>3331</v>
      </c>
      <c r="BV67" s="64">
        <f t="shared" si="98"/>
        <v>3402.7</v>
      </c>
      <c r="BW67" s="64">
        <f t="shared" si="98"/>
        <v>13280.7</v>
      </c>
      <c r="BX67" s="538">
        <f t="shared" ref="BX67:CF67" si="99">BX66</f>
        <v>3447</v>
      </c>
      <c r="BY67" s="64">
        <f t="shared" si="99"/>
        <v>3592</v>
      </c>
      <c r="BZ67" s="64">
        <f t="shared" si="99"/>
        <v>3575</v>
      </c>
      <c r="CA67" s="539">
        <f t="shared" si="99"/>
        <v>3604</v>
      </c>
      <c r="CB67" s="64">
        <f t="shared" si="86"/>
        <v>14218</v>
      </c>
      <c r="CC67" s="538">
        <f t="shared" si="99"/>
        <v>3702</v>
      </c>
      <c r="CD67" s="64">
        <f t="shared" si="99"/>
        <v>3773</v>
      </c>
      <c r="CE67" s="64">
        <f t="shared" si="99"/>
        <v>3868</v>
      </c>
      <c r="CF67" s="539">
        <f t="shared" si="99"/>
        <v>3993</v>
      </c>
      <c r="CG67" s="1317">
        <f t="shared" si="87"/>
        <v>15336</v>
      </c>
      <c r="CH67" s="64">
        <f>CH66</f>
        <v>3952</v>
      </c>
      <c r="CI67" s="64">
        <f>CI66</f>
        <v>4071</v>
      </c>
      <c r="CJ67" s="64">
        <f>CJ66</f>
        <v>4149</v>
      </c>
      <c r="CK67" s="64">
        <f>CK66</f>
        <v>4170</v>
      </c>
      <c r="CL67" s="1317">
        <f t="shared" si="88"/>
        <v>16342</v>
      </c>
      <c r="CM67" s="538">
        <f>CM66</f>
        <v>4144</v>
      </c>
      <c r="CN67" s="64">
        <f>CN66</f>
        <v>4223</v>
      </c>
      <c r="CO67" s="64">
        <f>CO66</f>
        <v>4058</v>
      </c>
      <c r="CP67" s="539">
        <f>CP66</f>
        <v>4129</v>
      </c>
      <c r="CQ67" s="1317">
        <f t="shared" si="89"/>
        <v>16554</v>
      </c>
      <c r="CR67" s="538">
        <f>CR66</f>
        <v>4248</v>
      </c>
      <c r="CS67" s="64">
        <f>CS66</f>
        <v>4401</v>
      </c>
      <c r="CT67" s="64">
        <f>CT66</f>
        <v>4240</v>
      </c>
      <c r="CU67" s="64">
        <f>CU66</f>
        <v>4189</v>
      </c>
      <c r="CV67" s="1317">
        <f t="shared" si="90"/>
        <v>17078</v>
      </c>
      <c r="CW67" s="64">
        <f>CW66</f>
        <v>4265</v>
      </c>
      <c r="CX67" s="64">
        <f>CX66</f>
        <v>4477</v>
      </c>
      <c r="CY67" s="64">
        <f>CY66</f>
        <v>4361</v>
      </c>
      <c r="CZ67" s="64">
        <f>CZ66</f>
        <v>4275</v>
      </c>
      <c r="DA67" s="1317">
        <f t="shared" si="91"/>
        <v>17378</v>
      </c>
      <c r="DB67" s="538">
        <f>DB66</f>
        <v>4337</v>
      </c>
      <c r="DC67" s="64">
        <f>'US Retail'!DC198</f>
        <v>4304</v>
      </c>
      <c r="DD67" s="64">
        <f>'US Retail'!DD198</f>
        <v>4268</v>
      </c>
      <c r="DE67" s="64">
        <f>'US Retail'!DE198</f>
        <v>4308</v>
      </c>
      <c r="DF67" s="1317">
        <f t="shared" si="92"/>
        <v>17217</v>
      </c>
      <c r="DG67" s="64">
        <f>'US Retail'!DG198</f>
        <v>4248</v>
      </c>
      <c r="DH67" s="64">
        <f>'US Retail'!DH198</f>
        <v>4331</v>
      </c>
      <c r="DI67" s="64">
        <f>'US Retail'!DI198</f>
        <v>4313</v>
      </c>
      <c r="DJ67" s="64">
        <f>'US Retail'!DJ198</f>
        <v>4296</v>
      </c>
      <c r="DK67" s="619">
        <f t="shared" si="93"/>
        <v>17188</v>
      </c>
      <c r="DL67" s="64">
        <f>'US Retail'!DL198</f>
        <v>4208</v>
      </c>
      <c r="DM67" s="64">
        <f>'US Retail'!DM198</f>
        <v>4373</v>
      </c>
      <c r="DN67" s="64">
        <f>'US Retail'!DN198</f>
        <v>4251</v>
      </c>
      <c r="DO67" s="64">
        <f>'US Retail'!DO198</f>
        <v>4215</v>
      </c>
      <c r="DP67" s="619">
        <f t="shared" si="94"/>
        <v>17047</v>
      </c>
      <c r="DQ67" s="64">
        <f>'US Retail'!DQ198</f>
        <v>4348</v>
      </c>
      <c r="DR67" s="1510">
        <f>DM67*(1+DR68)</f>
        <v>4854.0300000000007</v>
      </c>
      <c r="DS67" s="1510">
        <f>DN67*(1+DS68)</f>
        <v>4888.6499999999996</v>
      </c>
      <c r="DT67" s="2229">
        <f>DO67*(1+DT68)</f>
        <v>4805.1000000000004</v>
      </c>
      <c r="DU67" s="619">
        <f t="shared" si="95"/>
        <v>18895.78</v>
      </c>
      <c r="DV67" s="538">
        <f>DQ67*(1+DV68)</f>
        <v>4809.5429897871754</v>
      </c>
      <c r="DW67" s="64">
        <f>DR67*(1+DW68)</f>
        <v>4999.4156389058062</v>
      </c>
      <c r="DX67" s="64">
        <f>DS67*(1+DX68)</f>
        <v>4855.5685856954178</v>
      </c>
      <c r="DY67" s="539">
        <f>DT67*(1+DY68)</f>
        <v>4739.0563127095402</v>
      </c>
      <c r="DZ67" s="619">
        <f t="shared" si="96"/>
        <v>19403.583527097941</v>
      </c>
      <c r="EA67" s="538">
        <f>DV67*(1+EA68)</f>
        <v>4905.733849582919</v>
      </c>
      <c r="EB67" s="64">
        <f>DW67*(1+EB68)</f>
        <v>5099.4039516839221</v>
      </c>
      <c r="EC67" s="64">
        <f>DX67*(1+EC68)</f>
        <v>4952.6799574093266</v>
      </c>
      <c r="ED67" s="539">
        <f>DY67*(1+ED68)</f>
        <v>4833.8374389637311</v>
      </c>
      <c r="EE67" s="619">
        <f t="shared" si="97"/>
        <v>19791.655197639899</v>
      </c>
      <c r="EF67" s="53"/>
      <c r="EG67" s="53"/>
      <c r="EH67"/>
      <c r="EI67"/>
      <c r="EJ67"/>
      <c r="EK67"/>
      <c r="EL67"/>
      <c r="EM67"/>
      <c r="EN67" s="53"/>
      <c r="EO67" s="53"/>
      <c r="EP67" s="53"/>
      <c r="EQ67" s="53"/>
      <c r="ER67" s="53"/>
      <c r="ES67" s="53"/>
      <c r="ET67" s="53"/>
      <c r="EU67" s="53"/>
      <c r="EV67" s="53"/>
      <c r="EW67" s="53"/>
      <c r="EX67" s="53"/>
      <c r="EY67" s="53"/>
      <c r="EZ67" s="53"/>
      <c r="FA67" s="53"/>
      <c r="FB67" s="53"/>
      <c r="FC67" s="53"/>
      <c r="FD67" s="53"/>
      <c r="FE67" s="53"/>
      <c r="FF67" s="53"/>
      <c r="FG67" s="53"/>
      <c r="FH67" s="53"/>
      <c r="FI67" s="53"/>
      <c r="FJ67" s="53"/>
      <c r="FK67" s="53"/>
      <c r="FL67" s="53"/>
      <c r="FM67" s="53"/>
      <c r="FN67" s="53"/>
      <c r="FO67" s="53"/>
      <c r="FP67" s="53"/>
      <c r="FQ67" s="53"/>
      <c r="FR67" s="53"/>
      <c r="FS67" s="53"/>
      <c r="FT67" s="53"/>
      <c r="FU67" s="53"/>
      <c r="FV67" s="53"/>
      <c r="FW67" s="53"/>
      <c r="FX67" s="53"/>
      <c r="FY67" s="53"/>
      <c r="FZ67" s="53"/>
      <c r="GA67" s="53"/>
      <c r="GB67" s="53"/>
      <c r="GC67" s="53"/>
      <c r="GD67" s="53"/>
      <c r="GE67" s="53"/>
      <c r="GF67" s="53"/>
      <c r="GG67" s="53"/>
      <c r="GH67" s="53"/>
      <c r="GI67" s="53"/>
      <c r="GJ67" s="53"/>
      <c r="GK67" s="53"/>
      <c r="GL67" s="53"/>
      <c r="GM67" s="53"/>
      <c r="GN67" s="53"/>
      <c r="GO67" s="53"/>
      <c r="GP67" s="53"/>
      <c r="GQ67" s="53"/>
      <c r="GR67" s="53"/>
      <c r="GS67" s="53"/>
      <c r="GT67" s="53"/>
      <c r="GU67" s="53"/>
      <c r="GV67" s="53"/>
      <c r="GW67" s="53"/>
      <c r="GX67" s="53"/>
      <c r="GY67" s="53"/>
      <c r="GZ67" s="53"/>
      <c r="HA67" s="53"/>
      <c r="HB67" s="53"/>
      <c r="HC67" s="53"/>
      <c r="HD67" s="53"/>
      <c r="HE67" s="53"/>
      <c r="HF67" s="53"/>
      <c r="HG67" s="53"/>
      <c r="HH67" s="53"/>
      <c r="HI67" s="53"/>
      <c r="HJ67" s="53"/>
      <c r="HK67" s="53"/>
      <c r="HL67" s="53"/>
      <c r="HM67" s="53"/>
      <c r="HN67" s="53"/>
      <c r="HO67" s="53"/>
      <c r="HP67" s="53"/>
      <c r="HQ67" s="53"/>
      <c r="HR67" s="53"/>
      <c r="HS67" s="53"/>
      <c r="HT67" s="53"/>
      <c r="HU67" s="53"/>
      <c r="HV67" s="53"/>
      <c r="HW67" s="53"/>
      <c r="HX67" s="53"/>
    </row>
    <row r="68" spans="2:232" s="64" customFormat="1" outlineLevel="1">
      <c r="B68" s="1578" t="s">
        <v>174</v>
      </c>
      <c r="C68" s="375"/>
      <c r="D68" s="375"/>
      <c r="E68" s="320"/>
      <c r="F68" s="320"/>
      <c r="G68" s="320"/>
      <c r="H68" s="320"/>
      <c r="I68" s="320"/>
      <c r="J68" s="320"/>
      <c r="K68" s="1292"/>
      <c r="L68" s="320"/>
      <c r="M68" s="320"/>
      <c r="N68" s="1301"/>
      <c r="O68" s="320"/>
      <c r="P68" s="1292">
        <f>P67/K67-1</f>
        <v>0.11407129633128021</v>
      </c>
      <c r="Q68" s="320">
        <f t="shared" ref="Q68:CB68" si="100">Q67/L67-1</f>
        <v>0.12257124447178058</v>
      </c>
      <c r="R68" s="320">
        <f t="shared" si="100"/>
        <v>0.12229775582232683</v>
      </c>
      <c r="S68" s="1301">
        <f t="shared" si="100"/>
        <v>0.11142966446879843</v>
      </c>
      <c r="T68" s="320">
        <f t="shared" si="100"/>
        <v>0.11767928483469792</v>
      </c>
      <c r="U68" s="1292">
        <f t="shared" si="100"/>
        <v>0.13160568459459054</v>
      </c>
      <c r="V68" s="320">
        <f t="shared" si="100"/>
        <v>0.11456652390748778</v>
      </c>
      <c r="W68" s="320">
        <f t="shared" si="100"/>
        <v>0.11244572184500168</v>
      </c>
      <c r="X68" s="1301">
        <f t="shared" si="100"/>
        <v>0.12604663154385132</v>
      </c>
      <c r="Y68" s="320">
        <f t="shared" si="100"/>
        <v>0.12094381287645106</v>
      </c>
      <c r="Z68" s="1292">
        <f t="shared" si="100"/>
        <v>0.13136863136863153</v>
      </c>
      <c r="AA68" s="320">
        <f t="shared" si="100"/>
        <v>0.13368625940885859</v>
      </c>
      <c r="AB68" s="320">
        <f t="shared" si="100"/>
        <v>0.16827199232861623</v>
      </c>
      <c r="AC68" s="1301">
        <f t="shared" si="100"/>
        <v>0.18171966703747744</v>
      </c>
      <c r="AD68" s="320">
        <f t="shared" si="100"/>
        <v>0.15390121431536175</v>
      </c>
      <c r="AE68" s="1292">
        <f t="shared" si="100"/>
        <v>0.17218543046357615</v>
      </c>
      <c r="AF68" s="320">
        <f t="shared" si="100"/>
        <v>0.18965517241379293</v>
      </c>
      <c r="AG68" s="320">
        <f t="shared" si="100"/>
        <v>0.1562373019097929</v>
      </c>
      <c r="AH68" s="1301">
        <f t="shared" si="100"/>
        <v>0.18117265165347951</v>
      </c>
      <c r="AI68" s="320">
        <f t="shared" si="100"/>
        <v>0.17480753225135226</v>
      </c>
      <c r="AJ68" s="1292">
        <f t="shared" si="100"/>
        <v>0.15866290018832396</v>
      </c>
      <c r="AK68" s="320">
        <f t="shared" si="100"/>
        <v>0.14024125661720044</v>
      </c>
      <c r="AL68" s="320">
        <f t="shared" si="100"/>
        <v>0.14751361799332274</v>
      </c>
      <c r="AM68" s="1301">
        <f t="shared" si="100"/>
        <v>0.13818275506698718</v>
      </c>
      <c r="AN68" s="320">
        <f t="shared" si="100"/>
        <v>0.14587438287320964</v>
      </c>
      <c r="AO68" s="1292">
        <f t="shared" si="100"/>
        <v>0.14254368143031293</v>
      </c>
      <c r="AP68" s="320">
        <f t="shared" si="100"/>
        <v>0.14963086992921837</v>
      </c>
      <c r="AQ68" s="320">
        <f t="shared" si="100"/>
        <v>0.16614348059107265</v>
      </c>
      <c r="AR68" s="1301">
        <f t="shared" si="100"/>
        <v>0.16298196634724205</v>
      </c>
      <c r="AS68" s="320">
        <f t="shared" si="100"/>
        <v>0.15553151203678661</v>
      </c>
      <c r="AT68" s="1292">
        <f t="shared" si="100"/>
        <v>0.16864641866420071</v>
      </c>
      <c r="AU68" s="320">
        <f t="shared" si="100"/>
        <v>0.1618007282356837</v>
      </c>
      <c r="AV68" s="320">
        <f t="shared" si="100"/>
        <v>0.16164401549471474</v>
      </c>
      <c r="AW68" s="1301">
        <f t="shared" si="100"/>
        <v>0.1572698371504575</v>
      </c>
      <c r="AX68" s="320">
        <f t="shared" si="100"/>
        <v>0.16220238095238093</v>
      </c>
      <c r="AY68" s="1292">
        <f t="shared" si="100"/>
        <v>0.1534388314059647</v>
      </c>
      <c r="AZ68" s="320">
        <f t="shared" si="100"/>
        <v>0.15596330275229353</v>
      </c>
      <c r="BA68" s="320">
        <f t="shared" si="100"/>
        <v>0.14909851353642689</v>
      </c>
      <c r="BB68" s="1301">
        <f t="shared" si="100"/>
        <v>0.18568144867410452</v>
      </c>
      <c r="BC68" s="320">
        <f t="shared" si="100"/>
        <v>0.16124530636320467</v>
      </c>
      <c r="BD68" s="1292">
        <f t="shared" si="100"/>
        <v>0.16183842541290705</v>
      </c>
      <c r="BE68" s="320">
        <f t="shared" si="100"/>
        <v>0.16089914226560187</v>
      </c>
      <c r="BF68" s="320">
        <f t="shared" si="100"/>
        <v>0.16674044562490775</v>
      </c>
      <c r="BG68" s="1301">
        <f t="shared" si="100"/>
        <v>0.1513073904203508</v>
      </c>
      <c r="BH68" s="320">
        <f t="shared" si="100"/>
        <v>0.16007780269336092</v>
      </c>
      <c r="BI68" s="1292">
        <f t="shared" si="100"/>
        <v>0.11758561177218629</v>
      </c>
      <c r="BJ68" s="320">
        <f t="shared" si="100"/>
        <v>0.12033970276008499</v>
      </c>
      <c r="BK68" s="320">
        <f t="shared" si="100"/>
        <v>0.11108300661860793</v>
      </c>
      <c r="BL68" s="1301">
        <f t="shared" si="100"/>
        <v>0.12218160910098974</v>
      </c>
      <c r="BM68" s="320">
        <f t="shared" si="100"/>
        <v>0.11782609624297846</v>
      </c>
      <c r="BN68" s="1292">
        <f t="shared" si="100"/>
        <v>0.18003007274352822</v>
      </c>
      <c r="BO68" s="320">
        <f t="shared" si="100"/>
        <v>0.14285172832019399</v>
      </c>
      <c r="BP68" s="320">
        <f t="shared" si="100"/>
        <v>0.14675975110031869</v>
      </c>
      <c r="BQ68" s="1301">
        <f t="shared" si="100"/>
        <v>0.15349143610013183</v>
      </c>
      <c r="BR68" s="320">
        <f t="shared" si="100"/>
        <v>0.15535344078111413</v>
      </c>
      <c r="BS68" s="1292">
        <f t="shared" si="100"/>
        <v>9.9631504632021306E-2</v>
      </c>
      <c r="BT68" s="320">
        <f t="shared" si="100"/>
        <v>0.11232713162869357</v>
      </c>
      <c r="BU68" s="320">
        <f t="shared" si="100"/>
        <v>0.10210428798305982</v>
      </c>
      <c r="BV68" s="1301">
        <f t="shared" si="100"/>
        <v>7.9605304905133512E-2</v>
      </c>
      <c r="BW68" s="320">
        <f t="shared" si="100"/>
        <v>9.819568021698144E-2</v>
      </c>
      <c r="BX68" s="1302">
        <f t="shared" si="100"/>
        <v>7.9549013466958973E-2</v>
      </c>
      <c r="BY68" s="320">
        <f t="shared" si="100"/>
        <v>7.0960047704233808E-2</v>
      </c>
      <c r="BZ68" s="320">
        <f t="shared" si="100"/>
        <v>7.3251275893125189E-2</v>
      </c>
      <c r="CA68" s="1303">
        <f t="shared" si="100"/>
        <v>5.9158903223910375E-2</v>
      </c>
      <c r="CB68" s="320">
        <f t="shared" si="100"/>
        <v>7.0576099151400173E-2</v>
      </c>
      <c r="CC68" s="1302">
        <f t="shared" ref="CC68:DQ68" si="101">CC67/BX67-1</f>
        <v>7.3977371627502286E-2</v>
      </c>
      <c r="CD68" s="320">
        <f t="shared" si="101"/>
        <v>5.0389755011135851E-2</v>
      </c>
      <c r="CE68" s="320">
        <f t="shared" si="101"/>
        <v>8.1958041958041905E-2</v>
      </c>
      <c r="CF68" s="1303">
        <f t="shared" si="101"/>
        <v>0.107935627081021</v>
      </c>
      <c r="CG68" s="949">
        <f t="shared" si="101"/>
        <v>7.8632719088479464E-2</v>
      </c>
      <c r="CH68" s="1292">
        <f t="shared" si="101"/>
        <v>6.7531064289573228E-2</v>
      </c>
      <c r="CI68" s="320">
        <f t="shared" si="101"/>
        <v>7.8982242247548351E-2</v>
      </c>
      <c r="CJ68" s="320">
        <f t="shared" si="101"/>
        <v>7.2647362978283336E-2</v>
      </c>
      <c r="CK68" s="320">
        <f t="shared" si="101"/>
        <v>4.4327573253193142E-2</v>
      </c>
      <c r="CL68" s="949">
        <f t="shared" si="101"/>
        <v>6.559728742827331E-2</v>
      </c>
      <c r="CM68" s="1292">
        <f t="shared" si="101"/>
        <v>4.8582995951417018E-2</v>
      </c>
      <c r="CN68" s="320">
        <f t="shared" si="101"/>
        <v>3.7337263571604051E-2</v>
      </c>
      <c r="CO68" s="320">
        <f t="shared" si="101"/>
        <v>-2.1932995902627095E-2</v>
      </c>
      <c r="CP68" s="320">
        <f t="shared" si="101"/>
        <v>-9.8321342925659083E-3</v>
      </c>
      <c r="CQ68" s="949">
        <f t="shared" si="101"/>
        <v>1.2972708358830021E-2</v>
      </c>
      <c r="CR68" s="1292">
        <f t="shared" si="101"/>
        <v>2.5096525096525157E-2</v>
      </c>
      <c r="CS68" s="320">
        <f t="shared" si="101"/>
        <v>4.2150130239166472E-2</v>
      </c>
      <c r="CT68" s="320">
        <f t="shared" si="101"/>
        <v>4.4849679645145413E-2</v>
      </c>
      <c r="CU68" s="320">
        <f t="shared" si="101"/>
        <v>1.4531363526277596E-2</v>
      </c>
      <c r="CV68" s="949">
        <f t="shared" si="101"/>
        <v>3.1653980910958168E-2</v>
      </c>
      <c r="CW68" s="1292">
        <f t="shared" si="101"/>
        <v>4.0018832391712778E-3</v>
      </c>
      <c r="CX68" s="320">
        <f t="shared" si="101"/>
        <v>1.7268802544876172E-2</v>
      </c>
      <c r="CY68" s="320">
        <f t="shared" si="101"/>
        <v>2.8537735849056611E-2</v>
      </c>
      <c r="CZ68" s="320">
        <f t="shared" si="101"/>
        <v>2.0529959417522115E-2</v>
      </c>
      <c r="DA68" s="949">
        <f>DA67/CV67-1</f>
        <v>1.756645977280713E-2</v>
      </c>
      <c r="DB68" s="1302">
        <f t="shared" si="101"/>
        <v>1.6881594372801789E-2</v>
      </c>
      <c r="DC68" s="320">
        <f t="shared" si="101"/>
        <v>-3.8641947732856785E-2</v>
      </c>
      <c r="DD68" s="320">
        <f t="shared" si="101"/>
        <v>-2.1325384086218757E-2</v>
      </c>
      <c r="DE68" s="320">
        <f t="shared" si="101"/>
        <v>7.7192982456140147E-3</v>
      </c>
      <c r="DF68" s="949">
        <f>DF67/DA67-1</f>
        <v>-9.2645874093681968E-3</v>
      </c>
      <c r="DG68" s="320">
        <f t="shared" si="101"/>
        <v>-2.0521097532856802E-2</v>
      </c>
      <c r="DH68" s="320">
        <f t="shared" si="101"/>
        <v>6.2732342007434383E-3</v>
      </c>
      <c r="DI68" s="320">
        <f t="shared" si="101"/>
        <v>1.054358013120904E-2</v>
      </c>
      <c r="DJ68" s="320">
        <f t="shared" si="101"/>
        <v>-2.7855153203342198E-3</v>
      </c>
      <c r="DK68" s="1567">
        <f>DK67/DF67-1</f>
        <v>-1.6843817157460306E-3</v>
      </c>
      <c r="DL68" s="320">
        <f t="shared" si="101"/>
        <v>-9.4161958568738102E-3</v>
      </c>
      <c r="DM68" s="320">
        <f t="shared" si="101"/>
        <v>9.6975294389287647E-3</v>
      </c>
      <c r="DN68" s="320">
        <f t="shared" si="101"/>
        <v>-1.4375144910734994E-2</v>
      </c>
      <c r="DO68" s="320">
        <f t="shared" si="101"/>
        <v>-1.8854748603351901E-2</v>
      </c>
      <c r="DP68" s="1567">
        <f>DP67/DK67-1</f>
        <v>-8.2033977193390895E-3</v>
      </c>
      <c r="DQ68" s="320">
        <f t="shared" si="101"/>
        <v>3.3269961977186346E-2</v>
      </c>
      <c r="DR68" s="1337">
        <f>Scenarios!AP39</f>
        <v>0.11</v>
      </c>
      <c r="DS68" s="1337">
        <f>Scenarios!AQ39</f>
        <v>0.15</v>
      </c>
      <c r="DT68" s="1337">
        <f>Scenarios!AR39</f>
        <v>0.14000000000000001</v>
      </c>
      <c r="DU68" s="1567">
        <f>DU67/DP67-1</f>
        <v>0.10845192702528306</v>
      </c>
      <c r="DV68" s="1337">
        <f>Scenarios!AT39</f>
        <v>0.10615064162538532</v>
      </c>
      <c r="DW68" s="1337">
        <f>Scenarios!AU39</f>
        <v>2.9951532830618025E-2</v>
      </c>
      <c r="DX68" s="1337">
        <f>Scenarios!AV39</f>
        <v>-6.7669835853624051E-3</v>
      </c>
      <c r="DY68" s="1825">
        <f>Scenarios!AW39</f>
        <v>-1.3744497989731787E-2</v>
      </c>
      <c r="DZ68" s="1567">
        <f>DZ67/DU67-1</f>
        <v>2.6873911905088921E-2</v>
      </c>
      <c r="EA68" s="1337">
        <f>Scenarios!AY39</f>
        <v>0.02</v>
      </c>
      <c r="EB68" s="1337">
        <f>Scenarios!AZ39</f>
        <v>0.02</v>
      </c>
      <c r="EC68" s="1337">
        <f>Scenarios!BA39</f>
        <v>0.02</v>
      </c>
      <c r="ED68" s="1825">
        <f>Scenarios!BB39</f>
        <v>0.02</v>
      </c>
      <c r="EE68" s="1567">
        <f>EE67/DZ67-1</f>
        <v>2.0000000000000018E-2</v>
      </c>
      <c r="EF68" s="2228"/>
      <c r="EG68" s="53"/>
      <c r="EH68"/>
      <c r="EI68"/>
      <c r="EJ68"/>
      <c r="EK68"/>
      <c r="EL68"/>
      <c r="EM68"/>
      <c r="EN68" s="53"/>
      <c r="EO68" s="53">
        <f>EO67+DQ67</f>
        <v>4348</v>
      </c>
      <c r="EP68" s="53"/>
      <c r="EQ68" s="53"/>
      <c r="ER68" s="53"/>
      <c r="ES68" s="39"/>
      <c r="ET68" s="53"/>
      <c r="EU68" s="53"/>
      <c r="EV68" s="53"/>
      <c r="EW68" s="53"/>
      <c r="EX68" s="53"/>
      <c r="EY68" s="53"/>
      <c r="EZ68" s="53"/>
      <c r="FA68" s="53"/>
      <c r="FB68" s="53"/>
      <c r="FC68" s="53"/>
      <c r="FD68" s="53"/>
      <c r="FE68" s="53"/>
      <c r="FF68" s="53"/>
      <c r="FG68" s="53"/>
      <c r="FH68" s="53"/>
      <c r="FI68" s="53"/>
      <c r="FJ68" s="53"/>
      <c r="FK68" s="53"/>
      <c r="FL68" s="53"/>
      <c r="FM68" s="53"/>
      <c r="FN68" s="53"/>
      <c r="FO68" s="53"/>
      <c r="FP68" s="53"/>
      <c r="FQ68" s="53"/>
      <c r="FR68" s="53"/>
      <c r="FS68" s="53"/>
      <c r="FT68" s="53"/>
      <c r="FU68" s="53"/>
      <c r="FV68" s="53"/>
      <c r="FW68" s="53"/>
      <c r="FX68" s="53"/>
      <c r="FY68" s="53"/>
      <c r="FZ68" s="53"/>
      <c r="GA68" s="53"/>
      <c r="GB68" s="53"/>
      <c r="GC68" s="53"/>
      <c r="GD68" s="53"/>
      <c r="GE68" s="53"/>
      <c r="GF68" s="53"/>
      <c r="GG68" s="53"/>
      <c r="GH68" s="53"/>
      <c r="GI68" s="53"/>
      <c r="GJ68" s="53"/>
      <c r="GK68" s="53"/>
      <c r="GL68" s="53"/>
      <c r="GM68" s="53"/>
      <c r="GN68" s="53"/>
      <c r="GO68" s="53"/>
      <c r="GP68" s="53"/>
      <c r="GQ68" s="53"/>
      <c r="GR68" s="53"/>
      <c r="GS68" s="53"/>
      <c r="GT68" s="53"/>
      <c r="GU68" s="53"/>
      <c r="GV68" s="53"/>
      <c r="GW68" s="53"/>
      <c r="GX68" s="53"/>
      <c r="GY68" s="53"/>
      <c r="GZ68" s="53"/>
      <c r="HA68" s="53"/>
      <c r="HB68" s="53"/>
      <c r="HC68" s="53"/>
      <c r="HD68" s="53"/>
      <c r="HE68" s="53"/>
      <c r="HF68" s="53"/>
      <c r="HG68" s="53"/>
      <c r="HH68" s="53"/>
      <c r="HI68" s="53"/>
      <c r="HJ68" s="53"/>
      <c r="HK68" s="53"/>
      <c r="HL68" s="53"/>
      <c r="HM68" s="53"/>
      <c r="HN68" s="53"/>
      <c r="HO68" s="53"/>
      <c r="HP68" s="53"/>
      <c r="HQ68" s="53"/>
      <c r="HR68" s="53"/>
      <c r="HS68" s="53"/>
      <c r="HT68" s="53"/>
      <c r="HU68" s="53"/>
      <c r="HV68" s="53"/>
      <c r="HW68" s="53"/>
      <c r="HX68" s="53"/>
    </row>
    <row r="69" spans="2:232" s="64" customFormat="1" outlineLevel="1" collapsed="1">
      <c r="B69" s="538"/>
      <c r="AS69" s="311"/>
      <c r="AX69" s="311"/>
      <c r="BC69" s="311"/>
      <c r="BH69" s="1294"/>
      <c r="BM69" s="1294"/>
      <c r="BR69" s="1294"/>
      <c r="BW69" s="1294"/>
      <c r="BX69" s="538"/>
      <c r="CA69" s="539"/>
      <c r="CB69" s="1295"/>
      <c r="CC69" s="538"/>
      <c r="CF69" s="539"/>
      <c r="CG69" s="1317"/>
      <c r="CL69" s="1317"/>
      <c r="CM69" s="538"/>
      <c r="CP69" s="539"/>
      <c r="CQ69" s="1317"/>
      <c r="CR69" s="538"/>
      <c r="CS69" s="122"/>
      <c r="CT69" s="122"/>
      <c r="CU69" s="122"/>
      <c r="CV69" s="1317"/>
      <c r="CW69" s="538"/>
      <c r="CY69" s="122"/>
      <c r="CZ69" s="122"/>
      <c r="DA69" s="800"/>
      <c r="DB69" s="538"/>
      <c r="DF69" s="800"/>
      <c r="DK69" s="800"/>
      <c r="DP69" s="800"/>
      <c r="DR69" s="122"/>
      <c r="DS69" s="122"/>
      <c r="DT69" s="1736"/>
      <c r="DU69" s="800"/>
      <c r="DV69" s="1735"/>
      <c r="DW69" s="122"/>
      <c r="DX69" s="122"/>
      <c r="DY69" s="1736"/>
      <c r="DZ69" s="800"/>
      <c r="EA69" s="1735"/>
      <c r="EB69" s="122"/>
      <c r="EC69" s="122"/>
      <c r="ED69" s="1736"/>
      <c r="EE69" s="800"/>
      <c r="EF69" s="53"/>
      <c r="EG69" s="53"/>
      <c r="EH69"/>
      <c r="EI69"/>
      <c r="EJ69"/>
      <c r="EK69"/>
      <c r="EL69"/>
      <c r="EM69"/>
      <c r="EN69" s="53"/>
      <c r="EO69" s="2228">
        <f>EO68/DL67-1</f>
        <v>3.3269961977186346E-2</v>
      </c>
      <c r="EP69" s="2228"/>
      <c r="EQ69" s="2228"/>
      <c r="ER69" s="2228"/>
      <c r="ES69" s="53"/>
      <c r="ET69" s="53"/>
      <c r="EU69" s="53"/>
      <c r="EV69" s="53"/>
      <c r="EW69" s="53"/>
      <c r="EX69" s="53"/>
      <c r="EY69" s="53"/>
      <c r="EZ69" s="53"/>
      <c r="FA69" s="53"/>
      <c r="FB69" s="53"/>
      <c r="FC69" s="53"/>
      <c r="FD69" s="53"/>
      <c r="FE69" s="53"/>
      <c r="FF69" s="53"/>
      <c r="FG69" s="53"/>
      <c r="FH69" s="53"/>
      <c r="FI69" s="53"/>
      <c r="FJ69" s="53"/>
      <c r="FK69" s="53"/>
      <c r="FL69" s="53"/>
      <c r="FM69" s="53"/>
      <c r="FN69" s="53"/>
      <c r="FO69" s="53"/>
      <c r="FP69" s="53"/>
      <c r="FQ69" s="53"/>
      <c r="FR69" s="53"/>
      <c r="FS69" s="53"/>
      <c r="FT69" s="53"/>
      <c r="FU69" s="53"/>
      <c r="FV69" s="53"/>
      <c r="FW69" s="53"/>
      <c r="FX69" s="53"/>
      <c r="FY69" s="53"/>
      <c r="FZ69" s="53"/>
      <c r="GA69" s="53"/>
      <c r="GB69" s="53"/>
      <c r="GC69" s="53"/>
      <c r="GD69" s="53"/>
      <c r="GE69" s="53"/>
      <c r="GF69" s="53"/>
      <c r="GG69" s="53"/>
      <c r="GH69" s="53"/>
      <c r="GI69" s="53"/>
      <c r="GJ69" s="53"/>
      <c r="GK69" s="53"/>
      <c r="GL69" s="53"/>
      <c r="GM69" s="53"/>
      <c r="GN69" s="53"/>
      <c r="GO69" s="53"/>
      <c r="GP69" s="53"/>
      <c r="GQ69" s="53"/>
      <c r="GR69" s="53"/>
      <c r="GS69" s="53"/>
      <c r="GT69" s="53"/>
      <c r="GU69" s="53"/>
      <c r="GV69" s="53"/>
      <c r="GW69" s="53"/>
      <c r="GX69" s="53"/>
      <c r="GY69" s="53"/>
      <c r="GZ69" s="53"/>
      <c r="HA69" s="53"/>
      <c r="HB69" s="53"/>
      <c r="HC69" s="53"/>
      <c r="HD69" s="53"/>
      <c r="HE69" s="53"/>
      <c r="HF69" s="53"/>
      <c r="HG69" s="53"/>
      <c r="HH69" s="53"/>
      <c r="HI69" s="53"/>
      <c r="HJ69" s="53"/>
      <c r="HK69" s="53"/>
      <c r="HL69" s="53"/>
      <c r="HM69" s="53"/>
      <c r="HN69" s="53"/>
      <c r="HO69" s="53"/>
      <c r="HP69" s="53"/>
      <c r="HQ69" s="53"/>
      <c r="HR69" s="53"/>
      <c r="HS69" s="53"/>
      <c r="HT69" s="53"/>
      <c r="HU69" s="53"/>
      <c r="HV69" s="53"/>
      <c r="HW69" s="53"/>
      <c r="HX69" s="53"/>
    </row>
    <row r="70" spans="2:232" s="64" customFormat="1" outlineLevel="1">
      <c r="B70" s="1509" t="s">
        <v>290</v>
      </c>
      <c r="AS70" s="311"/>
      <c r="AX70" s="311"/>
      <c r="BC70" s="311"/>
      <c r="BH70" s="1294"/>
      <c r="BM70" s="1294"/>
      <c r="BR70" s="1294"/>
      <c r="BW70" s="1294"/>
      <c r="BX70" s="538"/>
      <c r="CA70" s="539"/>
      <c r="CB70" s="1295"/>
      <c r="CC70" s="538"/>
      <c r="CF70" s="539"/>
      <c r="CG70" s="1317"/>
      <c r="CL70" s="1317"/>
      <c r="CM70" s="538"/>
      <c r="CP70" s="539"/>
      <c r="CQ70" s="1317"/>
      <c r="CR70" s="538">
        <f>-CR21</f>
        <v>4</v>
      </c>
      <c r="CS70" s="64">
        <f>-CS21</f>
        <v>85</v>
      </c>
      <c r="CT70" s="64">
        <f>-CT21</f>
        <v>131</v>
      </c>
      <c r="CU70" s="328">
        <v>90</v>
      </c>
      <c r="CV70" s="1317">
        <f>SUM(CR70:CU70)</f>
        <v>310</v>
      </c>
      <c r="CW70" s="538">
        <f>-CW21</f>
        <v>151</v>
      </c>
      <c r="CX70" s="64">
        <f>-CX21</f>
        <v>194</v>
      </c>
      <c r="CY70" s="64">
        <f>-CY21</f>
        <v>137</v>
      </c>
      <c r="CZ70" s="64">
        <f>-CZ21</f>
        <v>135</v>
      </c>
      <c r="DA70" s="1317">
        <f>SUM(CW70:CZ70)</f>
        <v>617</v>
      </c>
      <c r="DB70" s="538">
        <f>-DB21</f>
        <v>214</v>
      </c>
      <c r="DC70" s="64">
        <f>-DC21</f>
        <v>101</v>
      </c>
      <c r="DD70" s="64">
        <f>-DD21</f>
        <v>0</v>
      </c>
      <c r="DE70" s="64">
        <f>-DE21</f>
        <v>0</v>
      </c>
      <c r="DF70" s="1317">
        <f>SUM(DB70:DE70)</f>
        <v>315</v>
      </c>
      <c r="DG70" s="64">
        <f>-DG21</f>
        <v>0</v>
      </c>
      <c r="DH70" s="64">
        <f>-DH21</f>
        <v>0</v>
      </c>
      <c r="DI70" s="64">
        <f>-DI21</f>
        <v>3</v>
      </c>
      <c r="DJ70" s="64">
        <f>-DJ21</f>
        <v>34</v>
      </c>
      <c r="DK70" s="619">
        <f>SUM(DG70:DJ70)</f>
        <v>37</v>
      </c>
      <c r="DL70" s="64">
        <f>-DL21</f>
        <v>17</v>
      </c>
      <c r="DM70" s="64">
        <f>-DM21</f>
        <v>42</v>
      </c>
      <c r="DN70" s="64">
        <f>-DN21</f>
        <v>84</v>
      </c>
      <c r="DO70" s="64">
        <f>-DO21</f>
        <v>-8</v>
      </c>
      <c r="DP70" s="619">
        <f>SUM(DL70:DO70)</f>
        <v>135</v>
      </c>
      <c r="DQ70" s="64">
        <f>-DQ21-13</f>
        <v>-112</v>
      </c>
      <c r="DR70" s="64">
        <f>-DR21</f>
        <v>76.202061546813894</v>
      </c>
      <c r="DS70" s="64">
        <f>-DS21</f>
        <v>95.434478312297003</v>
      </c>
      <c r="DT70" s="539">
        <f>-DT21</f>
        <v>83.118462467590902</v>
      </c>
      <c r="DU70" s="619">
        <f>SUM(DQ70:DT70)</f>
        <v>142.7550023267018</v>
      </c>
      <c r="DV70" s="538">
        <f>-DV21</f>
        <v>78.295730395332797</v>
      </c>
      <c r="DW70" s="64">
        <f>-DW21</f>
        <v>76.508632004276507</v>
      </c>
      <c r="DX70" s="64">
        <f>-DX21</f>
        <v>91.852515409062804</v>
      </c>
      <c r="DY70" s="539">
        <f>-DY21</f>
        <v>85.582876804705506</v>
      </c>
      <c r="DZ70" s="619">
        <f>SUM(DV70:DY70)</f>
        <v>332.23975461337761</v>
      </c>
      <c r="EA70" s="538">
        <f>-EA21</f>
        <v>78.295730395332797</v>
      </c>
      <c r="EB70" s="64">
        <f>-EB21</f>
        <v>76.508632004276507</v>
      </c>
      <c r="EC70" s="64">
        <f>-EC21</f>
        <v>91.852515409062804</v>
      </c>
      <c r="ED70" s="539">
        <f>-ED21</f>
        <v>85.582876804705506</v>
      </c>
      <c r="EE70" s="619">
        <f>SUM(EA70:ED70)</f>
        <v>332.23975461337761</v>
      </c>
      <c r="EF70" s="53"/>
      <c r="EG70" s="53"/>
      <c r="EH70"/>
      <c r="EI70"/>
      <c r="EJ70"/>
      <c r="EK70"/>
      <c r="EL70"/>
      <c r="EM70"/>
      <c r="EN70" s="53"/>
      <c r="EO70" s="53"/>
      <c r="EP70" s="53"/>
      <c r="EQ70" s="53"/>
      <c r="ER70" s="53"/>
      <c r="ES70" s="53"/>
      <c r="ET70" s="53"/>
      <c r="EU70" s="53"/>
      <c r="EV70" s="53"/>
      <c r="EW70" s="53"/>
      <c r="EX70" s="53"/>
      <c r="EY70" s="53"/>
      <c r="EZ70" s="53"/>
      <c r="FA70" s="53"/>
      <c r="FB70" s="53"/>
      <c r="FC70" s="53"/>
      <c r="FD70" s="53"/>
      <c r="FE70" s="53"/>
      <c r="FF70" s="53"/>
      <c r="FG70" s="53"/>
      <c r="FH70" s="53"/>
      <c r="FI70" s="53"/>
      <c r="FJ70" s="53"/>
      <c r="FK70" s="53"/>
      <c r="FL70" s="53"/>
      <c r="FM70" s="53"/>
      <c r="FN70" s="53"/>
      <c r="FO70" s="53"/>
      <c r="FP70" s="53"/>
      <c r="FQ70" s="53"/>
      <c r="FR70" s="53"/>
      <c r="FS70" s="53"/>
      <c r="FT70" s="53"/>
      <c r="FU70" s="53"/>
      <c r="FV70" s="53"/>
      <c r="FW70" s="53"/>
      <c r="FX70" s="53"/>
      <c r="FY70" s="53"/>
      <c r="FZ70" s="53"/>
      <c r="GA70" s="53"/>
      <c r="GB70" s="53"/>
      <c r="GC70" s="53"/>
      <c r="GD70" s="53"/>
      <c r="GE70" s="53"/>
      <c r="GF70" s="53"/>
      <c r="GG70" s="53"/>
      <c r="GH70" s="53"/>
      <c r="GI70" s="53"/>
      <c r="GJ70" s="53"/>
      <c r="GK70" s="53"/>
      <c r="GL70" s="53"/>
      <c r="GM70" s="53"/>
      <c r="GN70" s="53"/>
      <c r="GO70" s="53"/>
      <c r="GP70" s="53"/>
      <c r="GQ70" s="53"/>
      <c r="GR70" s="53"/>
      <c r="GS70" s="53"/>
      <c r="GT70" s="53"/>
      <c r="GU70" s="53"/>
      <c r="GV70" s="53"/>
      <c r="GW70" s="53"/>
      <c r="GX70" s="53"/>
      <c r="GY70" s="53"/>
      <c r="GZ70" s="53"/>
      <c r="HA70" s="53"/>
      <c r="HB70" s="53"/>
      <c r="HC70" s="53"/>
      <c r="HD70" s="53"/>
      <c r="HE70" s="53"/>
      <c r="HF70" s="53"/>
      <c r="HG70" s="53"/>
      <c r="HH70" s="53"/>
      <c r="HI70" s="53"/>
      <c r="HJ70" s="53"/>
      <c r="HK70" s="53"/>
      <c r="HL70" s="53"/>
      <c r="HM70" s="53"/>
      <c r="HN70" s="53"/>
      <c r="HO70" s="53"/>
      <c r="HP70" s="53"/>
      <c r="HQ70" s="53"/>
      <c r="HR70" s="53"/>
      <c r="HS70" s="53"/>
      <c r="HT70" s="53"/>
      <c r="HU70" s="53"/>
      <c r="HV70" s="53"/>
      <c r="HW70" s="53"/>
      <c r="HX70" s="53"/>
    </row>
    <row r="71" spans="2:232" s="64" customFormat="1" outlineLevel="1">
      <c r="B71" s="1509" t="s">
        <v>448</v>
      </c>
      <c r="AS71" s="311"/>
      <c r="AX71" s="311"/>
      <c r="BC71" s="311"/>
      <c r="BH71" s="1294"/>
      <c r="BM71" s="1294"/>
      <c r="BR71" s="1294"/>
      <c r="BW71" s="1294"/>
      <c r="BX71" s="538"/>
      <c r="CA71" s="539"/>
      <c r="CB71" s="1295"/>
      <c r="CC71" s="538"/>
      <c r="CF71" s="539"/>
      <c r="CG71" s="1317"/>
      <c r="CL71" s="1317"/>
      <c r="CM71" s="538"/>
      <c r="CP71" s="539"/>
      <c r="CQ71" s="1317"/>
      <c r="CR71" s="1314"/>
      <c r="CS71" s="328"/>
      <c r="CT71" s="328"/>
      <c r="CU71" s="328"/>
      <c r="CV71" s="1317">
        <f>SUM(CR71:CU71)</f>
        <v>0</v>
      </c>
      <c r="CW71" s="1314">
        <v>-19</v>
      </c>
      <c r="CX71" s="328">
        <v>-99</v>
      </c>
      <c r="CY71" s="317">
        <v>27</v>
      </c>
      <c r="CZ71" s="1544">
        <v>-54</v>
      </c>
      <c r="DA71" s="1317">
        <f>SUM(CW71:CZ71)</f>
        <v>-145</v>
      </c>
      <c r="DB71" s="1314">
        <v>-42</v>
      </c>
      <c r="DC71" s="1694">
        <v>0</v>
      </c>
      <c r="DD71" s="1694">
        <v>0</v>
      </c>
      <c r="DE71" s="1694">
        <v>0</v>
      </c>
      <c r="DF71" s="1317">
        <f>SUM(DB71:DE71)</f>
        <v>-42</v>
      </c>
      <c r="DG71" s="1694">
        <v>0</v>
      </c>
      <c r="DH71" s="1694">
        <v>0</v>
      </c>
      <c r="DI71" s="1694">
        <v>0</v>
      </c>
      <c r="DJ71" s="1694">
        <v>-8</v>
      </c>
      <c r="DK71" s="1271">
        <f>SUM(DG71:DJ71)</f>
        <v>-8</v>
      </c>
      <c r="DL71" s="1694">
        <v>0</v>
      </c>
      <c r="DM71" s="1694">
        <v>0</v>
      </c>
      <c r="DN71" s="1694">
        <v>0</v>
      </c>
      <c r="DO71" s="1694">
        <v>0</v>
      </c>
      <c r="DP71" s="1271">
        <f>SUM(DL71:DO71)</f>
        <v>0</v>
      </c>
      <c r="DQ71" s="1694">
        <v>0</v>
      </c>
      <c r="DR71" s="328">
        <v>0</v>
      </c>
      <c r="DS71" s="328">
        <v>0</v>
      </c>
      <c r="DT71" s="1315">
        <v>0</v>
      </c>
      <c r="DU71" s="1271">
        <f>SUM(DQ71:DT71)</f>
        <v>0</v>
      </c>
      <c r="DV71" s="1314">
        <v>0</v>
      </c>
      <c r="DW71" s="328">
        <v>0</v>
      </c>
      <c r="DX71" s="328">
        <v>0</v>
      </c>
      <c r="DY71" s="1315">
        <v>0</v>
      </c>
      <c r="DZ71" s="1271">
        <f>SUM(DV71:DY71)</f>
        <v>0</v>
      </c>
      <c r="EA71" s="1314">
        <v>0</v>
      </c>
      <c r="EB71" s="328">
        <v>0</v>
      </c>
      <c r="EC71" s="328">
        <v>0</v>
      </c>
      <c r="ED71" s="1315">
        <v>0</v>
      </c>
      <c r="EE71" s="1271">
        <f>SUM(EA71:ED71)</f>
        <v>0</v>
      </c>
      <c r="EF71" s="53"/>
      <c r="EG71" s="53"/>
      <c r="EH71"/>
      <c r="EI71"/>
      <c r="EJ71"/>
      <c r="EK71"/>
      <c r="EL71"/>
      <c r="EM71"/>
      <c r="EN71" s="53"/>
      <c r="EO71" s="53"/>
      <c r="EP71" s="53"/>
      <c r="EQ71" s="53"/>
      <c r="ER71" s="53"/>
      <c r="ES71" s="53"/>
      <c r="ET71" s="53"/>
      <c r="EU71" s="53"/>
      <c r="EV71" s="53"/>
      <c r="EW71" s="53"/>
      <c r="EX71" s="53"/>
      <c r="EY71" s="53"/>
      <c r="EZ71" s="53"/>
      <c r="FA71" s="53"/>
      <c r="FB71" s="53"/>
      <c r="FC71" s="53"/>
      <c r="FD71" s="53"/>
      <c r="FE71" s="53"/>
      <c r="FF71" s="53"/>
      <c r="FG71" s="53"/>
      <c r="FH71" s="53"/>
      <c r="FI71" s="53"/>
      <c r="FJ71" s="53"/>
      <c r="FK71" s="53"/>
      <c r="FL71" s="53"/>
      <c r="FM71" s="53"/>
      <c r="FN71" s="53"/>
      <c r="FO71" s="53"/>
      <c r="FP71" s="53"/>
      <c r="FQ71" s="53"/>
      <c r="FR71" s="53"/>
      <c r="FS71" s="53"/>
      <c r="FT71" s="53"/>
      <c r="FU71" s="53"/>
      <c r="FV71" s="53"/>
      <c r="FW71" s="53"/>
      <c r="FX71" s="53"/>
      <c r="FY71" s="53"/>
      <c r="FZ71" s="53"/>
      <c r="GA71" s="53"/>
      <c r="GB71" s="53"/>
      <c r="GC71" s="53"/>
      <c r="GD71" s="53"/>
      <c r="GE71" s="53"/>
      <c r="GF71" s="53"/>
      <c r="GG71" s="53"/>
      <c r="GH71" s="53"/>
      <c r="GI71" s="53"/>
      <c r="GJ71" s="53"/>
      <c r="GK71" s="53"/>
      <c r="GL71" s="53"/>
      <c r="GM71" s="53"/>
      <c r="GN71" s="53"/>
      <c r="GO71" s="53"/>
      <c r="GP71" s="53"/>
      <c r="GQ71" s="53"/>
      <c r="GR71" s="53"/>
      <c r="GS71" s="53"/>
      <c r="GT71" s="53"/>
      <c r="GU71" s="53"/>
      <c r="GV71" s="53"/>
      <c r="GW71" s="53"/>
      <c r="GX71" s="53"/>
      <c r="GY71" s="53"/>
      <c r="GZ71" s="53"/>
      <c r="HA71" s="53"/>
      <c r="HB71" s="53"/>
      <c r="HC71" s="53"/>
      <c r="HD71" s="53"/>
      <c r="HE71" s="53"/>
      <c r="HF71" s="53"/>
      <c r="HG71" s="53"/>
      <c r="HH71" s="53"/>
      <c r="HI71" s="53"/>
      <c r="HJ71" s="53"/>
      <c r="HK71" s="53"/>
      <c r="HL71" s="53"/>
      <c r="HM71" s="53"/>
      <c r="HN71" s="53"/>
      <c r="HO71" s="53"/>
      <c r="HP71" s="53"/>
      <c r="HQ71" s="53"/>
      <c r="HR71" s="53"/>
      <c r="HS71" s="53"/>
      <c r="HT71" s="53"/>
      <c r="HU71" s="53"/>
      <c r="HV71" s="53"/>
      <c r="HW71" s="53"/>
      <c r="HX71" s="53"/>
    </row>
    <row r="72" spans="2:232" s="64" customFormat="1" outlineLevel="1">
      <c r="B72" s="538" t="s">
        <v>133</v>
      </c>
      <c r="AS72" s="311"/>
      <c r="AX72" s="311"/>
      <c r="BC72" s="311"/>
      <c r="BH72" s="1294"/>
      <c r="BM72" s="1294"/>
      <c r="BR72" s="1294"/>
      <c r="BW72" s="1294"/>
      <c r="BX72" s="538"/>
      <c r="CA72" s="539"/>
      <c r="CB72" s="1295"/>
      <c r="CC72" s="538"/>
      <c r="CF72" s="539"/>
      <c r="CG72" s="1317"/>
      <c r="CL72" s="1317"/>
      <c r="CM72" s="538"/>
      <c r="CP72" s="539"/>
      <c r="CQ72" s="1317"/>
      <c r="CR72" s="1314">
        <v>10</v>
      </c>
      <c r="CS72" s="328">
        <v>23</v>
      </c>
      <c r="CT72" s="328">
        <v>3</v>
      </c>
      <c r="CU72" s="328">
        <v>8</v>
      </c>
      <c r="CV72" s="1317">
        <f>SUM(CR72:CU72)</f>
        <v>44</v>
      </c>
      <c r="CW72" s="1314">
        <v>8</v>
      </c>
      <c r="CX72" s="328">
        <v>8</v>
      </c>
      <c r="CY72" s="328">
        <v>8</v>
      </c>
      <c r="CZ72" s="1315">
        <f>CY72</f>
        <v>8</v>
      </c>
      <c r="DA72" s="1317">
        <f>SUM(CW72:CZ72)</f>
        <v>32</v>
      </c>
      <c r="DB72" s="1314">
        <v>8</v>
      </c>
      <c r="DC72" s="1694">
        <v>0</v>
      </c>
      <c r="DD72" s="1694">
        <v>0</v>
      </c>
      <c r="DE72" s="1694">
        <v>0</v>
      </c>
      <c r="DF72" s="1317">
        <f>SUM(DB72:DE72)</f>
        <v>8</v>
      </c>
      <c r="DG72" s="1694">
        <v>0</v>
      </c>
      <c r="DH72" s="1694">
        <v>0</v>
      </c>
      <c r="DI72" s="1694">
        <v>5</v>
      </c>
      <c r="DJ72" s="1694">
        <v>24</v>
      </c>
      <c r="DK72" s="1271">
        <f>SUM(DG72:DJ72)</f>
        <v>29</v>
      </c>
      <c r="DL72" s="1694">
        <v>41</v>
      </c>
      <c r="DM72" s="1694">
        <v>32</v>
      </c>
      <c r="DN72" s="1694">
        <v>32</v>
      </c>
      <c r="DO72" s="1694">
        <v>30</v>
      </c>
      <c r="DP72" s="1271">
        <f>SUM(DL72:DO72)</f>
        <v>135</v>
      </c>
      <c r="DQ72" s="1694">
        <v>28</v>
      </c>
      <c r="DR72" s="328">
        <v>0</v>
      </c>
      <c r="DS72" s="328">
        <v>0</v>
      </c>
      <c r="DT72" s="1315">
        <v>0</v>
      </c>
      <c r="DU72" s="1271">
        <f>SUM(DQ72:DT72)</f>
        <v>28</v>
      </c>
      <c r="DV72" s="1314">
        <v>0</v>
      </c>
      <c r="DW72" s="328">
        <v>0</v>
      </c>
      <c r="DX72" s="328">
        <v>0</v>
      </c>
      <c r="DY72" s="1315">
        <v>0</v>
      </c>
      <c r="DZ72" s="1271">
        <f>SUM(DV72:DY72)</f>
        <v>0</v>
      </c>
      <c r="EA72" s="1314">
        <v>0</v>
      </c>
      <c r="EB72" s="328">
        <v>0</v>
      </c>
      <c r="EC72" s="328">
        <v>0</v>
      </c>
      <c r="ED72" s="1315">
        <v>0</v>
      </c>
      <c r="EE72" s="1271">
        <f>SUM(EA72:ED72)</f>
        <v>0</v>
      </c>
      <c r="EF72" s="53"/>
      <c r="EG72" s="53"/>
      <c r="EH72"/>
      <c r="EI72"/>
      <c r="EJ72"/>
      <c r="EK72"/>
      <c r="EL72"/>
      <c r="EM72"/>
      <c r="EN72" s="53"/>
      <c r="EO72" s="53"/>
      <c r="EP72" s="53"/>
      <c r="EQ72" s="53"/>
      <c r="ER72" s="53"/>
      <c r="ES72" s="53"/>
      <c r="ET72" s="53"/>
      <c r="EU72" s="53"/>
      <c r="EV72" s="53"/>
      <c r="EW72" s="53"/>
      <c r="EX72" s="53"/>
      <c r="EY72" s="53"/>
      <c r="EZ72" s="53"/>
      <c r="FA72" s="53"/>
      <c r="FB72" s="53"/>
      <c r="FC72" s="53"/>
      <c r="FD72" s="53"/>
      <c r="FE72" s="53"/>
      <c r="FF72" s="53"/>
      <c r="FG72" s="53"/>
      <c r="FH72" s="53"/>
      <c r="FI72" s="53"/>
      <c r="FJ72" s="53"/>
      <c r="FK72" s="53"/>
      <c r="FL72" s="53"/>
      <c r="FM72" s="53"/>
      <c r="FN72" s="53"/>
      <c r="FO72" s="53"/>
      <c r="FP72" s="53"/>
      <c r="FQ72" s="53"/>
      <c r="FR72" s="53"/>
      <c r="FS72" s="53"/>
      <c r="FT72" s="53"/>
      <c r="FU72" s="53"/>
      <c r="FV72" s="53"/>
      <c r="FW72" s="53"/>
      <c r="FX72" s="53"/>
      <c r="FY72" s="53"/>
      <c r="FZ72" s="53"/>
      <c r="GA72" s="53"/>
      <c r="GB72" s="53"/>
      <c r="GC72" s="53"/>
      <c r="GD72" s="53"/>
      <c r="GE72" s="53"/>
      <c r="GF72" s="53"/>
      <c r="GG72" s="53"/>
      <c r="GH72" s="53"/>
      <c r="GI72" s="53"/>
      <c r="GJ72" s="53"/>
      <c r="GK72" s="53"/>
      <c r="GL72" s="53"/>
      <c r="GM72" s="53"/>
      <c r="GN72" s="53"/>
      <c r="GO72" s="53"/>
      <c r="GP72" s="53"/>
      <c r="GQ72" s="53"/>
      <c r="GR72" s="53"/>
      <c r="GS72" s="53"/>
      <c r="GT72" s="53"/>
      <c r="GU72" s="53"/>
      <c r="GV72" s="53"/>
      <c r="GW72" s="53"/>
      <c r="GX72" s="53"/>
      <c r="GY72" s="53"/>
      <c r="GZ72" s="53"/>
      <c r="HA72" s="53"/>
      <c r="HB72" s="53"/>
      <c r="HC72" s="53"/>
      <c r="HD72" s="53"/>
      <c r="HE72" s="53"/>
      <c r="HF72" s="53"/>
      <c r="HG72" s="53"/>
      <c r="HH72" s="53"/>
      <c r="HI72" s="53"/>
      <c r="HJ72" s="53"/>
      <c r="HK72" s="53"/>
      <c r="HL72" s="53"/>
      <c r="HM72" s="53"/>
      <c r="HN72" s="53"/>
      <c r="HO72" s="53"/>
      <c r="HP72" s="53"/>
      <c r="HQ72" s="53"/>
      <c r="HR72" s="53"/>
      <c r="HS72" s="53"/>
      <c r="HT72" s="53"/>
      <c r="HU72" s="53"/>
      <c r="HV72" s="53"/>
      <c r="HW72" s="53"/>
      <c r="HX72" s="53"/>
    </row>
    <row r="73" spans="2:232" s="64" customFormat="1" outlineLevel="1">
      <c r="B73" s="2286" t="s">
        <v>612</v>
      </c>
      <c r="C73" s="270"/>
      <c r="D73" s="270"/>
      <c r="E73" s="270"/>
      <c r="F73" s="270"/>
      <c r="G73" s="270"/>
      <c r="H73" s="270"/>
      <c r="I73" s="270"/>
      <c r="J73" s="270"/>
      <c r="K73" s="270"/>
      <c r="L73" s="270"/>
      <c r="M73" s="270"/>
      <c r="N73" s="270"/>
      <c r="O73" s="270"/>
      <c r="P73" s="270"/>
      <c r="Q73" s="270"/>
      <c r="R73" s="270"/>
      <c r="S73" s="270"/>
      <c r="T73" s="270"/>
      <c r="U73" s="270"/>
      <c r="V73" s="270"/>
      <c r="W73" s="270"/>
      <c r="X73" s="270"/>
      <c r="Y73" s="270"/>
      <c r="Z73" s="270"/>
      <c r="AA73" s="270"/>
      <c r="AB73" s="270"/>
      <c r="AC73" s="270"/>
      <c r="AD73" s="270"/>
      <c r="AE73" s="270"/>
      <c r="AF73" s="270"/>
      <c r="AG73" s="270"/>
      <c r="AH73" s="270"/>
      <c r="AI73" s="270"/>
      <c r="AJ73" s="270"/>
      <c r="AK73" s="270"/>
      <c r="AL73" s="270"/>
      <c r="AM73" s="270"/>
      <c r="AN73" s="270"/>
      <c r="AO73" s="270"/>
      <c r="AP73" s="270"/>
      <c r="AQ73" s="270"/>
      <c r="AR73" s="270"/>
      <c r="AS73" s="1329"/>
      <c r="AT73" s="270"/>
      <c r="AU73" s="270"/>
      <c r="AV73" s="270"/>
      <c r="AW73" s="270"/>
      <c r="AX73" s="1329"/>
      <c r="AY73" s="270"/>
      <c r="AZ73" s="270"/>
      <c r="BA73" s="270"/>
      <c r="BB73" s="270"/>
      <c r="BC73" s="1329"/>
      <c r="BD73" s="270"/>
      <c r="BE73" s="270"/>
      <c r="BF73" s="270"/>
      <c r="BG73" s="270"/>
      <c r="BH73" s="1330"/>
      <c r="BI73" s="270"/>
      <c r="BJ73" s="270"/>
      <c r="BK73" s="270"/>
      <c r="BL73" s="270"/>
      <c r="BM73" s="1330"/>
      <c r="BN73" s="270"/>
      <c r="BO73" s="270"/>
      <c r="BP73" s="270"/>
      <c r="BQ73" s="270"/>
      <c r="BR73" s="1330"/>
      <c r="BS73" s="270"/>
      <c r="BT73" s="270"/>
      <c r="BU73" s="270"/>
      <c r="BV73" s="270"/>
      <c r="BW73" s="1330"/>
      <c r="BX73" s="573"/>
      <c r="BY73" s="270"/>
      <c r="BZ73" s="270"/>
      <c r="CA73" s="571"/>
      <c r="CB73" s="1331"/>
      <c r="CC73" s="573"/>
      <c r="CD73" s="270"/>
      <c r="CE73" s="270"/>
      <c r="CF73" s="571"/>
      <c r="CG73" s="1332"/>
      <c r="CH73" s="270"/>
      <c r="CI73" s="270"/>
      <c r="CJ73" s="270"/>
      <c r="CK73" s="270"/>
      <c r="CL73" s="1332"/>
      <c r="CM73" s="573"/>
      <c r="CN73" s="270"/>
      <c r="CO73" s="270"/>
      <c r="CP73" s="571"/>
      <c r="CQ73" s="1332"/>
      <c r="CR73" s="1336">
        <v>4</v>
      </c>
      <c r="CS73" s="654">
        <v>12</v>
      </c>
      <c r="CT73" s="654">
        <v>13</v>
      </c>
      <c r="CU73" s="654">
        <v>11</v>
      </c>
      <c r="CV73" s="1332">
        <f>SUM(CR73:CU73)</f>
        <v>40</v>
      </c>
      <c r="CW73" s="1336">
        <v>13</v>
      </c>
      <c r="CX73" s="654">
        <v>11</v>
      </c>
      <c r="CY73" s="654">
        <v>13</v>
      </c>
      <c r="CZ73" s="1335">
        <v>12</v>
      </c>
      <c r="DA73" s="1332">
        <f>SUM(CW73:CZ73)</f>
        <v>49</v>
      </c>
      <c r="DB73" s="1336">
        <v>14</v>
      </c>
      <c r="DC73" s="1701">
        <v>0</v>
      </c>
      <c r="DD73" s="1701">
        <v>0</v>
      </c>
      <c r="DE73" s="1701">
        <v>0</v>
      </c>
      <c r="DF73" s="1332">
        <f>SUM(DB73:DE73)</f>
        <v>14</v>
      </c>
      <c r="DG73" s="1701">
        <v>0</v>
      </c>
      <c r="DH73" s="1701">
        <v>0</v>
      </c>
      <c r="DI73" s="1701">
        <v>0</v>
      </c>
      <c r="DJ73" s="1701">
        <v>0</v>
      </c>
      <c r="DK73" s="1420">
        <f>SUM(DG73:DJ73)</f>
        <v>0</v>
      </c>
      <c r="DL73" s="1701">
        <v>0</v>
      </c>
      <c r="DM73" s="1701">
        <v>5</v>
      </c>
      <c r="DN73" s="1701">
        <v>5</v>
      </c>
      <c r="DO73" s="1701">
        <f>-5+71-4</f>
        <v>62</v>
      </c>
      <c r="DP73" s="1420">
        <f>SUM(DL73:DO73)</f>
        <v>72</v>
      </c>
      <c r="DQ73" s="1701">
        <f>173-12</f>
        <v>161</v>
      </c>
      <c r="DR73" s="654">
        <v>0</v>
      </c>
      <c r="DS73" s="654">
        <v>0</v>
      </c>
      <c r="DT73" s="1335">
        <v>0</v>
      </c>
      <c r="DU73" s="1420">
        <f>SUM(DQ73:DT73)</f>
        <v>161</v>
      </c>
      <c r="DV73" s="1336">
        <v>0</v>
      </c>
      <c r="DW73" s="654">
        <v>0</v>
      </c>
      <c r="DX73" s="654">
        <v>0</v>
      </c>
      <c r="DY73" s="1335">
        <v>0</v>
      </c>
      <c r="DZ73" s="1420">
        <f>SUM(DV73:DY73)</f>
        <v>0</v>
      </c>
      <c r="EA73" s="1336">
        <v>0</v>
      </c>
      <c r="EB73" s="654">
        <v>0</v>
      </c>
      <c r="EC73" s="654">
        <v>0</v>
      </c>
      <c r="ED73" s="1335">
        <v>0</v>
      </c>
      <c r="EE73" s="1420">
        <f>SUM(EA73:ED73)</f>
        <v>0</v>
      </c>
      <c r="EF73" s="53"/>
      <c r="EG73" s="53"/>
      <c r="EH73"/>
      <c r="EI73"/>
      <c r="EJ73"/>
      <c r="EK73"/>
      <c r="EL73"/>
      <c r="EM73"/>
      <c r="EN73" s="53"/>
      <c r="EO73" s="53"/>
      <c r="EP73" s="53"/>
      <c r="EQ73" s="53"/>
      <c r="ER73" s="53"/>
      <c r="ES73" s="53"/>
      <c r="ET73" s="53"/>
      <c r="EU73" s="53"/>
      <c r="EV73" s="53"/>
      <c r="EW73" s="53"/>
      <c r="EX73" s="53"/>
      <c r="EY73" s="53"/>
      <c r="EZ73" s="53"/>
      <c r="FA73" s="53"/>
      <c r="FB73" s="53"/>
      <c r="FC73" s="53"/>
      <c r="FD73" s="53"/>
      <c r="FE73" s="53"/>
      <c r="FF73" s="53"/>
      <c r="FG73" s="53"/>
      <c r="FH73" s="53"/>
      <c r="FI73" s="53"/>
      <c r="FJ73" s="53"/>
      <c r="FK73" s="53"/>
      <c r="FL73" s="53"/>
      <c r="FM73" s="53"/>
      <c r="FN73" s="53"/>
      <c r="FO73" s="53"/>
      <c r="FP73" s="53"/>
      <c r="FQ73" s="53"/>
      <c r="FR73" s="53"/>
      <c r="FS73" s="53"/>
      <c r="FT73" s="53"/>
      <c r="FU73" s="53"/>
      <c r="FV73" s="53"/>
      <c r="FW73" s="53"/>
      <c r="FX73" s="53"/>
      <c r="FY73" s="53"/>
      <c r="FZ73" s="53"/>
      <c r="GA73" s="53"/>
      <c r="GB73" s="53"/>
      <c r="GC73" s="53"/>
      <c r="GD73" s="53"/>
      <c r="GE73" s="53"/>
      <c r="GF73" s="53"/>
      <c r="GG73" s="53"/>
      <c r="GH73" s="53"/>
      <c r="GI73" s="53"/>
      <c r="GJ73" s="53"/>
      <c r="GK73" s="53"/>
      <c r="GL73" s="53"/>
      <c r="GM73" s="53"/>
      <c r="GN73" s="53"/>
      <c r="GO73" s="53"/>
      <c r="GP73" s="53"/>
      <c r="GQ73" s="53"/>
      <c r="GR73" s="53"/>
      <c r="GS73" s="53"/>
      <c r="GT73" s="53"/>
      <c r="GU73" s="53"/>
      <c r="GV73" s="53"/>
      <c r="GW73" s="53"/>
      <c r="GX73" s="53"/>
      <c r="GY73" s="53"/>
      <c r="GZ73" s="53"/>
      <c r="HA73" s="53"/>
      <c r="HB73" s="53"/>
      <c r="HC73" s="53"/>
      <c r="HD73" s="53"/>
      <c r="HE73" s="53"/>
      <c r="HF73" s="53"/>
      <c r="HG73" s="53"/>
      <c r="HH73" s="53"/>
      <c r="HI73" s="53"/>
      <c r="HJ73" s="53"/>
      <c r="HK73" s="53"/>
      <c r="HL73" s="53"/>
      <c r="HM73" s="53"/>
      <c r="HN73" s="53"/>
      <c r="HO73" s="53"/>
      <c r="HP73" s="53"/>
      <c r="HQ73" s="53"/>
      <c r="HR73" s="53"/>
      <c r="HS73" s="53"/>
      <c r="HT73" s="53"/>
      <c r="HU73" s="53"/>
      <c r="HV73" s="53"/>
      <c r="HW73" s="53"/>
      <c r="HX73" s="53"/>
    </row>
    <row r="74" spans="2:232" s="64" customFormat="1">
      <c r="B74" s="608" t="s">
        <v>474</v>
      </c>
      <c r="AS74" s="311"/>
      <c r="AX74" s="311"/>
      <c r="BC74" s="311"/>
      <c r="BH74" s="1294"/>
      <c r="BM74" s="1294"/>
      <c r="BR74" s="1294"/>
      <c r="BW74" s="1294"/>
      <c r="BX74" s="538"/>
      <c r="CA74" s="539"/>
      <c r="CB74" s="1295"/>
      <c r="CC74" s="538"/>
      <c r="CF74" s="539"/>
      <c r="CG74" s="1317"/>
      <c r="CL74" s="1317"/>
      <c r="CM74" s="538"/>
      <c r="CP74" s="539"/>
      <c r="CQ74" s="1317"/>
      <c r="CR74" s="538">
        <f>SUM(CR70:CR73)</f>
        <v>18</v>
      </c>
      <c r="CS74" s="64">
        <f>SUM(CS70:CS73)</f>
        <v>120</v>
      </c>
      <c r="CT74" s="64">
        <f>SUM(CT70:CT73)</f>
        <v>147</v>
      </c>
      <c r="CU74" s="64">
        <f>SUM(CU70:CU73)</f>
        <v>109</v>
      </c>
      <c r="CV74" s="1317">
        <f>SUM(CR74:CU74)</f>
        <v>394</v>
      </c>
      <c r="CW74" s="538">
        <f>SUM(CW70:CW73)</f>
        <v>153</v>
      </c>
      <c r="CX74" s="64">
        <f>SUM(CX70:CX73)</f>
        <v>114</v>
      </c>
      <c r="CY74" s="64">
        <f>SUM(CY70:CY73)</f>
        <v>185</v>
      </c>
      <c r="CZ74" s="64">
        <f>SUM(CZ70:CZ73)</f>
        <v>101</v>
      </c>
      <c r="DA74" s="1317">
        <f>SUM(CW74:CZ74)</f>
        <v>553</v>
      </c>
      <c r="DB74" s="1662">
        <f>SUM(DB70:DB73)</f>
        <v>194</v>
      </c>
      <c r="DC74" s="64">
        <f>SUM(DC70:DC73)</f>
        <v>101</v>
      </c>
      <c r="DD74" s="64">
        <f>SUM(DD70:DD73)</f>
        <v>0</v>
      </c>
      <c r="DE74" s="64">
        <f>SUM(DE70:DE73)</f>
        <v>0</v>
      </c>
      <c r="DF74" s="1317">
        <f>SUM(DB74:DE74)</f>
        <v>295</v>
      </c>
      <c r="DG74" s="64">
        <f>SUM(DG70:DG73)</f>
        <v>0</v>
      </c>
      <c r="DH74" s="64">
        <f>SUM(DH70:DH73)</f>
        <v>0</v>
      </c>
      <c r="DI74" s="64">
        <f>SUM(DI70:DI73)</f>
        <v>8</v>
      </c>
      <c r="DJ74" s="64">
        <f>SUM(DJ70:DJ73)</f>
        <v>50</v>
      </c>
      <c r="DK74" s="619">
        <f>SUM(DG74:DJ74)</f>
        <v>58</v>
      </c>
      <c r="DL74" s="64">
        <f>SUM(DL70:DL73)</f>
        <v>58</v>
      </c>
      <c r="DM74" s="64">
        <f>SUM(DM70:DM73)</f>
        <v>79</v>
      </c>
      <c r="DN74" s="64">
        <f>SUM(DN70:DN73)</f>
        <v>121</v>
      </c>
      <c r="DO74" s="64">
        <f>SUM(DO70:DO73)</f>
        <v>84</v>
      </c>
      <c r="DP74" s="619">
        <f>SUM(DL74:DO74)</f>
        <v>342</v>
      </c>
      <c r="DQ74" s="64">
        <f>SUM(DQ70:DQ73)</f>
        <v>77</v>
      </c>
      <c r="DR74" s="64">
        <f>SUM(DR70:DR73)</f>
        <v>76.202061546813894</v>
      </c>
      <c r="DS74" s="64">
        <f>SUM(DS70:DS73)</f>
        <v>95.434478312297003</v>
      </c>
      <c r="DT74" s="539">
        <f>SUM(DT70:DT73)</f>
        <v>83.118462467590902</v>
      </c>
      <c r="DU74" s="619">
        <f>SUM(DQ74:DT74)</f>
        <v>331.7550023267018</v>
      </c>
      <c r="DV74" s="538">
        <f>SUM(DV70:DV73)</f>
        <v>78.295730395332797</v>
      </c>
      <c r="DW74" s="64">
        <f>SUM(DW70:DW73)</f>
        <v>76.508632004276507</v>
      </c>
      <c r="DX74" s="64">
        <f>SUM(DX70:DX73)</f>
        <v>91.852515409062804</v>
      </c>
      <c r="DY74" s="539">
        <f>SUM(DY70:DY73)</f>
        <v>85.582876804705506</v>
      </c>
      <c r="DZ74" s="619">
        <f>SUM(DV74:DY74)</f>
        <v>332.23975461337761</v>
      </c>
      <c r="EA74" s="538">
        <f>SUM(EA70:EA73)</f>
        <v>78.295730395332797</v>
      </c>
      <c r="EB74" s="64">
        <f>SUM(EB70:EB73)</f>
        <v>76.508632004276507</v>
      </c>
      <c r="EC74" s="64">
        <f>SUM(EC70:EC73)</f>
        <v>91.852515409062804</v>
      </c>
      <c r="ED74" s="539">
        <f>SUM(ED70:ED73)</f>
        <v>85.582876804705506</v>
      </c>
      <c r="EE74" s="619">
        <f>SUM(EA74:ED74)</f>
        <v>332.23975461337761</v>
      </c>
      <c r="EF74" s="53"/>
      <c r="EG74" s="53"/>
      <c r="EH74"/>
      <c r="EI74"/>
      <c r="EJ74"/>
      <c r="EK74"/>
      <c r="EL74"/>
      <c r="EM74"/>
      <c r="EN74" s="53"/>
      <c r="EO74" s="53"/>
      <c r="EP74" s="53"/>
      <c r="EQ74" s="53"/>
      <c r="ER74" s="53"/>
      <c r="ES74" s="53"/>
      <c r="ET74" s="53"/>
      <c r="EU74" s="53"/>
      <c r="EV74" s="53"/>
      <c r="EW74" s="53"/>
      <c r="EX74" s="53"/>
      <c r="EY74" s="53"/>
      <c r="EZ74" s="53"/>
      <c r="FA74" s="53"/>
      <c r="FB74" s="53"/>
      <c r="FC74" s="53"/>
      <c r="FD74" s="53"/>
      <c r="FE74" s="53"/>
      <c r="FF74" s="53"/>
      <c r="FG74" s="53"/>
      <c r="FH74" s="53"/>
      <c r="FI74" s="53"/>
      <c r="FJ74" s="53"/>
      <c r="FK74" s="53"/>
      <c r="FL74" s="53"/>
      <c r="FM74" s="53"/>
      <c r="FN74" s="53"/>
      <c r="FO74" s="53"/>
      <c r="FP74" s="53"/>
      <c r="FQ74" s="53"/>
      <c r="FR74" s="53"/>
      <c r="FS74" s="53"/>
      <c r="FT74" s="53"/>
      <c r="FU74" s="53"/>
      <c r="FV74" s="53"/>
      <c r="FW74" s="53"/>
      <c r="FX74" s="53"/>
      <c r="FY74" s="53"/>
      <c r="FZ74" s="53"/>
      <c r="GA74" s="53"/>
      <c r="GB74" s="53"/>
      <c r="GC74" s="53"/>
      <c r="GD74" s="53"/>
      <c r="GE74" s="53"/>
      <c r="GF74" s="53"/>
      <c r="GG74" s="53"/>
      <c r="GH74" s="53"/>
      <c r="GI74" s="53"/>
      <c r="GJ74" s="53"/>
      <c r="GK74" s="53"/>
      <c r="GL74" s="53"/>
      <c r="GM74" s="53"/>
      <c r="GN74" s="53"/>
      <c r="GO74" s="53"/>
      <c r="GP74" s="53"/>
      <c r="GQ74" s="53"/>
      <c r="GR74" s="53"/>
      <c r="GS74" s="53"/>
      <c r="GT74" s="53"/>
      <c r="GU74" s="53"/>
      <c r="GV74" s="53"/>
      <c r="GW74" s="53"/>
      <c r="GX74" s="53"/>
      <c r="GY74" s="53"/>
      <c r="GZ74" s="53"/>
      <c r="HA74" s="53"/>
      <c r="HB74" s="53"/>
      <c r="HC74" s="53"/>
      <c r="HD74" s="53"/>
      <c r="HE74" s="53"/>
      <c r="HF74" s="53"/>
      <c r="HG74" s="53"/>
      <c r="HH74" s="53"/>
      <c r="HI74" s="53"/>
      <c r="HJ74" s="53"/>
      <c r="HK74" s="53"/>
      <c r="HL74" s="53"/>
      <c r="HM74" s="53"/>
      <c r="HN74" s="53"/>
      <c r="HO74" s="53"/>
      <c r="HP74" s="53"/>
      <c r="HQ74" s="53"/>
      <c r="HR74" s="53"/>
      <c r="HS74" s="53"/>
      <c r="HT74" s="53"/>
      <c r="HU74" s="53"/>
      <c r="HV74" s="53"/>
      <c r="HW74" s="53"/>
      <c r="HX74" s="53"/>
    </row>
    <row r="75" spans="2:232" s="64" customFormat="1" outlineLevel="1">
      <c r="B75" s="538"/>
      <c r="AS75" s="311"/>
      <c r="AX75" s="311"/>
      <c r="BC75" s="311"/>
      <c r="BH75" s="1294"/>
      <c r="BM75" s="1294"/>
      <c r="BR75" s="1294"/>
      <c r="BW75" s="1294"/>
      <c r="BX75" s="538"/>
      <c r="CA75" s="539"/>
      <c r="CB75" s="1295"/>
      <c r="CC75" s="538"/>
      <c r="CF75" s="539"/>
      <c r="CG75" s="1317"/>
      <c r="CL75" s="1317"/>
      <c r="CM75" s="538"/>
      <c r="CP75" s="539"/>
      <c r="CQ75" s="1317"/>
      <c r="CR75" s="538"/>
      <c r="CV75" s="1317"/>
      <c r="CW75" s="1600"/>
      <c r="CX75" s="264"/>
      <c r="CY75" s="264"/>
      <c r="CZ75" s="1536"/>
      <c r="DA75" s="1317"/>
      <c r="DB75" s="264"/>
      <c r="DC75" s="264"/>
      <c r="DD75" s="264"/>
      <c r="DE75" s="264"/>
      <c r="DF75" s="1317"/>
      <c r="DG75" s="264"/>
      <c r="DH75" s="264"/>
      <c r="DI75" s="264"/>
      <c r="DJ75" s="264"/>
      <c r="DK75" s="619"/>
      <c r="DL75" s="80"/>
      <c r="DM75" s="80"/>
      <c r="DN75" s="80"/>
      <c r="DO75" s="80"/>
      <c r="DP75" s="619"/>
      <c r="DQ75" s="80"/>
      <c r="DT75" s="539"/>
      <c r="DU75" s="619"/>
      <c r="DV75" s="538"/>
      <c r="DY75" s="539"/>
      <c r="DZ75" s="619"/>
      <c r="EA75" s="538"/>
      <c r="ED75" s="539"/>
      <c r="EE75" s="619"/>
      <c r="EF75" s="53"/>
      <c r="EG75" s="53"/>
      <c r="EH75"/>
      <c r="EI75"/>
      <c r="EJ75"/>
      <c r="EK75"/>
      <c r="EL75"/>
      <c r="EM75"/>
      <c r="EN75" s="53"/>
      <c r="EO75" s="53"/>
      <c r="EP75" s="53"/>
      <c r="EQ75" s="53"/>
      <c r="ER75" s="53"/>
      <c r="ES75" s="53"/>
      <c r="ET75" s="53"/>
      <c r="EU75" s="53"/>
      <c r="EV75" s="53"/>
      <c r="EW75" s="53"/>
      <c r="EX75" s="53"/>
      <c r="EY75" s="53"/>
      <c r="EZ75" s="53"/>
      <c r="FA75" s="53"/>
      <c r="FB75" s="53"/>
      <c r="FC75" s="53"/>
      <c r="FD75" s="53"/>
      <c r="FE75" s="53"/>
      <c r="FF75" s="53"/>
      <c r="FG75" s="53"/>
      <c r="FH75" s="53"/>
      <c r="FI75" s="53"/>
      <c r="FJ75" s="53"/>
      <c r="FK75" s="53"/>
      <c r="FL75" s="53"/>
      <c r="FM75" s="53"/>
      <c r="FN75" s="53"/>
      <c r="FO75" s="53"/>
      <c r="FP75" s="53"/>
      <c r="FQ75" s="53"/>
      <c r="FR75" s="53"/>
      <c r="FS75" s="53"/>
      <c r="FT75" s="53"/>
      <c r="FU75" s="53"/>
      <c r="FV75" s="53"/>
      <c r="FW75" s="53"/>
      <c r="FX75" s="53"/>
      <c r="FY75" s="53"/>
      <c r="FZ75" s="53"/>
      <c r="GA75" s="53"/>
      <c r="GB75" s="53"/>
      <c r="GC75" s="53"/>
      <c r="GD75" s="53"/>
      <c r="GE75" s="53"/>
      <c r="GF75" s="53"/>
      <c r="GG75" s="53"/>
      <c r="GH75" s="53"/>
      <c r="GI75" s="53"/>
      <c r="GJ75" s="53"/>
      <c r="GK75" s="53"/>
      <c r="GL75" s="53"/>
      <c r="GM75" s="53"/>
      <c r="GN75" s="53"/>
      <c r="GO75" s="53"/>
      <c r="GP75" s="53"/>
      <c r="GQ75" s="53"/>
      <c r="GR75" s="53"/>
      <c r="GS75" s="53"/>
      <c r="GT75" s="53"/>
      <c r="GU75" s="53"/>
      <c r="GV75" s="53"/>
      <c r="GW75" s="53"/>
      <c r="GX75" s="53"/>
      <c r="GY75" s="53"/>
      <c r="GZ75" s="53"/>
      <c r="HA75" s="53"/>
      <c r="HB75" s="53"/>
      <c r="HC75" s="53"/>
      <c r="HD75" s="53"/>
      <c r="HE75" s="53"/>
      <c r="HF75" s="53"/>
      <c r="HG75" s="53"/>
      <c r="HH75" s="53"/>
      <c r="HI75" s="53"/>
      <c r="HJ75" s="53"/>
      <c r="HK75" s="53"/>
      <c r="HL75" s="53"/>
      <c r="HM75" s="53"/>
      <c r="HN75" s="53"/>
      <c r="HO75" s="53"/>
      <c r="HP75" s="53"/>
      <c r="HQ75" s="53"/>
      <c r="HR75" s="53"/>
      <c r="HS75" s="53"/>
      <c r="HT75" s="53"/>
      <c r="HU75" s="53"/>
      <c r="HV75" s="53"/>
      <c r="HW75" s="53"/>
      <c r="HX75" s="53"/>
    </row>
    <row r="76" spans="2:232" s="64" customFormat="1" ht="12" thickBot="1">
      <c r="B76" s="955" t="s">
        <v>211</v>
      </c>
      <c r="C76" s="581"/>
      <c r="D76" s="581"/>
      <c r="E76" s="581"/>
      <c r="F76" s="581"/>
      <c r="G76" s="581"/>
      <c r="H76" s="581"/>
      <c r="I76" s="581"/>
      <c r="J76" s="581"/>
      <c r="K76" s="612">
        <f>K60-K66+K74</f>
        <v>112.33799999999962</v>
      </c>
      <c r="L76" s="581">
        <f>L60-L66+L74</f>
        <v>217.35799999999995</v>
      </c>
      <c r="M76" s="581">
        <f>M60-M66+M74</f>
        <v>155.44399999999985</v>
      </c>
      <c r="N76" s="666">
        <f>N60-N66+N74</f>
        <v>135.86399999999969</v>
      </c>
      <c r="O76" s="1318">
        <f>SUM(K76:N76)</f>
        <v>621.00399999999911</v>
      </c>
      <c r="P76" s="612">
        <f>P60-P66+P74</f>
        <v>134.19899999999984</v>
      </c>
      <c r="Q76" s="581">
        <f>Q60-Q66+Q74</f>
        <v>257.99999999999966</v>
      </c>
      <c r="R76" s="581">
        <f>R60-R66+R74</f>
        <v>183.85500000000002</v>
      </c>
      <c r="S76" s="666">
        <f>S60-S66+S74</f>
        <v>165.7149999999998</v>
      </c>
      <c r="T76" s="1318">
        <f>SUM(P76:S76)</f>
        <v>741.76899999999932</v>
      </c>
      <c r="U76" s="612">
        <f>U60-U66+U74</f>
        <v>155.62799999999982</v>
      </c>
      <c r="V76" s="581">
        <f>V60-V66+V74</f>
        <v>298.21799999999996</v>
      </c>
      <c r="W76" s="581">
        <f>W60-W66+W74</f>
        <v>236.78000000000031</v>
      </c>
      <c r="X76" s="666">
        <f>X60-X66+X74</f>
        <v>237.52899999999988</v>
      </c>
      <c r="Y76" s="1318">
        <f>SUM(U76:X76)</f>
        <v>928.15499999999997</v>
      </c>
      <c r="Z76" s="612">
        <f>Z60-Z66+Z74</f>
        <v>196.5</v>
      </c>
      <c r="AA76" s="581">
        <f>AA60-AA66+AA74</f>
        <v>362.4000000000002</v>
      </c>
      <c r="AB76" s="581">
        <f>AB60-AB66+AB74</f>
        <v>287.89999999999952</v>
      </c>
      <c r="AC76" s="666">
        <f>AC60-AC66+AC74</f>
        <v>259</v>
      </c>
      <c r="AD76" s="1318">
        <f>SUM(Z76:AC76)</f>
        <v>1105.7999999999997</v>
      </c>
      <c r="AE76" s="612">
        <f>AE60-AE66+AE74</f>
        <v>245.39999999999964</v>
      </c>
      <c r="AF76" s="581">
        <f>AF60-AF66+AF74</f>
        <v>408.10000000000014</v>
      </c>
      <c r="AG76" s="581">
        <f>AG60-AG66+AG74</f>
        <v>325.80000000000041</v>
      </c>
      <c r="AH76" s="666">
        <f>AH60-AH66+AH74</f>
        <v>301.20000000000005</v>
      </c>
      <c r="AI76" s="1318">
        <f>SUM(AE76:AH76)</f>
        <v>1280.5000000000002</v>
      </c>
      <c r="AJ76" s="612">
        <f>AJ60-AJ66+AJ74</f>
        <v>273.99999999999955</v>
      </c>
      <c r="AK76" s="581">
        <f>AK60-AK66+AK74</f>
        <v>483.70000000000005</v>
      </c>
      <c r="AL76" s="581">
        <f>AL60-AL66+AL74</f>
        <v>362.2999999999995</v>
      </c>
      <c r="AM76" s="666">
        <f>AM60-AM66+AM74</f>
        <v>341.10000000000036</v>
      </c>
      <c r="AN76" s="1318">
        <f>SUM(AJ76:AM76)</f>
        <v>1461.0999999999995</v>
      </c>
      <c r="AO76" s="612">
        <f>AO60-AO66+AO74</f>
        <v>314.39999999999964</v>
      </c>
      <c r="AP76" s="581">
        <f>AP60-AP66+AP74</f>
        <v>544.19999999999982</v>
      </c>
      <c r="AQ76" s="581">
        <f>AQ60-AQ66+AQ74</f>
        <v>436.69999999999982</v>
      </c>
      <c r="AR76" s="666">
        <f>AR60-AR66+AR74</f>
        <v>384.79999999999995</v>
      </c>
      <c r="AS76" s="1318">
        <f>SUM(AO76:AR76)</f>
        <v>1680.0999999999992</v>
      </c>
      <c r="AT76" s="612">
        <f>AT60-AT66+AT74</f>
        <v>374.49999999999977</v>
      </c>
      <c r="AU76" s="581">
        <f>AU60-AU66+AU74</f>
        <v>618.10000000000036</v>
      </c>
      <c r="AV76" s="581">
        <f>AV60-AV66+AV74</f>
        <v>469.70000000000005</v>
      </c>
      <c r="AW76" s="666">
        <f>AW60-AW66+AW74</f>
        <v>422.19999999999959</v>
      </c>
      <c r="AX76" s="1318">
        <f>SUM(AT76:AW76)</f>
        <v>1884.4999999999998</v>
      </c>
      <c r="AY76" s="612">
        <f>AY60-AY66+AY74</f>
        <v>425.09999999999945</v>
      </c>
      <c r="AZ76" s="581">
        <f>AZ60-AZ66+AZ74</f>
        <v>699.40000000000055</v>
      </c>
      <c r="BA76" s="581">
        <f>BA60-BA66+BA74</f>
        <v>557.40000000000009</v>
      </c>
      <c r="BB76" s="666">
        <f>BB60-BB66+BB74</f>
        <v>450.900000000001</v>
      </c>
      <c r="BC76" s="1318">
        <f>SUM(AY76:BB76)</f>
        <v>2132.8000000000011</v>
      </c>
      <c r="BD76" s="612">
        <f>BD60-BD66+BD74</f>
        <v>524.60000000000036</v>
      </c>
      <c r="BE76" s="581">
        <f>BE60-BE66+BE74</f>
        <v>802.70000000000027</v>
      </c>
      <c r="BF76" s="581">
        <f>BF60-BF66+BF74</f>
        <v>668.30000000000064</v>
      </c>
      <c r="BG76" s="666">
        <f>BG60-BG66+BG74</f>
        <v>496.19999999999936</v>
      </c>
      <c r="BH76" s="1318">
        <f>SUM(BD76:BG76)</f>
        <v>2491.8000000000006</v>
      </c>
      <c r="BI76" s="612">
        <f>BI60-BI66+BI74</f>
        <v>563</v>
      </c>
      <c r="BJ76" s="581">
        <f>BJ60-BJ66+BJ74</f>
        <v>844.70000000000118</v>
      </c>
      <c r="BK76" s="581">
        <f>BK60-BK66+BK74</f>
        <v>731.80000000000064</v>
      </c>
      <c r="BL76" s="666">
        <f>BL60-BL66+BL74</f>
        <v>657.29999999999836</v>
      </c>
      <c r="BM76" s="1318">
        <f>SUM(BI76:BL76)</f>
        <v>2796.8</v>
      </c>
      <c r="BN76" s="612">
        <f>BN60-BN66+BN74</f>
        <v>699.30000000000064</v>
      </c>
      <c r="BO76" s="581">
        <f>BO60-BO66+BO74</f>
        <v>1033.900000000001</v>
      </c>
      <c r="BP76" s="581">
        <f>BP60-BP66+BP74</f>
        <v>851.29999999999882</v>
      </c>
      <c r="BQ76" s="666">
        <f>BQ60-BQ66+BQ74</f>
        <v>635.49999999999909</v>
      </c>
      <c r="BR76" s="1318">
        <f>SUM(BN76:BQ76)</f>
        <v>3219.9999999999995</v>
      </c>
      <c r="BS76" s="612">
        <f>BS60-BS66+BS74</f>
        <v>754.79999999999973</v>
      </c>
      <c r="BT76" s="581">
        <f>BT60-BT66+BT74</f>
        <v>1118.2000000000007</v>
      </c>
      <c r="BU76" s="581">
        <f>BU60-BU66+BU74</f>
        <v>930.80000000000109</v>
      </c>
      <c r="BV76" s="666">
        <f>BV60-BV66+BV74</f>
        <v>656.80000000000064</v>
      </c>
      <c r="BW76" s="1318">
        <f>SUM(BS76:BV76)</f>
        <v>3460.6000000000022</v>
      </c>
      <c r="BX76" s="612">
        <f>BX60-BX66+BX74</f>
        <v>752</v>
      </c>
      <c r="BY76" s="581">
        <f>BY60-BY66+BY74</f>
        <v>1114</v>
      </c>
      <c r="BZ76" s="581">
        <f>BZ60-BZ66+BZ74</f>
        <v>916</v>
      </c>
      <c r="CA76" s="666">
        <f>CA60-CA66+CA74</f>
        <v>790</v>
      </c>
      <c r="CB76" s="1311">
        <f>SUM(BX76:CA76)</f>
        <v>3572</v>
      </c>
      <c r="CC76" s="612">
        <f>CC60-CC66+CC74</f>
        <v>870</v>
      </c>
      <c r="CD76" s="581">
        <f>CD60-CD66+CD74</f>
        <v>1151</v>
      </c>
      <c r="CE76" s="581">
        <f>CE60-CE66+CE74</f>
        <v>899</v>
      </c>
      <c r="CF76" s="666">
        <f>CF60-CF66+CF74</f>
        <v>860</v>
      </c>
      <c r="CG76" s="1318">
        <f>SUM(CC76:CF76)</f>
        <v>3780</v>
      </c>
      <c r="CH76" s="581">
        <f>CH60-CH66+CH74</f>
        <v>1035</v>
      </c>
      <c r="CI76" s="581">
        <f>CI60-CI66+CI74</f>
        <v>1309</v>
      </c>
      <c r="CJ76" s="581">
        <f>CJ60-CJ66+CJ74</f>
        <v>1055</v>
      </c>
      <c r="CK76" s="581">
        <f>CK60-CK66+CK74</f>
        <v>959</v>
      </c>
      <c r="CL76" s="1318">
        <f>SUM(CH76:CK76)</f>
        <v>4358</v>
      </c>
      <c r="CM76" s="612">
        <f>CM60-CM66+CM74</f>
        <v>1005</v>
      </c>
      <c r="CN76" s="581">
        <f>CN60-CN66+CN74</f>
        <v>1238</v>
      </c>
      <c r="CO76" s="581">
        <f>CO60-CO66+CO74</f>
        <v>1016</v>
      </c>
      <c r="CP76" s="666">
        <f>CP60-CP66+CP74</f>
        <v>838</v>
      </c>
      <c r="CQ76" s="1318">
        <f>SUM(CM76:CP76)</f>
        <v>4097</v>
      </c>
      <c r="CR76" s="612">
        <f>CR60-CR66+CR74</f>
        <v>924</v>
      </c>
      <c r="CS76" s="581">
        <f>CS60-CS66+CS74</f>
        <v>1398</v>
      </c>
      <c r="CT76" s="581">
        <f>CT60-CT66+CT74</f>
        <v>1249</v>
      </c>
      <c r="CU76" s="581">
        <f>CU60-CU66+CU74</f>
        <v>1103</v>
      </c>
      <c r="CV76" s="1318">
        <f>SUM(CR76:CU76)</f>
        <v>4674</v>
      </c>
      <c r="CW76" s="612">
        <f>CW60-CW66+CW74</f>
        <v>1103</v>
      </c>
      <c r="CX76" s="581">
        <f>CX60-CX66+CX74</f>
        <v>1338</v>
      </c>
      <c r="CY76" s="581">
        <f>CY60-CY66+CY74</f>
        <v>1305</v>
      </c>
      <c r="CZ76" s="666">
        <f>CZ60-CZ66+CZ74</f>
        <v>1142</v>
      </c>
      <c r="DA76" s="1318">
        <f>SUM(CW76:CZ76)</f>
        <v>4888</v>
      </c>
      <c r="DB76" s="612">
        <f>DB60-DB66+DB74</f>
        <v>1205</v>
      </c>
      <c r="DC76" s="581">
        <f>DC60-DC66+DC74</f>
        <v>1840</v>
      </c>
      <c r="DD76" s="581">
        <f>DD60-DD66+DD74</f>
        <v>1749</v>
      </c>
      <c r="DE76" s="581">
        <f>DE60-DE66+DE74</f>
        <v>1450</v>
      </c>
      <c r="DF76" s="1318">
        <f>SUM(DB76:DE76)</f>
        <v>6244</v>
      </c>
      <c r="DG76" s="581">
        <f>DG60-DG66+DG74</f>
        <v>1719</v>
      </c>
      <c r="DH76" s="581">
        <f>DH60-DH66+DH74</f>
        <v>2120</v>
      </c>
      <c r="DI76" s="2156">
        <f>DI60-DI66+DI74</f>
        <v>1814</v>
      </c>
      <c r="DJ76" s="2156">
        <f>DJ60-DJ66+DJ74</f>
        <v>1555</v>
      </c>
      <c r="DK76" s="652">
        <f>SUM(DG76:DJ76)</f>
        <v>7208</v>
      </c>
      <c r="DL76" s="2156">
        <f>DL60-DL66+DL74</f>
        <v>1726</v>
      </c>
      <c r="DM76" s="2156">
        <f>DM60-DM66+DM74</f>
        <v>2016</v>
      </c>
      <c r="DN76" s="2156">
        <f>DN60-DN66+DN74</f>
        <v>2054</v>
      </c>
      <c r="DO76" s="2156">
        <f>DO60-DO66+DO74</f>
        <v>1884</v>
      </c>
      <c r="DP76" s="652">
        <f>SUM(DL76:DO76)</f>
        <v>7680</v>
      </c>
      <c r="DQ76" s="2156">
        <f>DQ60-DQ66+DQ74</f>
        <v>1809</v>
      </c>
      <c r="DR76" s="581">
        <f ca="1">DR60-DR66+DR74</f>
        <v>2092.5589827854706</v>
      </c>
      <c r="DS76" s="581">
        <f ca="1">DS60-DS66+DS74</f>
        <v>1956.7108103980572</v>
      </c>
      <c r="DT76" s="666">
        <f>DT60-DT66+DT74</f>
        <v>1864.4675875938412</v>
      </c>
      <c r="DU76" s="652">
        <f ca="1">SUM(DQ76:DT76)</f>
        <v>7722.7373807773693</v>
      </c>
      <c r="DV76" s="612">
        <f>DV60-DV66+DV74</f>
        <v>1827.1445882831288</v>
      </c>
      <c r="DW76" s="581">
        <f ca="1">DW60-DW66+DW74</f>
        <v>2131.680172854698</v>
      </c>
      <c r="DX76" s="581">
        <f ca="1">DX60-DX66+DX74</f>
        <v>2151.3883448000151</v>
      </c>
      <c r="DY76" s="666">
        <f>DY60-DY66+DY74</f>
        <v>2102.8223249511507</v>
      </c>
      <c r="DZ76" s="652">
        <f ca="1">SUM(DV76:DY76)</f>
        <v>8213.0354308889928</v>
      </c>
      <c r="EA76" s="612">
        <f>EA60-EA66+EA74</f>
        <v>1875.2821606749424</v>
      </c>
      <c r="EB76" s="581">
        <f ca="1">EB60-EB66+EB74</f>
        <v>2156.898451616451</v>
      </c>
      <c r="EC76" s="581">
        <f ca="1">EC60-EC66+EC74</f>
        <v>2193.8041800181127</v>
      </c>
      <c r="ED76" s="666">
        <f>ED60-ED66+ED74</f>
        <v>2148.7638887745029</v>
      </c>
      <c r="EE76" s="652">
        <f ca="1">SUM(EA76:ED76)</f>
        <v>8374.7486810840091</v>
      </c>
      <c r="EF76" s="53"/>
      <c r="EG76" s="53"/>
      <c r="EH76"/>
      <c r="EI76"/>
      <c r="EJ76"/>
      <c r="EK76"/>
      <c r="EL76"/>
      <c r="EM76"/>
      <c r="EN76" s="53"/>
      <c r="EO76" s="53"/>
      <c r="EP76" s="53"/>
      <c r="EQ76" s="53"/>
      <c r="ER76" s="53"/>
      <c r="ES76" s="53"/>
      <c r="ET76" s="53"/>
      <c r="EU76" s="53"/>
      <c r="EV76" s="53"/>
      <c r="EW76" s="53"/>
      <c r="EX76" s="53"/>
      <c r="EY76" s="53"/>
      <c r="EZ76" s="53"/>
      <c r="FA76" s="53"/>
      <c r="FB76" s="53"/>
      <c r="FC76" s="53"/>
      <c r="FD76" s="53"/>
      <c r="FE76" s="53"/>
      <c r="FF76" s="53"/>
      <c r="FG76" s="53"/>
      <c r="FH76" s="53"/>
      <c r="FI76" s="53"/>
      <c r="FJ76" s="53"/>
      <c r="FK76" s="53"/>
      <c r="FL76" s="53"/>
      <c r="FM76" s="53"/>
      <c r="FN76" s="53"/>
      <c r="FO76" s="53"/>
      <c r="FP76" s="53"/>
      <c r="FQ76" s="53"/>
      <c r="FR76" s="53"/>
      <c r="FS76" s="53"/>
      <c r="FT76" s="53"/>
      <c r="FU76" s="53"/>
      <c r="FV76" s="53"/>
      <c r="FW76" s="53"/>
      <c r="FX76" s="53"/>
      <c r="FY76" s="53"/>
      <c r="FZ76" s="53"/>
      <c r="GA76" s="53"/>
      <c r="GB76" s="53"/>
      <c r="GC76" s="53"/>
      <c r="GD76" s="53"/>
      <c r="GE76" s="53"/>
      <c r="GF76" s="53"/>
      <c r="GG76" s="53"/>
      <c r="GH76" s="53"/>
      <c r="GI76" s="53"/>
      <c r="GJ76" s="53"/>
      <c r="GK76" s="53"/>
      <c r="GL76" s="53"/>
      <c r="GM76" s="53"/>
      <c r="GN76" s="53"/>
      <c r="GO76" s="53"/>
      <c r="GP76" s="53"/>
      <c r="GQ76" s="53"/>
      <c r="GR76" s="53"/>
      <c r="GS76" s="53"/>
      <c r="GT76" s="53"/>
      <c r="GU76" s="53"/>
      <c r="GV76" s="53"/>
      <c r="GW76" s="53"/>
      <c r="GX76" s="53"/>
      <c r="GY76" s="53"/>
      <c r="GZ76" s="53"/>
      <c r="HA76" s="53"/>
      <c r="HB76" s="53"/>
      <c r="HC76" s="53"/>
      <c r="HD76" s="53"/>
      <c r="HE76" s="53"/>
      <c r="HF76" s="53"/>
      <c r="HG76" s="53"/>
      <c r="HH76" s="53"/>
      <c r="HI76" s="53"/>
      <c r="HJ76" s="53"/>
      <c r="HK76" s="53"/>
      <c r="HL76" s="53"/>
      <c r="HM76" s="53"/>
      <c r="HN76" s="53"/>
      <c r="HO76" s="53"/>
      <c r="HP76" s="53"/>
      <c r="HQ76" s="53"/>
      <c r="HR76" s="53"/>
      <c r="HS76" s="53"/>
      <c r="HT76" s="53"/>
      <c r="HU76" s="53"/>
      <c r="HV76" s="53"/>
      <c r="HW76" s="53"/>
      <c r="HX76" s="53"/>
    </row>
    <row r="77" spans="2:232" s="64" customFormat="1" ht="12" thickBot="1">
      <c r="AS77" s="311"/>
      <c r="AX77" s="311"/>
      <c r="BC77" s="311"/>
      <c r="BH77" s="1294"/>
      <c r="BM77" s="1294"/>
      <c r="BR77" s="1294"/>
      <c r="BW77" s="1294"/>
      <c r="CB77" s="1294"/>
      <c r="CG77" s="1294"/>
      <c r="CJ77" s="62"/>
      <c r="CK77" s="62"/>
      <c r="CL77" s="1294"/>
      <c r="CO77" s="62"/>
      <c r="CP77" s="62"/>
      <c r="CQ77" s="1350"/>
      <c r="CR77" s="131"/>
      <c r="CS77" s="131"/>
      <c r="CT77" s="131"/>
      <c r="CU77" s="1606"/>
      <c r="CV77" s="1663"/>
      <c r="CW77" s="131"/>
      <c r="CX77" s="131"/>
      <c r="CY77" s="131"/>
      <c r="CZ77" s="1606"/>
      <c r="DA77" s="1635"/>
      <c r="DB77" s="1635"/>
      <c r="DC77" s="1667"/>
      <c r="DD77" s="1667"/>
      <c r="DE77" s="1667"/>
      <c r="DF77" s="1584"/>
      <c r="DG77" s="122"/>
      <c r="DH77" s="122"/>
      <c r="DI77" s="122"/>
      <c r="DJ77" s="122"/>
      <c r="DL77" s="2179"/>
      <c r="DM77" s="2179"/>
      <c r="DN77" s="2179"/>
      <c r="DO77" s="2179"/>
      <c r="DQ77" s="2179"/>
      <c r="DR77" s="80"/>
      <c r="EF77" s="53"/>
      <c r="EG77" s="53"/>
      <c r="EH77"/>
      <c r="EI77"/>
      <c r="EJ77"/>
      <c r="EK77"/>
      <c r="EL77"/>
      <c r="EM77"/>
      <c r="EN77" s="53"/>
      <c r="EO77" s="53"/>
      <c r="EP77" s="53"/>
      <c r="EQ77" s="53"/>
      <c r="ER77" s="53"/>
      <c r="ES77" s="53"/>
      <c r="ET77" s="53"/>
      <c r="EU77" s="53"/>
      <c r="EV77" s="53"/>
      <c r="EW77" s="53"/>
      <c r="EX77" s="53"/>
      <c r="EY77" s="53"/>
      <c r="EZ77" s="53"/>
      <c r="FA77" s="53"/>
      <c r="FB77" s="53"/>
      <c r="FC77" s="53"/>
      <c r="FD77" s="53"/>
      <c r="FE77" s="53"/>
      <c r="FF77" s="53"/>
      <c r="FG77" s="53"/>
      <c r="FH77" s="53"/>
      <c r="FI77" s="53"/>
      <c r="FJ77" s="53"/>
      <c r="FK77" s="53"/>
      <c r="FL77" s="53"/>
      <c r="FM77" s="53"/>
      <c r="FN77" s="53"/>
      <c r="FO77" s="53"/>
      <c r="FP77" s="53"/>
      <c r="FQ77" s="53"/>
      <c r="FR77" s="53"/>
      <c r="FS77" s="53"/>
      <c r="FT77" s="53"/>
      <c r="FU77" s="53"/>
      <c r="FV77" s="53"/>
      <c r="FW77" s="53"/>
      <c r="FX77" s="53"/>
      <c r="FY77" s="53"/>
      <c r="FZ77" s="53"/>
      <c r="GA77" s="53"/>
      <c r="GB77" s="53"/>
      <c r="GC77" s="53"/>
      <c r="GD77" s="53"/>
      <c r="GE77" s="53"/>
      <c r="GF77" s="53"/>
      <c r="GG77" s="53"/>
      <c r="GH77" s="53"/>
      <c r="GI77" s="53"/>
      <c r="GJ77" s="53"/>
      <c r="GK77" s="53"/>
      <c r="GL77" s="53"/>
      <c r="GM77" s="53"/>
      <c r="GN77" s="53"/>
      <c r="GO77" s="53"/>
      <c r="GP77" s="53"/>
      <c r="GQ77" s="53"/>
      <c r="GR77" s="53"/>
      <c r="GS77" s="53"/>
      <c r="GT77" s="53"/>
      <c r="GU77" s="53"/>
      <c r="GV77" s="53"/>
      <c r="GW77" s="53"/>
      <c r="GX77" s="53"/>
      <c r="GY77" s="53"/>
      <c r="GZ77" s="53"/>
      <c r="HA77" s="53"/>
      <c r="HB77" s="53"/>
      <c r="HC77" s="53"/>
      <c r="HD77" s="53"/>
      <c r="HE77" s="53"/>
      <c r="HF77" s="53"/>
      <c r="HG77" s="53"/>
      <c r="HH77" s="53"/>
      <c r="HI77" s="53"/>
      <c r="HJ77" s="53"/>
      <c r="HK77" s="53"/>
      <c r="HL77" s="53"/>
      <c r="HM77" s="53"/>
      <c r="HN77" s="53"/>
      <c r="HO77" s="53"/>
      <c r="HP77" s="53"/>
      <c r="HQ77" s="53"/>
      <c r="HR77" s="53"/>
      <c r="HS77" s="53"/>
      <c r="HT77" s="53"/>
      <c r="HU77" s="53"/>
      <c r="HV77" s="53"/>
      <c r="HW77" s="53"/>
      <c r="HX77" s="53"/>
    </row>
    <row r="78" spans="2:232" s="54" customFormat="1" ht="11.25" customHeight="1" outlineLevel="1">
      <c r="B78" s="1642" t="s">
        <v>50</v>
      </c>
      <c r="C78" s="477"/>
      <c r="D78" s="670">
        <v>63.752000000000002</v>
      </c>
      <c r="E78" s="670">
        <v>70.375</v>
      </c>
      <c r="F78" s="670">
        <v>84.346000000000004</v>
      </c>
      <c r="G78" s="670">
        <v>92.108999999999995</v>
      </c>
      <c r="H78" s="670">
        <v>104.66</v>
      </c>
      <c r="I78" s="670">
        <v>118.11799999999999</v>
      </c>
      <c r="J78" s="670">
        <v>131.53700000000001</v>
      </c>
      <c r="K78" s="671">
        <v>33.063000000000002</v>
      </c>
      <c r="L78" s="477">
        <v>36.218000000000004</v>
      </c>
      <c r="M78" s="477">
        <v>37.628999999999998</v>
      </c>
      <c r="N78" s="672">
        <f>147.3-K78-L78-M78</f>
        <v>40.390000000000008</v>
      </c>
      <c r="O78" s="670">
        <f>SUM(K78:N78)</f>
        <v>147.30000000000001</v>
      </c>
      <c r="P78" s="671">
        <v>36.664999999999999</v>
      </c>
      <c r="Q78" s="477">
        <f>73.24-P78</f>
        <v>36.574999999999996</v>
      </c>
      <c r="R78" s="477">
        <f>120.529-Q78-P78</f>
        <v>47.289000000000009</v>
      </c>
      <c r="S78" s="672">
        <f>163.927-P78-Q78-R78</f>
        <v>43.398000000000003</v>
      </c>
      <c r="T78" s="670">
        <f>SUM(P78:S78)</f>
        <v>163.92699999999999</v>
      </c>
      <c r="U78" s="671">
        <v>42.216000000000001</v>
      </c>
      <c r="V78" s="477">
        <v>47.491</v>
      </c>
      <c r="W78" s="477">
        <v>49.103000000000002</v>
      </c>
      <c r="X78" s="672">
        <v>41.448</v>
      </c>
      <c r="Y78" s="670">
        <f>SUM(U78:X78)</f>
        <v>180.25800000000001</v>
      </c>
      <c r="Z78" s="671">
        <v>47.798000000000002</v>
      </c>
      <c r="AA78" s="477">
        <v>54.6</v>
      </c>
      <c r="AB78" s="477">
        <v>52.4</v>
      </c>
      <c r="AC78" s="672">
        <v>55.1</v>
      </c>
      <c r="AD78" s="670">
        <v>210.1</v>
      </c>
      <c r="AE78" s="671">
        <v>53.1</v>
      </c>
      <c r="AF78" s="477">
        <f>109.9-AE78</f>
        <v>56.800000000000004</v>
      </c>
      <c r="AG78" s="477">
        <f>171.3-AF78-AE78</f>
        <v>61.4</v>
      </c>
      <c r="AH78" s="672">
        <v>58.6</v>
      </c>
      <c r="AI78" s="670">
        <v>230.1</v>
      </c>
      <c r="AJ78" s="671">
        <v>59.4</v>
      </c>
      <c r="AK78" s="477">
        <f>128.5-AJ78</f>
        <v>69.099999999999994</v>
      </c>
      <c r="AL78" s="477">
        <f>196.6-AK78-AJ78</f>
        <v>68.099999999999994</v>
      </c>
      <c r="AM78" s="672">
        <f>269.2-AK78-AJ78-AL78</f>
        <v>72.599999999999994</v>
      </c>
      <c r="AN78" s="670">
        <f>SUM(AJ78:AM78)</f>
        <v>269.2</v>
      </c>
      <c r="AO78" s="671">
        <v>72.8</v>
      </c>
      <c r="AP78" s="477">
        <f>146.4-AO78</f>
        <v>73.600000000000009</v>
      </c>
      <c r="AQ78" s="477">
        <f>225-AP78-AO78</f>
        <v>78.59999999999998</v>
      </c>
      <c r="AR78" s="672">
        <f>307.3-AQ78-AP78-AO78</f>
        <v>82.300000000000026</v>
      </c>
      <c r="AS78" s="670">
        <f>SUM(AO78:AR78)</f>
        <v>307.3</v>
      </c>
      <c r="AT78" s="671">
        <v>82.4</v>
      </c>
      <c r="AU78" s="477">
        <f>167.5-AT78</f>
        <v>85.1</v>
      </c>
      <c r="AV78" s="477">
        <f>252.8-AU78-AT78</f>
        <v>85.300000000000011</v>
      </c>
      <c r="AW78" s="672">
        <f>346.1-SUM(AT78:AV78)</f>
        <v>93.300000000000011</v>
      </c>
      <c r="AX78" s="670">
        <f>SUM(AT78:AW78)</f>
        <v>346.1</v>
      </c>
      <c r="AY78" s="671">
        <v>90.7</v>
      </c>
      <c r="AZ78" s="477">
        <f>186.4-AY78</f>
        <v>95.7</v>
      </c>
      <c r="BA78" s="477">
        <f>288.2-AZ78-AY78</f>
        <v>101.8</v>
      </c>
      <c r="BB78" s="672">
        <f>403.1-AY78-AZ78-BA78</f>
        <v>114.90000000000005</v>
      </c>
      <c r="BC78" s="670">
        <f>SUM(AY78:BB78)</f>
        <v>403.1</v>
      </c>
      <c r="BD78" s="671">
        <v>110.6</v>
      </c>
      <c r="BE78" s="477">
        <f>228-BD78</f>
        <v>117.4</v>
      </c>
      <c r="BF78" s="477">
        <f>352.2-BE78-BD78</f>
        <v>124.19999999999999</v>
      </c>
      <c r="BG78" s="672">
        <f>(Model!BH358+Model!BH359)-SUM(Model!BD78:BF78)</f>
        <v>129.90000000000003</v>
      </c>
      <c r="BH78" s="670">
        <f>SUM(BD78:BG78)</f>
        <v>482.1</v>
      </c>
      <c r="BI78" s="671">
        <v>133</v>
      </c>
      <c r="BJ78" s="477">
        <f>(Model!BM358/52)*Model!BJ155</f>
        <v>138.17500000000001</v>
      </c>
      <c r="BK78" s="477">
        <f>408.7-SUM(BI78:BJ78)</f>
        <v>137.52499999999998</v>
      </c>
      <c r="BL78" s="672">
        <f>(Model!BM358+Model!BM359)-408.7</f>
        <v>163.50000000000006</v>
      </c>
      <c r="BM78" s="670">
        <f>SUM(BI78:BL78)</f>
        <v>572.20000000000005</v>
      </c>
      <c r="BN78" s="671">
        <v>160</v>
      </c>
      <c r="BO78" s="477">
        <f>318.7-BN78</f>
        <v>158.69999999999999</v>
      </c>
      <c r="BP78" s="477">
        <f>495.9-BO78-BN78</f>
        <v>177.2</v>
      </c>
      <c r="BQ78" s="672">
        <f>(Model!BR358/52)*Model!BQ155</f>
        <v>153.5</v>
      </c>
      <c r="BR78" s="670">
        <f>SUM(BN78:BQ78)</f>
        <v>649.4</v>
      </c>
      <c r="BS78" s="677">
        <f>BS358-BS63</f>
        <v>195</v>
      </c>
      <c r="BT78" s="678">
        <f>BT358-BT63</f>
        <v>201.89999999999998</v>
      </c>
      <c r="BU78" s="678">
        <f>BU358-BU63</f>
        <v>210.80000000000007</v>
      </c>
      <c r="BV78" s="678">
        <f>BV358-BV63</f>
        <v>146</v>
      </c>
      <c r="BW78" s="845">
        <f>SUM(BS78:BV78)</f>
        <v>753.7</v>
      </c>
      <c r="BX78" s="677">
        <f>BX358-BX63</f>
        <v>201</v>
      </c>
      <c r="BY78" s="678">
        <f>BY358-BY63</f>
        <v>206</v>
      </c>
      <c r="BZ78" s="678">
        <f>BZ358-BZ63</f>
        <v>226</v>
      </c>
      <c r="CA78" s="678">
        <f>CA358-CA63</f>
        <v>194</v>
      </c>
      <c r="CB78" s="845">
        <f>SUM(BX78:CA78)</f>
        <v>827</v>
      </c>
      <c r="CC78" s="677">
        <f>CC358-CC63</f>
        <v>218</v>
      </c>
      <c r="CD78" s="678">
        <f>CD358-CD63</f>
        <v>210</v>
      </c>
      <c r="CE78" s="678">
        <f>CE358-CE63</f>
        <v>211</v>
      </c>
      <c r="CF78" s="678">
        <f>CF358-CF63</f>
        <v>209</v>
      </c>
      <c r="CG78" s="845">
        <f>SUM(CC78:CF78)</f>
        <v>848</v>
      </c>
      <c r="CH78" s="677">
        <f>CH358-CH63</f>
        <v>221</v>
      </c>
      <c r="CI78" s="678">
        <f>CI358-CI63</f>
        <v>210</v>
      </c>
      <c r="CJ78" s="678">
        <f>CJ358-CJ63</f>
        <v>215</v>
      </c>
      <c r="CK78" s="678">
        <f>CK358-CK63</f>
        <v>221</v>
      </c>
      <c r="CL78" s="845">
        <f>SUM(CH78:CK78)</f>
        <v>867</v>
      </c>
      <c r="CM78" s="677">
        <f>CM358-CM63</f>
        <v>217</v>
      </c>
      <c r="CN78" s="678">
        <f>CN358-CN63</f>
        <v>222</v>
      </c>
      <c r="CO78" s="678">
        <f>CO358-CO63</f>
        <v>232</v>
      </c>
      <c r="CP78" s="678">
        <f>CP358-CP63</f>
        <v>240</v>
      </c>
      <c r="CQ78" s="845">
        <f>SUM(CM78:CP78)</f>
        <v>911</v>
      </c>
      <c r="CR78" s="677">
        <f>CR358-CR63</f>
        <v>239</v>
      </c>
      <c r="CS78" s="678">
        <f>CS358-CS63</f>
        <v>252</v>
      </c>
      <c r="CT78" s="678">
        <f>CT358-CT63</f>
        <v>251</v>
      </c>
      <c r="CU78" s="678">
        <f>CU358-CU63</f>
        <v>252</v>
      </c>
      <c r="CV78" s="845">
        <f>SUM(CR78:CU78)</f>
        <v>994</v>
      </c>
      <c r="CW78" s="677">
        <f>CW358-CW63</f>
        <v>262</v>
      </c>
      <c r="CX78" s="678">
        <f>CX358-CX63</f>
        <v>258</v>
      </c>
      <c r="CY78" s="678">
        <f>CY358-CY63</f>
        <v>267</v>
      </c>
      <c r="CZ78" s="678">
        <f>CZ358-CZ63</f>
        <v>247</v>
      </c>
      <c r="DA78" s="845">
        <f>SUM(CW78:CZ78)</f>
        <v>1034</v>
      </c>
      <c r="DB78" s="677">
        <f>DB358-DB63</f>
        <v>252</v>
      </c>
      <c r="DC78" s="678">
        <f>DC358-DC63</f>
        <v>290</v>
      </c>
      <c r="DD78" s="678">
        <f>DD358-DD63</f>
        <v>342</v>
      </c>
      <c r="DE78" s="678">
        <f>DE358-DE63</f>
        <v>365</v>
      </c>
      <c r="DF78" s="845">
        <f>SUM(DB78:DE78)</f>
        <v>1249</v>
      </c>
      <c r="DG78" s="678">
        <f>DG358-DG63</f>
        <v>301</v>
      </c>
      <c r="DH78" s="678">
        <f>DH358-DH63</f>
        <v>341</v>
      </c>
      <c r="DI78" s="2157">
        <f>DI358-DI63</f>
        <v>351</v>
      </c>
      <c r="DJ78" s="2157">
        <f>DJ358-DJ63</f>
        <v>356</v>
      </c>
      <c r="DK78" s="845">
        <f>SUM(DG78:DJ78)</f>
        <v>1349</v>
      </c>
      <c r="DL78" s="2157">
        <f>DL358-DL63</f>
        <v>337</v>
      </c>
      <c r="DM78" s="2157">
        <f>DM358-DM63</f>
        <v>330</v>
      </c>
      <c r="DN78" s="2157">
        <f>DN358-DN63</f>
        <v>331</v>
      </c>
      <c r="DO78" s="2157">
        <f>DO358-DO63</f>
        <v>325</v>
      </c>
      <c r="DP78" s="845">
        <f>SUM(DL78:DO78)</f>
        <v>1323</v>
      </c>
      <c r="DQ78" s="2157">
        <f>DQ358-DQ63</f>
        <v>331</v>
      </c>
      <c r="DR78" s="678">
        <f ca="1">DR358-DR63</f>
        <v>384.65791683295981</v>
      </c>
      <c r="DS78" s="678">
        <f ca="1">DS358-DS63</f>
        <v>379.13161596947725</v>
      </c>
      <c r="DT78" s="1768">
        <f>DT358-DT63</f>
        <v>367.86421161275058</v>
      </c>
      <c r="DU78" s="845">
        <f ca="1">SUM(DQ78:DT78)</f>
        <v>1462.6537444151875</v>
      </c>
      <c r="DV78" s="1767">
        <f>DV358-DV63</f>
        <v>365.51201227925338</v>
      </c>
      <c r="DW78" s="678">
        <f ca="1">DW358-DW63</f>
        <v>395.76781886279821</v>
      </c>
      <c r="DX78" s="678">
        <f ca="1">DX358-DX63</f>
        <v>386.22333999687567</v>
      </c>
      <c r="DY78" s="1768">
        <f>DY358-DY63</f>
        <v>374.6816436411118</v>
      </c>
      <c r="DZ78" s="845">
        <f ca="1">SUM(DV78:DY78)</f>
        <v>1522.184814780039</v>
      </c>
      <c r="EA78" s="1767">
        <f>EA358-EA63</f>
        <v>373.60616583147953</v>
      </c>
      <c r="EB78" s="678">
        <f ca="1">EB358-EB63</f>
        <v>404.1447252661863</v>
      </c>
      <c r="EC78" s="678">
        <f ca="1">EC358-EC63</f>
        <v>394.86104985064912</v>
      </c>
      <c r="ED78" s="1768">
        <f>ED358-ED63</f>
        <v>383.55926417686612</v>
      </c>
      <c r="EE78" s="845">
        <f ca="1">SUM(EA78:ED78)</f>
        <v>1556.1712051251811</v>
      </c>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row>
    <row r="79" spans="2:232" s="54" customFormat="1" ht="12" customHeight="1" outlineLevel="1" thickBot="1">
      <c r="B79" s="673" t="s">
        <v>29</v>
      </c>
      <c r="C79" s="579"/>
      <c r="D79" s="674">
        <f t="shared" ref="D79:J79" si="102">D28+D25+D134+D78</f>
        <v>349.90900000000016</v>
      </c>
      <c r="E79" s="674">
        <f t="shared" si="102"/>
        <v>393.35500000000002</v>
      </c>
      <c r="F79" s="674">
        <f t="shared" si="102"/>
        <v>441.64899999999989</v>
      </c>
      <c r="G79" s="674">
        <f t="shared" si="102"/>
        <v>485.47499999999945</v>
      </c>
      <c r="H79" s="674">
        <f t="shared" si="102"/>
        <v>532.16799999999967</v>
      </c>
      <c r="I79" s="674">
        <f t="shared" si="102"/>
        <v>578.86599999999862</v>
      </c>
      <c r="J79" s="674">
        <f t="shared" si="102"/>
        <v>673.03699999999992</v>
      </c>
      <c r="K79" s="680">
        <f>K28+K23+K24+K134+K78</f>
        <v>145.40099999999967</v>
      </c>
      <c r="L79" s="674">
        <f>L28+L23+L24+L134+L78</f>
        <v>253.57599999999996</v>
      </c>
      <c r="M79" s="674">
        <f>M28+M23+M24+M134+M78</f>
        <v>193.07299999999981</v>
      </c>
      <c r="N79" s="681">
        <f>N28+N23+N24+N134+N78</f>
        <v>176.25399999999976</v>
      </c>
      <c r="O79" s="674">
        <f>O28+O25+O134+O78</f>
        <v>768.30399999999759</v>
      </c>
      <c r="P79" s="680">
        <f>P28+P23+P24+P134+P78</f>
        <v>170.86399999999989</v>
      </c>
      <c r="Q79" s="674">
        <f>Q28+Q23+Q24+Q134+Q78</f>
        <v>294.5749999999997</v>
      </c>
      <c r="R79" s="674">
        <f>R28+R23+R24+R134+R78</f>
        <v>231.14400000000009</v>
      </c>
      <c r="S79" s="681">
        <f>S28+S23+S24+S134+S78</f>
        <v>209.11299999999983</v>
      </c>
      <c r="T79" s="674">
        <f>T28+T25+T134+T78</f>
        <v>905.69600000000048</v>
      </c>
      <c r="U79" s="680">
        <f>U28+U23+U24+U134+U78</f>
        <v>197.84399999999982</v>
      </c>
      <c r="V79" s="674">
        <f>V28+V23+V24+V134+V78</f>
        <v>345.709</v>
      </c>
      <c r="W79" s="674">
        <f>W28+W23+W24+W134+W78</f>
        <v>285.88300000000027</v>
      </c>
      <c r="X79" s="681">
        <f>X28+X23+X24+X134+X78+X26</f>
        <v>278.97699999999992</v>
      </c>
      <c r="Y79" s="674">
        <f>Y28+Y25+Y134+Y78</f>
        <v>1145.7949999999992</v>
      </c>
      <c r="Z79" s="680">
        <f>Z28+Z23+Z24+Z134+Z78</f>
        <v>244.29799999999992</v>
      </c>
      <c r="AA79" s="674">
        <f>AA28+AA23+AA24+AA134+AA78</f>
        <v>417.00000000000017</v>
      </c>
      <c r="AB79" s="674">
        <f>AB28+AB23+AB24+AB134+AB78</f>
        <v>340.29999999999956</v>
      </c>
      <c r="AC79" s="681">
        <f>AC28+AC23+AC24+AC134+AC78</f>
        <v>314.10000000000008</v>
      </c>
      <c r="AD79" s="674">
        <f>AD28+AD25+AD134+AD78</f>
        <v>1270.6999999999987</v>
      </c>
      <c r="AE79" s="680">
        <f>AE28+AE23+AE24+AE134+AE78</f>
        <v>298.49999999999972</v>
      </c>
      <c r="AF79" s="674">
        <f>AF28+AF23+AF24+AF134+AF78</f>
        <v>464.90000000000003</v>
      </c>
      <c r="AG79" s="674">
        <f>AG28+AG23+AG24+AG134+AG78</f>
        <v>387.20000000000039</v>
      </c>
      <c r="AH79" s="681">
        <f>AH28+AH23+AH24+AH134+AH78+AH26</f>
        <v>359.80000000000013</v>
      </c>
      <c r="AI79" s="674">
        <f>AI28+AI25+AI134+AI78</f>
        <v>1544.1000000000006</v>
      </c>
      <c r="AJ79" s="680">
        <f>AJ28+AJ23+AJ24+AJ134+AJ78</f>
        <v>333.39999999999941</v>
      </c>
      <c r="AK79" s="674">
        <f>AK28+AK23+AK24+AK134+AK78+AK26</f>
        <v>552.80000000000007</v>
      </c>
      <c r="AL79" s="674">
        <f>AL28+AL23+AL24+AL134+AL78</f>
        <v>430.39999999999952</v>
      </c>
      <c r="AM79" s="681">
        <f>AM28+AM23+AM24+AM134+AM78</f>
        <v>415.20000000000039</v>
      </c>
      <c r="AN79" s="674">
        <f>AN28+AN25+AN134+AN78</f>
        <v>1752.3999999999983</v>
      </c>
      <c r="AO79" s="680">
        <f>AO28+AO23+AO24+AO134+AO78</f>
        <v>392.69999999999953</v>
      </c>
      <c r="AP79" s="674">
        <f>AP28+AP23+AP24+AP134+AP78</f>
        <v>617.79999999999961</v>
      </c>
      <c r="AQ79" s="674">
        <f>AQ28+AQ23+AQ24+AQ134+AQ78</f>
        <v>515.29999999999995</v>
      </c>
      <c r="AR79" s="681">
        <f>AR28+AR23+AR24+AR134+AR78</f>
        <v>470.40000000000009</v>
      </c>
      <c r="AS79" s="674">
        <f>AS28+AS25+AS134+AS78</f>
        <v>1978.3000000000002</v>
      </c>
      <c r="AT79" s="680">
        <f>AT28+AT23+AT24+AT134+AT78</f>
        <v>456.89999999999986</v>
      </c>
      <c r="AU79" s="674">
        <f>AU28+AU23+AU24+AU134+AU78</f>
        <v>703.20000000000027</v>
      </c>
      <c r="AV79" s="674">
        <f>AV28+AV23+AV24+AV134+AV78</f>
        <v>555</v>
      </c>
      <c r="AW79" s="681">
        <f>AW28+AW23+AW24+AW134+AW78</f>
        <v>518.09999999999968</v>
      </c>
      <c r="AX79" s="674">
        <f>AX28+AX25+AX134+AX78</f>
        <v>2216.2000000000012</v>
      </c>
      <c r="AY79" s="680">
        <f>AY28+AY23+AY24+AY134+AY78</f>
        <v>515.79999999999961</v>
      </c>
      <c r="AZ79" s="674">
        <f>AZ28+AZ23+AZ24+AZ134+AZ78</f>
        <v>795.10000000000048</v>
      </c>
      <c r="BA79" s="674">
        <f>BA28+BA23+BA24+BA134+BA78</f>
        <v>659.20000000000027</v>
      </c>
      <c r="BB79" s="681">
        <f>BB28+BB23+BB24+BB134+BB78</f>
        <v>565.80000000000109</v>
      </c>
      <c r="BC79" s="674">
        <f>BC28+BC25+BC134+BC78</f>
        <v>2535.8999999999965</v>
      </c>
      <c r="BD79" s="680">
        <f>BD28+BD23+BD24+BD134+BD78</f>
        <v>635.20000000000039</v>
      </c>
      <c r="BE79" s="674">
        <f>BE28+BE23+BE24+BE134+BE78</f>
        <v>920.10000000000036</v>
      </c>
      <c r="BF79" s="674">
        <f>BF28+BF23+BF24+BF134+BF78</f>
        <v>792.50000000000091</v>
      </c>
      <c r="BG79" s="681">
        <f>BG28+BG23+BG24+BG134+BG78</f>
        <v>626.09999999999945</v>
      </c>
      <c r="BH79" s="674">
        <f>BH28+BH25+BH134+BH78</f>
        <v>2973.9</v>
      </c>
      <c r="BI79" s="680">
        <f>BI28+BI23+BI24+BI134+BI78</f>
        <v>696.00000000000023</v>
      </c>
      <c r="BJ79" s="674">
        <f>BJ28+BJ23+BJ24+BJ134+BJ78</f>
        <v>982.87500000000091</v>
      </c>
      <c r="BK79" s="674">
        <f>BK28+BK23+BK24+BK134+BK78</f>
        <v>869.32500000000084</v>
      </c>
      <c r="BL79" s="681">
        <f>BL28+BL23+BL24+BL134+BL78</f>
        <v>820.79999999999859</v>
      </c>
      <c r="BM79" s="674">
        <f>BM28+BM25+BM134+BM78</f>
        <v>3369.0000000000055</v>
      </c>
      <c r="BN79" s="680">
        <f>BN28+BN23+BN24+BN134+BN78</f>
        <v>859.30000000000052</v>
      </c>
      <c r="BO79" s="674">
        <f>BO28+BO23+BO24+BO134+BO78</f>
        <v>1192.600000000001</v>
      </c>
      <c r="BP79" s="674">
        <f>BP28+BP23+BP24+BP134+BP78</f>
        <v>1028.4999999999989</v>
      </c>
      <c r="BQ79" s="681">
        <f>BQ28+BQ23+BQ24+BQ134+BQ78</f>
        <v>788.99999999999909</v>
      </c>
      <c r="BR79" s="674">
        <f>BR28+BR25+BR134+BR78</f>
        <v>3869.3999999999937</v>
      </c>
      <c r="BS79" s="680">
        <f>BS28+BS25+BS134+BS78</f>
        <v>949.79999999999961</v>
      </c>
      <c r="BT79" s="674">
        <f>BT28+BT25+BT134+BT78</f>
        <v>1320.1000000000004</v>
      </c>
      <c r="BU79" s="674">
        <f>BU28+BU25+BU134+BU78</f>
        <v>1141.6000000000008</v>
      </c>
      <c r="BV79" s="674">
        <f>BV28+BV25+BV134+BV78</f>
        <v>802.80000000000052</v>
      </c>
      <c r="BW79" s="846">
        <f>SUM(BS79:BV79)</f>
        <v>4214.3000000000011</v>
      </c>
      <c r="BX79" s="680">
        <f>BX76+BX78</f>
        <v>953</v>
      </c>
      <c r="BY79" s="674">
        <f>BY76+BY78</f>
        <v>1320</v>
      </c>
      <c r="BZ79" s="674">
        <f>BZ76+BZ78</f>
        <v>1142</v>
      </c>
      <c r="CA79" s="674">
        <f>CA76+CA78</f>
        <v>984</v>
      </c>
      <c r="CB79" s="846">
        <f>SUM(BX79:CA79)</f>
        <v>4399</v>
      </c>
      <c r="CC79" s="680">
        <f>CC76+CC78</f>
        <v>1088</v>
      </c>
      <c r="CD79" s="674">
        <f>CD76+CD78</f>
        <v>1361</v>
      </c>
      <c r="CE79" s="674">
        <f>CE76+CE78</f>
        <v>1110</v>
      </c>
      <c r="CF79" s="674">
        <f>CF76+CF78</f>
        <v>1069</v>
      </c>
      <c r="CG79" s="846">
        <f>SUM(CC79:CF79)</f>
        <v>4628</v>
      </c>
      <c r="CH79" s="680">
        <f>CH76+CH78</f>
        <v>1256</v>
      </c>
      <c r="CI79" s="674">
        <f>CI76+CI78</f>
        <v>1519</v>
      </c>
      <c r="CJ79" s="674">
        <f>CJ76+CJ78</f>
        <v>1270</v>
      </c>
      <c r="CK79" s="674">
        <f>CK76+CK78</f>
        <v>1180</v>
      </c>
      <c r="CL79" s="846">
        <f>SUM(CH79:CK79)</f>
        <v>5225</v>
      </c>
      <c r="CM79" s="680">
        <f>CM76+CM78</f>
        <v>1222</v>
      </c>
      <c r="CN79" s="674">
        <f>CN76+CN78</f>
        <v>1460</v>
      </c>
      <c r="CO79" s="674">
        <f>CO76+CO78</f>
        <v>1248</v>
      </c>
      <c r="CP79" s="674">
        <f>CP76+CP78</f>
        <v>1078</v>
      </c>
      <c r="CQ79" s="846">
        <f>SUM(CM79:CP79)</f>
        <v>5008</v>
      </c>
      <c r="CR79" s="680">
        <f>CR76+CR78</f>
        <v>1163</v>
      </c>
      <c r="CS79" s="674">
        <f>CS76+CS78</f>
        <v>1650</v>
      </c>
      <c r="CT79" s="674">
        <f>CT76+CT78</f>
        <v>1500</v>
      </c>
      <c r="CU79" s="674">
        <f>CU76+CU78</f>
        <v>1355</v>
      </c>
      <c r="CV79" s="846">
        <f>SUM(CR79:CU79)</f>
        <v>5668</v>
      </c>
      <c r="CW79" s="680">
        <f>CW76+CW78</f>
        <v>1365</v>
      </c>
      <c r="CX79" s="674">
        <f>CX76+CX78</f>
        <v>1596</v>
      </c>
      <c r="CY79" s="674">
        <f>CY76+CY78</f>
        <v>1572</v>
      </c>
      <c r="CZ79" s="674">
        <f>CZ76+CZ78</f>
        <v>1389</v>
      </c>
      <c r="DA79" s="846">
        <f>SUM(CW79:CZ79)</f>
        <v>5922</v>
      </c>
      <c r="DB79" s="680">
        <f>DB76+DB78</f>
        <v>1457</v>
      </c>
      <c r="DC79" s="674">
        <f>DC76+DC78</f>
        <v>2130</v>
      </c>
      <c r="DD79" s="674">
        <f>DD76+DD78</f>
        <v>2091</v>
      </c>
      <c r="DE79" s="674">
        <f>DE76+DE78</f>
        <v>1815</v>
      </c>
      <c r="DF79" s="846">
        <f>SUM(DB79:DE79)</f>
        <v>7493</v>
      </c>
      <c r="DG79" s="674">
        <f>DG76+DG78</f>
        <v>2020</v>
      </c>
      <c r="DH79" s="674">
        <f>DH76+DH78</f>
        <v>2461</v>
      </c>
      <c r="DI79" s="2158">
        <f>DI76+DI78</f>
        <v>2165</v>
      </c>
      <c r="DJ79" s="2158">
        <f>DJ76+DJ78</f>
        <v>1911</v>
      </c>
      <c r="DK79" s="846">
        <f>SUM(DG79:DJ79)</f>
        <v>8557</v>
      </c>
      <c r="DL79" s="2158">
        <f>DL76+DL78</f>
        <v>2063</v>
      </c>
      <c r="DM79" s="2158">
        <f>DM76+DM78</f>
        <v>2346</v>
      </c>
      <c r="DN79" s="2158">
        <f>DN76+DN78</f>
        <v>2385</v>
      </c>
      <c r="DO79" s="2158">
        <f>DO76+DO78</f>
        <v>2209</v>
      </c>
      <c r="DP79" s="846">
        <f>SUM(DL79:DO79)</f>
        <v>9003</v>
      </c>
      <c r="DQ79" s="2158">
        <f>DQ76+DQ78</f>
        <v>2140</v>
      </c>
      <c r="DR79" s="674">
        <f ca="1">DR76+DR78</f>
        <v>2477.2168996184305</v>
      </c>
      <c r="DS79" s="674">
        <f ca="1">DS76+DS78</f>
        <v>2335.8424263675342</v>
      </c>
      <c r="DT79" s="1770">
        <f>DT76+DT78</f>
        <v>2232.3317992065918</v>
      </c>
      <c r="DU79" s="846">
        <f ca="1">SUM(DQ79:DT79)</f>
        <v>9185.3911251925565</v>
      </c>
      <c r="DV79" s="1769">
        <f>DV76+DV78</f>
        <v>2192.6566005623822</v>
      </c>
      <c r="DW79" s="674">
        <f ca="1">DW76+DW78</f>
        <v>2527.4479917174963</v>
      </c>
      <c r="DX79" s="674">
        <f ca="1">DX76+DX78</f>
        <v>2537.6116847968906</v>
      </c>
      <c r="DY79" s="1770">
        <f>DY76+DY78</f>
        <v>2477.5039685922625</v>
      </c>
      <c r="DZ79" s="846">
        <f ca="1">SUM(DV79:DY79)</f>
        <v>9735.220245669032</v>
      </c>
      <c r="EA79" s="1769">
        <f>EA76+EA78</f>
        <v>2248.8883265064219</v>
      </c>
      <c r="EB79" s="674">
        <f ca="1">EB76+EB78</f>
        <v>2561.0431768826375</v>
      </c>
      <c r="EC79" s="674">
        <f ca="1">EC76+EC78</f>
        <v>2588.6652298687618</v>
      </c>
      <c r="ED79" s="1770">
        <f>ED76+ED78</f>
        <v>2532.3231529513691</v>
      </c>
      <c r="EE79" s="846">
        <f ca="1">SUM(EA79:ED79)</f>
        <v>9930.9198862091907</v>
      </c>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row>
    <row r="80" spans="2:232" s="54" customFormat="1" ht="12" customHeight="1" outlineLevel="1" thickBot="1">
      <c r="CX80" s="372"/>
      <c r="CY80" s="63"/>
      <c r="CZ80" s="63"/>
      <c r="DF80" s="63"/>
      <c r="DR80" s="64"/>
      <c r="DS80" s="64"/>
      <c r="DT80" s="80">
        <v>6.8838775899052861E-3</v>
      </c>
      <c r="DU80" s="82"/>
      <c r="DV80" s="80">
        <v>1.3849358374614679E-2</v>
      </c>
      <c r="DW80" s="80">
        <v>2.0048467169381978E-2</v>
      </c>
      <c r="DX80" s="80">
        <v>2.6766983585362406E-2</v>
      </c>
      <c r="DY80" s="80">
        <v>3.3744497989731788E-2</v>
      </c>
      <c r="EA80" s="64"/>
      <c r="EB80" s="64"/>
      <c r="EC80" s="64"/>
      <c r="ED80" s="64"/>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row>
    <row r="81" spans="2:232" s="54" customFormat="1" ht="12" thickBot="1">
      <c r="B81" s="683" t="s">
        <v>40</v>
      </c>
      <c r="C81" s="684"/>
      <c r="D81" s="684"/>
      <c r="E81" s="685"/>
      <c r="F81" s="685"/>
      <c r="G81" s="685"/>
      <c r="H81" s="685"/>
      <c r="I81" s="685"/>
      <c r="J81" s="685"/>
      <c r="K81" s="684"/>
      <c r="L81" s="684"/>
      <c r="M81" s="684"/>
      <c r="N81" s="684"/>
      <c r="O81" s="685"/>
      <c r="P81" s="684"/>
      <c r="Q81" s="684"/>
      <c r="R81" s="684"/>
      <c r="S81" s="684"/>
      <c r="T81" s="685"/>
      <c r="U81" s="684"/>
      <c r="V81" s="684"/>
      <c r="W81" s="684"/>
      <c r="X81" s="684"/>
      <c r="Y81" s="685"/>
      <c r="Z81" s="684"/>
      <c r="AA81" s="684"/>
      <c r="AB81" s="684"/>
      <c r="AC81" s="684"/>
      <c r="AD81" s="685"/>
      <c r="AE81" s="684"/>
      <c r="AF81" s="684"/>
      <c r="AG81" s="684"/>
      <c r="AH81" s="684"/>
      <c r="AI81" s="685"/>
      <c r="AJ81" s="684"/>
      <c r="AK81" s="684"/>
      <c r="AL81" s="684"/>
      <c r="AM81" s="684"/>
      <c r="AN81" s="685"/>
      <c r="AO81" s="684"/>
      <c r="AP81" s="684"/>
      <c r="AQ81" s="684"/>
      <c r="AR81" s="684"/>
      <c r="AS81" s="685"/>
      <c r="AT81" s="684"/>
      <c r="AU81" s="684"/>
      <c r="AV81" s="684"/>
      <c r="AW81" s="684"/>
      <c r="AX81" s="685"/>
      <c r="AY81" s="684"/>
      <c r="AZ81" s="684"/>
      <c r="BA81" s="684"/>
      <c r="BB81" s="684"/>
      <c r="BC81" s="685"/>
      <c r="BD81" s="684"/>
      <c r="BE81" s="684"/>
      <c r="BF81" s="684"/>
      <c r="BG81" s="684"/>
      <c r="BH81" s="685"/>
      <c r="BI81" s="684"/>
      <c r="BJ81" s="684"/>
      <c r="BK81" s="684"/>
      <c r="BL81" s="684"/>
      <c r="BM81" s="685"/>
      <c r="BN81" s="684"/>
      <c r="BO81" s="684"/>
      <c r="BP81" s="684"/>
      <c r="BQ81" s="684"/>
      <c r="BR81" s="685"/>
      <c r="BS81" s="684"/>
      <c r="BT81" s="684"/>
      <c r="BU81" s="684"/>
      <c r="BV81" s="684"/>
      <c r="BW81" s="685"/>
      <c r="BX81" s="684"/>
      <c r="BY81" s="684"/>
      <c r="BZ81" s="684"/>
      <c r="CA81" s="684"/>
      <c r="CB81" s="685"/>
      <c r="CC81" s="684"/>
      <c r="CD81" s="684"/>
      <c r="CE81" s="686"/>
      <c r="CF81" s="686"/>
      <c r="CG81" s="685"/>
      <c r="CH81" s="686"/>
      <c r="CI81" s="686"/>
      <c r="CJ81" s="686"/>
      <c r="CK81" s="686"/>
      <c r="CL81" s="687"/>
      <c r="CM81" s="684"/>
      <c r="CN81" s="684"/>
      <c r="CO81" s="684"/>
      <c r="CP81" s="684"/>
      <c r="CQ81" s="685"/>
      <c r="CR81" s="684"/>
      <c r="CS81" s="684"/>
      <c r="CT81" s="684"/>
      <c r="CU81" s="684"/>
      <c r="CV81" s="685"/>
      <c r="CW81" s="684"/>
      <c r="CX81" s="684"/>
      <c r="CY81" s="684"/>
      <c r="CZ81" s="684"/>
      <c r="DA81" s="685"/>
      <c r="DB81" s="684"/>
      <c r="DC81" s="684"/>
      <c r="DD81" s="684"/>
      <c r="DE81" s="684"/>
      <c r="DF81" s="685"/>
      <c r="DG81" s="684"/>
      <c r="DH81" s="684"/>
      <c r="DI81" s="684"/>
      <c r="DJ81" s="684"/>
      <c r="DK81" s="685"/>
      <c r="DL81" s="684"/>
      <c r="DM81" s="684"/>
      <c r="DN81" s="684"/>
      <c r="DO81" s="684"/>
      <c r="DP81" s="685"/>
      <c r="DQ81" s="684"/>
      <c r="DR81" s="685"/>
      <c r="DS81" s="685"/>
      <c r="DT81" s="685"/>
      <c r="DU81" s="685"/>
      <c r="DV81" s="685"/>
      <c r="DW81" s="685"/>
      <c r="DX81" s="685"/>
      <c r="DY81" s="685"/>
      <c r="DZ81" s="685"/>
      <c r="EA81" s="685"/>
      <c r="EB81" s="685"/>
      <c r="EC81" s="685"/>
      <c r="ED81" s="685"/>
      <c r="EE81" s="685"/>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row>
    <row r="82" spans="2:232" s="54" customFormat="1">
      <c r="B82" s="689" t="s">
        <v>25</v>
      </c>
      <c r="C82" s="690"/>
      <c r="D82" s="690"/>
      <c r="E82" s="1286">
        <f t="shared" ref="E82:J82" si="103">E9/D9-1</f>
        <v>0.12404172907993161</v>
      </c>
      <c r="F82" s="1286">
        <f t="shared" si="103"/>
        <v>0.11336100540157634</v>
      </c>
      <c r="G82" s="1286">
        <f t="shared" si="103"/>
        <v>0.11019042798472722</v>
      </c>
      <c r="H82" s="1286">
        <f t="shared" si="103"/>
        <v>0.10968338162566993</v>
      </c>
      <c r="I82" s="1286">
        <f t="shared" si="103"/>
        <v>0.11334010059265753</v>
      </c>
      <c r="J82" s="1286">
        <f t="shared" si="103"/>
        <v>0.12562217257041652</v>
      </c>
      <c r="K82" s="1298"/>
      <c r="L82" s="1286"/>
      <c r="M82" s="1286"/>
      <c r="N82" s="1297"/>
      <c r="O82" s="1286">
        <f t="shared" ref="O82:AT82" si="104">O9/J9-1</f>
        <v>0.13307351851296034</v>
      </c>
      <c r="P82" s="1298">
        <f t="shared" si="104"/>
        <v>0.13414157259057324</v>
      </c>
      <c r="Q82" s="1286">
        <f t="shared" si="104"/>
        <v>0.13322401480424118</v>
      </c>
      <c r="R82" s="1286">
        <f t="shared" si="104"/>
        <v>0.13866434959964358</v>
      </c>
      <c r="S82" s="1297">
        <f t="shared" si="104"/>
        <v>0.13209887459917291</v>
      </c>
      <c r="T82" s="1286">
        <f t="shared" si="104"/>
        <v>0.13453558409591526</v>
      </c>
      <c r="U82" s="1298">
        <f t="shared" si="104"/>
        <v>0.1411866289846786</v>
      </c>
      <c r="V82" s="1286">
        <f t="shared" si="104"/>
        <v>0.13624723118175108</v>
      </c>
      <c r="W82" s="1286">
        <f t="shared" si="104"/>
        <v>0.14226888699463847</v>
      </c>
      <c r="X82" s="1297">
        <f t="shared" si="104"/>
        <v>0.16267173416349223</v>
      </c>
      <c r="Y82" s="1286">
        <f t="shared" si="104"/>
        <v>0.1454414169608178</v>
      </c>
      <c r="Z82" s="1298">
        <f t="shared" si="104"/>
        <v>0.15242915676755153</v>
      </c>
      <c r="AA82" s="1286">
        <f t="shared" si="104"/>
        <v>0.1459723505771513</v>
      </c>
      <c r="AB82" s="1286">
        <f t="shared" si="104"/>
        <v>0.1759343242454845</v>
      </c>
      <c r="AC82" s="1297">
        <f t="shared" si="104"/>
        <v>0.18735436356634372</v>
      </c>
      <c r="AD82" s="1286">
        <f t="shared" si="104"/>
        <v>0.1654349507662074</v>
      </c>
      <c r="AE82" s="1298">
        <f t="shared" si="104"/>
        <v>0.20087640673239715</v>
      </c>
      <c r="AF82" s="1286">
        <f t="shared" si="104"/>
        <v>0.19565124706885539</v>
      </c>
      <c r="AG82" s="1286">
        <f t="shared" si="104"/>
        <v>0.17996674979218641</v>
      </c>
      <c r="AH82" s="1297">
        <f t="shared" si="104"/>
        <v>0.17999999999999994</v>
      </c>
      <c r="AI82" s="1286">
        <f t="shared" si="104"/>
        <v>0.18880754310828096</v>
      </c>
      <c r="AJ82" s="1298">
        <f t="shared" si="104"/>
        <v>0.16399900481008456</v>
      </c>
      <c r="AK82" s="1286">
        <f t="shared" si="104"/>
        <v>0.14623448866067612</v>
      </c>
      <c r="AL82" s="1286">
        <f t="shared" si="104"/>
        <v>0.16723827886023601</v>
      </c>
      <c r="AM82" s="1297">
        <f t="shared" si="104"/>
        <v>0.16778174249182287</v>
      </c>
      <c r="AN82" s="1286">
        <f t="shared" si="104"/>
        <v>0.16108436405132287</v>
      </c>
      <c r="AO82" s="1298">
        <f t="shared" si="104"/>
        <v>0.16835880446011897</v>
      </c>
      <c r="AP82" s="1286">
        <f t="shared" si="104"/>
        <v>0.16480012443614878</v>
      </c>
      <c r="AQ82" s="1286">
        <f t="shared" si="104"/>
        <v>0.17497855849560051</v>
      </c>
      <c r="AR82" s="1297">
        <f t="shared" si="104"/>
        <v>0.15145776306575853</v>
      </c>
      <c r="AS82" s="1286">
        <f t="shared" si="104"/>
        <v>0.16480932461519715</v>
      </c>
      <c r="AT82" s="1298">
        <f t="shared" si="104"/>
        <v>0.14109522212397474</v>
      </c>
      <c r="AU82" s="1286">
        <f t="shared" ref="AU82:BZ82" si="105">AU9/AP9-1</f>
        <v>0.12787607665086465</v>
      </c>
      <c r="AV82" s="1286">
        <f t="shared" si="105"/>
        <v>0.1257248678679086</v>
      </c>
      <c r="AW82" s="1297">
        <f t="shared" si="105"/>
        <v>0.13974541484112613</v>
      </c>
      <c r="AX82" s="1286">
        <f t="shared" si="105"/>
        <v>0.13333867947882072</v>
      </c>
      <c r="AY82" s="1298">
        <f t="shared" si="105"/>
        <v>0.16511910646768824</v>
      </c>
      <c r="AZ82" s="1286">
        <f t="shared" si="105"/>
        <v>0.15819135458969225</v>
      </c>
      <c r="BA82" s="1286">
        <f t="shared" si="105"/>
        <v>0.15015609990393841</v>
      </c>
      <c r="BB82" s="1297">
        <f t="shared" si="105"/>
        <v>0.14312912301125347</v>
      </c>
      <c r="BC82" s="1286">
        <f t="shared" si="105"/>
        <v>0.15390673549625578</v>
      </c>
      <c r="BD82" s="1298">
        <f t="shared" si="105"/>
        <v>0.13396706724153762</v>
      </c>
      <c r="BE82" s="1286">
        <f t="shared" si="105"/>
        <v>0.12316247878800257</v>
      </c>
      <c r="BF82" s="1286">
        <f t="shared" si="105"/>
        <v>0.13071984131127001</v>
      </c>
      <c r="BG82" s="1297">
        <f t="shared" si="105"/>
        <v>0.1133164309885748</v>
      </c>
      <c r="BH82" s="1286">
        <f t="shared" si="105"/>
        <v>0.12512997157954797</v>
      </c>
      <c r="BI82" s="1298">
        <f t="shared" si="105"/>
        <v>0.10226410896846017</v>
      </c>
      <c r="BJ82" s="1286">
        <f t="shared" si="105"/>
        <v>0.1070446891781196</v>
      </c>
      <c r="BK82" s="1286">
        <f t="shared" si="105"/>
        <v>0.12414824663453561</v>
      </c>
      <c r="BL82" s="1297">
        <f t="shared" si="105"/>
        <v>0.15963944392038032</v>
      </c>
      <c r="BM82" s="1286">
        <f t="shared" si="105"/>
        <v>0.12339342584167423</v>
      </c>
      <c r="BN82" s="1298">
        <f t="shared" si="105"/>
        <v>0.1658746468019523</v>
      </c>
      <c r="BO82" s="1286">
        <f t="shared" si="105"/>
        <v>0.14557144149106738</v>
      </c>
      <c r="BP82" s="1286">
        <f t="shared" si="105"/>
        <v>0.12509856100926453</v>
      </c>
      <c r="BQ82" s="1297">
        <f t="shared" si="105"/>
        <v>0.10280765470037712</v>
      </c>
      <c r="BR82" s="1286">
        <f t="shared" si="105"/>
        <v>0.13400409205003272</v>
      </c>
      <c r="BS82" s="1298">
        <f t="shared" si="105"/>
        <v>0.10382027776684888</v>
      </c>
      <c r="BT82" s="1286">
        <f t="shared" si="105"/>
        <v>0.10477475473133468</v>
      </c>
      <c r="BU82" s="1286">
        <f t="shared" si="105"/>
        <v>9.6172517757677989E-2</v>
      </c>
      <c r="BV82" s="1297">
        <f t="shared" si="105"/>
        <v>8.7590805796669446E-2</v>
      </c>
      <c r="BW82" s="1286">
        <f t="shared" si="105"/>
        <v>9.8067408206539808E-2</v>
      </c>
      <c r="BX82" s="1299">
        <f t="shared" si="105"/>
        <v>6.5519429137647078E-2</v>
      </c>
      <c r="BY82" s="1286">
        <f t="shared" si="105"/>
        <v>7.0249974015175187E-2</v>
      </c>
      <c r="BZ82" s="1286">
        <f t="shared" si="105"/>
        <v>7.95367515333949E-2</v>
      </c>
      <c r="CA82" s="1286">
        <f t="shared" ref="CA82:DQ82" si="106">CA9/BV9-1</f>
        <v>7.576162388419605E-2</v>
      </c>
      <c r="CB82" s="1285">
        <f t="shared" si="106"/>
        <v>7.2850868054673334E-2</v>
      </c>
      <c r="CC82" s="1299">
        <f>CC9/BX9-1</f>
        <v>9.4801632434602157E-2</v>
      </c>
      <c r="CD82" s="1286">
        <f>CD9/BY9-1</f>
        <v>3.1077389984825565E-2</v>
      </c>
      <c r="CE82" s="1286">
        <f>CE9/BZ9-1</f>
        <v>6.1011721159777821E-2</v>
      </c>
      <c r="CF82" s="1300">
        <f>CF9/CA9-1</f>
        <v>7.4317009488632735E-2</v>
      </c>
      <c r="CG82" s="1285">
        <f t="shared" si="106"/>
        <v>6.4498302676245345E-2</v>
      </c>
      <c r="CH82" s="1286">
        <f t="shared" si="106"/>
        <v>5.9887558054265488E-2</v>
      </c>
      <c r="CI82" s="1286">
        <f t="shared" si="106"/>
        <v>8.9185848001412937E-2</v>
      </c>
      <c r="CJ82" s="1286">
        <f t="shared" si="106"/>
        <v>6.8143496714925256E-2</v>
      </c>
      <c r="CK82" s="1286">
        <f t="shared" si="106"/>
        <v>6.5026674570243026E-2</v>
      </c>
      <c r="CL82" s="1285">
        <f t="shared" si="106"/>
        <v>7.0661524770097905E-2</v>
      </c>
      <c r="CM82" s="1286">
        <f t="shared" si="106"/>
        <v>4.6875E-2</v>
      </c>
      <c r="CN82" s="1286">
        <f t="shared" si="106"/>
        <v>8.053183439628242E-3</v>
      </c>
      <c r="CO82" s="1286">
        <f t="shared" si="106"/>
        <v>-3.3694409667410552E-2</v>
      </c>
      <c r="CP82" s="1286">
        <f t="shared" si="106"/>
        <v>-4.975788946401738E-2</v>
      </c>
      <c r="CQ82" s="1285">
        <f t="shared" si="106"/>
        <v>-7.633270530865599E-3</v>
      </c>
      <c r="CR82" s="1286">
        <f t="shared" si="106"/>
        <v>-4.6318224376273642E-2</v>
      </c>
      <c r="CS82" s="1286">
        <f t="shared" si="106"/>
        <v>-2.1446571229422062E-4</v>
      </c>
      <c r="CT82" s="1286">
        <f t="shared" si="106"/>
        <v>3.16020730058586E-2</v>
      </c>
      <c r="CU82" s="1286">
        <f t="shared" si="106"/>
        <v>5.0840508405084028E-2</v>
      </c>
      <c r="CV82" s="1285">
        <f t="shared" si="106"/>
        <v>8.1526670668545798E-3</v>
      </c>
      <c r="CW82" s="1286">
        <f t="shared" si="106"/>
        <v>5.8500808500808521E-2</v>
      </c>
      <c r="CX82" s="1286">
        <f t="shared" si="106"/>
        <v>5.1375556389767763E-2</v>
      </c>
      <c r="CY82" s="1286">
        <f t="shared" si="106"/>
        <v>5.9411347130453818E-2</v>
      </c>
      <c r="CZ82" s="1286">
        <f t="shared" si="106"/>
        <v>6.2203890530070804E-2</v>
      </c>
      <c r="DA82" s="1285">
        <f t="shared" si="106"/>
        <v>5.7811872550784349E-2</v>
      </c>
      <c r="DB82" s="1286">
        <f t="shared" si="106"/>
        <v>6.6833978940476824E-2</v>
      </c>
      <c r="DC82" s="1286">
        <f t="shared" si="106"/>
        <v>0.3554195358326957</v>
      </c>
      <c r="DD82" s="1286">
        <f t="shared" si="106"/>
        <v>0.48420184526570798</v>
      </c>
      <c r="DE82" s="1286">
        <f t="shared" si="106"/>
        <v>0.49666789106365106</v>
      </c>
      <c r="DF82" s="1285">
        <f t="shared" si="106"/>
        <v>0.35412085035082197</v>
      </c>
      <c r="DG82" s="1286">
        <f t="shared" si="106"/>
        <v>0.48476015137567763</v>
      </c>
      <c r="DH82" s="1286">
        <f t="shared" si="106"/>
        <v>0.13588981296805036</v>
      </c>
      <c r="DI82" s="1286">
        <f t="shared" si="106"/>
        <v>2.4413960757075914E-2</v>
      </c>
      <c r="DJ82" s="1286">
        <f t="shared" si="106"/>
        <v>3.9969146623659579E-3</v>
      </c>
      <c r="DK82" s="1285">
        <f t="shared" ref="DK82:DU82" si="107">DK9/DF9-1</f>
        <v>0.13443989018212754</v>
      </c>
      <c r="DL82" s="1286">
        <f t="shared" si="106"/>
        <v>-1.8323976165053546E-2</v>
      </c>
      <c r="DM82" s="1286">
        <f t="shared" si="106"/>
        <v>-2.4450039756162223E-2</v>
      </c>
      <c r="DN82" s="1286">
        <f t="shared" si="106"/>
        <v>2.1018374127059536E-2</v>
      </c>
      <c r="DO82" s="1286">
        <f t="shared" si="106"/>
        <v>5.2835591563067386E-2</v>
      </c>
      <c r="DP82" s="1285">
        <f t="shared" si="107"/>
        <v>7.3540063569974556E-3</v>
      </c>
      <c r="DQ82" s="1286">
        <f t="shared" si="106"/>
        <v>7.8558647065015252E-2</v>
      </c>
      <c r="DR82" s="1286">
        <f t="shared" ca="1" si="107"/>
        <v>0.13994640007999948</v>
      </c>
      <c r="DS82" s="1286">
        <f t="shared" ca="1" si="107"/>
        <v>0.1238053655435285</v>
      </c>
      <c r="DT82" s="1300">
        <f t="shared" si="107"/>
        <v>0.10454685759207449</v>
      </c>
      <c r="DU82" s="1285">
        <f t="shared" ca="1" si="107"/>
        <v>0.11200547232763558</v>
      </c>
      <c r="DV82" s="1299">
        <f t="shared" ref="DV82" si="108">DV9/DQ9-1</f>
        <v>8.2961567978974582E-2</v>
      </c>
      <c r="DW82" s="1286">
        <f t="shared" ref="DW82" ca="1" si="109">DW9/DR9-1</f>
        <v>2.365530662137183E-2</v>
      </c>
      <c r="DX82" s="1286">
        <f t="shared" ref="DX82" ca="1" si="110">DX9/DS9-1</f>
        <v>1.5279553866601514E-2</v>
      </c>
      <c r="DY82" s="1300">
        <f t="shared" ref="DY82" si="111">DY9/DT9-1</f>
        <v>1.5054031326703576E-2</v>
      </c>
      <c r="DZ82" s="1285">
        <f t="shared" ref="DZ82" ca="1" si="112">DZ9/DU9-1</f>
        <v>3.3188265002482842E-2</v>
      </c>
      <c r="EA82" s="1299">
        <f t="shared" ref="EA82" si="113">EA9/DV9-1</f>
        <v>1.7966565444672122E-2</v>
      </c>
      <c r="EB82" s="1286">
        <f t="shared" ref="EB82" ca="1" si="114">EB9/DW9-1</f>
        <v>1.7424016489295813E-2</v>
      </c>
      <c r="EC82" s="1286">
        <f t="shared" ref="EC82" ca="1" si="115">EC9/DX9-1</f>
        <v>1.8330394784415338E-2</v>
      </c>
      <c r="ED82" s="1300">
        <f t="shared" ref="ED82" si="116">ED9/DY9-1</f>
        <v>1.9312540882501228E-2</v>
      </c>
      <c r="EE82" s="1285">
        <f t="shared" ref="EE82" ca="1" si="117">EE9/DZ9-1</f>
        <v>1.8256345773330906E-2</v>
      </c>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row>
    <row r="83" spans="2:232" s="54" customFormat="1" hidden="1" outlineLevel="1">
      <c r="B83" s="693" t="s">
        <v>232</v>
      </c>
      <c r="C83" s="375"/>
      <c r="D83" s="375"/>
      <c r="E83" s="320">
        <f t="shared" ref="E83:J83" si="118">E11/D11-1</f>
        <v>0.10157687245245905</v>
      </c>
      <c r="F83" s="320">
        <f t="shared" si="118"/>
        <v>0.12384747806523122</v>
      </c>
      <c r="G83" s="320">
        <f t="shared" si="118"/>
        <v>9.6695412793071922E-2</v>
      </c>
      <c r="H83" s="320">
        <f t="shared" si="118"/>
        <v>0.10872805487079651</v>
      </c>
      <c r="I83" s="320">
        <f t="shared" si="118"/>
        <v>0.11069481323491615</v>
      </c>
      <c r="J83" s="320">
        <f t="shared" si="118"/>
        <v>0.1175310981677975</v>
      </c>
      <c r="K83" s="1292"/>
      <c r="L83" s="320"/>
      <c r="M83" s="320"/>
      <c r="N83" s="1301"/>
      <c r="O83" s="320">
        <f t="shared" ref="O83:AT83" si="119">O11/J11-1</f>
        <v>0.11367407678536501</v>
      </c>
      <c r="P83" s="1292">
        <f t="shared" si="119"/>
        <v>0.13120617281611735</v>
      </c>
      <c r="Q83" s="320">
        <f t="shared" si="119"/>
        <v>0.13474571724902518</v>
      </c>
      <c r="R83" s="320">
        <f t="shared" si="119"/>
        <v>0.13326560109339214</v>
      </c>
      <c r="S83" s="1301">
        <f t="shared" si="119"/>
        <v>0.12664724288889073</v>
      </c>
      <c r="T83" s="320">
        <f t="shared" si="119"/>
        <v>0.13157017752435451</v>
      </c>
      <c r="U83" s="1292">
        <f t="shared" si="119"/>
        <v>0.13678955811474736</v>
      </c>
      <c r="V83" s="320">
        <f t="shared" si="119"/>
        <v>0.12545453829152731</v>
      </c>
      <c r="W83" s="320">
        <f t="shared" si="119"/>
        <v>0.13455329803504301</v>
      </c>
      <c r="X83" s="1301">
        <f t="shared" si="119"/>
        <v>0.16287500206158367</v>
      </c>
      <c r="Y83" s="320">
        <f t="shared" si="119"/>
        <v>0.13952655677729919</v>
      </c>
      <c r="Z83" s="1292">
        <f t="shared" si="119"/>
        <v>0.14554624961459117</v>
      </c>
      <c r="AA83" s="320">
        <f t="shared" si="119"/>
        <v>0.15061626405015538</v>
      </c>
      <c r="AB83" s="320">
        <f t="shared" si="119"/>
        <v>0.18198861942035927</v>
      </c>
      <c r="AC83" s="1301">
        <f t="shared" si="119"/>
        <v>0.17763412311878746</v>
      </c>
      <c r="AD83" s="320">
        <f t="shared" si="119"/>
        <v>0.15344206411117756</v>
      </c>
      <c r="AE83" s="1292">
        <f t="shared" si="119"/>
        <v>0.18482454528752501</v>
      </c>
      <c r="AF83" s="320">
        <f t="shared" si="119"/>
        <v>0.17394280498935188</v>
      </c>
      <c r="AG83" s="320">
        <f t="shared" si="119"/>
        <v>0.15479506565857615</v>
      </c>
      <c r="AH83" s="1301">
        <f t="shared" si="119"/>
        <v>0.18370132476916923</v>
      </c>
      <c r="AI83" s="320">
        <f t="shared" si="119"/>
        <v>0.18484836014978834</v>
      </c>
      <c r="AJ83" s="1292">
        <f t="shared" si="119"/>
        <v>0.1537447666304852</v>
      </c>
      <c r="AK83" s="320">
        <f t="shared" si="119"/>
        <v>0.14726271460965346</v>
      </c>
      <c r="AL83" s="320">
        <f t="shared" si="119"/>
        <v>0.13824948311509222</v>
      </c>
      <c r="AM83" s="1301">
        <f t="shared" si="119"/>
        <v>0.12839991860543987</v>
      </c>
      <c r="AN83" s="320">
        <f t="shared" si="119"/>
        <v>0.14161428124891429</v>
      </c>
      <c r="AO83" s="1292">
        <f t="shared" si="119"/>
        <v>0.14098514884752378</v>
      </c>
      <c r="AP83" s="320">
        <f t="shared" si="119"/>
        <v>0.14857691438897636</v>
      </c>
      <c r="AQ83" s="320">
        <f t="shared" si="119"/>
        <v>0.17292322596270315</v>
      </c>
      <c r="AR83" s="1301">
        <f t="shared" si="119"/>
        <v>0.16374128396249077</v>
      </c>
      <c r="AS83" s="320">
        <f t="shared" si="119"/>
        <v>0.15681233933161987</v>
      </c>
      <c r="AT83" s="1292">
        <f t="shared" si="119"/>
        <v>0.17539313269332713</v>
      </c>
      <c r="AU83" s="320">
        <f t="shared" ref="AU83:BZ83" si="120">AU11/AP11-1</f>
        <v>0.1544815379320521</v>
      </c>
      <c r="AV83" s="320">
        <f t="shared" si="120"/>
        <v>0.15114598389428058</v>
      </c>
      <c r="AW83" s="1301">
        <f t="shared" si="120"/>
        <v>0.14948347107437998</v>
      </c>
      <c r="AX83" s="320">
        <f t="shared" si="120"/>
        <v>0.15702827087442484</v>
      </c>
      <c r="AY83" s="1292">
        <f t="shared" si="120"/>
        <v>0.15252793506037965</v>
      </c>
      <c r="AZ83" s="320">
        <f t="shared" si="120"/>
        <v>0.15225075593032655</v>
      </c>
      <c r="BA83" s="320">
        <f t="shared" si="120"/>
        <v>0.15596412556053818</v>
      </c>
      <c r="BB83" s="1301">
        <f t="shared" si="120"/>
        <v>0.17475510020670515</v>
      </c>
      <c r="BC83" s="320">
        <f t="shared" si="120"/>
        <v>0.15894626784253063</v>
      </c>
      <c r="BD83" s="1292">
        <f t="shared" si="120"/>
        <v>0.17729663927655381</v>
      </c>
      <c r="BE83" s="320">
        <f t="shared" si="120"/>
        <v>0.15708160851567121</v>
      </c>
      <c r="BF83" s="320">
        <f t="shared" si="120"/>
        <v>0.17006749941810861</v>
      </c>
      <c r="BG83" s="1301">
        <f t="shared" si="120"/>
        <v>0.12194468882683629</v>
      </c>
      <c r="BH83" s="320">
        <f t="shared" si="120"/>
        <v>0.1559159818784448</v>
      </c>
      <c r="BI83" s="1292">
        <f t="shared" si="120"/>
        <v>0.10879279146201837</v>
      </c>
      <c r="BJ83" s="320">
        <f t="shared" si="120"/>
        <v>0.10499584744138524</v>
      </c>
      <c r="BK83" s="320">
        <f t="shared" si="120"/>
        <v>0.10841456136860939</v>
      </c>
      <c r="BL83" s="1301">
        <f t="shared" si="120"/>
        <v>0.14677303876444681</v>
      </c>
      <c r="BM83" s="320">
        <f t="shared" si="120"/>
        <v>0.11713805799216193</v>
      </c>
      <c r="BN83" s="1292">
        <f t="shared" si="120"/>
        <v>0.19087427144046631</v>
      </c>
      <c r="BO83" s="320">
        <f t="shared" si="120"/>
        <v>0.16665221287543708</v>
      </c>
      <c r="BP83" s="320">
        <f t="shared" si="120"/>
        <v>0.15972720746590041</v>
      </c>
      <c r="BQ83" s="1301">
        <f t="shared" si="120"/>
        <v>0.11645261029848997</v>
      </c>
      <c r="BR83" s="320">
        <f t="shared" si="120"/>
        <v>0.15759458104885771</v>
      </c>
      <c r="BS83" s="1292">
        <f t="shared" si="120"/>
        <v>9.6571204832755164E-2</v>
      </c>
      <c r="BT83" s="320">
        <f t="shared" si="120"/>
        <v>0.10055007681252759</v>
      </c>
      <c r="BU83" s="320">
        <f t="shared" si="120"/>
        <v>9.5042814402146458E-2</v>
      </c>
      <c r="BV83" s="1301">
        <f t="shared" si="120"/>
        <v>7.4374883497989819E-2</v>
      </c>
      <c r="BW83" s="320">
        <f t="shared" si="120"/>
        <v>9.1767854682856864E-2</v>
      </c>
      <c r="BX83" s="1302">
        <f t="shared" si="120"/>
        <v>5.868550587875232E-2</v>
      </c>
      <c r="BY83" s="320">
        <f t="shared" si="120"/>
        <v>4.8496037463976904E-2</v>
      </c>
      <c r="BZ83" s="320">
        <f t="shared" si="120"/>
        <v>5.0239065407353234E-2</v>
      </c>
      <c r="CA83" s="320">
        <f t="shared" ref="CA83:DQ83" si="121">CA11/BV11-1</f>
        <v>7.7182372478064698E-2</v>
      </c>
      <c r="CB83" s="949">
        <f t="shared" si="121"/>
        <v>5.8295479126108773E-2</v>
      </c>
      <c r="CC83" s="1302">
        <f>CC11/BX11-1</f>
        <v>9.3230546856179153E-2</v>
      </c>
      <c r="CD83" s="320">
        <f>CD11/BY11-1</f>
        <v>5.1535323169422442E-2</v>
      </c>
      <c r="CE83" s="320">
        <f>CE11/BZ11-1</f>
        <v>6.5037003812514094E-2</v>
      </c>
      <c r="CF83" s="1303">
        <f>CF11/CA11-1</f>
        <v>0.10262310170271505</v>
      </c>
      <c r="CG83" s="949">
        <f t="shared" si="121"/>
        <v>7.7386021688525597E-2</v>
      </c>
      <c r="CH83" s="320">
        <f t="shared" si="121"/>
        <v>8.9687086822388684E-2</v>
      </c>
      <c r="CI83" s="320">
        <f t="shared" si="121"/>
        <v>8.7196242597508578E-2</v>
      </c>
      <c r="CJ83" s="320">
        <f t="shared" si="121"/>
        <v>8.5281111813013233E-2</v>
      </c>
      <c r="CK83" s="320">
        <f t="shared" si="121"/>
        <v>5.7804674457428984E-2</v>
      </c>
      <c r="CL83" s="949">
        <f t="shared" si="121"/>
        <v>7.9890387858347456E-2</v>
      </c>
      <c r="CM83" s="320">
        <f t="shared" si="121"/>
        <v>3.2153690596562257E-2</v>
      </c>
      <c r="CN83" s="320">
        <f t="shared" si="121"/>
        <v>1.2208865514650613E-2</v>
      </c>
      <c r="CO83" s="320">
        <f t="shared" si="121"/>
        <v>-2.7163368257663967E-2</v>
      </c>
      <c r="CP83" s="320">
        <f t="shared" si="121"/>
        <v>-4.61629512724403E-2</v>
      </c>
      <c r="CQ83" s="949">
        <f t="shared" si="121"/>
        <v>-7.3199297286745679E-3</v>
      </c>
      <c r="CR83" s="320">
        <f t="shared" si="121"/>
        <v>-9.7962382445138108E-4</v>
      </c>
      <c r="CS83" s="320">
        <f t="shared" si="121"/>
        <v>4.0452774169604799E-2</v>
      </c>
      <c r="CT83" s="320">
        <f t="shared" si="121"/>
        <v>4.1483845233346583E-2</v>
      </c>
      <c r="CU83" s="320">
        <f t="shared" si="121"/>
        <v>7.3629782833505741E-2</v>
      </c>
      <c r="CV83" s="949">
        <f t="shared" si="121"/>
        <v>3.8196834136269731E-2</v>
      </c>
      <c r="CW83" s="320">
        <f t="shared" si="121"/>
        <v>1.0394194940184454E-2</v>
      </c>
      <c r="CX83" s="320">
        <f t="shared" si="121"/>
        <v>7.66898519707504E-3</v>
      </c>
      <c r="CY83" s="320">
        <f t="shared" si="121"/>
        <v>4.1746457296055084E-2</v>
      </c>
      <c r="CZ83" s="320">
        <f t="shared" si="121"/>
        <v>2.6199190907339576E-2</v>
      </c>
      <c r="DA83" s="949">
        <f t="shared" si="121"/>
        <v>2.1307827075145669E-2</v>
      </c>
      <c r="DB83" s="320">
        <f t="shared" si="121"/>
        <v>2.7950310559006208E-2</v>
      </c>
      <c r="DC83" s="320">
        <f t="shared" si="121"/>
        <v>0.21805309734513267</v>
      </c>
      <c r="DD83" s="320">
        <f t="shared" si="121"/>
        <v>0.37518382352941182</v>
      </c>
      <c r="DE83" s="320">
        <f t="shared" si="121"/>
        <v>0.36380702083724414</v>
      </c>
      <c r="DF83" s="949">
        <f t="shared" si="121"/>
        <v>0.24827298437572431</v>
      </c>
      <c r="DG83" s="320">
        <f t="shared" si="121"/>
        <v>0.4165407854984895</v>
      </c>
      <c r="DH83" s="320">
        <f t="shared" si="121"/>
        <v>0.15431560592850913</v>
      </c>
      <c r="DI83" s="320">
        <f t="shared" si="121"/>
        <v>2.1387515038095994E-3</v>
      </c>
      <c r="DJ83" s="320">
        <f t="shared" si="121"/>
        <v>-1.5141087405368236E-2</v>
      </c>
      <c r="DK83" s="949">
        <f t="shared" ref="DK83:DU83" si="122">DK11/DF11-1</f>
        <v>0.11788738671816956</v>
      </c>
      <c r="DL83" s="320">
        <f t="shared" si="121"/>
        <v>-5.1452945881098389E-2</v>
      </c>
      <c r="DM83" s="320">
        <f t="shared" si="121"/>
        <v>-4.821248741188322E-2</v>
      </c>
      <c r="DN83" s="320">
        <f t="shared" si="121"/>
        <v>-4.6952114179004911E-2</v>
      </c>
      <c r="DO83" s="320">
        <f t="shared" si="121"/>
        <v>2.5856044723969296E-2</v>
      </c>
      <c r="DP83" s="949">
        <f t="shared" si="122"/>
        <v>-3.1098411854608266E-2</v>
      </c>
      <c r="DQ83" s="320">
        <f t="shared" si="121"/>
        <v>3.1618887015177011E-2</v>
      </c>
      <c r="DR83" s="320">
        <f t="shared" ca="1" si="122"/>
        <v>9.7452588988571343E-2</v>
      </c>
      <c r="DS83" s="320">
        <f t="shared" ca="1" si="122"/>
        <v>0.13818106277735942</v>
      </c>
      <c r="DT83" s="1303">
        <f t="shared" si="122"/>
        <v>9.4480132098399894E-2</v>
      </c>
      <c r="DU83" s="949">
        <f t="shared" ca="1" si="122"/>
        <v>9.0618849478399488E-2</v>
      </c>
      <c r="DV83" s="1302">
        <f t="shared" ref="DV83" si="123">DV11/DQ11-1</f>
        <v>7.9768113443928756E-2</v>
      </c>
      <c r="DW83" s="320">
        <f t="shared" ref="DW83" ca="1" si="124">DW11/DR11-1</f>
        <v>2.6665641029561593E-2</v>
      </c>
      <c r="DX83" s="320">
        <f t="shared" ref="DX83" ca="1" si="125">DX11/DS11-1</f>
        <v>2.4651405837271767E-2</v>
      </c>
      <c r="DY83" s="1303">
        <f t="shared" ref="DY83" si="126">DY11/DT11-1</f>
        <v>2.5409183556048154E-2</v>
      </c>
      <c r="DZ83" s="949">
        <f t="shared" ref="DZ83" ca="1" si="127">DZ11/DU11-1</f>
        <v>3.809011545432428E-2</v>
      </c>
      <c r="EA83" s="1302">
        <f t="shared" ref="EA83" si="128">EA11/DV11-1</f>
        <v>2.3994751481342558E-2</v>
      </c>
      <c r="EB83" s="320">
        <f t="shared" ref="EB83" ca="1" si="129">EB11/DW11-1</f>
        <v>2.052693442769904E-2</v>
      </c>
      <c r="EC83" s="320">
        <f t="shared" ref="EC83" ca="1" si="130">EC11/DX11-1</f>
        <v>2.2484057239410271E-2</v>
      </c>
      <c r="ED83" s="1303">
        <f t="shared" ref="ED83" si="131">ED11/DY11-1</f>
        <v>2.2760734971499108E-2</v>
      </c>
      <c r="EE83" s="949">
        <f t="shared" ref="EE83" ca="1" si="132">EE11/DZ11-1</f>
        <v>2.2410785675966105E-2</v>
      </c>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row>
    <row r="84" spans="2:232" s="54" customFormat="1" collapsed="1">
      <c r="B84" s="693" t="s">
        <v>214</v>
      </c>
      <c r="C84" s="375"/>
      <c r="D84" s="375"/>
      <c r="E84" s="320"/>
      <c r="F84" s="320"/>
      <c r="G84" s="320"/>
      <c r="H84" s="320"/>
      <c r="I84" s="320"/>
      <c r="J84" s="320"/>
      <c r="K84" s="1292"/>
      <c r="L84" s="320"/>
      <c r="M84" s="320"/>
      <c r="N84" s="1301"/>
      <c r="O84" s="320"/>
      <c r="P84" s="1292"/>
      <c r="Q84" s="320"/>
      <c r="R84" s="320"/>
      <c r="S84" s="1301"/>
      <c r="T84" s="320"/>
      <c r="U84" s="1292"/>
      <c r="V84" s="320"/>
      <c r="W84" s="320"/>
      <c r="X84" s="1301"/>
      <c r="Y84" s="320"/>
      <c r="Z84" s="1292"/>
      <c r="AA84" s="320"/>
      <c r="AB84" s="320"/>
      <c r="AC84" s="1301"/>
      <c r="AD84" s="320"/>
      <c r="AE84" s="1292"/>
      <c r="AF84" s="320"/>
      <c r="AG84" s="320"/>
      <c r="AH84" s="1301"/>
      <c r="AI84" s="320"/>
      <c r="AJ84" s="1292"/>
      <c r="AK84" s="320"/>
      <c r="AL84" s="320"/>
      <c r="AM84" s="1301"/>
      <c r="AN84" s="320"/>
      <c r="AO84" s="1292"/>
      <c r="AP84" s="320"/>
      <c r="AQ84" s="320"/>
      <c r="AR84" s="1301"/>
      <c r="AS84" s="320"/>
      <c r="AT84" s="1292"/>
      <c r="AU84" s="320"/>
      <c r="AV84" s="320"/>
      <c r="AW84" s="1301"/>
      <c r="AX84" s="320"/>
      <c r="AY84" s="1292"/>
      <c r="AZ84" s="320"/>
      <c r="BA84" s="320"/>
      <c r="BB84" s="1301"/>
      <c r="BC84" s="320"/>
      <c r="BD84" s="1292"/>
      <c r="BE84" s="320"/>
      <c r="BF84" s="320"/>
      <c r="BG84" s="1301"/>
      <c r="BH84" s="320"/>
      <c r="BI84" s="1292"/>
      <c r="BJ84" s="320"/>
      <c r="BK84" s="320"/>
      <c r="BL84" s="1301"/>
      <c r="BM84" s="320"/>
      <c r="BN84" s="1292"/>
      <c r="BO84" s="320"/>
      <c r="BP84" s="320"/>
      <c r="BQ84" s="1301"/>
      <c r="BR84" s="320"/>
      <c r="BS84" s="1292"/>
      <c r="BT84" s="320"/>
      <c r="BU84" s="320"/>
      <c r="BV84" s="1301"/>
      <c r="BW84" s="320"/>
      <c r="BX84" s="1302"/>
      <c r="BY84" s="320"/>
      <c r="BZ84" s="320"/>
      <c r="CA84" s="320"/>
      <c r="CB84" s="949"/>
      <c r="CC84" s="1302">
        <f>CC60/BX60-1</f>
        <v>8.883067396999289E-2</v>
      </c>
      <c r="CD84" s="320">
        <f>CD60/BY60-1</f>
        <v>4.6323841903952445E-2</v>
      </c>
      <c r="CE84" s="320">
        <f>CE60/BZ60-1</f>
        <v>6.1456245824983213E-2</v>
      </c>
      <c r="CF84" s="1303">
        <f>CF60/CA60-1</f>
        <v>0.10446062812926726</v>
      </c>
      <c r="CG84" s="949">
        <f t="shared" ref="CG84:DQ84" si="133">CG60/CB60-1</f>
        <v>7.4536256323777472E-2</v>
      </c>
      <c r="CH84" s="1292">
        <f t="shared" si="133"/>
        <v>9.0769903762029758E-2</v>
      </c>
      <c r="CI84" s="320">
        <f t="shared" si="133"/>
        <v>9.2607636068237298E-2</v>
      </c>
      <c r="CJ84" s="320">
        <f t="shared" si="133"/>
        <v>9.1671911055170918E-2</v>
      </c>
      <c r="CK84" s="320">
        <f t="shared" si="133"/>
        <v>5.6872037914691864E-2</v>
      </c>
      <c r="CL84" s="949">
        <f t="shared" si="133"/>
        <v>8.2862523540489619E-2</v>
      </c>
      <c r="CM84" s="1292">
        <f t="shared" si="133"/>
        <v>3.2484459594946946E-2</v>
      </c>
      <c r="CN84" s="320">
        <f t="shared" si="133"/>
        <v>1.5055762081784385E-2</v>
      </c>
      <c r="CO84" s="320">
        <f t="shared" si="133"/>
        <v>-2.4980784012298196E-2</v>
      </c>
      <c r="CP84" s="320">
        <f t="shared" si="133"/>
        <v>-3.1585104308832102E-2</v>
      </c>
      <c r="CQ84" s="949">
        <f t="shared" si="133"/>
        <v>-2.3671497584540901E-3</v>
      </c>
      <c r="CR84" s="1292">
        <f t="shared" si="133"/>
        <v>9.7106234220234455E-4</v>
      </c>
      <c r="CS84" s="320">
        <f t="shared" si="133"/>
        <v>3.9919428676066682E-2</v>
      </c>
      <c r="CT84" s="320">
        <f t="shared" si="133"/>
        <v>5.2818289318092182E-2</v>
      </c>
      <c r="CU84" s="320">
        <f t="shared" si="133"/>
        <v>4.3487014294342652E-2</v>
      </c>
      <c r="CV84" s="949">
        <f t="shared" si="133"/>
        <v>3.4235630235823988E-2</v>
      </c>
      <c r="CW84" s="1292">
        <f t="shared" si="133"/>
        <v>1.1835467597982152E-2</v>
      </c>
      <c r="CX84" s="320">
        <f t="shared" si="133"/>
        <v>3.8739214650467257E-3</v>
      </c>
      <c r="CY84" s="320">
        <f t="shared" si="133"/>
        <v>2.6020217147135982E-2</v>
      </c>
      <c r="CZ84" s="320">
        <f t="shared" si="133"/>
        <v>2.566081420027011E-2</v>
      </c>
      <c r="DA84" s="949">
        <f t="shared" si="133"/>
        <v>1.662140649873578E-2</v>
      </c>
      <c r="DB84" s="1292">
        <f t="shared" si="133"/>
        <v>2.5503355704697972E-2</v>
      </c>
      <c r="DC84" s="320">
        <f t="shared" si="133"/>
        <v>0.21680406946149788</v>
      </c>
      <c r="DD84" s="320">
        <f t="shared" si="133"/>
        <v>0.37748586024448083</v>
      </c>
      <c r="DE84" s="320">
        <f t="shared" si="133"/>
        <v>0.3871331828442437</v>
      </c>
      <c r="DF84" s="949">
        <f t="shared" si="133"/>
        <v>0.2531202505411505</v>
      </c>
      <c r="DG84" s="320">
        <f t="shared" si="133"/>
        <v>0.41136873597606582</v>
      </c>
      <c r="DH84" s="320">
        <f t="shared" si="133"/>
        <v>0.15496612368458984</v>
      </c>
      <c r="DI84" s="320">
        <f t="shared" si="133"/>
        <v>5.1655629139073511E-3</v>
      </c>
      <c r="DJ84" s="320">
        <f t="shared" si="133"/>
        <v>-2.861404936262546E-2</v>
      </c>
      <c r="DK84" s="949">
        <f t="shared" ref="DK84:DU84" si="134">DK60/DF60-1</f>
        <v>0.11404314748796351</v>
      </c>
      <c r="DL84" s="320">
        <f t="shared" si="133"/>
        <v>-4.9549549549549599E-2</v>
      </c>
      <c r="DM84" s="320">
        <f t="shared" si="133"/>
        <v>-5.0174737893160293E-2</v>
      </c>
      <c r="DN84" s="320">
        <f t="shared" si="133"/>
        <v>-5.2049018315983631E-2</v>
      </c>
      <c r="DO84" s="320">
        <f t="shared" si="133"/>
        <v>2.3314253804271878E-2</v>
      </c>
      <c r="DP84" s="949">
        <f t="shared" si="134"/>
        <v>-3.3122195830034284E-2</v>
      </c>
      <c r="DQ84" s="320">
        <f t="shared" si="133"/>
        <v>3.6799553944800723E-2</v>
      </c>
      <c r="DR84" s="320">
        <f t="shared" ca="1" si="134"/>
        <v>9.6825101884702836E-2</v>
      </c>
      <c r="DS84" s="320">
        <f t="shared" ca="1" si="134"/>
        <v>0.13723987955855343</v>
      </c>
      <c r="DT84" s="1303">
        <f t="shared" si="134"/>
        <v>9.0789109086255815E-2</v>
      </c>
      <c r="DU84" s="949">
        <f t="shared" ca="1" si="134"/>
        <v>9.0542749027196612E-2</v>
      </c>
      <c r="DV84" s="1302">
        <f t="shared" ref="DV84" si="135">DV60/DQ60-1</f>
        <v>7.294672234362487E-2</v>
      </c>
      <c r="DW84" s="320">
        <f t="shared" ref="DW84" ca="1" si="136">DW60/DR60-1</f>
        <v>2.6509100762463822E-2</v>
      </c>
      <c r="DX84" s="320">
        <f t="shared" ref="DX84" ca="1" si="137">DX60/DS60-1</f>
        <v>2.4503762022633824E-2</v>
      </c>
      <c r="DY84" s="1303">
        <f t="shared" ref="DY84" si="138">DY60/DT60-1</f>
        <v>2.55299453454092E-2</v>
      </c>
      <c r="DZ84" s="949">
        <f t="shared" ref="DZ84" ca="1" si="139">DZ60/DU60-1</f>
        <v>3.6557648152294231E-2</v>
      </c>
      <c r="EA84" s="1302">
        <f t="shared" ref="EA84" si="140">EA60/DV60-1</f>
        <v>2.3832392736734764E-2</v>
      </c>
      <c r="EB84" s="320">
        <f t="shared" ref="EB84" ca="1" si="141">EB60/DW60-1</f>
        <v>2.0409543284209075E-2</v>
      </c>
      <c r="EC84" s="320">
        <f t="shared" ref="EC84" ca="1" si="142">EC60/DX60-1</f>
        <v>2.2352615078400362E-2</v>
      </c>
      <c r="ED84" s="1303">
        <f t="shared" ref="ED84" si="143">ED60/DY60-1</f>
        <v>2.2866216585027299E-2</v>
      </c>
      <c r="EE84" s="949">
        <f t="shared" ref="EE84" ca="1" si="144">EE60/DZ60-1</f>
        <v>2.2333670545821693E-2</v>
      </c>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row>
    <row r="85" spans="2:232" s="54" customFormat="1" hidden="1" outlineLevel="1">
      <c r="B85" s="693" t="s">
        <v>233</v>
      </c>
      <c r="C85" s="375"/>
      <c r="D85" s="375"/>
      <c r="E85" s="320">
        <f t="shared" ref="E85:J85" si="145">E18/D18-1</f>
        <v>0.10077802014840587</v>
      </c>
      <c r="F85" s="320">
        <f t="shared" si="145"/>
        <v>0.12495575447679386</v>
      </c>
      <c r="G85" s="320">
        <f t="shared" si="145"/>
        <v>9.8592617163436591E-2</v>
      </c>
      <c r="H85" s="320">
        <f t="shared" si="145"/>
        <v>0.10976724926240977</v>
      </c>
      <c r="I85" s="320">
        <f t="shared" si="145"/>
        <v>0.12191922803853594</v>
      </c>
      <c r="J85" s="320">
        <f t="shared" si="145"/>
        <v>0.10524419496796344</v>
      </c>
      <c r="K85" s="1292"/>
      <c r="L85" s="320"/>
      <c r="M85" s="320"/>
      <c r="N85" s="1301"/>
      <c r="O85" s="320">
        <f t="shared" ref="O85:AT85" si="146">O18/J18-1</f>
        <v>0.11150187797959776</v>
      </c>
      <c r="P85" s="1292">
        <f t="shared" si="146"/>
        <v>0.11407129633128021</v>
      </c>
      <c r="Q85" s="320">
        <f t="shared" si="146"/>
        <v>0.12257124447178058</v>
      </c>
      <c r="R85" s="320">
        <f t="shared" si="146"/>
        <v>0.12229775582232683</v>
      </c>
      <c r="S85" s="1301">
        <f t="shared" si="146"/>
        <v>0.11142966446879843</v>
      </c>
      <c r="T85" s="320">
        <f t="shared" si="146"/>
        <v>0.11767928483469792</v>
      </c>
      <c r="U85" s="1292">
        <f t="shared" si="146"/>
        <v>0.13160568459459054</v>
      </c>
      <c r="V85" s="320">
        <f t="shared" si="146"/>
        <v>0.11456652390748778</v>
      </c>
      <c r="W85" s="320">
        <f t="shared" si="146"/>
        <v>0.11244572184500168</v>
      </c>
      <c r="X85" s="1301">
        <f t="shared" si="146"/>
        <v>0.12604663154385132</v>
      </c>
      <c r="Y85" s="320">
        <f t="shared" si="146"/>
        <v>0.12094381287645106</v>
      </c>
      <c r="Z85" s="1292">
        <f t="shared" si="146"/>
        <v>0.13136863136863153</v>
      </c>
      <c r="AA85" s="320">
        <f t="shared" si="146"/>
        <v>0.13368625940885859</v>
      </c>
      <c r="AB85" s="320">
        <f t="shared" si="146"/>
        <v>0.16827199232861623</v>
      </c>
      <c r="AC85" s="1301">
        <f t="shared" si="146"/>
        <v>0.18171966703747744</v>
      </c>
      <c r="AD85" s="320">
        <f t="shared" si="146"/>
        <v>0.15390121431536175</v>
      </c>
      <c r="AE85" s="1292">
        <f t="shared" si="146"/>
        <v>0.17218543046357615</v>
      </c>
      <c r="AF85" s="320">
        <f t="shared" si="146"/>
        <v>0.18965517241379293</v>
      </c>
      <c r="AG85" s="320">
        <f t="shared" si="146"/>
        <v>0.1562373019097929</v>
      </c>
      <c r="AH85" s="1301">
        <f t="shared" si="146"/>
        <v>0.18117265165347951</v>
      </c>
      <c r="AI85" s="320">
        <f t="shared" si="146"/>
        <v>0.17480753225135226</v>
      </c>
      <c r="AJ85" s="1292">
        <f t="shared" si="146"/>
        <v>0.15866290018832396</v>
      </c>
      <c r="AK85" s="320">
        <f t="shared" si="146"/>
        <v>0.14024125661720044</v>
      </c>
      <c r="AL85" s="320">
        <f t="shared" si="146"/>
        <v>0.14751361799332274</v>
      </c>
      <c r="AM85" s="1301">
        <f t="shared" si="146"/>
        <v>0.13818275506698718</v>
      </c>
      <c r="AN85" s="320">
        <f t="shared" si="146"/>
        <v>0.14587438287320964</v>
      </c>
      <c r="AO85" s="1292">
        <f t="shared" si="146"/>
        <v>0.14254368143031293</v>
      </c>
      <c r="AP85" s="320">
        <f t="shared" si="146"/>
        <v>0.14963086992921837</v>
      </c>
      <c r="AQ85" s="320">
        <f t="shared" si="146"/>
        <v>0.16614348059107265</v>
      </c>
      <c r="AR85" s="1301">
        <f t="shared" si="146"/>
        <v>0.16298196634724205</v>
      </c>
      <c r="AS85" s="320">
        <f t="shared" si="146"/>
        <v>0.1589899146025735</v>
      </c>
      <c r="AT85" s="1292">
        <f t="shared" si="146"/>
        <v>0.16864641866420071</v>
      </c>
      <c r="AU85" s="320">
        <f t="shared" ref="AU85:BZ85" si="147">AU18/AP18-1</f>
        <v>0.1618007282356837</v>
      </c>
      <c r="AV85" s="320">
        <f t="shared" si="147"/>
        <v>0.16164401549471474</v>
      </c>
      <c r="AW85" s="1301">
        <f t="shared" si="147"/>
        <v>0.1572698371504575</v>
      </c>
      <c r="AX85" s="320">
        <f t="shared" si="147"/>
        <v>0.16156833980695806</v>
      </c>
      <c r="AY85" s="1292">
        <f t="shared" si="147"/>
        <v>0.1534388314059647</v>
      </c>
      <c r="AZ85" s="320">
        <f t="shared" si="147"/>
        <v>0.15596330275229353</v>
      </c>
      <c r="BA85" s="320">
        <f t="shared" si="147"/>
        <v>0.14909851353642689</v>
      </c>
      <c r="BB85" s="1301">
        <f t="shared" si="147"/>
        <v>0.18568144867410452</v>
      </c>
      <c r="BC85" s="320">
        <f t="shared" si="147"/>
        <v>0.15841214713184737</v>
      </c>
      <c r="BD85" s="1292">
        <f t="shared" si="147"/>
        <v>0.16183842541290705</v>
      </c>
      <c r="BE85" s="320">
        <f t="shared" si="147"/>
        <v>0.16089914226560187</v>
      </c>
      <c r="BF85" s="320">
        <f t="shared" si="147"/>
        <v>0.16674044562490775</v>
      </c>
      <c r="BG85" s="1301">
        <f t="shared" si="147"/>
        <v>0.1513073904203508</v>
      </c>
      <c r="BH85" s="320">
        <f t="shared" si="147"/>
        <v>0.16007780269336092</v>
      </c>
      <c r="BI85" s="1292">
        <f t="shared" si="147"/>
        <v>0.11758561177218629</v>
      </c>
      <c r="BJ85" s="320">
        <f t="shared" si="147"/>
        <v>0.12033970276008499</v>
      </c>
      <c r="BK85" s="320">
        <f t="shared" si="147"/>
        <v>0.11108300661860793</v>
      </c>
      <c r="BL85" s="1301">
        <f t="shared" si="147"/>
        <v>0.12218160910098974</v>
      </c>
      <c r="BM85" s="320">
        <f t="shared" si="147"/>
        <v>0.11782609624297846</v>
      </c>
      <c r="BN85" s="1292">
        <f t="shared" si="147"/>
        <v>0.18003007274352822</v>
      </c>
      <c r="BO85" s="320">
        <f t="shared" si="147"/>
        <v>0.14285172832019399</v>
      </c>
      <c r="BP85" s="320">
        <f t="shared" si="147"/>
        <v>0.14675975110031869</v>
      </c>
      <c r="BQ85" s="1301">
        <f t="shared" si="147"/>
        <v>0.15349143610013183</v>
      </c>
      <c r="BR85" s="320">
        <f t="shared" si="147"/>
        <v>0.15535344078111413</v>
      </c>
      <c r="BS85" s="1292">
        <f t="shared" si="147"/>
        <v>9.9631504632021306E-2</v>
      </c>
      <c r="BT85" s="320">
        <f t="shared" si="147"/>
        <v>0.11232713162869357</v>
      </c>
      <c r="BU85" s="320">
        <f t="shared" si="147"/>
        <v>0.10210428798305982</v>
      </c>
      <c r="BV85" s="1301">
        <f t="shared" si="147"/>
        <v>7.9605304905133512E-2</v>
      </c>
      <c r="BW85" s="320">
        <f t="shared" si="147"/>
        <v>9.819568021698144E-2</v>
      </c>
      <c r="BX85" s="1302">
        <f t="shared" si="147"/>
        <v>9.0510491700594997E-2</v>
      </c>
      <c r="BY85" s="320">
        <f t="shared" si="147"/>
        <v>8.1395348837209225E-2</v>
      </c>
      <c r="BZ85" s="320">
        <f t="shared" si="147"/>
        <v>8.4659261483038151E-2</v>
      </c>
      <c r="CA85" s="320">
        <f t="shared" ref="CA85:DQ85" si="148">CA18/BV18-1</f>
        <v>7.0914273958915031E-2</v>
      </c>
      <c r="CB85" s="949">
        <f t="shared" si="148"/>
        <v>8.1720090055493966E-2</v>
      </c>
      <c r="CC85" s="1302">
        <f>CC18/BX18-1</f>
        <v>7.438253877082146E-2</v>
      </c>
      <c r="CD85" s="320">
        <f>CD18/BY18-1</f>
        <v>5.0730631375792701E-2</v>
      </c>
      <c r="CE85" s="320">
        <f>CE18/BZ18-1</f>
        <v>8.4970938278438934E-2</v>
      </c>
      <c r="CF85" s="1303">
        <f>CF18/CA18-1</f>
        <v>0.11031833150384185</v>
      </c>
      <c r="CG85" s="949">
        <f t="shared" si="148"/>
        <v>8.0189335932061789E-2</v>
      </c>
      <c r="CH85" s="320">
        <f t="shared" si="148"/>
        <v>7.0302058273189028E-2</v>
      </c>
      <c r="CI85" s="320">
        <f t="shared" si="148"/>
        <v>8.029388611912891E-2</v>
      </c>
      <c r="CJ85" s="320">
        <f t="shared" si="148"/>
        <v>7.2193877551020469E-2</v>
      </c>
      <c r="CK85" s="320">
        <f t="shared" si="148"/>
        <v>4.7207118141374238E-2</v>
      </c>
      <c r="CL85" s="949">
        <f t="shared" si="148"/>
        <v>6.7212269622374032E-2</v>
      </c>
      <c r="CM85" s="320">
        <f t="shared" si="148"/>
        <v>4.9950049950050035E-2</v>
      </c>
      <c r="CN85" s="320">
        <f t="shared" si="148"/>
        <v>4.056351712411943E-2</v>
      </c>
      <c r="CO85" s="320">
        <f t="shared" si="148"/>
        <v>-1.4751368070425874E-2</v>
      </c>
      <c r="CP85" s="320">
        <f t="shared" si="148"/>
        <v>2.8321925890959498E-3</v>
      </c>
      <c r="CQ85" s="949">
        <f t="shared" si="148"/>
        <v>1.9141356198297155E-2</v>
      </c>
      <c r="CR85" s="320">
        <f t="shared" si="148"/>
        <v>4.6146527117031377E-2</v>
      </c>
      <c r="CS85" s="320">
        <f t="shared" si="148"/>
        <v>4.9719887955182118E-2</v>
      </c>
      <c r="CT85" s="320">
        <f t="shared" si="148"/>
        <v>5.3368751509297319E-2</v>
      </c>
      <c r="CU85" s="320">
        <f t="shared" si="148"/>
        <v>8.707931277947667E-3</v>
      </c>
      <c r="CV85" s="949">
        <f t="shared" si="148"/>
        <v>3.9400402891337727E-2</v>
      </c>
      <c r="CW85" s="320">
        <f t="shared" si="148"/>
        <v>-4.3201455206912653E-3</v>
      </c>
      <c r="CX85" s="320">
        <f t="shared" si="148"/>
        <v>1.6010673782521634E-2</v>
      </c>
      <c r="CY85" s="320">
        <f t="shared" si="148"/>
        <v>4.3328748280605289E-2</v>
      </c>
      <c r="CZ85" s="320">
        <f t="shared" si="148"/>
        <v>4.8296780214652335E-2</v>
      </c>
      <c r="DA85" s="949">
        <f t="shared" si="148"/>
        <v>2.5594254118451731E-2</v>
      </c>
      <c r="DB85" s="320">
        <f t="shared" si="148"/>
        <v>1.7583923270152901E-2</v>
      </c>
      <c r="DC85" s="320">
        <f t="shared" si="148"/>
        <v>0.2269643247975488</v>
      </c>
      <c r="DD85" s="320">
        <f t="shared" si="148"/>
        <v>0.33597011645792141</v>
      </c>
      <c r="DE85" s="320">
        <f t="shared" si="148"/>
        <v>0.43089249944357899</v>
      </c>
      <c r="DF85" s="949">
        <f t="shared" si="148"/>
        <v>0.25450200088928421</v>
      </c>
      <c r="DG85" s="320">
        <f t="shared" si="148"/>
        <v>0.35412926391382404</v>
      </c>
      <c r="DH85" s="320">
        <f t="shared" si="148"/>
        <v>8.526578665715312E-2</v>
      </c>
      <c r="DI85" s="320">
        <f t="shared" si="148"/>
        <v>-1.8585526315789469E-2</v>
      </c>
      <c r="DJ85" s="320">
        <f t="shared" si="148"/>
        <v>-5.9107170633068917E-2</v>
      </c>
      <c r="DK85" s="949">
        <f t="shared" ref="DK85:DU85" si="149">DK18/DF18-1</f>
        <v>6.9248150281334464E-2</v>
      </c>
      <c r="DL85" s="320">
        <f t="shared" si="148"/>
        <v>-5.7673185283394046E-2</v>
      </c>
      <c r="DM85" s="320">
        <f t="shared" si="148"/>
        <v>6.5746219592373034E-3</v>
      </c>
      <c r="DN85" s="320">
        <f t="shared" si="148"/>
        <v>-4.2735042735042694E-2</v>
      </c>
      <c r="DO85" s="320">
        <f t="shared" si="148"/>
        <v>2.7938502231773743E-2</v>
      </c>
      <c r="DP85" s="949">
        <f t="shared" si="149"/>
        <v>-1.6325515869727303E-2</v>
      </c>
      <c r="DQ85" s="320">
        <f t="shared" si="148"/>
        <v>3.8867393598311706E-2</v>
      </c>
      <c r="DR85" s="320">
        <f t="shared" si="149"/>
        <v>4.7596685843228403E-2</v>
      </c>
      <c r="DS85" s="320">
        <f t="shared" si="149"/>
        <v>0.12132831958306611</v>
      </c>
      <c r="DT85" s="1303">
        <f t="shared" si="149"/>
        <v>1.3048415000965763E-2</v>
      </c>
      <c r="DU85" s="949">
        <f t="shared" si="149"/>
        <v>5.4197325612401537E-2</v>
      </c>
      <c r="DV85" s="1302">
        <f t="shared" ref="DV85" si="150">DV18/DQ18-1</f>
        <v>6.9363274573232658E-2</v>
      </c>
      <c r="DW85" s="320">
        <f t="shared" ref="DW85" si="151">DW18/DR18-1</f>
        <v>2.843941798892935E-2</v>
      </c>
      <c r="DX85" s="320">
        <f t="shared" ref="DX85" si="152">DX18/DS18-1</f>
        <v>3.4554441556799986E-4</v>
      </c>
      <c r="DY85" s="1303">
        <f t="shared" ref="DY85" si="153">DY18/DT18-1</f>
        <v>-5.0429223910704035E-3</v>
      </c>
      <c r="DZ85" s="949">
        <f t="shared" ref="DZ85" si="154">DZ18/DU18-1</f>
        <v>2.2481184487743278E-2</v>
      </c>
      <c r="EA85" s="1302">
        <f t="shared" ref="EA85" si="155">EA18/DV18-1</f>
        <v>2.248928095527325E-2</v>
      </c>
      <c r="EB85" s="320">
        <f t="shared" ref="EB85" si="156">EB18/DW18-1</f>
        <v>2.2681772898898167E-2</v>
      </c>
      <c r="EC85" s="320">
        <f t="shared" ref="EC85" si="157">EC18/DX18-1</f>
        <v>2.2621093234095335E-2</v>
      </c>
      <c r="ED85" s="1303">
        <f t="shared" ref="ED85" si="158">ED18/DY18-1</f>
        <v>2.2585627057074564E-2</v>
      </c>
      <c r="EE85" s="949">
        <f t="shared" ref="EE85" si="159">EE18/DZ18-1</f>
        <v>2.2595514485672652E-2</v>
      </c>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row>
    <row r="86" spans="2:232" s="54" customFormat="1" collapsed="1">
      <c r="B86" s="693" t="s">
        <v>445</v>
      </c>
      <c r="C86" s="375"/>
      <c r="D86" s="375"/>
      <c r="E86" s="320"/>
      <c r="F86" s="320"/>
      <c r="G86" s="320"/>
      <c r="H86" s="320"/>
      <c r="I86" s="320"/>
      <c r="J86" s="320"/>
      <c r="K86" s="1292"/>
      <c r="L86" s="320"/>
      <c r="M86" s="320"/>
      <c r="N86" s="1301"/>
      <c r="O86" s="320"/>
      <c r="P86" s="1292"/>
      <c r="Q86" s="320"/>
      <c r="R86" s="320"/>
      <c r="S86" s="1301"/>
      <c r="T86" s="320"/>
      <c r="U86" s="1292"/>
      <c r="V86" s="320"/>
      <c r="W86" s="320"/>
      <c r="X86" s="1301"/>
      <c r="Y86" s="320"/>
      <c r="Z86" s="1292"/>
      <c r="AA86" s="320"/>
      <c r="AB86" s="320"/>
      <c r="AC86" s="1301"/>
      <c r="AD86" s="320"/>
      <c r="AE86" s="1292"/>
      <c r="AF86" s="320"/>
      <c r="AG86" s="320"/>
      <c r="AH86" s="1301"/>
      <c r="AI86" s="320"/>
      <c r="AJ86" s="1292"/>
      <c r="AK86" s="320"/>
      <c r="AL86" s="320"/>
      <c r="AM86" s="1301"/>
      <c r="AN86" s="320"/>
      <c r="AO86" s="1292"/>
      <c r="AP86" s="320"/>
      <c r="AQ86" s="320"/>
      <c r="AR86" s="1301"/>
      <c r="AS86" s="320"/>
      <c r="AT86" s="1292"/>
      <c r="AU86" s="320"/>
      <c r="AV86" s="320"/>
      <c r="AW86" s="1301"/>
      <c r="AX86" s="320"/>
      <c r="AY86" s="1292"/>
      <c r="AZ86" s="320"/>
      <c r="BA86" s="320"/>
      <c r="BB86" s="1301"/>
      <c r="BC86" s="320"/>
      <c r="BD86" s="1292"/>
      <c r="BE86" s="320"/>
      <c r="BF86" s="320"/>
      <c r="BG86" s="1301"/>
      <c r="BH86" s="320"/>
      <c r="BI86" s="1292"/>
      <c r="BJ86" s="320"/>
      <c r="BK86" s="320"/>
      <c r="BL86" s="1301"/>
      <c r="BM86" s="320"/>
      <c r="BN86" s="1292"/>
      <c r="BO86" s="320"/>
      <c r="BP86" s="320"/>
      <c r="BQ86" s="1301"/>
      <c r="BR86" s="320"/>
      <c r="BS86" s="1292"/>
      <c r="BT86" s="320"/>
      <c r="BU86" s="320"/>
      <c r="BV86" s="1301"/>
      <c r="BW86" s="320"/>
      <c r="BX86" s="1302"/>
      <c r="BY86" s="320"/>
      <c r="BZ86" s="320"/>
      <c r="CA86" s="320"/>
      <c r="CB86" s="949"/>
      <c r="CC86" s="1302">
        <f>CC66/BX66-1</f>
        <v>7.3977371627502286E-2</v>
      </c>
      <c r="CD86" s="320">
        <f>CD66/BY66-1</f>
        <v>5.0389755011135851E-2</v>
      </c>
      <c r="CE86" s="320">
        <f>CE66/BZ66-1</f>
        <v>8.1958041958041905E-2</v>
      </c>
      <c r="CF86" s="1303">
        <f>CF66/CA66-1</f>
        <v>0.107935627081021</v>
      </c>
      <c r="CG86" s="949">
        <f t="shared" ref="CG86:DQ86" si="160">CG66/CB66-1</f>
        <v>7.8632719088479464E-2</v>
      </c>
      <c r="CH86" s="1292">
        <f t="shared" si="160"/>
        <v>6.7531064289573228E-2</v>
      </c>
      <c r="CI86" s="320">
        <f t="shared" si="160"/>
        <v>7.8982242247548351E-2</v>
      </c>
      <c r="CJ86" s="320">
        <f t="shared" si="160"/>
        <v>7.2647362978283336E-2</v>
      </c>
      <c r="CK86" s="320">
        <f t="shared" si="160"/>
        <v>4.4327573253193142E-2</v>
      </c>
      <c r="CL86" s="949">
        <f t="shared" si="160"/>
        <v>6.559728742827331E-2</v>
      </c>
      <c r="CM86" s="1292">
        <f t="shared" si="160"/>
        <v>4.8582995951417018E-2</v>
      </c>
      <c r="CN86" s="320">
        <f t="shared" si="160"/>
        <v>3.7337263571604051E-2</v>
      </c>
      <c r="CO86" s="320">
        <f t="shared" si="160"/>
        <v>-2.1932995902627095E-2</v>
      </c>
      <c r="CP86" s="320">
        <f t="shared" si="160"/>
        <v>-9.8321342925659083E-3</v>
      </c>
      <c r="CQ86" s="949">
        <f t="shared" si="160"/>
        <v>1.2972708358830021E-2</v>
      </c>
      <c r="CR86" s="1292">
        <f t="shared" si="160"/>
        <v>2.5096525096525157E-2</v>
      </c>
      <c r="CS86" s="320">
        <f t="shared" si="160"/>
        <v>4.2150130239166472E-2</v>
      </c>
      <c r="CT86" s="320">
        <f t="shared" si="160"/>
        <v>4.4849679645145413E-2</v>
      </c>
      <c r="CU86" s="320">
        <f t="shared" si="160"/>
        <v>1.4531363526277596E-2</v>
      </c>
      <c r="CV86" s="949">
        <f t="shared" si="160"/>
        <v>3.1653980910958168E-2</v>
      </c>
      <c r="CW86" s="1292">
        <f t="shared" si="160"/>
        <v>4.0018832391712778E-3</v>
      </c>
      <c r="CX86" s="320">
        <f t="shared" si="160"/>
        <v>1.7268802544876172E-2</v>
      </c>
      <c r="CY86" s="320">
        <f t="shared" si="160"/>
        <v>2.8537735849056611E-2</v>
      </c>
      <c r="CZ86" s="320">
        <f t="shared" si="160"/>
        <v>2.0529959417522115E-2</v>
      </c>
      <c r="DA86" s="949">
        <f t="shared" si="160"/>
        <v>1.756645977280713E-2</v>
      </c>
      <c r="DB86" s="1292">
        <f t="shared" si="160"/>
        <v>1.6881594372801789E-2</v>
      </c>
      <c r="DC86" s="320">
        <f t="shared" si="160"/>
        <v>0.16104534286352479</v>
      </c>
      <c r="DD86" s="320">
        <f t="shared" si="160"/>
        <v>0.33019949552854855</v>
      </c>
      <c r="DE86" s="320">
        <f t="shared" si="160"/>
        <v>0.38573099415204681</v>
      </c>
      <c r="DF86" s="949">
        <f t="shared" si="160"/>
        <v>0.22338589020600752</v>
      </c>
      <c r="DG86" s="320">
        <f t="shared" si="160"/>
        <v>0.34401660133733003</v>
      </c>
      <c r="DH86" s="320">
        <f t="shared" si="160"/>
        <v>0.13351288957291274</v>
      </c>
      <c r="DI86" s="320">
        <f t="shared" si="160"/>
        <v>-3.102913290811915E-3</v>
      </c>
      <c r="DJ86" s="320">
        <f t="shared" si="160"/>
        <v>-4.4902093180283598E-2</v>
      </c>
      <c r="DK86" s="949">
        <f t="shared" ref="DK86:DU86" si="161">DK66/DF66-1</f>
        <v>8.946378174976477E-2</v>
      </c>
      <c r="DL86" s="320">
        <f t="shared" si="160"/>
        <v>-5.541259221135697E-2</v>
      </c>
      <c r="DM86" s="320">
        <f t="shared" si="160"/>
        <v>-3.7169042769857441E-2</v>
      </c>
      <c r="DN86" s="320">
        <f t="shared" si="160"/>
        <v>-9.0264568563029557E-2</v>
      </c>
      <c r="DO86" s="320">
        <f t="shared" si="160"/>
        <v>-2.2622834924001411E-2</v>
      </c>
      <c r="DP86" s="949">
        <f t="shared" si="161"/>
        <v>-5.1463604179259104E-2</v>
      </c>
      <c r="DQ86" s="320">
        <f t="shared" si="160"/>
        <v>3.6324010170722953E-2</v>
      </c>
      <c r="DR86" s="320">
        <f t="shared" si="161"/>
        <v>0.1158967220348901</v>
      </c>
      <c r="DS86" s="320">
        <f t="shared" si="161"/>
        <v>0.20129773074671609</v>
      </c>
      <c r="DT86" s="1303">
        <f t="shared" si="161"/>
        <v>0.12371338959783107</v>
      </c>
      <c r="DU86" s="949">
        <f t="shared" si="161"/>
        <v>0.11837253118062874</v>
      </c>
      <c r="DV86" s="1302">
        <f t="shared" ref="DV86" si="162">DV66/DQ66-1</f>
        <v>9.2136148423429098E-2</v>
      </c>
      <c r="DW86" s="320">
        <f t="shared" ref="DW86" si="163">DW66/DR66-1</f>
        <v>2.8821276825161002E-2</v>
      </c>
      <c r="DX86" s="320">
        <f t="shared" ref="DX86" si="164">DX66/DS66-1</f>
        <v>3.5019174913841766E-4</v>
      </c>
      <c r="DY86" s="1303">
        <f t="shared" ref="DY86" si="165">DY66/DT66-1</f>
        <v>-5.1119019674995547E-3</v>
      </c>
      <c r="DZ86" s="949">
        <f t="shared" ref="DZ86" si="166">DZ66/DU66-1</f>
        <v>2.7619487639491291E-2</v>
      </c>
      <c r="EA86" s="1302">
        <f t="shared" ref="EA86" si="167">EA66/DV66-1</f>
        <v>2.2796031926513027E-2</v>
      </c>
      <c r="EB86" s="320">
        <f t="shared" ref="EB86" si="168">EB66/DW66-1</f>
        <v>2.2977791635574896E-2</v>
      </c>
      <c r="EC86" s="320">
        <f t="shared" ref="EC86" si="169">EC66/DX66-1</f>
        <v>2.2925224799430044E-2</v>
      </c>
      <c r="ED86" s="1303">
        <f t="shared" ref="ED86" si="170">ED66/DY66-1</f>
        <v>2.2896151760680272E-2</v>
      </c>
      <c r="EE86" s="949">
        <f t="shared" ref="EE86" si="171">EE66/DZ66-1</f>
        <v>2.2899779677303833E-2</v>
      </c>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row>
    <row r="87" spans="2:232" s="54" customFormat="1" ht="11.25" hidden="1" customHeight="1" outlineLevel="2">
      <c r="B87" s="693" t="s">
        <v>237</v>
      </c>
      <c r="C87" s="375"/>
      <c r="D87" s="375"/>
      <c r="E87" s="320">
        <f t="shared" ref="E87:J87" si="172">E79/D79-1</f>
        <v>0.12416371113632363</v>
      </c>
      <c r="F87" s="320">
        <f t="shared" si="172"/>
        <v>0.12277459292496573</v>
      </c>
      <c r="G87" s="320">
        <f t="shared" si="172"/>
        <v>9.9232648551224045E-2</v>
      </c>
      <c r="H87" s="320">
        <f t="shared" si="172"/>
        <v>9.6180029867655836E-2</v>
      </c>
      <c r="I87" s="320">
        <f t="shared" si="172"/>
        <v>8.7750484809306473E-2</v>
      </c>
      <c r="J87" s="320">
        <f t="shared" si="172"/>
        <v>0.16268186419655239</v>
      </c>
      <c r="K87" s="1292"/>
      <c r="L87" s="320"/>
      <c r="M87" s="320"/>
      <c r="N87" s="1301"/>
      <c r="O87" s="320">
        <f t="shared" ref="O87:AT87" si="173">O79/J79-1</f>
        <v>0.14154793867201598</v>
      </c>
      <c r="P87" s="1292">
        <f t="shared" si="173"/>
        <v>0.17512259200418345</v>
      </c>
      <c r="Q87" s="320">
        <f t="shared" si="173"/>
        <v>0.16168328232955709</v>
      </c>
      <c r="R87" s="320">
        <f t="shared" si="173"/>
        <v>0.19718448462498817</v>
      </c>
      <c r="S87" s="1301">
        <f t="shared" si="173"/>
        <v>0.18642981152200866</v>
      </c>
      <c r="T87" s="320">
        <f t="shared" si="173"/>
        <v>0.17882504841833868</v>
      </c>
      <c r="U87" s="1292">
        <f t="shared" si="173"/>
        <v>0.15790336173799013</v>
      </c>
      <c r="V87" s="320">
        <f t="shared" si="173"/>
        <v>0.17358567427650118</v>
      </c>
      <c r="W87" s="320">
        <f t="shared" si="173"/>
        <v>0.23681774132142808</v>
      </c>
      <c r="X87" s="1301">
        <f t="shared" si="173"/>
        <v>0.3340968758518128</v>
      </c>
      <c r="Y87" s="320">
        <f t="shared" si="173"/>
        <v>0.2650988852771774</v>
      </c>
      <c r="Z87" s="1292">
        <f t="shared" si="173"/>
        <v>0.23480115646671185</v>
      </c>
      <c r="AA87" s="320">
        <f t="shared" si="173"/>
        <v>0.20621678926496023</v>
      </c>
      <c r="AB87" s="320">
        <f t="shared" si="173"/>
        <v>0.19034710003742528</v>
      </c>
      <c r="AC87" s="1301">
        <f t="shared" si="173"/>
        <v>0.12589926768156579</v>
      </c>
      <c r="AD87" s="320">
        <f t="shared" si="173"/>
        <v>0.10901164693509702</v>
      </c>
      <c r="AE87" s="1292">
        <f t="shared" si="173"/>
        <v>0.2218683738712548</v>
      </c>
      <c r="AF87" s="320">
        <f t="shared" si="173"/>
        <v>0.11486810551558713</v>
      </c>
      <c r="AG87" s="320">
        <f t="shared" si="173"/>
        <v>0.13781957096679665</v>
      </c>
      <c r="AH87" s="1301">
        <f t="shared" si="173"/>
        <v>0.14549506526583911</v>
      </c>
      <c r="AI87" s="320">
        <f t="shared" si="173"/>
        <v>0.21515700007869842</v>
      </c>
      <c r="AJ87" s="1292">
        <f t="shared" si="173"/>
        <v>0.11691792294807279</v>
      </c>
      <c r="AK87" s="320">
        <f t="shared" si="173"/>
        <v>0.18907291890729194</v>
      </c>
      <c r="AL87" s="320">
        <f t="shared" si="173"/>
        <v>0.11157024793388204</v>
      </c>
      <c r="AM87" s="1301">
        <f t="shared" si="173"/>
        <v>0.15397443023902224</v>
      </c>
      <c r="AN87" s="320">
        <f t="shared" si="173"/>
        <v>0.13490058934006699</v>
      </c>
      <c r="AO87" s="1292">
        <f t="shared" si="173"/>
        <v>0.17786442711457773</v>
      </c>
      <c r="AP87" s="320">
        <f t="shared" si="173"/>
        <v>0.1175832127351657</v>
      </c>
      <c r="AQ87" s="320">
        <f t="shared" si="173"/>
        <v>0.19725836431226895</v>
      </c>
      <c r="AR87" s="1301">
        <f t="shared" si="173"/>
        <v>0.13294797687861193</v>
      </c>
      <c r="AS87" s="320">
        <f t="shared" si="173"/>
        <v>0.12890892490299133</v>
      </c>
      <c r="AT87" s="1292">
        <f t="shared" si="173"/>
        <v>0.16348357524828216</v>
      </c>
      <c r="AU87" s="320">
        <f t="shared" ref="AU87:BZ87" si="174">AU79/AP79-1</f>
        <v>0.13823243768209892</v>
      </c>
      <c r="AV87" s="320">
        <f t="shared" si="174"/>
        <v>7.7042499514845764E-2</v>
      </c>
      <c r="AW87" s="1301">
        <f t="shared" si="174"/>
        <v>0.10140306122448894</v>
      </c>
      <c r="AX87" s="320">
        <f t="shared" si="174"/>
        <v>0.12025476419147796</v>
      </c>
      <c r="AY87" s="1292">
        <f t="shared" si="174"/>
        <v>0.12891223462464385</v>
      </c>
      <c r="AZ87" s="320">
        <f t="shared" si="174"/>
        <v>0.13068828213879424</v>
      </c>
      <c r="BA87" s="320">
        <f t="shared" si="174"/>
        <v>0.18774774774774827</v>
      </c>
      <c r="BB87" s="1301">
        <f t="shared" si="174"/>
        <v>9.2067168500292285E-2</v>
      </c>
      <c r="BC87" s="320">
        <f t="shared" si="174"/>
        <v>0.14425593357999955</v>
      </c>
      <c r="BD87" s="1292">
        <f t="shared" si="174"/>
        <v>0.23148507173323152</v>
      </c>
      <c r="BE87" s="320">
        <f t="shared" si="174"/>
        <v>0.15721292919129648</v>
      </c>
      <c r="BF87" s="320">
        <f t="shared" si="174"/>
        <v>0.20221480582524354</v>
      </c>
      <c r="BG87" s="1301">
        <f t="shared" si="174"/>
        <v>0.10657476139978472</v>
      </c>
      <c r="BH87" s="320">
        <f t="shared" si="174"/>
        <v>0.17271974446942084</v>
      </c>
      <c r="BI87" s="1292">
        <f t="shared" si="174"/>
        <v>9.5717884130982034E-2</v>
      </c>
      <c r="BJ87" s="320">
        <f t="shared" si="174"/>
        <v>6.8226279752201524E-2</v>
      </c>
      <c r="BK87" s="320">
        <f t="shared" si="174"/>
        <v>9.6940063091482509E-2</v>
      </c>
      <c r="BL87" s="1301">
        <f t="shared" si="174"/>
        <v>0.31097268806899736</v>
      </c>
      <c r="BM87" s="320">
        <f t="shared" si="174"/>
        <v>0.13285584585897481</v>
      </c>
      <c r="BN87" s="1292">
        <f t="shared" si="174"/>
        <v>0.23462643678160955</v>
      </c>
      <c r="BO87" s="320">
        <f t="shared" si="174"/>
        <v>0.21337911738522197</v>
      </c>
      <c r="BP87" s="320">
        <f t="shared" si="174"/>
        <v>0.18310183188105467</v>
      </c>
      <c r="BQ87" s="1301">
        <f t="shared" si="174"/>
        <v>-3.8742690058478968E-2</v>
      </c>
      <c r="BR87" s="320">
        <f t="shared" si="174"/>
        <v>0.14853072128227596</v>
      </c>
      <c r="BS87" s="1292">
        <f t="shared" si="174"/>
        <v>0.10531828232281981</v>
      </c>
      <c r="BT87" s="320">
        <f t="shared" si="174"/>
        <v>0.10690927385544113</v>
      </c>
      <c r="BU87" s="320">
        <f t="shared" si="174"/>
        <v>0.10996596985902007</v>
      </c>
      <c r="BV87" s="1301">
        <f t="shared" si="174"/>
        <v>1.7490494296579673E-2</v>
      </c>
      <c r="BW87" s="320">
        <f t="shared" si="174"/>
        <v>8.9135266449580808E-2</v>
      </c>
      <c r="BX87" s="1302">
        <f t="shared" si="174"/>
        <v>3.3691303432306086E-3</v>
      </c>
      <c r="BY87" s="320">
        <f t="shared" si="174"/>
        <v>-7.5751836982274057E-5</v>
      </c>
      <c r="BZ87" s="320">
        <f t="shared" si="174"/>
        <v>3.5038542396570449E-4</v>
      </c>
      <c r="CA87" s="320">
        <f t="shared" ref="CA87:CX87" si="175">CA79/BV79-1</f>
        <v>0.22571001494768228</v>
      </c>
      <c r="CB87" s="949">
        <f t="shared" si="175"/>
        <v>4.3826970078067351E-2</v>
      </c>
      <c r="CC87" s="1302">
        <f>CC79/BX79-1</f>
        <v>0.14165792235047214</v>
      </c>
      <c r="CD87" s="320">
        <f>CD79/BY79-1</f>
        <v>3.1060606060606011E-2</v>
      </c>
      <c r="CE87" s="320">
        <f>CE79/BZ79-1</f>
        <v>-2.8021015761821366E-2</v>
      </c>
      <c r="CF87" s="1303">
        <f>CF79/CA79-1</f>
        <v>8.6382113821138251E-2</v>
      </c>
      <c r="CG87" s="949">
        <f t="shared" si="175"/>
        <v>5.2057285746760718E-2</v>
      </c>
      <c r="CH87" s="320">
        <f t="shared" si="175"/>
        <v>0.15441176470588225</v>
      </c>
      <c r="CI87" s="320">
        <f t="shared" si="175"/>
        <v>0.11609110947832479</v>
      </c>
      <c r="CJ87" s="320">
        <f t="shared" si="175"/>
        <v>0.14414414414414423</v>
      </c>
      <c r="CK87" s="320">
        <f t="shared" si="175"/>
        <v>0.10383536014967265</v>
      </c>
      <c r="CL87" s="949">
        <f t="shared" si="175"/>
        <v>0.12899740708729479</v>
      </c>
      <c r="CM87" s="320">
        <f t="shared" si="175"/>
        <v>-2.7070063694267565E-2</v>
      </c>
      <c r="CN87" s="320">
        <f t="shared" si="175"/>
        <v>-3.884134298880848E-2</v>
      </c>
      <c r="CO87" s="320">
        <f t="shared" si="175"/>
        <v>-1.7322834645669305E-2</v>
      </c>
      <c r="CP87" s="320">
        <f t="shared" si="175"/>
        <v>-8.6440677966101664E-2</v>
      </c>
      <c r="CQ87" s="949">
        <f t="shared" si="175"/>
        <v>-4.1531100478468863E-2</v>
      </c>
      <c r="CR87" s="320">
        <f t="shared" si="175"/>
        <v>-4.8281505728314245E-2</v>
      </c>
      <c r="CS87" s="320">
        <f t="shared" si="175"/>
        <v>0.13013698630136994</v>
      </c>
      <c r="CT87" s="320">
        <f t="shared" si="175"/>
        <v>0.20192307692307687</v>
      </c>
      <c r="CU87" s="320">
        <f t="shared" si="175"/>
        <v>0.25695732838589991</v>
      </c>
      <c r="CV87" s="949">
        <f t="shared" si="175"/>
        <v>0.1317891373801916</v>
      </c>
      <c r="CW87" s="320">
        <f t="shared" si="175"/>
        <v>0.173688736027515</v>
      </c>
      <c r="CX87" s="320">
        <f t="shared" si="175"/>
        <v>-3.2727272727272716E-2</v>
      </c>
      <c r="CY87" s="320">
        <f t="shared" ref="CY87:DQ87" si="176">CY79/CT79-1</f>
        <v>4.8000000000000043E-2</v>
      </c>
      <c r="CZ87" s="320">
        <f t="shared" si="176"/>
        <v>2.5092250922509329E-2</v>
      </c>
      <c r="DA87" s="949">
        <f t="shared" si="176"/>
        <v>4.4812985179957687E-2</v>
      </c>
      <c r="DB87" s="320">
        <f t="shared" si="176"/>
        <v>6.7399267399267382E-2</v>
      </c>
      <c r="DC87" s="320">
        <f t="shared" si="176"/>
        <v>0.33458646616541343</v>
      </c>
      <c r="DD87" s="320">
        <f t="shared" si="176"/>
        <v>0.33015267175572527</v>
      </c>
      <c r="DE87" s="320">
        <f t="shared" si="176"/>
        <v>0.306695464362851</v>
      </c>
      <c r="DF87" s="949">
        <f t="shared" si="176"/>
        <v>0.26528199932455254</v>
      </c>
      <c r="DG87" s="320">
        <f t="shared" si="176"/>
        <v>0.38641043239533279</v>
      </c>
      <c r="DH87" s="320">
        <f t="shared" si="176"/>
        <v>0.15539906103286394</v>
      </c>
      <c r="DI87" s="320">
        <f t="shared" si="176"/>
        <v>3.5389765662362516E-2</v>
      </c>
      <c r="DJ87" s="320">
        <f t="shared" si="176"/>
        <v>5.2892561983471031E-2</v>
      </c>
      <c r="DK87" s="949">
        <f t="shared" ref="DK87:DU87" si="177">DK79/DF79-1</f>
        <v>0.14199919925263571</v>
      </c>
      <c r="DL87" s="320">
        <f t="shared" si="176"/>
        <v>2.1287128712871306E-2</v>
      </c>
      <c r="DM87" s="320">
        <f t="shared" si="176"/>
        <v>-4.6728971962616828E-2</v>
      </c>
      <c r="DN87" s="320">
        <f t="shared" si="176"/>
        <v>0.10161662817551953</v>
      </c>
      <c r="DO87" s="320">
        <f t="shared" si="176"/>
        <v>0.15593929879644164</v>
      </c>
      <c r="DP87" s="949">
        <f t="shared" si="177"/>
        <v>5.2121070468622133E-2</v>
      </c>
      <c r="DQ87" s="320">
        <f t="shared" si="176"/>
        <v>3.7324285021812953E-2</v>
      </c>
      <c r="DR87" s="320">
        <f t="shared" ca="1" si="177"/>
        <v>5.5932182275545861E-2</v>
      </c>
      <c r="DS87" s="320">
        <f t="shared" ca="1" si="177"/>
        <v>-2.0611141984262393E-2</v>
      </c>
      <c r="DT87" s="1303">
        <f t="shared" si="177"/>
        <v>1.0562154462015361E-2</v>
      </c>
      <c r="DU87" s="949">
        <f t="shared" ca="1" si="177"/>
        <v>2.0258927601083609E-2</v>
      </c>
      <c r="DV87" s="1302">
        <f t="shared" ref="DV87" si="178">DV79/DQ79-1</f>
        <v>2.4605888113262697E-2</v>
      </c>
      <c r="DW87" s="320">
        <f t="shared" ref="DW87" ca="1" si="179">DW79/DR79-1</f>
        <v>2.027722808882948E-2</v>
      </c>
      <c r="DX87" s="320">
        <f t="shared" ref="DX87" ca="1" si="180">DX79/DS79-1</f>
        <v>8.6379653075797425E-2</v>
      </c>
      <c r="DY87" s="1303">
        <f t="shared" ref="DY87" si="181">DY79/DT79-1</f>
        <v>0.10982783539293273</v>
      </c>
      <c r="DZ87" s="949">
        <f t="shared" ref="DZ87" ca="1" si="182">DZ79/DU79-1</f>
        <v>5.9859086345106505E-2</v>
      </c>
      <c r="EA87" s="1302">
        <f t="shared" ref="EA87" si="183">EA79/DV79-1</f>
        <v>2.5645477695694474E-2</v>
      </c>
      <c r="EB87" s="320">
        <f t="shared" ref="EB87" ca="1" si="184">EB79/DW79-1</f>
        <v>1.3292137078679156E-2</v>
      </c>
      <c r="EC87" s="320">
        <f t="shared" ref="EC87" ca="1" si="185">EC79/DX79-1</f>
        <v>2.0118738173274808E-2</v>
      </c>
      <c r="ED87" s="1303">
        <f t="shared" ref="ED87" si="186">ED79/DY79-1</f>
        <v>2.2126779635495586E-2</v>
      </c>
      <c r="EE87" s="949">
        <f t="shared" ref="EE87" ca="1" si="187">EE79/DZ79-1</f>
        <v>2.0102230417151645E-2</v>
      </c>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row>
    <row r="88" spans="2:232" s="54" customFormat="1" hidden="1" outlineLevel="1" collapsed="1">
      <c r="B88" s="693" t="s">
        <v>234</v>
      </c>
      <c r="C88" s="375"/>
      <c r="D88" s="375"/>
      <c r="E88" s="320">
        <f t="shared" ref="E88:J88" si="188">E22/D22-1</f>
        <v>0.10507029435010584</v>
      </c>
      <c r="F88" s="320">
        <f t="shared" si="188"/>
        <v>0.11901975354511052</v>
      </c>
      <c r="G88" s="320">
        <f t="shared" si="188"/>
        <v>8.8387227084202991E-2</v>
      </c>
      <c r="H88" s="320">
        <f t="shared" si="188"/>
        <v>0.10413457187453989</v>
      </c>
      <c r="I88" s="320">
        <f t="shared" si="188"/>
        <v>6.0827160977044992E-2</v>
      </c>
      <c r="J88" s="320">
        <f t="shared" si="188"/>
        <v>0.17526283347947591</v>
      </c>
      <c r="K88" s="1292"/>
      <c r="L88" s="320"/>
      <c r="M88" s="320"/>
      <c r="N88" s="1301"/>
      <c r="O88" s="320">
        <f t="shared" ref="O88:AT88" si="189">O22/J22-1</f>
        <v>0.12327239150507419</v>
      </c>
      <c r="P88" s="1292">
        <f t="shared" si="189"/>
        <v>0.23608996473105304</v>
      </c>
      <c r="Q88" s="320">
        <f t="shared" si="189"/>
        <v>0.17398014082645785</v>
      </c>
      <c r="R88" s="320">
        <f t="shared" si="189"/>
        <v>0.18200193570050827</v>
      </c>
      <c r="S88" s="1301">
        <f t="shared" si="189"/>
        <v>0.19873776678535737</v>
      </c>
      <c r="T88" s="320">
        <f t="shared" si="189"/>
        <v>0.19230680704708436</v>
      </c>
      <c r="U88" s="1292">
        <f t="shared" si="189"/>
        <v>0.16538815348394786</v>
      </c>
      <c r="V88" s="320">
        <f t="shared" si="189"/>
        <v>0.15900658071933793</v>
      </c>
      <c r="W88" s="320">
        <f t="shared" si="189"/>
        <v>0.22782772411795604</v>
      </c>
      <c r="X88" s="1301">
        <f t="shared" si="189"/>
        <v>0.32463567049672237</v>
      </c>
      <c r="Y88" s="320">
        <f t="shared" si="189"/>
        <v>0.21569227672040014</v>
      </c>
      <c r="Z88" s="1292">
        <f t="shared" si="189"/>
        <v>0.22149455812802388</v>
      </c>
      <c r="AA88" s="320">
        <f t="shared" si="189"/>
        <v>0.20078665052668865</v>
      </c>
      <c r="AB88" s="320">
        <f t="shared" si="189"/>
        <v>0.23442228039214452</v>
      </c>
      <c r="AC88" s="1301">
        <f t="shared" si="189"/>
        <v>0.16237954355230766</v>
      </c>
      <c r="AD88" s="320">
        <f t="shared" si="189"/>
        <v>0.15170680362230682</v>
      </c>
      <c r="AE88" s="1292">
        <f t="shared" si="189"/>
        <v>0.2475355969331865</v>
      </c>
      <c r="AF88" s="320">
        <f t="shared" si="189"/>
        <v>0.12998266897746924</v>
      </c>
      <c r="AG88" s="320">
        <f t="shared" si="189"/>
        <v>0.14957736126424437</v>
      </c>
      <c r="AH88" s="1301">
        <f t="shared" si="189"/>
        <v>0.19329996149403161</v>
      </c>
      <c r="AI88" s="320">
        <f t="shared" si="189"/>
        <v>0.22286783533583043</v>
      </c>
      <c r="AJ88" s="1292">
        <f t="shared" si="189"/>
        <v>0.13081650570675918</v>
      </c>
      <c r="AK88" s="320">
        <f t="shared" si="189"/>
        <v>0.16794478527607382</v>
      </c>
      <c r="AL88" s="320">
        <f t="shared" si="189"/>
        <v>0.10453964194373122</v>
      </c>
      <c r="AM88" s="1301">
        <f t="shared" si="189"/>
        <v>9.1642465311391863E-2</v>
      </c>
      <c r="AN88" s="320">
        <f t="shared" si="189"/>
        <v>0.12611741966658419</v>
      </c>
      <c r="AO88" s="1292">
        <f t="shared" si="189"/>
        <v>0.13354037267080798</v>
      </c>
      <c r="AP88" s="320">
        <f t="shared" si="189"/>
        <v>0.14554607135040398</v>
      </c>
      <c r="AQ88" s="320">
        <f t="shared" si="189"/>
        <v>0.19855282199710689</v>
      </c>
      <c r="AR88" s="1301">
        <f t="shared" si="189"/>
        <v>0.16671593260419626</v>
      </c>
      <c r="AS88" s="320">
        <f t="shared" si="189"/>
        <v>0.14875205606808417</v>
      </c>
      <c r="AT88" s="1292">
        <f t="shared" si="189"/>
        <v>0.20787671232876836</v>
      </c>
      <c r="AU88" s="320">
        <f t="shared" ref="AU88:BZ88" si="190">AU22/AP22-1</f>
        <v>0.13335880779518661</v>
      </c>
      <c r="AV88" s="320">
        <f t="shared" si="190"/>
        <v>0.11253320453996651</v>
      </c>
      <c r="AW88" s="1301">
        <f t="shared" si="190"/>
        <v>0.11907778059285423</v>
      </c>
      <c r="AX88" s="320">
        <f t="shared" si="190"/>
        <v>0.14007346074830407</v>
      </c>
      <c r="AY88" s="1292">
        <f t="shared" si="190"/>
        <v>0.1482846611851425</v>
      </c>
      <c r="AZ88" s="320">
        <f t="shared" si="190"/>
        <v>0.1412677006068781</v>
      </c>
      <c r="BA88" s="320">
        <f t="shared" si="190"/>
        <v>0.18233123507705717</v>
      </c>
      <c r="BB88" s="1301">
        <f t="shared" si="190"/>
        <v>0.13063165044147951</v>
      </c>
      <c r="BC88" s="320">
        <f t="shared" si="190"/>
        <v>0.16097853983508736</v>
      </c>
      <c r="BD88" s="1292">
        <f t="shared" si="190"/>
        <v>0.24962962962963187</v>
      </c>
      <c r="BE88" s="320">
        <f t="shared" si="190"/>
        <v>0.14564254062038384</v>
      </c>
      <c r="BF88" s="320">
        <f t="shared" si="190"/>
        <v>0.1824857719845796</v>
      </c>
      <c r="BG88" s="1301">
        <f t="shared" si="190"/>
        <v>-2.4028834601554916E-3</v>
      </c>
      <c r="BH88" s="320">
        <f t="shared" si="190"/>
        <v>0.14011570481162861</v>
      </c>
      <c r="BI88" s="1292">
        <f t="shared" si="190"/>
        <v>7.0539419087136457E-2</v>
      </c>
      <c r="BJ88" s="320">
        <f t="shared" si="190"/>
        <v>5.840639504899503E-2</v>
      </c>
      <c r="BK88" s="320">
        <f t="shared" si="190"/>
        <v>9.8587175904362612E-2</v>
      </c>
      <c r="BL88" s="1301">
        <f t="shared" si="190"/>
        <v>0.2669610598153338</v>
      </c>
      <c r="BM88" s="320">
        <f t="shared" si="190"/>
        <v>0.11448019801980425</v>
      </c>
      <c r="BN88" s="1292">
        <f t="shared" si="190"/>
        <v>0.24012550756736872</v>
      </c>
      <c r="BO88" s="320">
        <f t="shared" si="190"/>
        <v>0.24314776464855603</v>
      </c>
      <c r="BP88" s="320">
        <f t="shared" si="190"/>
        <v>0.20802713397399364</v>
      </c>
      <c r="BQ88" s="1301">
        <f t="shared" si="190"/>
        <v>-4.3884664131811468E-2</v>
      </c>
      <c r="BR88" s="320">
        <f t="shared" si="190"/>
        <v>0.16627799370719498</v>
      </c>
      <c r="BS88" s="1292">
        <f t="shared" si="190"/>
        <v>8.3345735972613522E-2</v>
      </c>
      <c r="BT88" s="320">
        <f t="shared" si="190"/>
        <v>6.575208231259122E-2</v>
      </c>
      <c r="BU88" s="320">
        <f t="shared" si="190"/>
        <v>7.0074871314929732E-2</v>
      </c>
      <c r="BV88" s="1301">
        <f t="shared" si="190"/>
        <v>4.7058823529414262E-2</v>
      </c>
      <c r="BW88" s="320">
        <f t="shared" si="190"/>
        <v>6.7096200844257492E-2</v>
      </c>
      <c r="BX88" s="1302">
        <f t="shared" si="190"/>
        <v>-8.0917708476438643E-2</v>
      </c>
      <c r="BY88" s="320">
        <f t="shared" si="190"/>
        <v>-5.2960647296800611E-2</v>
      </c>
      <c r="BZ88" s="320">
        <f t="shared" si="190"/>
        <v>-7.5106592325353327E-2</v>
      </c>
      <c r="CA88" s="320">
        <f t="shared" ref="CA88:DQ88" si="191">CA22/BV22-1</f>
        <v>0.11093527456875996</v>
      </c>
      <c r="CB88" s="949">
        <f t="shared" si="191"/>
        <v>-3.423455578358614E-2</v>
      </c>
      <c r="CC88" s="1302">
        <f>CC22/BX22-1</f>
        <v>0.19133034379671154</v>
      </c>
      <c r="CD88" s="320">
        <f>CD22/BY22-1</f>
        <v>5.4368932038834972E-2</v>
      </c>
      <c r="CE88" s="320">
        <f>CE22/BZ22-1</f>
        <v>-2.0094562647754111E-2</v>
      </c>
      <c r="CF88" s="1303">
        <f>CF22/CA22-1</f>
        <v>6.2678062678062751E-2</v>
      </c>
      <c r="CG88" s="949">
        <f t="shared" si="191"/>
        <v>6.4983061287342103E-2</v>
      </c>
      <c r="CH88" s="320">
        <f t="shared" si="191"/>
        <v>0.18067754077791709</v>
      </c>
      <c r="CI88" s="320">
        <f t="shared" si="191"/>
        <v>0.11141804788213627</v>
      </c>
      <c r="CJ88" s="320">
        <f t="shared" si="191"/>
        <v>0.1471652593486128</v>
      </c>
      <c r="CK88" s="320">
        <f t="shared" si="191"/>
        <v>0.69705093833780163</v>
      </c>
      <c r="CL88" s="949">
        <f t="shared" si="191"/>
        <v>0.26229034123770956</v>
      </c>
      <c r="CM88" s="320">
        <f t="shared" si="191"/>
        <v>-4.3570669500531345E-2</v>
      </c>
      <c r="CN88" s="320">
        <f t="shared" si="191"/>
        <v>-8.4507042253521125E-2</v>
      </c>
      <c r="CO88" s="320">
        <f t="shared" si="191"/>
        <v>-8.2018927444794998E-2</v>
      </c>
      <c r="CP88" s="320">
        <f t="shared" si="191"/>
        <v>-0.53712480252764605</v>
      </c>
      <c r="CQ88" s="949">
        <f t="shared" si="191"/>
        <v>-0.20641466208476522</v>
      </c>
      <c r="CR88" s="320">
        <f t="shared" si="191"/>
        <v>-0.21666666666666667</v>
      </c>
      <c r="CS88" s="320">
        <f t="shared" si="191"/>
        <v>9.9547511312217285E-2</v>
      </c>
      <c r="CT88" s="320">
        <f t="shared" si="191"/>
        <v>0.13516609392898049</v>
      </c>
      <c r="CU88" s="320">
        <f t="shared" si="191"/>
        <v>0.75597269624573382</v>
      </c>
      <c r="CV88" s="949">
        <f t="shared" si="191"/>
        <v>0.13741339491916849</v>
      </c>
      <c r="CW88" s="320">
        <f t="shared" si="191"/>
        <v>0.31063829787234032</v>
      </c>
      <c r="CX88" s="320">
        <f t="shared" si="191"/>
        <v>4.9382716049382713E-2</v>
      </c>
      <c r="CY88" s="320">
        <f t="shared" si="191"/>
        <v>3.5317860746720386E-2</v>
      </c>
      <c r="CZ88" s="320">
        <f t="shared" si="191"/>
        <v>-5.8309037900874605E-2</v>
      </c>
      <c r="DA88" s="949">
        <f t="shared" si="191"/>
        <v>6.4467005076142225E-2</v>
      </c>
      <c r="DB88" s="320">
        <f t="shared" si="191"/>
        <v>0.14069264069264076</v>
      </c>
      <c r="DC88" s="320">
        <f t="shared" si="191"/>
        <v>8.0000000000000071E-2</v>
      </c>
      <c r="DD88" s="320">
        <f t="shared" si="191"/>
        <v>0.36549707602339176</v>
      </c>
      <c r="DE88" s="320">
        <f t="shared" si="191"/>
        <v>-0.13725490196078427</v>
      </c>
      <c r="DF88" s="949">
        <f t="shared" si="191"/>
        <v>0.11301859799713876</v>
      </c>
      <c r="DG88" s="320">
        <f t="shared" si="191"/>
        <v>0.39278937381404178</v>
      </c>
      <c r="DH88" s="320">
        <f t="shared" si="191"/>
        <v>0.35076252723311541</v>
      </c>
      <c r="DI88" s="320">
        <f t="shared" si="191"/>
        <v>9.4218415417558932E-2</v>
      </c>
      <c r="DJ88" s="320">
        <f t="shared" si="191"/>
        <v>0.36363636363636354</v>
      </c>
      <c r="DK88" s="949">
        <f t="shared" ref="DK88:DU88" si="192">DK22/DF22-1</f>
        <v>0.28556126820908312</v>
      </c>
      <c r="DL88" s="320">
        <f t="shared" si="191"/>
        <v>-1.4305177111716638E-2</v>
      </c>
      <c r="DM88" s="320">
        <f t="shared" si="191"/>
        <v>-0.20483870967741935</v>
      </c>
      <c r="DN88" s="320">
        <f t="shared" si="191"/>
        <v>-1.0437051532941943E-2</v>
      </c>
      <c r="DO88" s="320">
        <f t="shared" si="191"/>
        <v>-2.2807017543859609E-2</v>
      </c>
      <c r="DP88" s="949">
        <f t="shared" si="192"/>
        <v>-7.3987668721879674E-2</v>
      </c>
      <c r="DQ88" s="320">
        <f t="shared" si="191"/>
        <v>-7.740152038700765E-2</v>
      </c>
      <c r="DR88" s="320">
        <f t="shared" ca="1" si="192"/>
        <v>0.32424542446617322</v>
      </c>
      <c r="DS88" s="320">
        <f t="shared" ca="1" si="192"/>
        <v>0.20152327646543</v>
      </c>
      <c r="DT88" s="1303">
        <f t="shared" si="192"/>
        <v>0.63147898347741593</v>
      </c>
      <c r="DU88" s="949">
        <f t="shared" ca="1" si="192"/>
        <v>0.24774831397829389</v>
      </c>
      <c r="DV88" s="1302">
        <f t="shared" ref="DV88" si="193">DV22/DQ22-1</f>
        <v>0.26452778148548961</v>
      </c>
      <c r="DW88" s="320">
        <f t="shared" ref="DW88" ca="1" si="194">DW22/DR22-1</f>
        <v>1.9974476343617376E-2</v>
      </c>
      <c r="DX88" s="320">
        <f t="shared" ref="DX88" ca="1" si="195">DX22/DS22-1</f>
        <v>0.10680659449177377</v>
      </c>
      <c r="DY88" s="1303">
        <f t="shared" ref="DY88" si="196">DY22/DT22-1</f>
        <v>0.1311466234580112</v>
      </c>
      <c r="DZ88" s="949">
        <f t="shared" ref="DZ88" ca="1" si="197">DZ22/DU22-1</f>
        <v>0.1190264362188842</v>
      </c>
      <c r="EA88" s="1302">
        <f t="shared" ref="EA88" si="198">EA22/DV22-1</f>
        <v>2.8515076685919682E-2</v>
      </c>
      <c r="EB88" s="320">
        <f t="shared" ref="EB88" ca="1" si="199">EB22/DW22-1</f>
        <v>1.2623781876813567E-2</v>
      </c>
      <c r="EC88" s="320">
        <f t="shared" ref="EC88" ca="1" si="200">EC22/DX22-1</f>
        <v>2.1025121577324501E-2</v>
      </c>
      <c r="ED88" s="1303">
        <f t="shared" ref="ED88" si="201">ED22/DY22-1</f>
        <v>2.2347049774568362E-2</v>
      </c>
      <c r="EE88" s="949">
        <f t="shared" ref="EE88" ca="1" si="202">EE22/DZ22-1</f>
        <v>2.0841927019854101E-2</v>
      </c>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row>
    <row r="89" spans="2:232" s="54" customFormat="1" collapsed="1">
      <c r="B89" s="693" t="s">
        <v>211</v>
      </c>
      <c r="C89" s="375"/>
      <c r="D89" s="375"/>
      <c r="E89" s="320"/>
      <c r="F89" s="320"/>
      <c r="G89" s="320"/>
      <c r="H89" s="320"/>
      <c r="I89" s="320"/>
      <c r="J89" s="320"/>
      <c r="K89" s="1292"/>
      <c r="L89" s="320"/>
      <c r="M89" s="320"/>
      <c r="N89" s="1301"/>
      <c r="O89" s="320"/>
      <c r="P89" s="1292"/>
      <c r="Q89" s="320"/>
      <c r="R89" s="320"/>
      <c r="S89" s="1301"/>
      <c r="T89" s="320"/>
      <c r="U89" s="1292"/>
      <c r="V89" s="320"/>
      <c r="W89" s="320"/>
      <c r="X89" s="1301"/>
      <c r="Y89" s="320"/>
      <c r="Z89" s="1292"/>
      <c r="AA89" s="320"/>
      <c r="AB89" s="320"/>
      <c r="AC89" s="1301"/>
      <c r="AD89" s="320"/>
      <c r="AE89" s="1292"/>
      <c r="AF89" s="320"/>
      <c r="AG89" s="320"/>
      <c r="AH89" s="1301"/>
      <c r="AI89" s="320"/>
      <c r="AJ89" s="1292"/>
      <c r="AK89" s="320"/>
      <c r="AL89" s="320"/>
      <c r="AM89" s="1301"/>
      <c r="AN89" s="320"/>
      <c r="AO89" s="1292"/>
      <c r="AP89" s="320"/>
      <c r="AQ89" s="320"/>
      <c r="AR89" s="1301"/>
      <c r="AS89" s="320"/>
      <c r="AT89" s="1292"/>
      <c r="AU89" s="320"/>
      <c r="AV89" s="320"/>
      <c r="AW89" s="1301"/>
      <c r="AX89" s="320"/>
      <c r="AY89" s="1292"/>
      <c r="AZ89" s="320"/>
      <c r="BA89" s="320"/>
      <c r="BB89" s="1301"/>
      <c r="BC89" s="320"/>
      <c r="BD89" s="1292"/>
      <c r="BE89" s="320"/>
      <c r="BF89" s="320"/>
      <c r="BG89" s="1301"/>
      <c r="BH89" s="320"/>
      <c r="BI89" s="1292"/>
      <c r="BJ89" s="320"/>
      <c r="BK89" s="320"/>
      <c r="BL89" s="1301"/>
      <c r="BM89" s="320"/>
      <c r="BN89" s="1292"/>
      <c r="BO89" s="320"/>
      <c r="BP89" s="320"/>
      <c r="BQ89" s="1301"/>
      <c r="BR89" s="320"/>
      <c r="BS89" s="1292"/>
      <c r="BT89" s="320"/>
      <c r="BU89" s="320"/>
      <c r="BV89" s="1301"/>
      <c r="BW89" s="320"/>
      <c r="BX89" s="1302"/>
      <c r="BY89" s="320"/>
      <c r="BZ89" s="320"/>
      <c r="CA89" s="320"/>
      <c r="CB89" s="949"/>
      <c r="CC89" s="1302">
        <f>CC76/BX76-1</f>
        <v>0.15691489361702127</v>
      </c>
      <c r="CD89" s="320">
        <f>CD76/BY76-1</f>
        <v>3.3213644524237029E-2</v>
      </c>
      <c r="CE89" s="320">
        <f>CE76/BZ76-1</f>
        <v>-1.8558951965065518E-2</v>
      </c>
      <c r="CF89" s="1303">
        <f>CF76/CA76-1</f>
        <v>8.8607594936708889E-2</v>
      </c>
      <c r="CG89" s="949">
        <f t="shared" ref="CG89:DQ89" si="203">CG76/CB76-1</f>
        <v>5.8230683090705559E-2</v>
      </c>
      <c r="CH89" s="1292">
        <f t="shared" si="203"/>
        <v>0.18965517241379315</v>
      </c>
      <c r="CI89" s="320">
        <f t="shared" si="203"/>
        <v>0.13727193744569943</v>
      </c>
      <c r="CJ89" s="320">
        <f t="shared" si="203"/>
        <v>0.17352614015572865</v>
      </c>
      <c r="CK89" s="320">
        <f t="shared" si="203"/>
        <v>0.11511627906976751</v>
      </c>
      <c r="CL89" s="949">
        <f t="shared" si="203"/>
        <v>0.15291005291005288</v>
      </c>
      <c r="CM89" s="1292">
        <f t="shared" si="203"/>
        <v>-2.8985507246376829E-2</v>
      </c>
      <c r="CN89" s="320">
        <f t="shared" si="203"/>
        <v>-5.4239877769289513E-2</v>
      </c>
      <c r="CO89" s="320">
        <f t="shared" si="203"/>
        <v>-3.6966824644549812E-2</v>
      </c>
      <c r="CP89" s="320">
        <f t="shared" si="203"/>
        <v>-0.12617309697601664</v>
      </c>
      <c r="CQ89" s="949">
        <f t="shared" si="203"/>
        <v>-5.9889857732905005E-2</v>
      </c>
      <c r="CR89" s="1292">
        <f t="shared" si="203"/>
        <v>-8.0597014925373189E-2</v>
      </c>
      <c r="CS89" s="320">
        <f t="shared" si="203"/>
        <v>0.12924071082390953</v>
      </c>
      <c r="CT89" s="320">
        <f t="shared" si="203"/>
        <v>0.22933070866141736</v>
      </c>
      <c r="CU89" s="320">
        <f t="shared" si="203"/>
        <v>0.31622911694510747</v>
      </c>
      <c r="CV89" s="949">
        <f t="shared" si="203"/>
        <v>0.14083475713937021</v>
      </c>
      <c r="CW89" s="1292">
        <f t="shared" si="203"/>
        <v>0.19372294372294374</v>
      </c>
      <c r="CX89" s="320">
        <f t="shared" si="203"/>
        <v>-4.2918454935622297E-2</v>
      </c>
      <c r="CY89" s="320">
        <f t="shared" si="203"/>
        <v>4.4835868694955927E-2</v>
      </c>
      <c r="CZ89" s="320">
        <f t="shared" si="203"/>
        <v>3.5358114233907445E-2</v>
      </c>
      <c r="DA89" s="949">
        <f t="shared" si="203"/>
        <v>4.5785194694052178E-2</v>
      </c>
      <c r="DB89" s="1292">
        <f t="shared" si="203"/>
        <v>9.2475067996373506E-2</v>
      </c>
      <c r="DC89" s="320">
        <f t="shared" si="203"/>
        <v>0.37518684603886387</v>
      </c>
      <c r="DD89" s="320">
        <f t="shared" si="203"/>
        <v>0.3402298850574712</v>
      </c>
      <c r="DE89" s="320">
        <f t="shared" si="203"/>
        <v>0.26970227670753055</v>
      </c>
      <c r="DF89" s="949">
        <f t="shared" si="203"/>
        <v>0.27741407528641582</v>
      </c>
      <c r="DG89" s="320">
        <f t="shared" si="203"/>
        <v>0.42655601659751041</v>
      </c>
      <c r="DH89" s="320">
        <f t="shared" si="203"/>
        <v>0.15217391304347827</v>
      </c>
      <c r="DI89" s="320">
        <f t="shared" si="203"/>
        <v>3.7164093767867445E-2</v>
      </c>
      <c r="DJ89" s="320">
        <f t="shared" si="203"/>
        <v>7.241379310344831E-2</v>
      </c>
      <c r="DK89" s="949">
        <f t="shared" ref="DK89:DU89" si="204">DK76/DF76-1</f>
        <v>0.15438821268417691</v>
      </c>
      <c r="DL89" s="320">
        <f t="shared" si="203"/>
        <v>4.0721349621872793E-3</v>
      </c>
      <c r="DM89" s="320">
        <f t="shared" si="203"/>
        <v>-4.9056603773584895E-2</v>
      </c>
      <c r="DN89" s="320">
        <f t="shared" si="203"/>
        <v>0.13230429988974635</v>
      </c>
      <c r="DO89" s="320">
        <f t="shared" si="203"/>
        <v>0.21157556270096456</v>
      </c>
      <c r="DP89" s="949">
        <f t="shared" si="204"/>
        <v>6.5482796892341932E-2</v>
      </c>
      <c r="DQ89" s="320">
        <f t="shared" si="203"/>
        <v>4.8088064889918902E-2</v>
      </c>
      <c r="DR89" s="320">
        <f t="shared" ca="1" si="204"/>
        <v>3.7975685905491385E-2</v>
      </c>
      <c r="DS89" s="320">
        <f t="shared" ca="1" si="204"/>
        <v>-4.7365720351481344E-2</v>
      </c>
      <c r="DT89" s="1303">
        <f t="shared" si="204"/>
        <v>-1.0367522508576865E-2</v>
      </c>
      <c r="DU89" s="949">
        <f t="shared" ca="1" si="204"/>
        <v>5.564763122053229E-3</v>
      </c>
      <c r="DV89" s="1302">
        <f t="shared" ref="DV89" si="205">DV76/DQ76-1</f>
        <v>1.0030175944239161E-2</v>
      </c>
      <c r="DW89" s="320">
        <f t="shared" ref="DW89" ca="1" si="206">DW76/DR76-1</f>
        <v>1.8695382252571946E-2</v>
      </c>
      <c r="DX89" s="320">
        <f t="shared" ref="DX89" ca="1" si="207">DX76/DS76-1</f>
        <v>9.9492236342453966E-2</v>
      </c>
      <c r="DY89" s="1303">
        <f t="shared" ref="DY89" si="208">DY76/DT76-1</f>
        <v>0.12784064412989582</v>
      </c>
      <c r="DZ89" s="949">
        <f t="shared" ref="DZ89" ca="1" si="209">DZ76/DU76-1</f>
        <v>6.3487598494806008E-2</v>
      </c>
      <c r="EA89" s="1302">
        <f t="shared" ref="EA89" si="210">EA76/DV76-1</f>
        <v>2.6345792610231289E-2</v>
      </c>
      <c r="EB89" s="320">
        <f t="shared" ref="EB89" ca="1" si="211">EB76/DW76-1</f>
        <v>1.183023564364305E-2</v>
      </c>
      <c r="EC89" s="320">
        <f t="shared" ref="EC89" ca="1" si="212">EC76/DX76-1</f>
        <v>1.9715564286949094E-2</v>
      </c>
      <c r="ED89" s="1303">
        <f t="shared" ref="ED89" si="213">ED76/DY76-1</f>
        <v>2.1847572796916959E-2</v>
      </c>
      <c r="EE89" s="949">
        <f t="shared" ref="EE89" ca="1" si="214">EE76/DZ76-1</f>
        <v>1.9689827415917183E-2</v>
      </c>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row>
    <row r="90" spans="2:232" s="54" customFormat="1" hidden="1" outlineLevel="1">
      <c r="B90" s="693" t="s">
        <v>236</v>
      </c>
      <c r="C90" s="375"/>
      <c r="D90" s="375"/>
      <c r="E90" s="320">
        <f t="shared" ref="E90:J90" si="215">E33/D33-1</f>
        <v>0.13183828010528775</v>
      </c>
      <c r="F90" s="320">
        <f t="shared" si="215"/>
        <v>0.11678514351833291</v>
      </c>
      <c r="G90" s="320">
        <f t="shared" si="215"/>
        <v>0.13162875387889872</v>
      </c>
      <c r="H90" s="320">
        <f t="shared" si="215"/>
        <v>4.7047518900604768E-3</v>
      </c>
      <c r="I90" s="320">
        <f t="shared" si="215"/>
        <v>0.2718639755307537</v>
      </c>
      <c r="J90" s="320">
        <f t="shared" si="215"/>
        <v>0.13784321584512438</v>
      </c>
      <c r="K90" s="1292"/>
      <c r="L90" s="320"/>
      <c r="M90" s="320"/>
      <c r="N90" s="1301"/>
      <c r="O90" s="320">
        <f t="shared" ref="O90:AT90" si="216">O33/J33-1</f>
        <v>0.17162887986258801</v>
      </c>
      <c r="P90" s="1292">
        <f t="shared" si="216"/>
        <v>0.27160474432488124</v>
      </c>
      <c r="Q90" s="320">
        <f t="shared" si="216"/>
        <v>0.18458735295006945</v>
      </c>
      <c r="R90" s="320">
        <f t="shared" si="216"/>
        <v>0.18178187016481928</v>
      </c>
      <c r="S90" s="1301">
        <f t="shared" si="216"/>
        <v>0.21419051999669914</v>
      </c>
      <c r="T90" s="320">
        <f t="shared" si="216"/>
        <v>0.2052930972095115</v>
      </c>
      <c r="U90" s="1292">
        <f t="shared" si="216"/>
        <v>-0.16634957501482617</v>
      </c>
      <c r="V90" s="320">
        <f t="shared" si="216"/>
        <v>0.15352016491897902</v>
      </c>
      <c r="W90" s="320">
        <f t="shared" si="216"/>
        <v>0.2657831539624671</v>
      </c>
      <c r="X90" s="1301">
        <f t="shared" si="216"/>
        <v>0.6198640116561458</v>
      </c>
      <c r="Y90" s="320">
        <f t="shared" si="216"/>
        <v>0.23020836322617688</v>
      </c>
      <c r="Z90" s="1292">
        <f t="shared" si="216"/>
        <v>0.74721024318677265</v>
      </c>
      <c r="AA90" s="320">
        <f t="shared" si="216"/>
        <v>0.19731986256272971</v>
      </c>
      <c r="AB90" s="320">
        <f t="shared" si="216"/>
        <v>0.23039518803754588</v>
      </c>
      <c r="AC90" s="1301">
        <f t="shared" si="216"/>
        <v>-4.1165712229783824E-2</v>
      </c>
      <c r="AD90" s="320">
        <f t="shared" si="216"/>
        <v>0.11987769449822383</v>
      </c>
      <c r="AE90" s="1292">
        <f t="shared" si="216"/>
        <v>0.23324851569126248</v>
      </c>
      <c r="AF90" s="320">
        <f t="shared" si="216"/>
        <v>0.10397412199630263</v>
      </c>
      <c r="AG90" s="320">
        <f t="shared" si="216"/>
        <v>0.1056539120502622</v>
      </c>
      <c r="AH90" s="1301">
        <f t="shared" si="216"/>
        <v>0.35459662288930605</v>
      </c>
      <c r="AI90" s="320">
        <f t="shared" si="216"/>
        <v>0.2730331677615796</v>
      </c>
      <c r="AJ90" s="1292">
        <f t="shared" si="216"/>
        <v>8.9408528198072768E-2</v>
      </c>
      <c r="AK90" s="320">
        <f t="shared" si="216"/>
        <v>0.24277940560904154</v>
      </c>
      <c r="AL90" s="320">
        <f t="shared" si="216"/>
        <v>0.10227272727272263</v>
      </c>
      <c r="AM90" s="1301">
        <f t="shared" si="216"/>
        <v>1.3850415512479675E-3</v>
      </c>
      <c r="AN90" s="320">
        <f t="shared" si="216"/>
        <v>0.11466331025802123</v>
      </c>
      <c r="AO90" s="1292">
        <f t="shared" si="216"/>
        <v>0.17361111111111205</v>
      </c>
      <c r="AP90" s="320">
        <f t="shared" si="216"/>
        <v>0.10003368137419866</v>
      </c>
      <c r="AQ90" s="320">
        <f t="shared" si="216"/>
        <v>0.21368322399250439</v>
      </c>
      <c r="AR90" s="1301">
        <f t="shared" si="216"/>
        <v>0.1420009220839078</v>
      </c>
      <c r="AS90" s="320">
        <f t="shared" si="216"/>
        <v>0.13832429990966832</v>
      </c>
      <c r="AT90" s="1292">
        <f t="shared" si="216"/>
        <v>0.10005379236148659</v>
      </c>
      <c r="AU90" s="320">
        <f t="shared" ref="AU90:BR90" si="217">AU33/AP33-1</f>
        <v>0.1356399265156174</v>
      </c>
      <c r="AV90" s="320">
        <f t="shared" si="217"/>
        <v>5.0965250965251618E-2</v>
      </c>
      <c r="AW90" s="1301">
        <f t="shared" si="217"/>
        <v>0.11505853855470138</v>
      </c>
      <c r="AX90" s="320">
        <f t="shared" si="217"/>
        <v>0.15573851800416705</v>
      </c>
      <c r="AY90" s="1292">
        <f t="shared" si="217"/>
        <v>0.24645476772616015</v>
      </c>
      <c r="AZ90" s="320">
        <f t="shared" si="217"/>
        <v>0.16877864771078888</v>
      </c>
      <c r="BA90" s="320">
        <f t="shared" si="217"/>
        <v>0.26598089639970701</v>
      </c>
      <c r="BB90" s="1301">
        <f t="shared" si="217"/>
        <v>0.14699493120927398</v>
      </c>
      <c r="BC90" s="320">
        <f t="shared" si="217"/>
        <v>0.15852716542436451</v>
      </c>
      <c r="BD90" s="1292">
        <f t="shared" si="217"/>
        <v>0.28913299333072162</v>
      </c>
      <c r="BE90" s="320">
        <f t="shared" si="217"/>
        <v>0.13241061016458233</v>
      </c>
      <c r="BF90" s="320">
        <f t="shared" si="217"/>
        <v>0.19268717353453413</v>
      </c>
      <c r="BG90" s="1301">
        <f t="shared" si="217"/>
        <v>3.8510101010095665E-2</v>
      </c>
      <c r="BH90" s="320">
        <f t="shared" si="217"/>
        <v>0.15535634871562265</v>
      </c>
      <c r="BI90" s="1292">
        <f t="shared" si="217"/>
        <v>5.1734631771149564E-2</v>
      </c>
      <c r="BJ90" s="320">
        <f t="shared" si="217"/>
        <v>6.6408637196986309E-2</v>
      </c>
      <c r="BK90" s="320">
        <f t="shared" si="217"/>
        <v>0.1416058394160582</v>
      </c>
      <c r="BL90" s="1301">
        <f t="shared" si="217"/>
        <v>0.2531914893617</v>
      </c>
      <c r="BM90" s="320">
        <f t="shared" si="217"/>
        <v>0.1225392754087884</v>
      </c>
      <c r="BN90" s="1292">
        <f t="shared" si="217"/>
        <v>0.24913194444444553</v>
      </c>
      <c r="BO90" s="320">
        <f t="shared" si="217"/>
        <v>0.24527220630372448</v>
      </c>
      <c r="BP90" s="320">
        <f t="shared" si="217"/>
        <v>0.19607843137254455</v>
      </c>
      <c r="BQ90" s="1301">
        <f t="shared" si="217"/>
        <v>-3.8321610477806023E-2</v>
      </c>
      <c r="BR90" s="320">
        <f t="shared" si="217"/>
        <v>0.16594310522105982</v>
      </c>
      <c r="BS90" s="320">
        <f t="shared" ref="BS90:DQ90" si="218">BS31/BN31-1</f>
        <v>5.5362520268702919E-2</v>
      </c>
      <c r="BT90" s="320">
        <f t="shared" si="218"/>
        <v>5.1234851971160289E-2</v>
      </c>
      <c r="BU90" s="320">
        <f t="shared" si="218"/>
        <v>2.1382751247330356E-2</v>
      </c>
      <c r="BV90" s="320">
        <f t="shared" si="218"/>
        <v>-7.4123581336664746E-3</v>
      </c>
      <c r="BW90" s="1302">
        <f t="shared" si="218"/>
        <v>1.8225466660134915E-2</v>
      </c>
      <c r="BX90" s="1302">
        <f t="shared" si="218"/>
        <v>-0.10447761194029781</v>
      </c>
      <c r="BY90" s="320">
        <f t="shared" si="218"/>
        <v>-6.6102436888954341E-2</v>
      </c>
      <c r="BZ90" s="320">
        <f t="shared" si="218"/>
        <v>-8.9323098394976763E-2</v>
      </c>
      <c r="CA90" s="320">
        <f t="shared" si="218"/>
        <v>0.10783334730829441</v>
      </c>
      <c r="CB90" s="949">
        <f t="shared" si="218"/>
        <v>-3.4788047923781429E-2</v>
      </c>
      <c r="CC90" s="1302">
        <f>CC31/BX31-1</f>
        <v>0.19852941176470584</v>
      </c>
      <c r="CD90" s="320">
        <f>CD31/BY31-1</f>
        <v>4.5312500000000089E-2</v>
      </c>
      <c r="CE90" s="320">
        <f>CE31/BZ31-1</f>
        <v>-0.1130268199233716</v>
      </c>
      <c r="CF90" s="1303">
        <f>CF31/CA31-1</f>
        <v>7.7981651376146877E-2</v>
      </c>
      <c r="CG90" s="949">
        <f t="shared" si="218"/>
        <v>4.2372881355932313E-2</v>
      </c>
      <c r="CH90" s="320">
        <f t="shared" si="218"/>
        <v>0.18609406952965246</v>
      </c>
      <c r="CI90" s="320">
        <f t="shared" si="218"/>
        <v>0.10463378176382654</v>
      </c>
      <c r="CJ90" s="320">
        <f t="shared" si="218"/>
        <v>0.30237580993520519</v>
      </c>
      <c r="CK90" s="320">
        <f t="shared" si="218"/>
        <v>0.68510638297872339</v>
      </c>
      <c r="CL90" s="949">
        <f t="shared" si="218"/>
        <v>0.29794356767097074</v>
      </c>
      <c r="CM90" s="320">
        <f t="shared" si="218"/>
        <v>-4.482758620689653E-2</v>
      </c>
      <c r="CN90" s="320">
        <f t="shared" si="218"/>
        <v>-7.5778078484438405E-2</v>
      </c>
      <c r="CO90" s="320">
        <f t="shared" si="218"/>
        <v>-0.10945273631840791</v>
      </c>
      <c r="CP90" s="320">
        <f t="shared" si="218"/>
        <v>-0.55429292929292928</v>
      </c>
      <c r="CQ90" s="949">
        <f t="shared" si="218"/>
        <v>-0.21628592483419307</v>
      </c>
      <c r="CR90" s="320">
        <f t="shared" si="218"/>
        <v>-0.25451263537906132</v>
      </c>
      <c r="CS90" s="320">
        <f t="shared" si="218"/>
        <v>0.10688140556368952</v>
      </c>
      <c r="CT90" s="320">
        <f t="shared" si="218"/>
        <v>0.16201117318435765</v>
      </c>
      <c r="CU90" s="320">
        <f t="shared" si="218"/>
        <v>0.86118980169971682</v>
      </c>
      <c r="CV90" s="949">
        <f t="shared" si="218"/>
        <v>0.15185707569346496</v>
      </c>
      <c r="CW90" s="320">
        <f t="shared" si="218"/>
        <v>0.70460048426150124</v>
      </c>
      <c r="CX90" s="320">
        <f t="shared" si="218"/>
        <v>1.5873015873015817E-2</v>
      </c>
      <c r="CY90" s="320">
        <f t="shared" si="218"/>
        <v>0.22435897435897445</v>
      </c>
      <c r="CZ90" s="320">
        <f t="shared" si="218"/>
        <v>-1.3120243531202436</v>
      </c>
      <c r="DA90" s="949">
        <f t="shared" si="218"/>
        <v>-0.17102040816326536</v>
      </c>
      <c r="DB90" s="320">
        <f t="shared" si="218"/>
        <v>0.24573863636363646</v>
      </c>
      <c r="DC90" s="320">
        <f t="shared" si="218"/>
        <v>1.671875</v>
      </c>
      <c r="DD90" s="320">
        <f t="shared" si="218"/>
        <v>0.70549738219895297</v>
      </c>
      <c r="DE90" s="320">
        <f t="shared" si="218"/>
        <v>-1.1121951219512196</v>
      </c>
      <c r="DF90" s="949">
        <f t="shared" si="218"/>
        <v>1.0950270802560316</v>
      </c>
      <c r="DG90" s="320">
        <f t="shared" si="218"/>
        <v>0.26111744583808427</v>
      </c>
      <c r="DH90" s="320">
        <f t="shared" si="218"/>
        <v>-0.55019493177387913</v>
      </c>
      <c r="DI90" s="320">
        <f t="shared" si="218"/>
        <v>-0.16193399846508061</v>
      </c>
      <c r="DJ90" s="320">
        <f t="shared" si="218"/>
        <v>43.608695652173914</v>
      </c>
      <c r="DK90" s="949">
        <f t="shared" ref="DK90:DU90" si="219">DK31/DF31-1</f>
        <v>-2.5381903642773262E-2</v>
      </c>
      <c r="DL90" s="320">
        <f t="shared" si="218"/>
        <v>-4.6112115732368952E-2</v>
      </c>
      <c r="DM90" s="320">
        <f t="shared" si="218"/>
        <v>0.1332611050920911</v>
      </c>
      <c r="DN90" s="320">
        <f t="shared" si="218"/>
        <v>8.6080586080585997E-2</v>
      </c>
      <c r="DO90" s="320">
        <f t="shared" si="218"/>
        <v>-0.21442495126705652</v>
      </c>
      <c r="DP90" s="949">
        <f t="shared" si="219"/>
        <v>-1.30214612973234E-2</v>
      </c>
      <c r="DQ90" s="320">
        <f t="shared" si="218"/>
        <v>-0.22085308056872033</v>
      </c>
      <c r="DR90" s="320">
        <f t="shared" ca="1" si="219"/>
        <v>0.21991710575320034</v>
      </c>
      <c r="DS90" s="320">
        <f t="shared" ca="1" si="219"/>
        <v>4.314173670897925E-2</v>
      </c>
      <c r="DT90" s="1303">
        <f t="shared" ca="1" si="219"/>
        <v>0.52801124261700561</v>
      </c>
      <c r="DU90" s="949">
        <f t="shared" ca="1" si="219"/>
        <v>0.11575285949279612</v>
      </c>
      <c r="DV90" s="1302">
        <f t="shared" ref="DV90" ca="1" si="220">DV31/DQ31-1</f>
        <v>0.37314055133784807</v>
      </c>
      <c r="DW90" s="320">
        <f t="shared" ref="DW90" ca="1" si="221">DW31/DR31-1</f>
        <v>8.7474712017018508E-2</v>
      </c>
      <c r="DX90" s="320">
        <f t="shared" ref="DX90" ca="1" si="222">DX31/DS31-1</f>
        <v>0.13684983768588865</v>
      </c>
      <c r="DY90" s="1303">
        <f t="shared" ref="DY90" ca="1" si="223">DY31/DT31-1</f>
        <v>0.16720039232112427</v>
      </c>
      <c r="DZ90" s="949">
        <f t="shared" ref="DZ90" ca="1" si="224">DZ31/DU31-1</f>
        <v>0.17376990833903561</v>
      </c>
      <c r="EA90" s="1302">
        <f t="shared" ref="EA90" ca="1" si="225">EA31/DV31-1</f>
        <v>0.19584810167592481</v>
      </c>
      <c r="EB90" s="320">
        <f t="shared" ref="EB90" ca="1" si="226">EB31/DW31-1</f>
        <v>0.14357902062471228</v>
      </c>
      <c r="EC90" s="320">
        <f t="shared" ref="EC90" ca="1" si="227">EC31/DX31-1</f>
        <v>0.15182861182056007</v>
      </c>
      <c r="ED90" s="1303">
        <f t="shared" ref="ED90" ca="1" si="228">ED31/DY31-1</f>
        <v>0.15058300116582313</v>
      </c>
      <c r="EE90" s="949">
        <f t="shared" ref="EE90" ca="1" si="229">EE31/DZ31-1</f>
        <v>0.15862810103404756</v>
      </c>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row>
    <row r="91" spans="2:232" s="54" customFormat="1" collapsed="1">
      <c r="B91" s="693" t="s">
        <v>213</v>
      </c>
      <c r="C91" s="375"/>
      <c r="D91" s="375"/>
      <c r="E91" s="320"/>
      <c r="F91" s="320"/>
      <c r="G91" s="320"/>
      <c r="H91" s="320"/>
      <c r="I91" s="320"/>
      <c r="J91" s="320"/>
      <c r="K91" s="1292"/>
      <c r="L91" s="320"/>
      <c r="M91" s="320"/>
      <c r="N91" s="1301"/>
      <c r="O91" s="320"/>
      <c r="P91" s="1292"/>
      <c r="Q91" s="320"/>
      <c r="R91" s="320"/>
      <c r="S91" s="1301"/>
      <c r="T91" s="320"/>
      <c r="U91" s="1292"/>
      <c r="V91" s="320"/>
      <c r="W91" s="320"/>
      <c r="X91" s="1301"/>
      <c r="Y91" s="320"/>
      <c r="Z91" s="1292"/>
      <c r="AA91" s="320"/>
      <c r="AB91" s="320"/>
      <c r="AC91" s="1301"/>
      <c r="AD91" s="320"/>
      <c r="AE91" s="1292"/>
      <c r="AF91" s="320"/>
      <c r="AG91" s="320"/>
      <c r="AH91" s="1301"/>
      <c r="AI91" s="320"/>
      <c r="AJ91" s="1292"/>
      <c r="AK91" s="320"/>
      <c r="AL91" s="320"/>
      <c r="AM91" s="1301"/>
      <c r="AN91" s="320"/>
      <c r="AO91" s="1292"/>
      <c r="AP91" s="320"/>
      <c r="AQ91" s="320"/>
      <c r="AR91" s="1301"/>
      <c r="AS91" s="320"/>
      <c r="AT91" s="1292"/>
      <c r="AU91" s="320"/>
      <c r="AV91" s="320"/>
      <c r="AW91" s="1301"/>
      <c r="AX91" s="320"/>
      <c r="AY91" s="1292"/>
      <c r="AZ91" s="320"/>
      <c r="BA91" s="320"/>
      <c r="BB91" s="1301"/>
      <c r="BC91" s="320"/>
      <c r="BD91" s="1292"/>
      <c r="BE91" s="320"/>
      <c r="BF91" s="320"/>
      <c r="BG91" s="1301"/>
      <c r="BH91" s="320"/>
      <c r="BI91" s="1292"/>
      <c r="BJ91" s="320"/>
      <c r="BK91" s="320"/>
      <c r="BL91" s="1301"/>
      <c r="BM91" s="320"/>
      <c r="BN91" s="1292"/>
      <c r="BO91" s="320"/>
      <c r="BP91" s="320"/>
      <c r="BQ91" s="1301"/>
      <c r="BR91" s="320"/>
      <c r="BS91" s="1292"/>
      <c r="BT91" s="320"/>
      <c r="BU91" s="320"/>
      <c r="BV91" s="1301"/>
      <c r="BW91" s="320"/>
      <c r="BX91" s="1302"/>
      <c r="BY91" s="320"/>
      <c r="BZ91" s="320"/>
      <c r="CA91" s="320"/>
      <c r="CB91" s="949"/>
      <c r="CC91" s="1302">
        <f>CC41/BX41-1</f>
        <v>0.30882352941176472</v>
      </c>
      <c r="CD91" s="320">
        <f>CD41/BY41-1</f>
        <v>0.109375</v>
      </c>
      <c r="CE91" s="320">
        <f>CE41/BZ41-1</f>
        <v>5.3639846743295028E-2</v>
      </c>
      <c r="CF91" s="1303">
        <f>CF41/CA41-1</f>
        <v>0.24541284403669716</v>
      </c>
      <c r="CG91" s="949">
        <f t="shared" ref="CG91:DQ91" si="230">CG41/CB41-1</f>
        <v>0.16500498504486538</v>
      </c>
      <c r="CH91" s="1292">
        <f t="shared" si="230"/>
        <v>0.19662921348314599</v>
      </c>
      <c r="CI91" s="320">
        <f t="shared" si="230"/>
        <v>0.12957746478873244</v>
      </c>
      <c r="CJ91" s="320">
        <f t="shared" si="230"/>
        <v>0.21818181818181825</v>
      </c>
      <c r="CK91" s="320">
        <f t="shared" si="230"/>
        <v>0.10313075506445668</v>
      </c>
      <c r="CL91" s="949">
        <f t="shared" si="230"/>
        <v>0.15960633290543425</v>
      </c>
      <c r="CM91" s="1292">
        <f t="shared" si="230"/>
        <v>-3.1298904538341166E-2</v>
      </c>
      <c r="CN91" s="320">
        <f t="shared" si="230"/>
        <v>-4.3640897755610975E-2</v>
      </c>
      <c r="CO91" s="320">
        <f t="shared" si="230"/>
        <v>-6.2686567164179086E-2</v>
      </c>
      <c r="CP91" s="320">
        <f t="shared" si="230"/>
        <v>-7.6794657762938257E-2</v>
      </c>
      <c r="CQ91" s="949">
        <f t="shared" si="230"/>
        <v>-5.2767527675276704E-2</v>
      </c>
      <c r="CR91" s="1292">
        <f t="shared" si="230"/>
        <v>-0.10662358642972536</v>
      </c>
      <c r="CS91" s="320">
        <f t="shared" si="230"/>
        <v>0.19295958279009118</v>
      </c>
      <c r="CT91" s="320">
        <f t="shared" si="230"/>
        <v>0.29299363057324834</v>
      </c>
      <c r="CU91" s="320">
        <f t="shared" si="230"/>
        <v>0.26943942133815546</v>
      </c>
      <c r="CV91" s="949">
        <f t="shared" si="230"/>
        <v>0.16166731593299577</v>
      </c>
      <c r="CW91" s="1292">
        <f t="shared" si="230"/>
        <v>0.24412296564195302</v>
      </c>
      <c r="CX91" s="320">
        <f t="shared" si="230"/>
        <v>-3.8251366120218622E-2</v>
      </c>
      <c r="CY91" s="320">
        <f t="shared" si="230"/>
        <v>8.7438423645320285E-2</v>
      </c>
      <c r="CZ91" s="320">
        <f t="shared" si="230"/>
        <v>1.7094017094017033E-2</v>
      </c>
      <c r="DA91" s="949">
        <f t="shared" si="230"/>
        <v>6.1368209255533213E-2</v>
      </c>
      <c r="DB91" s="1292">
        <f t="shared" si="230"/>
        <v>8.8662790697674465E-2</v>
      </c>
      <c r="DC91" s="320">
        <f t="shared" si="230"/>
        <v>0.41363636363636358</v>
      </c>
      <c r="DD91" s="320">
        <f t="shared" si="230"/>
        <v>0.27180067950169873</v>
      </c>
      <c r="DE91" s="320">
        <f t="shared" si="230"/>
        <v>0.35714285714285721</v>
      </c>
      <c r="DF91" s="949">
        <f t="shared" si="230"/>
        <v>0.29067930489731442</v>
      </c>
      <c r="DG91" s="320">
        <f t="shared" si="230"/>
        <v>0.51134846461949257</v>
      </c>
      <c r="DH91" s="320">
        <f t="shared" si="230"/>
        <v>0.14389067524115751</v>
      </c>
      <c r="DI91" s="320">
        <f t="shared" si="230"/>
        <v>0.14692787177203925</v>
      </c>
      <c r="DJ91" s="320">
        <f t="shared" si="230"/>
        <v>0.20330237358101133</v>
      </c>
      <c r="DK91" s="949">
        <f t="shared" ref="DK91:DU91" si="231">DK41/DF41-1</f>
        <v>0.22619339045287634</v>
      </c>
      <c r="DL91" s="320">
        <f t="shared" si="230"/>
        <v>6.0954063604240272E-2</v>
      </c>
      <c r="DM91" s="320">
        <f t="shared" si="230"/>
        <v>3.7245256500351376E-2</v>
      </c>
      <c r="DN91" s="320">
        <f t="shared" si="230"/>
        <v>0.1187888198757765</v>
      </c>
      <c r="DO91" s="320">
        <f t="shared" si="230"/>
        <v>0.18782161234991435</v>
      </c>
      <c r="DP91" s="949">
        <f t="shared" si="231"/>
        <v>9.8622479536833785E-2</v>
      </c>
      <c r="DQ91" s="320">
        <f t="shared" si="230"/>
        <v>7.8268109908409711E-2</v>
      </c>
      <c r="DR91" s="320">
        <f t="shared" ca="1" si="231"/>
        <v>3.9426350012091715E-2</v>
      </c>
      <c r="DS91" s="320">
        <f t="shared" ca="1" si="231"/>
        <v>4.5066689616134248E-2</v>
      </c>
      <c r="DT91" s="1303">
        <f t="shared" ca="1" si="231"/>
        <v>3.1463582346069829E-2</v>
      </c>
      <c r="DU91" s="949">
        <f t="shared" ca="1" si="231"/>
        <v>4.7376240942034187E-2</v>
      </c>
      <c r="DV91" s="1302">
        <f t="shared" ref="DV91" ca="1" si="232">DV41/DQ41-1</f>
        <v>8.233323027004702E-2</v>
      </c>
      <c r="DW91" s="320">
        <f t="shared" ref="DW91" ca="1" si="233">DW41/DR41-1</f>
        <v>7.9674214053758075E-2</v>
      </c>
      <c r="DX91" s="320">
        <f t="shared" ref="DX91" ca="1" si="234">DX41/DS41-1</f>
        <v>0.11242536641642675</v>
      </c>
      <c r="DY91" s="1303">
        <f t="shared" ref="DY91" ca="1" si="235">DY41/DT41-1</f>
        <v>0.14414354913512262</v>
      </c>
      <c r="DZ91" s="949">
        <f t="shared" ref="DZ91" ca="1" si="236">DZ41/DU41-1</f>
        <v>0.10480804437054081</v>
      </c>
      <c r="EA91" s="1302">
        <f t="shared" ref="EA91" ca="1" si="237">EA41/DV41-1</f>
        <v>3.2343231410274953E-2</v>
      </c>
      <c r="EB91" s="320">
        <f t="shared" ref="EB91" ca="1" si="238">EB41/DW41-1</f>
        <v>1.4194990662623974E-2</v>
      </c>
      <c r="EC91" s="320">
        <f t="shared" ref="EC91" ca="1" si="239">EC41/DX41-1</f>
        <v>2.2574403430053236E-2</v>
      </c>
      <c r="ED91" s="1303">
        <f t="shared" ref="ED91" ca="1" si="240">ED41/DY41-1</f>
        <v>2.4923656179782538E-2</v>
      </c>
      <c r="EE91" s="949">
        <f t="shared" ref="EE91" ca="1" si="241">EE41/DZ41-1</f>
        <v>2.3147937141755115E-2</v>
      </c>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row>
    <row r="92" spans="2:232" s="64" customFormat="1" hidden="1" outlineLevel="1">
      <c r="B92" s="693" t="s">
        <v>141</v>
      </c>
      <c r="C92" s="375"/>
      <c r="D92" s="375"/>
      <c r="E92" s="320">
        <f t="shared" ref="E92:J92" si="242">E45/D45-1</f>
        <v>0.13086887808382208</v>
      </c>
      <c r="F92" s="320">
        <f t="shared" si="242"/>
        <v>0.11507300848598589</v>
      </c>
      <c r="G92" s="320">
        <f t="shared" si="242"/>
        <v>0.13081877538936437</v>
      </c>
      <c r="H92" s="320">
        <f t="shared" si="242"/>
        <v>0.11088484277663202</v>
      </c>
      <c r="I92" s="320">
        <f t="shared" si="242"/>
        <v>0.15052748458411025</v>
      </c>
      <c r="J92" s="320">
        <f t="shared" si="242"/>
        <v>0.1352852566095939</v>
      </c>
      <c r="K92" s="1292"/>
      <c r="L92" s="320"/>
      <c r="M92" s="320"/>
      <c r="N92" s="1301"/>
      <c r="O92" s="320">
        <f t="shared" ref="O92:AN92" si="243">O45/J45-1</f>
        <v>0.16826160275971325</v>
      </c>
      <c r="P92" s="1292">
        <f t="shared" si="243"/>
        <v>0.26830247235111626</v>
      </c>
      <c r="Q92" s="320">
        <f t="shared" si="243"/>
        <v>0.18458735295006923</v>
      </c>
      <c r="R92" s="320">
        <f t="shared" si="243"/>
        <v>0.17922551247235874</v>
      </c>
      <c r="S92" s="1301">
        <f t="shared" si="243"/>
        <v>0.20949346742876851</v>
      </c>
      <c r="T92" s="320">
        <f t="shared" si="243"/>
        <v>0.20269115840214513</v>
      </c>
      <c r="U92" s="1292">
        <f t="shared" si="243"/>
        <v>0.1532288461884217</v>
      </c>
      <c r="V92" s="320">
        <f t="shared" si="243"/>
        <v>0.14341363050507727</v>
      </c>
      <c r="W92" s="320">
        <f t="shared" si="243"/>
        <v>0.25400437271757759</v>
      </c>
      <c r="X92" s="1301">
        <f t="shared" si="243"/>
        <v>0.21399325643516454</v>
      </c>
      <c r="Y92" s="320">
        <f t="shared" si="243"/>
        <v>0.22006611185981706</v>
      </c>
      <c r="Z92" s="1292">
        <f t="shared" si="243"/>
        <v>0.24406328335373217</v>
      </c>
      <c r="AA92" s="320">
        <f t="shared" si="243"/>
        <v>0.18698860810537621</v>
      </c>
      <c r="AB92" s="320">
        <f t="shared" si="243"/>
        <v>0.220058705422012</v>
      </c>
      <c r="AC92" s="1301">
        <f t="shared" si="243"/>
        <v>0.25794080047202317</v>
      </c>
      <c r="AD92" s="320">
        <f t="shared" si="243"/>
        <v>0.1103947187530292</v>
      </c>
      <c r="AE92" s="1292">
        <f t="shared" si="243"/>
        <v>0.22561267721572942</v>
      </c>
      <c r="AF92" s="320">
        <f t="shared" si="243"/>
        <v>9.7692927266482599E-2</v>
      </c>
      <c r="AG92" s="320">
        <f t="shared" si="243"/>
        <v>0.10056073025408852</v>
      </c>
      <c r="AH92" s="1301">
        <f t="shared" si="243"/>
        <v>0.22024936841517384</v>
      </c>
      <c r="AI92" s="320">
        <f t="shared" si="243"/>
        <v>0.26603435053000157</v>
      </c>
      <c r="AJ92" s="1292">
        <f t="shared" si="243"/>
        <v>8.0172653909119873E-2</v>
      </c>
      <c r="AK92" s="320">
        <f t="shared" si="243"/>
        <v>0.18791643584170692</v>
      </c>
      <c r="AL92" s="320">
        <f t="shared" si="243"/>
        <v>9.0938853076300896E-2</v>
      </c>
      <c r="AM92" s="1301">
        <f t="shared" si="243"/>
        <v>9.7390905948693263E-2</v>
      </c>
      <c r="AN92" s="320">
        <f t="shared" si="243"/>
        <v>0.10485094217457469</v>
      </c>
      <c r="AO92" s="1292">
        <f t="shared" ref="AO92:BT92" si="244">AO43/AJ43-1</f>
        <v>0.16939481718829308</v>
      </c>
      <c r="AP92" s="320">
        <f t="shared" si="244"/>
        <v>9.7581580708216098E-2</v>
      </c>
      <c r="AQ92" s="320">
        <f t="shared" si="244"/>
        <v>0.21016155877151821</v>
      </c>
      <c r="AR92" s="320">
        <f t="shared" si="244"/>
        <v>0.1380237494811194</v>
      </c>
      <c r="AS92" s="949">
        <f t="shared" si="244"/>
        <v>0.13465947173476844</v>
      </c>
      <c r="AT92" s="1292">
        <f t="shared" si="244"/>
        <v>0.15319855092006818</v>
      </c>
      <c r="AU92" s="320">
        <f t="shared" si="244"/>
        <v>0.13652112141495065</v>
      </c>
      <c r="AV92" s="320">
        <f t="shared" si="244"/>
        <v>9.9889910276876437E-2</v>
      </c>
      <c r="AW92" s="320">
        <f t="shared" si="244"/>
        <v>0.1172201330851943</v>
      </c>
      <c r="AX92" s="949">
        <f t="shared" si="244"/>
        <v>0.1344089377424289</v>
      </c>
      <c r="AY92" s="1292">
        <f t="shared" si="244"/>
        <v>0.18636291136885874</v>
      </c>
      <c r="AZ92" s="320">
        <f t="shared" si="244"/>
        <v>0.13976793842041468</v>
      </c>
      <c r="BA92" s="320">
        <f t="shared" si="244"/>
        <v>0.2138950107415849</v>
      </c>
      <c r="BB92" s="320">
        <f t="shared" si="244"/>
        <v>0.14788502330837883</v>
      </c>
      <c r="BC92" s="949">
        <f t="shared" si="244"/>
        <v>0.17193681064815225</v>
      </c>
      <c r="BD92" s="1292">
        <f t="shared" si="244"/>
        <v>0.29263947514665922</v>
      </c>
      <c r="BE92" s="320">
        <f t="shared" si="244"/>
        <v>0.16281304169530952</v>
      </c>
      <c r="BF92" s="320">
        <f t="shared" si="244"/>
        <v>0.1940779272107962</v>
      </c>
      <c r="BG92" s="320">
        <f t="shared" si="244"/>
        <v>4.4589777667389585E-2</v>
      </c>
      <c r="BH92" s="949">
        <f t="shared" si="244"/>
        <v>0.16795461429739422</v>
      </c>
      <c r="BI92" s="1292">
        <f t="shared" si="244"/>
        <v>5.9039058931058763E-2</v>
      </c>
      <c r="BJ92" s="320">
        <f t="shared" si="244"/>
        <v>7.6445424370604753E-2</v>
      </c>
      <c r="BK92" s="320">
        <f t="shared" si="244"/>
        <v>0.15416698039401266</v>
      </c>
      <c r="BL92" s="320">
        <f t="shared" si="244"/>
        <v>0.26317462376751233</v>
      </c>
      <c r="BM92" s="949">
        <f t="shared" si="244"/>
        <v>0.13278016477964871</v>
      </c>
      <c r="BN92" s="1292">
        <f t="shared" si="244"/>
        <v>0.26010221709646397</v>
      </c>
      <c r="BO92" s="320">
        <f t="shared" si="244"/>
        <v>0.26109774665389085</v>
      </c>
      <c r="BP92" s="320">
        <f t="shared" si="244"/>
        <v>0.21384669520848765</v>
      </c>
      <c r="BQ92" s="320">
        <f t="shared" si="244"/>
        <v>-2.2067620295862844E-2</v>
      </c>
      <c r="BR92" s="949">
        <f t="shared" si="244"/>
        <v>0.18076581552552562</v>
      </c>
      <c r="BS92" s="1292">
        <f t="shared" si="244"/>
        <v>7.2184840140655071E-2</v>
      </c>
      <c r="BT92" s="320">
        <f t="shared" si="244"/>
        <v>6.412436472899774E-2</v>
      </c>
      <c r="BU92" s="320">
        <f t="shared" ref="BU92:CZ92" si="245">BU43/BP43-1</f>
        <v>3.0630683602688613E-2</v>
      </c>
      <c r="BV92" s="320">
        <f t="shared" si="245"/>
        <v>0.12656102367908151</v>
      </c>
      <c r="BW92" s="1302">
        <f t="shared" si="245"/>
        <v>4.6196201950259308E-3</v>
      </c>
      <c r="BX92" s="1302">
        <f t="shared" si="245"/>
        <v>-9.7875598778476069E-2</v>
      </c>
      <c r="BY92" s="320">
        <f t="shared" si="245"/>
        <v>-6.0341717771776104E-2</v>
      </c>
      <c r="BZ92" s="320">
        <f t="shared" si="245"/>
        <v>-8.8406001817328161E-2</v>
      </c>
      <c r="CA92" s="320">
        <f t="shared" si="245"/>
        <v>-1.7481792620170244E-2</v>
      </c>
      <c r="CB92" s="949">
        <f t="shared" si="245"/>
        <v>-8.642729996595877E-3</v>
      </c>
      <c r="CC92" s="1302">
        <f>CC43/BX43-1</f>
        <v>0.19466863653051303</v>
      </c>
      <c r="CD92" s="320">
        <f>CD43/BY43-1</f>
        <v>4.4362023893715685E-2</v>
      </c>
      <c r="CE92" s="320">
        <f>CE43/BZ43-1</f>
        <v>-0.10309127513636251</v>
      </c>
      <c r="CF92" s="1303">
        <f>CF43/CA43-1</f>
        <v>0.10965657940771023</v>
      </c>
      <c r="CG92" s="949">
        <f t="shared" si="245"/>
        <v>4.9504950495049549E-2</v>
      </c>
      <c r="CH92" s="1292">
        <f t="shared" si="245"/>
        <v>0.26112153341620115</v>
      </c>
      <c r="CI92" s="320">
        <f t="shared" si="245"/>
        <v>0.17819667800628824</v>
      </c>
      <c r="CJ92" s="320">
        <f t="shared" si="245"/>
        <v>0.38682828600777652</v>
      </c>
      <c r="CK92" s="320">
        <f t="shared" si="245"/>
        <v>0.78557994902214556</v>
      </c>
      <c r="CL92" s="949">
        <f t="shared" si="245"/>
        <v>0.3871008018746005</v>
      </c>
      <c r="CM92" s="1292">
        <f t="shared" si="245"/>
        <v>8.2105701936356912E-3</v>
      </c>
      <c r="CN92" s="320">
        <f t="shared" si="245"/>
        <v>-1.9460451393116474E-2</v>
      </c>
      <c r="CO92" s="320">
        <f t="shared" si="245"/>
        <v>-5.0782840306097921E-2</v>
      </c>
      <c r="CP92" s="320">
        <f t="shared" si="245"/>
        <v>-0.54662634949968802</v>
      </c>
      <c r="CQ92" s="949">
        <f t="shared" si="245"/>
        <v>-0.17648625128125606</v>
      </c>
      <c r="CR92" s="1292">
        <f t="shared" si="245"/>
        <v>-0.30627823718016833</v>
      </c>
      <c r="CS92" s="320">
        <f t="shared" si="245"/>
        <v>1.5512025851226685E-2</v>
      </c>
      <c r="CT92" s="320">
        <f t="shared" si="245"/>
        <v>4.8354605880194246E-2</v>
      </c>
      <c r="CU92" s="320">
        <f t="shared" si="245"/>
        <v>0.7406489391640616</v>
      </c>
      <c r="CV92" s="949">
        <f t="shared" si="245"/>
        <v>5.8824810790308213E-2</v>
      </c>
      <c r="CW92" s="1292">
        <f t="shared" si="245"/>
        <v>0.66478174865493411</v>
      </c>
      <c r="CX92" s="320">
        <f t="shared" si="245"/>
        <v>-1.3305201019219948E-2</v>
      </c>
      <c r="CY92" s="320">
        <f t="shared" si="245"/>
        <v>0.14676744469530756</v>
      </c>
      <c r="CZ92" s="320">
        <f t="shared" si="245"/>
        <v>-1.3597908384248534</v>
      </c>
      <c r="DA92" s="949">
        <f t="shared" ref="DA92:DQ92" si="246">DA43/CV43-1</f>
        <v>-0.21825907789411003</v>
      </c>
      <c r="DB92" s="1292">
        <f t="shared" si="246"/>
        <v>0.23005779476836929</v>
      </c>
      <c r="DC92" s="320">
        <f t="shared" si="246"/>
        <v>1.4667652519893899</v>
      </c>
      <c r="DD92" s="320">
        <f t="shared" si="246"/>
        <v>0.5828160367307389</v>
      </c>
      <c r="DE92" s="320">
        <f t="shared" si="246"/>
        <v>-1.0955052704484862</v>
      </c>
      <c r="DF92" s="949">
        <f t="shared" si="246"/>
        <v>1.0073854173685461</v>
      </c>
      <c r="DG92" s="320">
        <f t="shared" si="246"/>
        <v>0.13637677900215261</v>
      </c>
      <c r="DH92" s="320">
        <f t="shared" si="246"/>
        <v>-0.55727188076617673</v>
      </c>
      <c r="DI92" s="320">
        <f t="shared" si="246"/>
        <v>-0.14178715340740811</v>
      </c>
      <c r="DJ92" s="320">
        <f t="shared" si="246"/>
        <v>39.106484424666242</v>
      </c>
      <c r="DK92" s="949">
        <f t="shared" ref="DK92:DU92" si="247">DK43/DF43-1</f>
        <v>-4.9580249175073643E-2</v>
      </c>
      <c r="DL92" s="320">
        <f t="shared" si="246"/>
        <v>-4.1463626633157169E-2</v>
      </c>
      <c r="DM92" s="320">
        <f t="shared" si="246"/>
        <v>0.14282997280872523</v>
      </c>
      <c r="DN92" s="320">
        <f t="shared" si="246"/>
        <v>5.8939904755667794E-2</v>
      </c>
      <c r="DO92" s="320">
        <f t="shared" si="246"/>
        <v>-0.1996792771824043</v>
      </c>
      <c r="DP92" s="949">
        <f t="shared" si="247"/>
        <v>-1.2805115578243265E-2</v>
      </c>
      <c r="DQ92" s="320">
        <f t="shared" si="246"/>
        <v>-0.16158881200458597</v>
      </c>
      <c r="DR92" s="320">
        <f t="shared" ca="1" si="247"/>
        <v>0.29955821083219081</v>
      </c>
      <c r="DS92" s="320">
        <f t="shared" ca="1" si="247"/>
        <v>0.14126876941059763</v>
      </c>
      <c r="DT92" s="1303">
        <f t="shared" ca="1" si="247"/>
        <v>0.61086049878136905</v>
      </c>
      <c r="DU92" s="949">
        <f t="shared" ca="1" si="247"/>
        <v>0.19867386513693597</v>
      </c>
      <c r="DV92" s="1302">
        <f t="shared" ref="DV92" ca="1" si="248">DV43/DQ43-1</f>
        <v>0.38294376660896812</v>
      </c>
      <c r="DW92" s="320">
        <f t="shared" ref="DW92" ca="1" si="249">DW43/DR43-1</f>
        <v>0.10467836662994157</v>
      </c>
      <c r="DX92" s="320">
        <f t="shared" ref="DX92" ca="1" si="250">DX43/DS43-1</f>
        <v>0.17478582868895942</v>
      </c>
      <c r="DY92" s="1303">
        <f t="shared" ref="DY92" ca="1" si="251">DY43/DT43-1</f>
        <v>0.22199570128589485</v>
      </c>
      <c r="DZ92" s="949">
        <f t="shared" ref="DZ92" ca="1" si="252">DZ43/DU43-1</f>
        <v>0.20519650042941584</v>
      </c>
      <c r="EA92" s="1302">
        <f t="shared" ref="EA92" ca="1" si="253">EA43/DV43-1</f>
        <v>0.2610976664763287</v>
      </c>
      <c r="EB92" s="320">
        <f t="shared" ref="EB92" ca="1" si="254">EB43/DW43-1</f>
        <v>0.20558306473772636</v>
      </c>
      <c r="EC92" s="320">
        <f t="shared" ref="EC92" ca="1" si="255">EC43/DX43-1</f>
        <v>0.21515581272121365</v>
      </c>
      <c r="ED92" s="1303">
        <f t="shared" ref="ED92" ca="1" si="256">ED43/DY43-1</f>
        <v>0.21461107582542271</v>
      </c>
      <c r="EE92" s="949">
        <f t="shared" ref="EE92" ca="1" si="257">EE43/DZ43-1</f>
        <v>0.2220055794090543</v>
      </c>
      <c r="EF92" s="38"/>
      <c r="EG92" s="38"/>
      <c r="EH92"/>
      <c r="EI92"/>
      <c r="EJ92"/>
      <c r="EK92"/>
      <c r="EL92"/>
      <c r="EM92"/>
      <c r="EN92" s="38"/>
      <c r="EO92" s="38"/>
      <c r="EP92" s="38"/>
      <c r="EQ92" s="38"/>
      <c r="ER92" s="38"/>
      <c r="ES92" s="38"/>
      <c r="ET92" s="38"/>
      <c r="EU92" s="38"/>
      <c r="EV92" s="38"/>
      <c r="EW92" s="38"/>
      <c r="EX92" s="38"/>
      <c r="EY92" s="38"/>
      <c r="EZ92" s="38"/>
      <c r="FA92" s="38"/>
      <c r="FB92" s="38"/>
      <c r="FC92" s="38"/>
      <c r="FD92" s="38"/>
      <c r="FE92" s="38"/>
      <c r="FF92" s="38"/>
      <c r="FG92" s="38"/>
      <c r="FH92" s="38"/>
      <c r="FI92" s="38"/>
      <c r="FJ92" s="38"/>
      <c r="FK92" s="38"/>
      <c r="FL92" s="38"/>
      <c r="FM92" s="38"/>
      <c r="FN92" s="38"/>
      <c r="FO92" s="38"/>
      <c r="FP92" s="38"/>
      <c r="FQ92" s="38"/>
      <c r="FR92" s="38"/>
      <c r="FS92" s="38"/>
      <c r="FT92" s="38"/>
      <c r="FU92" s="38"/>
      <c r="FV92" s="38"/>
      <c r="FW92" s="38"/>
      <c r="FX92" s="38"/>
      <c r="FY92" s="38"/>
      <c r="FZ92" s="38"/>
      <c r="GA92" s="38"/>
      <c r="GB92" s="38"/>
      <c r="GC92" s="38"/>
      <c r="GD92" s="38"/>
      <c r="GE92" s="38"/>
      <c r="GF92" s="38"/>
      <c r="GG92" s="38"/>
      <c r="GH92" s="38"/>
      <c r="GI92" s="38"/>
      <c r="GJ92" s="38"/>
      <c r="GK92" s="38"/>
      <c r="GL92" s="38"/>
      <c r="GM92" s="38"/>
      <c r="GN92" s="38"/>
      <c r="GO92" s="38"/>
      <c r="GP92" s="38"/>
      <c r="GQ92" s="38"/>
      <c r="GR92" s="38"/>
      <c r="GS92" s="38"/>
      <c r="GT92" s="38"/>
      <c r="GU92" s="38"/>
      <c r="GV92" s="38"/>
      <c r="GW92" s="38"/>
      <c r="GX92" s="38"/>
      <c r="GY92" s="38"/>
      <c r="GZ92" s="38"/>
      <c r="HA92" s="38"/>
      <c r="HB92" s="38"/>
      <c r="HC92" s="38"/>
      <c r="HD92" s="38"/>
      <c r="HE92" s="38"/>
      <c r="HF92" s="38"/>
      <c r="HG92" s="38"/>
      <c r="HH92" s="38"/>
      <c r="HI92" s="38"/>
      <c r="HJ92" s="38"/>
      <c r="HK92" s="38"/>
      <c r="HL92" s="38"/>
      <c r="HM92" s="38"/>
      <c r="HN92" s="38"/>
      <c r="HO92" s="38"/>
      <c r="HP92" s="38"/>
      <c r="HQ92" s="38"/>
      <c r="HR92" s="38"/>
      <c r="HS92" s="38"/>
      <c r="HT92" s="38"/>
      <c r="HU92" s="38"/>
      <c r="HV92" s="38"/>
      <c r="HW92" s="38"/>
      <c r="HX92" s="38"/>
    </row>
    <row r="93" spans="2:232" s="54" customFormat="1" ht="12" collapsed="1" thickBot="1">
      <c r="B93" s="694" t="s">
        <v>185</v>
      </c>
      <c r="C93" s="695"/>
      <c r="D93" s="695"/>
      <c r="E93" s="1288"/>
      <c r="F93" s="1288"/>
      <c r="G93" s="1288"/>
      <c r="H93" s="1288"/>
      <c r="I93" s="1288"/>
      <c r="J93" s="1288"/>
      <c r="K93" s="1288"/>
      <c r="L93" s="1288"/>
      <c r="M93" s="1288"/>
      <c r="N93" s="1288"/>
      <c r="O93" s="1288"/>
      <c r="P93" s="1288"/>
      <c r="Q93" s="1288"/>
      <c r="R93" s="1288"/>
      <c r="S93" s="1288"/>
      <c r="T93" s="1288"/>
      <c r="U93" s="1288"/>
      <c r="V93" s="1288"/>
      <c r="W93" s="1288"/>
      <c r="X93" s="1288"/>
      <c r="Y93" s="1288"/>
      <c r="Z93" s="1288"/>
      <c r="AA93" s="1288"/>
      <c r="AB93" s="1288"/>
      <c r="AC93" s="1288"/>
      <c r="AD93" s="1288"/>
      <c r="AE93" s="1288"/>
      <c r="AF93" s="1288"/>
      <c r="AG93" s="1288"/>
      <c r="AH93" s="1288"/>
      <c r="AI93" s="1288"/>
      <c r="AJ93" s="1288"/>
      <c r="AK93" s="1288"/>
      <c r="AL93" s="1288"/>
      <c r="AM93" s="1288"/>
      <c r="AN93" s="1288"/>
      <c r="AO93" s="1288"/>
      <c r="AP93" s="1288"/>
      <c r="AQ93" s="1288"/>
      <c r="AR93" s="1288"/>
      <c r="AS93" s="1288"/>
      <c r="AT93" s="1288"/>
      <c r="AU93" s="1288"/>
      <c r="AV93" s="1288"/>
      <c r="AW93" s="1288"/>
      <c r="AX93" s="1288"/>
      <c r="AY93" s="1288"/>
      <c r="AZ93" s="1288"/>
      <c r="BA93" s="1288"/>
      <c r="BB93" s="1288"/>
      <c r="BC93" s="1288"/>
      <c r="BD93" s="1288"/>
      <c r="BE93" s="1288"/>
      <c r="BF93" s="1288"/>
      <c r="BG93" s="1288"/>
      <c r="BH93" s="1288"/>
      <c r="BI93" s="1288"/>
      <c r="BJ93" s="1288"/>
      <c r="BK93" s="1288"/>
      <c r="BL93" s="1288"/>
      <c r="BM93" s="1288"/>
      <c r="BN93" s="1288"/>
      <c r="BO93" s="1288"/>
      <c r="BP93" s="1288"/>
      <c r="BQ93" s="1288"/>
      <c r="BR93" s="1288">
        <f>BR46/BM46-1</f>
        <v>0.18107630744586611</v>
      </c>
      <c r="BS93" s="1288"/>
      <c r="BT93" s="1288"/>
      <c r="BU93" s="1288"/>
      <c r="BV93" s="1288"/>
      <c r="BW93" s="1288">
        <f>BW46/BR46-1</f>
        <v>4.6196201950259308E-3</v>
      </c>
      <c r="BX93" s="1305"/>
      <c r="BY93" s="1288"/>
      <c r="BZ93" s="1288"/>
      <c r="CA93" s="1288"/>
      <c r="CB93" s="1287">
        <f t="shared" ref="CB93:CS93" si="258">CB46/BW46-1</f>
        <v>-8.642729996595877E-3</v>
      </c>
      <c r="CC93" s="1305">
        <f>CC46/BX46-1</f>
        <v>0.30460746811307571</v>
      </c>
      <c r="CD93" s="1288">
        <f>CD46/BY46-1</f>
        <v>0.10836627348959382</v>
      </c>
      <c r="CE93" s="1288">
        <f>CE46/BZ46-1</f>
        <v>6.5442329751621342E-2</v>
      </c>
      <c r="CF93" s="1306">
        <f>CF46/CA46-1</f>
        <v>0.28200749493273758</v>
      </c>
      <c r="CG93" s="1287">
        <f t="shared" si="258"/>
        <v>0.1732673267326732</v>
      </c>
      <c r="CH93" s="1288">
        <f t="shared" si="258"/>
        <v>0.27232308752451817</v>
      </c>
      <c r="CI93" s="1288">
        <f t="shared" si="258"/>
        <v>0.20480148130160258</v>
      </c>
      <c r="CJ93" s="1288">
        <f t="shared" si="258"/>
        <v>0.29717474024565749</v>
      </c>
      <c r="CK93" s="1288">
        <f t="shared" si="258"/>
        <v>0.16890433582650766</v>
      </c>
      <c r="CL93" s="1287">
        <f t="shared" si="258"/>
        <v>0.23730716145715602</v>
      </c>
      <c r="CM93" s="1288">
        <f t="shared" si="258"/>
        <v>3.8111111111110985E-2</v>
      </c>
      <c r="CN93" s="1288">
        <f t="shared" si="258"/>
        <v>1.4635014156617165E-2</v>
      </c>
      <c r="CO93" s="1288">
        <f t="shared" si="258"/>
        <v>-8.9791044776119655E-3</v>
      </c>
      <c r="CP93" s="1288">
        <f t="shared" si="258"/>
        <v>-4.2168614357262046E-2</v>
      </c>
      <c r="CQ93" s="1287">
        <f t="shared" si="258"/>
        <v>-8.2456616894621693E-4</v>
      </c>
      <c r="CR93" s="1288">
        <f t="shared" si="258"/>
        <v>-0.18116774659732993</v>
      </c>
      <c r="CS93" s="1288">
        <f t="shared" si="258"/>
        <v>9.4484735752562221E-2</v>
      </c>
      <c r="CT93" s="1288">
        <f>0.85/0.72-1</f>
        <v>0.18055555555555558</v>
      </c>
      <c r="CU93" s="1288">
        <f>0.85/0.72-1</f>
        <v>0.18055555555555558</v>
      </c>
      <c r="CV93" s="1287">
        <f t="shared" ref="CV93:DQ93" si="259">CV46/CQ46-1</f>
        <v>6.5229271641983555E-2</v>
      </c>
      <c r="CW93" s="1288">
        <f t="shared" si="259"/>
        <v>0.23079538733086391</v>
      </c>
      <c r="CX93" s="1288">
        <f t="shared" si="259"/>
        <v>-4.8530509970962199E-2</v>
      </c>
      <c r="CY93" s="1288">
        <f t="shared" si="259"/>
        <v>7.7773303302875352E-2</v>
      </c>
      <c r="CZ93" s="1288">
        <f t="shared" si="259"/>
        <v>5.955266622690969E-3</v>
      </c>
      <c r="DA93" s="1287">
        <f t="shared" si="259"/>
        <v>5.0565406199906793E-2</v>
      </c>
      <c r="DB93" s="1288">
        <f t="shared" si="259"/>
        <v>9.492601805001466E-2</v>
      </c>
      <c r="DC93" s="1288">
        <f t="shared" si="259"/>
        <v>0.29166716946654381</v>
      </c>
      <c r="DD93" s="1288">
        <f t="shared" si="259"/>
        <v>0.11628659060762292</v>
      </c>
      <c r="DE93" s="1288">
        <f t="shared" si="259"/>
        <v>0.1914544865565273</v>
      </c>
      <c r="DF93" s="1287">
        <f t="shared" si="259"/>
        <v>0.18211260442897559</v>
      </c>
      <c r="DG93" s="1288">
        <f t="shared" si="259"/>
        <v>0.31517306770092413</v>
      </c>
      <c r="DH93" s="1288">
        <f t="shared" si="259"/>
        <v>0.10847252405076113</v>
      </c>
      <c r="DI93" s="1288">
        <f t="shared" si="259"/>
        <v>0.16189421599108256</v>
      </c>
      <c r="DJ93" s="1288">
        <f t="shared" si="259"/>
        <v>0.21821934515432972</v>
      </c>
      <c r="DK93" s="1287">
        <f t="shared" ref="DK93:DU93" si="260">DK46/DF46-1</f>
        <v>0.18473816262752352</v>
      </c>
      <c r="DL93" s="1288">
        <f t="shared" si="259"/>
        <v>7.0995253400365943E-2</v>
      </c>
      <c r="DM93" s="1288">
        <f t="shared" si="259"/>
        <v>4.001634009671351E-2</v>
      </c>
      <c r="DN93" s="1288">
        <f t="shared" si="259"/>
        <v>0.12457601495364856</v>
      </c>
      <c r="DO93" s="1288">
        <f t="shared" si="259"/>
        <v>0.22089451236343227</v>
      </c>
      <c r="DP93" s="1287">
        <f t="shared" si="260"/>
        <v>0.1109361468044161</v>
      </c>
      <c r="DQ93" s="1288">
        <f t="shared" si="259"/>
        <v>0.16059656217319951</v>
      </c>
      <c r="DR93" s="1288">
        <f t="shared" ca="1" si="260"/>
        <v>0.13320540023904126</v>
      </c>
      <c r="DS93" s="1288">
        <f t="shared" ca="1" si="260"/>
        <v>0.13631074523468967</v>
      </c>
      <c r="DT93" s="1306">
        <f t="shared" ca="1" si="260"/>
        <v>9.758950454694304E-2</v>
      </c>
      <c r="DU93" s="1287">
        <f t="shared" ca="1" si="260"/>
        <v>0.13081461637785741</v>
      </c>
      <c r="DV93" s="1305">
        <f t="shared" ref="DV93" ca="1" si="261">DV46/DQ46-1</f>
        <v>0.10588004688514419</v>
      </c>
      <c r="DW93" s="1288">
        <f t="shared" ref="DW93" ca="1" si="262">DW46/DR46-1</f>
        <v>9.988151907102405E-2</v>
      </c>
      <c r="DX93" s="1288">
        <f t="shared" ref="DX93" ca="1" si="263">DX46/DS46-1</f>
        <v>0.14756427443882436</v>
      </c>
      <c r="DY93" s="1306">
        <f t="shared" ref="DY93" ca="1" si="264">DY46/DT46-1</f>
        <v>0.1953881634245036</v>
      </c>
      <c r="DZ93" s="1287">
        <f t="shared" ref="DZ93" ca="1" si="265">DZ46/DU46-1</f>
        <v>0.13746813733216312</v>
      </c>
      <c r="EA93" s="1305">
        <f t="shared" ref="EA93" ca="1" si="266">EA46/DV46-1</f>
        <v>8.5870760634453092E-2</v>
      </c>
      <c r="EB93" s="1288">
        <f t="shared" ref="EB93" ca="1" si="267">EB46/DW46-1</f>
        <v>6.7472136110223957E-2</v>
      </c>
      <c r="EC93" s="1288">
        <f t="shared" ref="EC93" ca="1" si="268">EC46/DX46-1</f>
        <v>7.7006582159577786E-2</v>
      </c>
      <c r="ED93" s="1306">
        <f t="shared" ref="ED93" ca="1" si="269">ED46/DY46-1</f>
        <v>8.0216706491728296E-2</v>
      </c>
      <c r="EE93" s="1287">
        <f t="shared" ref="EE93" ca="1" si="270">EE46/DZ46-1</f>
        <v>7.7296470702108433E-2</v>
      </c>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row>
    <row r="94" spans="2:232" s="64" customFormat="1" ht="12" thickBot="1">
      <c r="B94" s="438"/>
      <c r="C94" s="375"/>
      <c r="D94" s="375"/>
      <c r="E94" s="375"/>
      <c r="F94" s="375"/>
      <c r="G94" s="375"/>
      <c r="H94" s="375"/>
      <c r="I94" s="375"/>
      <c r="J94" s="375"/>
      <c r="K94" s="375"/>
      <c r="L94" s="375"/>
      <c r="M94" s="375"/>
      <c r="N94" s="375"/>
      <c r="O94" s="375"/>
      <c r="P94" s="375"/>
      <c r="Q94" s="375"/>
      <c r="R94" s="375"/>
      <c r="S94" s="375"/>
      <c r="T94" s="375"/>
      <c r="U94" s="375"/>
      <c r="V94" s="375"/>
      <c r="W94" s="375"/>
      <c r="X94" s="375"/>
      <c r="Y94" s="375"/>
      <c r="Z94" s="375"/>
      <c r="AA94" s="375"/>
      <c r="AB94" s="375"/>
      <c r="AC94" s="375"/>
      <c r="AD94" s="375"/>
      <c r="AE94" s="375"/>
      <c r="AF94" s="375"/>
      <c r="AG94" s="375"/>
      <c r="AH94" s="375"/>
      <c r="AI94" s="375"/>
      <c r="AJ94" s="375"/>
      <c r="AK94" s="375"/>
      <c r="AL94" s="375"/>
      <c r="AM94" s="375"/>
      <c r="AN94" s="375"/>
      <c r="AO94" s="375"/>
      <c r="AP94" s="375"/>
      <c r="AQ94" s="375"/>
      <c r="AR94" s="375"/>
      <c r="AS94" s="375"/>
      <c r="AT94" s="375"/>
      <c r="AU94" s="375"/>
      <c r="AV94" s="375"/>
      <c r="AW94" s="375"/>
      <c r="AX94" s="375"/>
      <c r="AY94" s="375"/>
      <c r="AZ94" s="375"/>
      <c r="BA94" s="375"/>
      <c r="BB94" s="375"/>
      <c r="BC94" s="375"/>
      <c r="BD94" s="375"/>
      <c r="BE94" s="375"/>
      <c r="BF94" s="375"/>
      <c r="BG94" s="375"/>
      <c r="BH94" s="375"/>
      <c r="BI94" s="375"/>
      <c r="BJ94" s="375"/>
      <c r="BK94" s="375"/>
      <c r="BL94" s="375"/>
      <c r="BM94" s="375"/>
      <c r="BN94" s="375"/>
      <c r="BO94" s="375"/>
      <c r="BP94" s="375"/>
      <c r="BQ94" s="375"/>
      <c r="BR94" s="375"/>
      <c r="BS94" s="375"/>
      <c r="BT94" s="375"/>
      <c r="BU94" s="375"/>
      <c r="BV94" s="375"/>
      <c r="BW94" s="375"/>
      <c r="BX94" s="375"/>
      <c r="BY94" s="375"/>
      <c r="BZ94" s="375"/>
      <c r="CA94" s="375"/>
      <c r="CB94" s="375"/>
      <c r="CC94" s="375"/>
      <c r="CD94" s="375"/>
      <c r="CE94" s="375"/>
      <c r="CF94" s="375"/>
      <c r="CG94" s="375"/>
      <c r="CH94" s="375"/>
      <c r="CI94" s="375"/>
      <c r="CJ94" s="375"/>
      <c r="CK94" s="375"/>
      <c r="CL94" s="375"/>
      <c r="CM94" s="320"/>
      <c r="CN94" s="378"/>
      <c r="CO94" s="320"/>
      <c r="CP94" s="375"/>
      <c r="CQ94" s="375"/>
      <c r="CR94" s="320"/>
      <c r="CS94" s="320"/>
      <c r="CT94" s="375"/>
      <c r="CU94" s="320"/>
      <c r="CV94" s="320"/>
      <c r="CW94" s="1495"/>
      <c r="CX94" s="1495"/>
      <c r="CY94" s="1497"/>
      <c r="CZ94" s="1601"/>
      <c r="DA94" s="1602"/>
      <c r="DB94" s="1601"/>
      <c r="DC94" s="1601"/>
      <c r="DD94" s="1601"/>
      <c r="DE94" s="1601"/>
      <c r="DF94" s="1497"/>
      <c r="DG94" s="1601"/>
      <c r="DH94" s="1601"/>
      <c r="DI94" s="1601"/>
      <c r="DJ94" s="1601"/>
      <c r="DK94" s="1497"/>
      <c r="DL94" s="1601"/>
      <c r="DM94" s="1601"/>
      <c r="DN94" s="1601"/>
      <c r="DO94" s="1601"/>
      <c r="DP94" s="1497"/>
      <c r="DQ94" s="1601"/>
      <c r="DR94" s="1497"/>
      <c r="DS94" s="1497"/>
      <c r="DT94" s="1497"/>
      <c r="DU94" s="1497"/>
      <c r="DV94" s="1497"/>
      <c r="DW94" s="1497"/>
      <c r="DX94" s="1497"/>
      <c r="DY94" s="1497"/>
      <c r="DZ94" s="1497"/>
      <c r="EA94" s="1497"/>
      <c r="EB94" s="1497"/>
      <c r="EC94" s="1497"/>
      <c r="ED94" s="1497"/>
      <c r="EE94" s="1497"/>
      <c r="EF94" s="38"/>
      <c r="EG94" s="38"/>
      <c r="EH94"/>
      <c r="EI94"/>
      <c r="EJ94"/>
      <c r="EK94"/>
      <c r="EL94"/>
      <c r="EM94"/>
      <c r="EN94" s="38"/>
      <c r="EO94" s="38"/>
      <c r="EP94" s="38"/>
      <c r="EQ94" s="38"/>
      <c r="ER94" s="38"/>
      <c r="ES94" s="38"/>
      <c r="ET94" s="38"/>
      <c r="EU94" s="38"/>
      <c r="EV94" s="38"/>
      <c r="EW94" s="38"/>
      <c r="EX94" s="38"/>
      <c r="EY94" s="38"/>
      <c r="EZ94" s="38"/>
      <c r="FA94" s="38"/>
      <c r="FB94" s="38"/>
      <c r="FC94" s="38"/>
      <c r="FD94" s="38"/>
      <c r="FE94" s="38"/>
      <c r="FF94" s="38"/>
      <c r="FG94" s="38"/>
      <c r="FH94" s="38"/>
      <c r="FI94" s="38"/>
      <c r="FJ94" s="38"/>
      <c r="FK94" s="38"/>
      <c r="FL94" s="38"/>
      <c r="FM94" s="38"/>
      <c r="FN94" s="38"/>
      <c r="FO94" s="38"/>
      <c r="FP94" s="38"/>
      <c r="FQ94" s="38"/>
      <c r="FR94" s="38"/>
      <c r="FS94" s="38"/>
      <c r="FT94" s="38"/>
      <c r="FU94" s="38"/>
      <c r="FV94" s="38"/>
      <c r="FW94" s="38"/>
      <c r="FX94" s="38"/>
      <c r="FY94" s="38"/>
      <c r="FZ94" s="38"/>
      <c r="GA94" s="38"/>
      <c r="GB94" s="38"/>
      <c r="GC94" s="38"/>
      <c r="GD94" s="38"/>
      <c r="GE94" s="38"/>
      <c r="GF94" s="38"/>
      <c r="GG94" s="38"/>
      <c r="GH94" s="38"/>
      <c r="GI94" s="38"/>
      <c r="GJ94" s="38"/>
      <c r="GK94" s="38"/>
      <c r="GL94" s="38"/>
      <c r="GM94" s="38"/>
      <c r="GN94" s="38"/>
      <c r="GO94" s="38"/>
      <c r="GP94" s="38"/>
      <c r="GQ94" s="38"/>
      <c r="GR94" s="38"/>
      <c r="GS94" s="38"/>
      <c r="GT94" s="38"/>
      <c r="GU94" s="38"/>
      <c r="GV94" s="38"/>
      <c r="GW94" s="38"/>
      <c r="GX94" s="38"/>
      <c r="GY94" s="38"/>
      <c r="GZ94" s="38"/>
      <c r="HA94" s="38"/>
      <c r="HB94" s="38"/>
      <c r="HC94" s="38"/>
      <c r="HD94" s="38"/>
      <c r="HE94" s="38"/>
      <c r="HF94" s="38"/>
      <c r="HG94" s="38"/>
      <c r="HH94" s="38"/>
      <c r="HI94" s="38"/>
      <c r="HJ94" s="38"/>
      <c r="HK94" s="38"/>
      <c r="HL94" s="38"/>
      <c r="HM94" s="38"/>
      <c r="HN94" s="38"/>
      <c r="HO94" s="38"/>
      <c r="HP94" s="38"/>
      <c r="HQ94" s="38"/>
      <c r="HR94" s="38"/>
      <c r="HS94" s="38"/>
      <c r="HT94" s="38"/>
      <c r="HU94" s="38"/>
      <c r="HV94" s="38"/>
      <c r="HW94" s="38"/>
      <c r="HX94" s="38"/>
    </row>
    <row r="95" spans="2:232" s="54" customFormat="1" ht="12" thickBot="1">
      <c r="B95" s="683" t="s">
        <v>292</v>
      </c>
      <c r="C95" s="684"/>
      <c r="D95" s="684"/>
      <c r="E95" s="685"/>
      <c r="F95" s="685"/>
      <c r="G95" s="685"/>
      <c r="H95" s="685"/>
      <c r="I95" s="685"/>
      <c r="J95" s="685"/>
      <c r="K95" s="684"/>
      <c r="L95" s="684"/>
      <c r="M95" s="684"/>
      <c r="N95" s="684"/>
      <c r="O95" s="685"/>
      <c r="P95" s="684"/>
      <c r="Q95" s="684"/>
      <c r="R95" s="684"/>
      <c r="S95" s="684"/>
      <c r="T95" s="685"/>
      <c r="U95" s="684"/>
      <c r="V95" s="684"/>
      <c r="W95" s="684"/>
      <c r="X95" s="684"/>
      <c r="Y95" s="685"/>
      <c r="Z95" s="684"/>
      <c r="AA95" s="684"/>
      <c r="AB95" s="684"/>
      <c r="AC95" s="684"/>
      <c r="AD95" s="685"/>
      <c r="AE95" s="684"/>
      <c r="AF95" s="684"/>
      <c r="AG95" s="684"/>
      <c r="AH95" s="684"/>
      <c r="AI95" s="685"/>
      <c r="AJ95" s="684"/>
      <c r="AK95" s="684"/>
      <c r="AL95" s="684"/>
      <c r="AM95" s="684"/>
      <c r="AN95" s="685"/>
      <c r="AO95" s="684"/>
      <c r="AP95" s="684"/>
      <c r="AQ95" s="684"/>
      <c r="AR95" s="684"/>
      <c r="AS95" s="685"/>
      <c r="AT95" s="684"/>
      <c r="AU95" s="684"/>
      <c r="AV95" s="684"/>
      <c r="AW95" s="684"/>
      <c r="AX95" s="685"/>
      <c r="AY95" s="684"/>
      <c r="AZ95" s="684"/>
      <c r="BA95" s="684"/>
      <c r="BB95" s="684"/>
      <c r="BC95" s="685"/>
      <c r="BD95" s="684"/>
      <c r="BE95" s="684"/>
      <c r="BF95" s="684"/>
      <c r="BG95" s="684"/>
      <c r="BH95" s="685"/>
      <c r="BI95" s="684"/>
      <c r="BJ95" s="684"/>
      <c r="BK95" s="684"/>
      <c r="BL95" s="684"/>
      <c r="BM95" s="685"/>
      <c r="BN95" s="684"/>
      <c r="BO95" s="684"/>
      <c r="BP95" s="684"/>
      <c r="BQ95" s="684"/>
      <c r="BR95" s="685"/>
      <c r="BS95" s="684"/>
      <c r="BT95" s="684"/>
      <c r="BU95" s="684"/>
      <c r="BV95" s="684"/>
      <c r="BW95" s="685"/>
      <c r="BX95" s="684"/>
      <c r="BY95" s="684"/>
      <c r="BZ95" s="684"/>
      <c r="CA95" s="684"/>
      <c r="CB95" s="685"/>
      <c r="CC95" s="684"/>
      <c r="CD95" s="684"/>
      <c r="CE95" s="686"/>
      <c r="CF95" s="686"/>
      <c r="CG95" s="685"/>
      <c r="CH95" s="686"/>
      <c r="CI95" s="686"/>
      <c r="CJ95" s="686"/>
      <c r="CK95" s="686"/>
      <c r="CL95" s="687"/>
      <c r="CM95" s="684"/>
      <c r="CN95" s="684"/>
      <c r="CO95" s="684"/>
      <c r="CP95" s="684"/>
      <c r="CQ95" s="685"/>
      <c r="CR95" s="684"/>
      <c r="CS95" s="684"/>
      <c r="CT95" s="684"/>
      <c r="CU95" s="684"/>
      <c r="CV95" s="685"/>
      <c r="CW95" s="684"/>
      <c r="CX95" s="684"/>
      <c r="CY95" s="684"/>
      <c r="CZ95" s="684"/>
      <c r="DA95" s="685"/>
      <c r="DB95" s="684"/>
      <c r="DC95" s="684"/>
      <c r="DD95" s="684"/>
      <c r="DE95" s="684"/>
      <c r="DF95" s="685"/>
      <c r="DG95" s="684"/>
      <c r="DH95" s="684"/>
      <c r="DI95" s="684"/>
      <c r="DJ95" s="684"/>
      <c r="DK95" s="688"/>
      <c r="DL95" s="684"/>
      <c r="DM95" s="684"/>
      <c r="DN95" s="684"/>
      <c r="DO95" s="684"/>
      <c r="DP95" s="688"/>
      <c r="DQ95" s="684"/>
      <c r="DR95" s="685"/>
      <c r="DS95" s="685"/>
      <c r="DT95" s="688"/>
      <c r="DU95" s="688"/>
      <c r="DV95" s="685"/>
      <c r="DW95" s="685"/>
      <c r="DX95" s="685"/>
      <c r="DY95" s="688"/>
      <c r="DZ95" s="688"/>
      <c r="EA95" s="685"/>
      <c r="EB95" s="685"/>
      <c r="EC95" s="685"/>
      <c r="ED95" s="688"/>
      <c r="EE95" s="688"/>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row>
    <row r="96" spans="2:232" s="252" customFormat="1" ht="12" hidden="1" outlineLevel="1" thickBot="1">
      <c r="B96" s="689" t="s">
        <v>298</v>
      </c>
      <c r="C96" s="690"/>
      <c r="D96" s="1286">
        <f t="shared" ref="D96:AI96" si="271">D11/D9</f>
        <v>0.2918862786477584</v>
      </c>
      <c r="E96" s="1286">
        <f t="shared" si="271"/>
        <v>0.28605270216059747</v>
      </c>
      <c r="F96" s="1286">
        <f t="shared" si="271"/>
        <v>0.28874696199816902</v>
      </c>
      <c r="G96" s="1286">
        <f t="shared" si="271"/>
        <v>0.28523707347770771</v>
      </c>
      <c r="H96" s="1286">
        <f t="shared" si="271"/>
        <v>0.28499151279590684</v>
      </c>
      <c r="I96" s="1286">
        <f t="shared" si="271"/>
        <v>0.28431437519396352</v>
      </c>
      <c r="J96" s="1286">
        <f t="shared" si="271"/>
        <v>0.28227069764435075</v>
      </c>
      <c r="K96" s="1298">
        <f t="shared" si="271"/>
        <v>0.27443221043632804</v>
      </c>
      <c r="L96" s="1286">
        <f t="shared" si="271"/>
        <v>0.28144918245447043</v>
      </c>
      <c r="M96" s="1286">
        <f t="shared" si="271"/>
        <v>0.27662441164386398</v>
      </c>
      <c r="N96" s="1297">
        <f t="shared" si="271"/>
        <v>0.27667463180103885</v>
      </c>
      <c r="O96" s="1286">
        <f t="shared" si="271"/>
        <v>0.27743791860495903</v>
      </c>
      <c r="P96" s="1298">
        <f t="shared" si="271"/>
        <v>0.27372192146704344</v>
      </c>
      <c r="Q96" s="1286">
        <f t="shared" si="271"/>
        <v>0.28182711471096034</v>
      </c>
      <c r="R96" s="1286">
        <f t="shared" si="271"/>
        <v>0.27531285250909349</v>
      </c>
      <c r="S96" s="1297">
        <f t="shared" si="271"/>
        <v>0.27534230277042193</v>
      </c>
      <c r="T96" s="1286">
        <f t="shared" si="271"/>
        <v>0.27671276177553544</v>
      </c>
      <c r="U96" s="1298">
        <f t="shared" si="271"/>
        <v>0.27266725200564673</v>
      </c>
      <c r="V96" s="1286">
        <f t="shared" si="271"/>
        <v>0.27915016781618124</v>
      </c>
      <c r="W96" s="1286">
        <f t="shared" si="271"/>
        <v>0.27345321960703417</v>
      </c>
      <c r="X96" s="1297">
        <f t="shared" si="271"/>
        <v>0.27539044039129573</v>
      </c>
      <c r="Y96" s="1286">
        <f t="shared" si="271"/>
        <v>0.2752838652185729</v>
      </c>
      <c r="Z96" s="1298">
        <f t="shared" si="271"/>
        <v>0.27103874116123888</v>
      </c>
      <c r="AA96" s="1286">
        <f t="shared" si="271"/>
        <v>0.28028138989554469</v>
      </c>
      <c r="AB96" s="1286">
        <f t="shared" si="271"/>
        <v>0.27486109288183042</v>
      </c>
      <c r="AC96" s="1297">
        <f t="shared" si="271"/>
        <v>0.2731359649122807</v>
      </c>
      <c r="AD96" s="1286">
        <f t="shared" si="271"/>
        <v>0.27245106173060962</v>
      </c>
      <c r="AE96" s="1298">
        <f t="shared" si="271"/>
        <v>0.26741582351965493</v>
      </c>
      <c r="AF96" s="1286">
        <f t="shared" si="271"/>
        <v>0.27519255455712449</v>
      </c>
      <c r="AG96" s="1286">
        <f t="shared" si="271"/>
        <v>0.268997608498174</v>
      </c>
      <c r="AH96" s="1297">
        <f t="shared" si="271"/>
        <v>0.27399271483794235</v>
      </c>
      <c r="AI96" s="1286">
        <f t="shared" si="271"/>
        <v>0.27154369568395192</v>
      </c>
      <c r="AJ96" s="1298">
        <f t="shared" ref="AJ96:BO96" si="272">AJ11/AJ9</f>
        <v>0.26506002636172554</v>
      </c>
      <c r="AK96" s="1286">
        <f t="shared" si="272"/>
        <v>0.27543941515010112</v>
      </c>
      <c r="AL96" s="1286">
        <f t="shared" si="272"/>
        <v>0.26231695308281178</v>
      </c>
      <c r="AM96" s="1297">
        <f t="shared" si="272"/>
        <v>0.26475268954102749</v>
      </c>
      <c r="AN96" s="1286">
        <f t="shared" si="272"/>
        <v>0.26699021240303777</v>
      </c>
      <c r="AO96" s="1298">
        <f t="shared" si="272"/>
        <v>0.25884989480745185</v>
      </c>
      <c r="AP96" s="1286">
        <f t="shared" si="272"/>
        <v>0.27160312479134668</v>
      </c>
      <c r="AQ96" s="1286">
        <f t="shared" si="272"/>
        <v>0.26185809486475892</v>
      </c>
      <c r="AR96" s="1297">
        <f t="shared" si="272"/>
        <v>0.26757701823006647</v>
      </c>
      <c r="AS96" s="1286">
        <f t="shared" si="272"/>
        <v>0.26515719411040722</v>
      </c>
      <c r="AT96" s="1298">
        <f t="shared" si="272"/>
        <v>0.2666301486993814</v>
      </c>
      <c r="AU96" s="1286">
        <f t="shared" si="272"/>
        <v>0.27800996909816367</v>
      </c>
      <c r="AV96" s="1286">
        <f t="shared" si="272"/>
        <v>0.26777137367915466</v>
      </c>
      <c r="AW96" s="1297">
        <f t="shared" si="272"/>
        <v>0.2698632130384167</v>
      </c>
      <c r="AX96" s="1286">
        <f t="shared" si="272"/>
        <v>0.27069963759867594</v>
      </c>
      <c r="AY96" s="1298">
        <f t="shared" si="272"/>
        <v>0.26374873864783044</v>
      </c>
      <c r="AZ96" s="1286">
        <f t="shared" si="272"/>
        <v>0.27658399950931284</v>
      </c>
      <c r="BA96" s="1286">
        <f t="shared" si="272"/>
        <v>0.26912355796836668</v>
      </c>
      <c r="BB96" s="1297">
        <f t="shared" si="272"/>
        <v>0.27732928808596868</v>
      </c>
      <c r="BC96" s="1286">
        <f t="shared" si="272"/>
        <v>0.27188188182850676</v>
      </c>
      <c r="BD96" s="1298">
        <f t="shared" si="272"/>
        <v>0.27382673853030109</v>
      </c>
      <c r="BE96" s="1286">
        <f t="shared" si="272"/>
        <v>0.28493674342404662</v>
      </c>
      <c r="BF96" s="1286">
        <f t="shared" si="272"/>
        <v>0.27848872638634986</v>
      </c>
      <c r="BG96" s="1297">
        <f t="shared" si="272"/>
        <v>0.27947860389331958</v>
      </c>
      <c r="BH96" s="1286">
        <f t="shared" si="272"/>
        <v>0.27932116317864725</v>
      </c>
      <c r="BI96" s="1298">
        <f t="shared" si="272"/>
        <v>0.27544860739055449</v>
      </c>
      <c r="BJ96" s="1286">
        <f t="shared" si="272"/>
        <v>0.28440940220831867</v>
      </c>
      <c r="BK96" s="1286">
        <f t="shared" si="272"/>
        <v>0.2745909718115514</v>
      </c>
      <c r="BL96" s="1297">
        <f t="shared" si="272"/>
        <v>0.27637773925047032</v>
      </c>
      <c r="BM96" s="1286">
        <f t="shared" si="272"/>
        <v>0.27776582505431469</v>
      </c>
      <c r="BN96" s="1298">
        <f t="shared" si="272"/>
        <v>0.28135499862296892</v>
      </c>
      <c r="BO96" s="1286">
        <f t="shared" si="272"/>
        <v>0.2896430955166252</v>
      </c>
      <c r="BP96" s="1286">
        <f t="shared" ref="BP96:CU96" si="273">BP11/BP9</f>
        <v>0.2830424213223538</v>
      </c>
      <c r="BQ96" s="1297">
        <f t="shared" si="273"/>
        <v>0.27979734008866364</v>
      </c>
      <c r="BR96" s="1286">
        <f t="shared" si="273"/>
        <v>0.28354413898292463</v>
      </c>
      <c r="BS96" s="1298">
        <f t="shared" si="273"/>
        <v>0.27950726765945005</v>
      </c>
      <c r="BT96" s="1286">
        <f t="shared" si="273"/>
        <v>0.28853549527076189</v>
      </c>
      <c r="BU96" s="1286">
        <f t="shared" si="273"/>
        <v>0.28275072091211201</v>
      </c>
      <c r="BV96" s="1297">
        <f t="shared" si="273"/>
        <v>0.27639736660021513</v>
      </c>
      <c r="BW96" s="1286">
        <f t="shared" si="273"/>
        <v>0.2819174615435433</v>
      </c>
      <c r="BX96" s="1298">
        <f t="shared" si="273"/>
        <v>0.27771459155683414</v>
      </c>
      <c r="BY96" s="1286">
        <f t="shared" si="273"/>
        <v>0.28267071320182097</v>
      </c>
      <c r="BZ96" s="1286">
        <f t="shared" si="273"/>
        <v>0.27507711289327574</v>
      </c>
      <c r="CA96" s="1297">
        <f t="shared" si="273"/>
        <v>0.27676240208877284</v>
      </c>
      <c r="CB96" s="1286">
        <f t="shared" si="273"/>
        <v>0.27809268177153235</v>
      </c>
      <c r="CC96" s="1298">
        <f t="shared" si="273"/>
        <v>0.27731605964311906</v>
      </c>
      <c r="CD96" s="1286">
        <f t="shared" si="273"/>
        <v>0.28827927238476481</v>
      </c>
      <c r="CE96" s="1286">
        <f t="shared" si="273"/>
        <v>0.27612070469213329</v>
      </c>
      <c r="CF96" s="1286">
        <f t="shared" si="273"/>
        <v>0.28405453467694131</v>
      </c>
      <c r="CG96" s="1285">
        <f t="shared" si="273"/>
        <v>0.28145950756452093</v>
      </c>
      <c r="CH96" s="1286">
        <f t="shared" si="273"/>
        <v>0.28511300738007378</v>
      </c>
      <c r="CI96" s="1286">
        <f t="shared" si="273"/>
        <v>0.28775267538644472</v>
      </c>
      <c r="CJ96" s="1286">
        <f t="shared" si="273"/>
        <v>0.28055086821621034</v>
      </c>
      <c r="CK96" s="1286">
        <f t="shared" si="273"/>
        <v>0.28212834641286805</v>
      </c>
      <c r="CL96" s="1285">
        <f t="shared" si="273"/>
        <v>0.28388562562340686</v>
      </c>
      <c r="CM96" s="1286">
        <f t="shared" si="273"/>
        <v>0.28110370655945366</v>
      </c>
      <c r="CN96" s="1286">
        <f t="shared" si="273"/>
        <v>0.28893893088842421</v>
      </c>
      <c r="CO96" s="1286">
        <f t="shared" si="273"/>
        <v>0.28244704821991889</v>
      </c>
      <c r="CP96" s="1286">
        <f t="shared" si="273"/>
        <v>0.28319568909974813</v>
      </c>
      <c r="CQ96" s="1285">
        <f t="shared" si="273"/>
        <v>0.2839752627978725</v>
      </c>
      <c r="CR96" s="1289">
        <f t="shared" si="273"/>
        <v>0.29446754446754447</v>
      </c>
      <c r="CS96" s="1290">
        <f t="shared" si="273"/>
        <v>0.3006918002895908</v>
      </c>
      <c r="CT96" s="1290">
        <f t="shared" si="273"/>
        <v>0.28515262381914486</v>
      </c>
      <c r="CU96" s="1290">
        <f t="shared" si="273"/>
        <v>0.28933727216989019</v>
      </c>
      <c r="CV96" s="1291">
        <f t="shared" ref="CV96:DF96" si="274">CV11/CV9</f>
        <v>0.29243806859880639</v>
      </c>
      <c r="CW96" s="1290">
        <f t="shared" si="274"/>
        <v>0.28108462000109119</v>
      </c>
      <c r="CX96" s="1290">
        <f t="shared" si="274"/>
        <v>0.28819178780923232</v>
      </c>
      <c r="CY96" s="1290">
        <f t="shared" si="274"/>
        <v>0.28039791763311167</v>
      </c>
      <c r="CZ96" s="1620">
        <f t="shared" si="274"/>
        <v>0.27952983155795769</v>
      </c>
      <c r="DA96" s="1291">
        <f t="shared" si="274"/>
        <v>0.28234631898628126</v>
      </c>
      <c r="DB96" s="1290">
        <f t="shared" si="274"/>
        <v>0.2708397258872865</v>
      </c>
      <c r="DC96" s="1290">
        <f t="shared" si="274"/>
        <v>0.25898468370150152</v>
      </c>
      <c r="DD96" s="1290">
        <f t="shared" si="274"/>
        <v>0.25980204896683451</v>
      </c>
      <c r="DE96" s="1290">
        <f>DE11/DE9</f>
        <v>0.25471565808849311</v>
      </c>
      <c r="DF96" s="1291">
        <f t="shared" si="274"/>
        <v>0.26027609141177838</v>
      </c>
      <c r="DG96" s="1290">
        <f>DG11/DG9</f>
        <v>0.25839561877863121</v>
      </c>
      <c r="DH96" s="1290">
        <f>DH11/DH9</f>
        <v>0.26318579379803869</v>
      </c>
      <c r="DI96" s="1290">
        <f>DI11/DI9</f>
        <v>0.25415282392026578</v>
      </c>
      <c r="DJ96" s="1290">
        <f>DJ11/DJ9</f>
        <v>0.2498603156865484</v>
      </c>
      <c r="DK96" s="1291">
        <f t="shared" ref="DK96:DU96" si="275">DK11/DK9</f>
        <v>0.25647842796397136</v>
      </c>
      <c r="DL96" s="1290">
        <f>DL11/DL9</f>
        <v>0.24967544998421107</v>
      </c>
      <c r="DM96" s="1290">
        <f>DM11/DM9</f>
        <v>0.25677511376757456</v>
      </c>
      <c r="DN96" s="1290">
        <f>DN11/DN9</f>
        <v>0.23723354804435887</v>
      </c>
      <c r="DO96" s="1290">
        <f>DO11/DO9</f>
        <v>0.24345749444426018</v>
      </c>
      <c r="DP96" s="1291">
        <f t="shared" si="275"/>
        <v>0.24668820951833118</v>
      </c>
      <c r="DQ96" s="1290">
        <f>DQ11/DQ9</f>
        <v>0.23880936890045543</v>
      </c>
      <c r="DR96" s="1290">
        <f t="shared" ca="1" si="275"/>
        <v>0.2472033012888005</v>
      </c>
      <c r="DS96" s="1290">
        <f t="shared" ca="1" si="275"/>
        <v>0.24026823515741047</v>
      </c>
      <c r="DT96" s="1772">
        <f t="shared" si="275"/>
        <v>0.24123864809192799</v>
      </c>
      <c r="DU96" s="1291">
        <f t="shared" ca="1" si="275"/>
        <v>0.2419437834974065</v>
      </c>
      <c r="DV96" s="1771">
        <f t="shared" ref="DV96:DZ96" si="276">DV11/DV9</f>
        <v>0.23810516398250089</v>
      </c>
      <c r="DW96" s="1290">
        <f t="shared" ca="1" si="276"/>
        <v>0.24793026924263636</v>
      </c>
      <c r="DX96" s="1290">
        <f t="shared" ca="1" si="276"/>
        <v>0.24248610542237725</v>
      </c>
      <c r="DY96" s="1772">
        <f t="shared" si="276"/>
        <v>0.24369966282365429</v>
      </c>
      <c r="DZ96" s="1291">
        <f t="shared" ca="1" si="276"/>
        <v>0.24309165972154667</v>
      </c>
      <c r="EA96" s="1771">
        <f t="shared" ref="EA96:EE96" si="277">EA11/EA9</f>
        <v>0.23951517318467094</v>
      </c>
      <c r="EB96" s="1290">
        <f t="shared" ca="1" si="277"/>
        <v>0.24868640165885422</v>
      </c>
      <c r="EC96" s="1290">
        <f t="shared" ca="1" si="277"/>
        <v>0.24347518071376545</v>
      </c>
      <c r="ED96" s="1772">
        <f t="shared" si="277"/>
        <v>0.24452406525483772</v>
      </c>
      <c r="EE96" s="1291">
        <f t="shared" ca="1" si="277"/>
        <v>0.24408346271431663</v>
      </c>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row>
    <row r="97" spans="2:232" s="54" customFormat="1" collapsed="1">
      <c r="B97" s="693" t="s">
        <v>215</v>
      </c>
      <c r="C97" s="375"/>
      <c r="D97" s="320">
        <f t="shared" ref="D97:J97" si="278">D136</f>
        <v>0.29909799627630029</v>
      </c>
      <c r="E97" s="320">
        <f t="shared" si="278"/>
        <v>0.29246858285431948</v>
      </c>
      <c r="F97" s="320">
        <f t="shared" si="278"/>
        <v>0.29473058545287983</v>
      </c>
      <c r="G97" s="320">
        <f t="shared" si="278"/>
        <v>0.28990773329787267</v>
      </c>
      <c r="H97" s="320">
        <f t="shared" si="278"/>
        <v>0.28838169271498909</v>
      </c>
      <c r="I97" s="320">
        <f t="shared" si="278"/>
        <v>0.28486705653224065</v>
      </c>
      <c r="J97" s="320">
        <f t="shared" si="278"/>
        <v>0.28433696042826345</v>
      </c>
      <c r="K97" s="1292"/>
      <c r="L97" s="320"/>
      <c r="M97" s="320"/>
      <c r="N97" s="1301"/>
      <c r="O97" s="320">
        <f t="shared" ref="O97:AT97" si="279">O136</f>
        <v>0.27852057765361826</v>
      </c>
      <c r="P97" s="1292">
        <f t="shared" si="279"/>
        <v>0.27566201339301932</v>
      </c>
      <c r="Q97" s="320">
        <f t="shared" si="279"/>
        <v>0.2843927475004302</v>
      </c>
      <c r="R97" s="320">
        <f t="shared" si="279"/>
        <v>0.27658486031567775</v>
      </c>
      <c r="S97" s="1301">
        <f t="shared" si="279"/>
        <v>0.27444891123393683</v>
      </c>
      <c r="T97" s="320">
        <f t="shared" si="279"/>
        <v>0.2779509546604837</v>
      </c>
      <c r="U97" s="1292">
        <f t="shared" si="279"/>
        <v>0.27442872063262513</v>
      </c>
      <c r="V97" s="320">
        <f t="shared" si="279"/>
        <v>0.28157036565825494</v>
      </c>
      <c r="W97" s="320">
        <f t="shared" si="279"/>
        <v>0.27765982021174745</v>
      </c>
      <c r="X97" s="1301">
        <f t="shared" si="279"/>
        <v>0.27906394814594354</v>
      </c>
      <c r="Y97" s="320">
        <f t="shared" si="279"/>
        <v>0.27832223569502224</v>
      </c>
      <c r="Z97" s="1292">
        <f t="shared" si="279"/>
        <v>0.27449955183746638</v>
      </c>
      <c r="AA97" s="320">
        <f t="shared" si="279"/>
        <v>0.28373481134086553</v>
      </c>
      <c r="AB97" s="320">
        <f t="shared" si="279"/>
        <v>0.27831736448352795</v>
      </c>
      <c r="AC97" s="1301">
        <f t="shared" si="279"/>
        <v>0.27298245614035088</v>
      </c>
      <c r="AD97" s="320">
        <f t="shared" si="279"/>
        <v>0.27498486445276582</v>
      </c>
      <c r="AE97" s="1292">
        <f t="shared" si="279"/>
        <v>0.27106485320948742</v>
      </c>
      <c r="AF97" s="320">
        <f t="shared" si="279"/>
        <v>0.27820567679361002</v>
      </c>
      <c r="AG97" s="320">
        <f t="shared" si="279"/>
        <v>0.27140764909808873</v>
      </c>
      <c r="AH97" s="1301">
        <f t="shared" si="279"/>
        <v>0.27237585489146598</v>
      </c>
      <c r="AI97" s="320">
        <f t="shared" si="279"/>
        <v>0.27337328888239204</v>
      </c>
      <c r="AJ97" s="1292">
        <f t="shared" si="279"/>
        <v>0.26798119055252745</v>
      </c>
      <c r="AK97" s="320">
        <f t="shared" si="279"/>
        <v>0.27960802613159125</v>
      </c>
      <c r="AL97" s="320">
        <f t="shared" si="279"/>
        <v>0.26498522918585804</v>
      </c>
      <c r="AM97" s="1301">
        <f t="shared" si="279"/>
        <v>0.26519829397160866</v>
      </c>
      <c r="AN97" s="320">
        <f t="shared" si="279"/>
        <v>0.26954067335418103</v>
      </c>
      <c r="AO97" s="1292">
        <f t="shared" si="279"/>
        <v>0.26226484129645999</v>
      </c>
      <c r="AP97" s="320">
        <f t="shared" si="279"/>
        <v>0.27438071709955264</v>
      </c>
      <c r="AQ97" s="320">
        <f t="shared" si="279"/>
        <v>0.26491301585585098</v>
      </c>
      <c r="AR97" s="1301">
        <f t="shared" si="279"/>
        <v>0.26620872665957179</v>
      </c>
      <c r="AS97" s="320">
        <f t="shared" si="279"/>
        <v>0.2671062128021589</v>
      </c>
      <c r="AT97" s="1292">
        <f t="shared" si="279"/>
        <v>0.26954267926091197</v>
      </c>
      <c r="AU97" s="320">
        <f t="shared" ref="AU97:BZ97" si="280">AU136</f>
        <v>0.28095807532470612</v>
      </c>
      <c r="AV97" s="320">
        <f t="shared" si="280"/>
        <v>0.26885206532180594</v>
      </c>
      <c r="AW97" s="1301">
        <f t="shared" si="280"/>
        <v>0.26749854481955759</v>
      </c>
      <c r="AX97" s="320">
        <f t="shared" si="280"/>
        <v>0.27181329871344456</v>
      </c>
      <c r="AY97" s="1292">
        <f t="shared" si="280"/>
        <v>0.26605357306669108</v>
      </c>
      <c r="AZ97" s="320">
        <f t="shared" si="280"/>
        <v>0.27887387295291449</v>
      </c>
      <c r="BA97" s="320">
        <f t="shared" si="280"/>
        <v>0.2704494440674427</v>
      </c>
      <c r="BB97" s="1301">
        <f t="shared" si="280"/>
        <v>0.27218432749530597</v>
      </c>
      <c r="BC97" s="320">
        <f t="shared" si="280"/>
        <v>0.2720605094352701</v>
      </c>
      <c r="BD97" s="1292">
        <f t="shared" si="280"/>
        <v>0.27569748510986847</v>
      </c>
      <c r="BE97" s="320">
        <f t="shared" si="280"/>
        <v>0.28740329480294896</v>
      </c>
      <c r="BF97" s="320">
        <f t="shared" si="280"/>
        <v>0.28072313629900469</v>
      </c>
      <c r="BG97" s="1301">
        <f t="shared" si="280"/>
        <v>0.27928803514087791</v>
      </c>
      <c r="BH97" s="320">
        <f t="shared" si="280"/>
        <v>0.28092773733697296</v>
      </c>
      <c r="BI97" s="1292">
        <f t="shared" si="280"/>
        <v>0.27739349014715053</v>
      </c>
      <c r="BJ97" s="320">
        <f t="shared" si="280"/>
        <v>0.28636614021096607</v>
      </c>
      <c r="BK97" s="320">
        <f t="shared" si="280"/>
        <v>0.27657861883172352</v>
      </c>
      <c r="BL97" s="1301">
        <f t="shared" si="280"/>
        <v>0.27852230429816838</v>
      </c>
      <c r="BM97" s="320">
        <f t="shared" si="280"/>
        <v>0.27977599190027219</v>
      </c>
      <c r="BN97" s="1292">
        <f t="shared" si="280"/>
        <v>0.28351103592084043</v>
      </c>
      <c r="BO97" s="320">
        <f t="shared" si="280"/>
        <v>0.29060479269684297</v>
      </c>
      <c r="BP97" s="320">
        <f t="shared" si="280"/>
        <v>0.28278691516465543</v>
      </c>
      <c r="BQ97" s="1301">
        <f t="shared" si="280"/>
        <v>0.28218157433967883</v>
      </c>
      <c r="BR97" s="320">
        <f t="shared" si="280"/>
        <v>0.28483315352851446</v>
      </c>
      <c r="BS97" s="1292">
        <f t="shared" si="280"/>
        <v>0.28142487471396288</v>
      </c>
      <c r="BT97" s="320">
        <f t="shared" si="280"/>
        <v>0.29052333437272637</v>
      </c>
      <c r="BU97" s="320">
        <f t="shared" si="280"/>
        <v>0.28382293199784231</v>
      </c>
      <c r="BV97" s="1301">
        <f t="shared" si="280"/>
        <v>0.27810318487918834</v>
      </c>
      <c r="BW97" s="320">
        <f t="shared" si="280"/>
        <v>0.28358598306408306</v>
      </c>
      <c r="BX97" s="1299">
        <f t="shared" si="280"/>
        <v>0.28092593831538099</v>
      </c>
      <c r="BY97" s="1286">
        <f t="shared" si="280"/>
        <v>0.28564491654021246</v>
      </c>
      <c r="BZ97" s="1286">
        <f t="shared" si="280"/>
        <v>0.27705120296113511</v>
      </c>
      <c r="CA97" s="1286">
        <f t="shared" ref="CA97:CL97" si="281">CA136</f>
        <v>0.27981914283894799</v>
      </c>
      <c r="CB97" s="1285">
        <f t="shared" si="281"/>
        <v>0.28080839977895317</v>
      </c>
      <c r="CC97" s="320">
        <f t="shared" si="281"/>
        <v>0.27939379124908337</v>
      </c>
      <c r="CD97" s="320">
        <f t="shared" si="281"/>
        <v>0.28986872314122564</v>
      </c>
      <c r="CE97" s="320">
        <f t="shared" si="281"/>
        <v>0.27716727716727718</v>
      </c>
      <c r="CF97" s="320">
        <f t="shared" si="281"/>
        <v>0.28767042086544159</v>
      </c>
      <c r="CG97" s="949">
        <f t="shared" si="281"/>
        <v>0.28353604271729455</v>
      </c>
      <c r="CH97" s="320">
        <f t="shared" si="281"/>
        <v>0.28753459409594095</v>
      </c>
      <c r="CI97" s="320">
        <f t="shared" si="281"/>
        <v>0.29077937520268077</v>
      </c>
      <c r="CJ97" s="320">
        <f t="shared" si="281"/>
        <v>0.28327254912634042</v>
      </c>
      <c r="CK97" s="320">
        <f t="shared" si="281"/>
        <v>0.28546780208159406</v>
      </c>
      <c r="CL97" s="949">
        <f t="shared" si="281"/>
        <v>0.28676715061509478</v>
      </c>
      <c r="CM97" s="320">
        <f t="shared" ref="CM97:DF97" si="282">CM60/CM9</f>
        <v>0.28358208955223879</v>
      </c>
      <c r="CN97" s="320">
        <f t="shared" si="282"/>
        <v>0.29279931370972068</v>
      </c>
      <c r="CO97" s="320">
        <f t="shared" si="282"/>
        <v>0.28582694907616041</v>
      </c>
      <c r="CP97" s="320">
        <f t="shared" si="282"/>
        <v>0.29092719498623559</v>
      </c>
      <c r="CQ97" s="697">
        <f t="shared" si="282"/>
        <v>0.28828891711920485</v>
      </c>
      <c r="CR97" s="376">
        <f t="shared" si="282"/>
        <v>0.29764379764379767</v>
      </c>
      <c r="CS97" s="375">
        <f t="shared" si="282"/>
        <v>0.30455301120823725</v>
      </c>
      <c r="CT97" s="375">
        <f t="shared" si="282"/>
        <v>0.2917053459291214</v>
      </c>
      <c r="CU97" s="375">
        <f t="shared" si="282"/>
        <v>0.28889136614458505</v>
      </c>
      <c r="CV97" s="697">
        <f t="shared" si="282"/>
        <v>0.2957475386681806</v>
      </c>
      <c r="CW97" s="376">
        <f t="shared" si="282"/>
        <v>0.28452179606088712</v>
      </c>
      <c r="CX97" s="375">
        <f t="shared" si="282"/>
        <v>0.29079316500892627</v>
      </c>
      <c r="CY97" s="1545">
        <f t="shared" si="282"/>
        <v>0.28251121076233182</v>
      </c>
      <c r="CZ97" s="1545">
        <f t="shared" si="282"/>
        <v>0.27895261583670045</v>
      </c>
      <c r="DA97" s="1546">
        <f t="shared" si="282"/>
        <v>0.28423133312388732</v>
      </c>
      <c r="DB97" s="1547">
        <f t="shared" si="282"/>
        <v>0.27349902833179912</v>
      </c>
      <c r="DC97" s="1545">
        <f t="shared" si="282"/>
        <v>0.26105445376886316</v>
      </c>
      <c r="DD97" s="1545">
        <f t="shared" si="282"/>
        <v>0.26219829831567981</v>
      </c>
      <c r="DE97" s="1545">
        <f>DE60/DE9</f>
        <v>0.25853726947619382</v>
      </c>
      <c r="DF97" s="697">
        <f t="shared" si="282"/>
        <v>0.26303120528981866</v>
      </c>
      <c r="DG97" s="1545">
        <f>DG60/DG9</f>
        <v>0.25998002273275239</v>
      </c>
      <c r="DH97" s="1545">
        <f>DH60/DH9</f>
        <v>0.26543864298966341</v>
      </c>
      <c r="DI97" s="1545">
        <f>DI60/DI9</f>
        <v>0.25727167943589396</v>
      </c>
      <c r="DJ97" s="1545">
        <f>DJ60/DJ9</f>
        <v>0.25013968431345163</v>
      </c>
      <c r="DK97" s="697">
        <f t="shared" ref="DK97:DU97" si="283">DK60/DK9</f>
        <v>0.25830201702584554</v>
      </c>
      <c r="DL97" s="1545">
        <f>DL60/DL9</f>
        <v>0.25171046629942812</v>
      </c>
      <c r="DM97" s="1545">
        <f>DM60/DM9</f>
        <v>0.25843917679820688</v>
      </c>
      <c r="DN97" s="1545">
        <f>DN60/DN9</f>
        <v>0.23886048210372535</v>
      </c>
      <c r="DO97" s="1545">
        <f>DO60/DO9</f>
        <v>0.24312580848452686</v>
      </c>
      <c r="DP97" s="697">
        <f t="shared" si="283"/>
        <v>0.24792325782056271</v>
      </c>
      <c r="DQ97" s="1545">
        <f>DQ60/DQ9</f>
        <v>0.24196486662329214</v>
      </c>
      <c r="DR97" s="375">
        <f t="shared" ca="1" si="283"/>
        <v>0.24866307433647672</v>
      </c>
      <c r="DS97" s="375">
        <f t="shared" ca="1" si="283"/>
        <v>0.24171593607542455</v>
      </c>
      <c r="DT97" s="1639">
        <f t="shared" si="283"/>
        <v>0.240097540642911</v>
      </c>
      <c r="DU97" s="697">
        <f t="shared" ca="1" si="283"/>
        <v>0.24313811205036423</v>
      </c>
      <c r="DV97" s="1638">
        <f t="shared" ref="DV97:DZ97" si="284">DV60/DV9</f>
        <v>0.23972726109779549</v>
      </c>
      <c r="DW97" s="375">
        <f t="shared" ca="1" si="284"/>
        <v>0.24935630888531091</v>
      </c>
      <c r="DX97" s="375">
        <f t="shared" ca="1" si="284"/>
        <v>0.24391201901681597</v>
      </c>
      <c r="DY97" s="1639">
        <f t="shared" si="284"/>
        <v>0.24257547887501707</v>
      </c>
      <c r="DZ97" s="697">
        <f t="shared" ca="1" si="284"/>
        <v>0.24393102219614243</v>
      </c>
      <c r="EA97" s="1638">
        <f t="shared" ref="EA97:EE97" si="285">EA60/EA9</f>
        <v>0.24110864115342101</v>
      </c>
      <c r="EB97" s="375">
        <f t="shared" ca="1" si="285"/>
        <v>0.25008801948933873</v>
      </c>
      <c r="EC97" s="375">
        <f t="shared" ca="1" si="285"/>
        <v>0.24487542723664429</v>
      </c>
      <c r="ED97" s="1639">
        <f t="shared" si="285"/>
        <v>0.24342118080718447</v>
      </c>
      <c r="EE97" s="697">
        <f t="shared" ca="1" si="285"/>
        <v>0.24490777623623042</v>
      </c>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row>
    <row r="98" spans="2:232" s="54" customFormat="1" hidden="1" outlineLevel="1">
      <c r="B98" s="693" t="s">
        <v>233</v>
      </c>
      <c r="C98" s="375"/>
      <c r="D98" s="320">
        <f t="shared" ref="D98:J98" si="286">D18/D$9</f>
        <v>0.23756215692065605</v>
      </c>
      <c r="E98" s="320">
        <f t="shared" si="286"/>
        <v>0.23264545611785645</v>
      </c>
      <c r="F98" s="320">
        <f t="shared" si="286"/>
        <v>0.23506826927018448</v>
      </c>
      <c r="G98" s="320">
        <f t="shared" si="286"/>
        <v>0.23261258486833575</v>
      </c>
      <c r="H98" s="320">
        <f t="shared" si="286"/>
        <v>0.23263016525936608</v>
      </c>
      <c r="I98" s="320">
        <f t="shared" si="286"/>
        <v>0.23442275661079001</v>
      </c>
      <c r="J98" s="320">
        <f t="shared" si="286"/>
        <v>0.23017882663132691</v>
      </c>
      <c r="K98" s="1292"/>
      <c r="L98" s="320"/>
      <c r="M98" s="320"/>
      <c r="N98" s="1301"/>
      <c r="O98" s="320">
        <f t="shared" ref="O98:AT98" si="287">O18/O$9</f>
        <v>0.22579664416447456</v>
      </c>
      <c r="P98" s="1292">
        <f t="shared" si="287"/>
        <v>0.23171966801343427</v>
      </c>
      <c r="Q98" s="320">
        <f t="shared" si="287"/>
        <v>0.2127782003097746</v>
      </c>
      <c r="R98" s="320">
        <f t="shared" si="287"/>
        <v>0.22256199238323254</v>
      </c>
      <c r="S98" s="1301">
        <f t="shared" si="287"/>
        <v>0.2242800266291832</v>
      </c>
      <c r="T98" s="320">
        <f t="shared" si="287"/>
        <v>0.22244188309785895</v>
      </c>
      <c r="U98" s="1292">
        <f t="shared" si="287"/>
        <v>0.22977424278942718</v>
      </c>
      <c r="V98" s="320">
        <f t="shared" si="287"/>
        <v>0.20871818436547795</v>
      </c>
      <c r="W98" s="320">
        <f t="shared" si="287"/>
        <v>0.2167511862495376</v>
      </c>
      <c r="X98" s="1301">
        <f t="shared" si="287"/>
        <v>0.2172150238863931</v>
      </c>
      <c r="Y98" s="320">
        <f t="shared" si="287"/>
        <v>0.21768450912549916</v>
      </c>
      <c r="Z98" s="1292">
        <f t="shared" si="287"/>
        <v>0.22557514191813563</v>
      </c>
      <c r="AA98" s="320">
        <f t="shared" si="287"/>
        <v>0.20648049456405884</v>
      </c>
      <c r="AB98" s="320">
        <f t="shared" si="287"/>
        <v>0.21533884586778668</v>
      </c>
      <c r="AC98" s="1301">
        <f t="shared" si="287"/>
        <v>0.21618421052631578</v>
      </c>
      <c r="AD98" s="320">
        <f t="shared" si="287"/>
        <v>0.21553019261385298</v>
      </c>
      <c r="AE98" s="1292">
        <f t="shared" si="287"/>
        <v>0.22018576878420967</v>
      </c>
      <c r="AF98" s="320">
        <f t="shared" si="287"/>
        <v>0.20544501497646553</v>
      </c>
      <c r="AG98" s="320">
        <f t="shared" si="287"/>
        <v>0.21100832390945662</v>
      </c>
      <c r="AH98" s="1301">
        <f t="shared" si="287"/>
        <v>0.2163990484686292</v>
      </c>
      <c r="AI98" s="320">
        <f t="shared" si="287"/>
        <v>0.21299199788747999</v>
      </c>
      <c r="AJ98" s="1292">
        <f t="shared" si="287"/>
        <v>0.21917637419400807</v>
      </c>
      <c r="AK98" s="320">
        <f t="shared" si="287"/>
        <v>0.20437081972312959</v>
      </c>
      <c r="AL98" s="320">
        <f t="shared" si="287"/>
        <v>0.20744258441599694</v>
      </c>
      <c r="AM98" s="1301">
        <f t="shared" si="287"/>
        <v>0.2109141256604494</v>
      </c>
      <c r="AN98" s="320">
        <f t="shared" si="287"/>
        <v>0.21020184380457296</v>
      </c>
      <c r="AO98" s="1292">
        <f t="shared" si="287"/>
        <v>0.21433362807573866</v>
      </c>
      <c r="AP98" s="320">
        <f t="shared" si="287"/>
        <v>0.20170928757428055</v>
      </c>
      <c r="AQ98" s="320">
        <f t="shared" si="287"/>
        <v>0.20588275051027993</v>
      </c>
      <c r="AR98" s="1301">
        <f t="shared" si="287"/>
        <v>0.21302503006095116</v>
      </c>
      <c r="AS98" s="320">
        <f t="shared" si="287"/>
        <v>0.20915167130967779</v>
      </c>
      <c r="AT98" s="1292">
        <f t="shared" si="287"/>
        <v>0.21950861066948124</v>
      </c>
      <c r="AU98" s="320">
        <f t="shared" ref="AU98:BZ98" si="288">AU18/AU$9</f>
        <v>0.20777637015900829</v>
      </c>
      <c r="AV98" s="320">
        <f t="shared" si="288"/>
        <v>0.21245196926032661</v>
      </c>
      <c r="AW98" s="1301">
        <f t="shared" si="288"/>
        <v>0.21630044625533568</v>
      </c>
      <c r="AX98" s="320">
        <f t="shared" si="288"/>
        <v>0.21436130612144441</v>
      </c>
      <c r="AY98" s="1292">
        <f t="shared" si="288"/>
        <v>0.21730804513347399</v>
      </c>
      <c r="AZ98" s="320">
        <f t="shared" si="288"/>
        <v>0.20737666373617383</v>
      </c>
      <c r="BA98" s="320">
        <f t="shared" si="288"/>
        <v>0.21225661638043533</v>
      </c>
      <c r="BB98" s="1301">
        <f t="shared" si="288"/>
        <v>0.22435210625139232</v>
      </c>
      <c r="BC98" s="320">
        <f t="shared" si="288"/>
        <v>0.21519827664350727</v>
      </c>
      <c r="BD98" s="1292">
        <f t="shared" si="288"/>
        <v>0.22264917939954093</v>
      </c>
      <c r="BE98" s="320">
        <f t="shared" si="288"/>
        <v>0.21434422499317374</v>
      </c>
      <c r="BF98" s="320">
        <f t="shared" si="288"/>
        <v>0.21901833693424186</v>
      </c>
      <c r="BG98" s="1301">
        <f t="shared" si="288"/>
        <v>0.23200792766010159</v>
      </c>
      <c r="BH98" s="320">
        <f t="shared" si="288"/>
        <v>0.22188258265089475</v>
      </c>
      <c r="BI98" s="1292">
        <f t="shared" si="288"/>
        <v>0.22574400939415065</v>
      </c>
      <c r="BJ98" s="320">
        <f t="shared" si="288"/>
        <v>0.21691838429347782</v>
      </c>
      <c r="BK98" s="320">
        <f t="shared" si="288"/>
        <v>0.21647283001511267</v>
      </c>
      <c r="BL98" s="1301">
        <f t="shared" si="288"/>
        <v>0.22451377533832365</v>
      </c>
      <c r="BM98" s="320">
        <f t="shared" si="288"/>
        <v>0.22078297369697739</v>
      </c>
      <c r="BN98" s="1292">
        <f t="shared" si="288"/>
        <v>0.2284848723295432</v>
      </c>
      <c r="BO98" s="320">
        <f t="shared" si="288"/>
        <v>0.2164033960828782</v>
      </c>
      <c r="BP98" s="320">
        <f t="shared" si="288"/>
        <v>0.22064051743647023</v>
      </c>
      <c r="BQ98" s="1301">
        <f t="shared" si="288"/>
        <v>0.23483217226092465</v>
      </c>
      <c r="BR98" s="320">
        <f t="shared" si="288"/>
        <v>0.2249395483798966</v>
      </c>
      <c r="BS98" s="1292">
        <f t="shared" si="288"/>
        <v>0.22761781877544038</v>
      </c>
      <c r="BT98" s="320">
        <f t="shared" si="288"/>
        <v>0.21788275647022137</v>
      </c>
      <c r="BU98" s="320">
        <f t="shared" si="288"/>
        <v>0.22183447991102645</v>
      </c>
      <c r="BV98" s="1301">
        <f t="shared" si="288"/>
        <v>0.23310794609888263</v>
      </c>
      <c r="BW98" s="320">
        <f t="shared" si="288"/>
        <v>0.22496582495261233</v>
      </c>
      <c r="BX98" s="1302">
        <f t="shared" si="288"/>
        <v>0.23295644610958721</v>
      </c>
      <c r="BY98" s="320">
        <f t="shared" si="288"/>
        <v>0.22015174506828528</v>
      </c>
      <c r="BZ98" s="320">
        <f t="shared" si="288"/>
        <v>0.2228871067242443</v>
      </c>
      <c r="CA98" s="320">
        <f t="shared" ref="CA98:CO98" si="289">CA18/CA$9</f>
        <v>0.23205756861746163</v>
      </c>
      <c r="CB98" s="949">
        <f t="shared" si="289"/>
        <v>0.2268256098523723</v>
      </c>
      <c r="CC98" s="320">
        <f t="shared" si="289"/>
        <v>0.22861158640919091</v>
      </c>
      <c r="CD98" s="320">
        <f t="shared" si="289"/>
        <v>0.22434803084711838</v>
      </c>
      <c r="CE98" s="320">
        <f t="shared" si="289"/>
        <v>0.22792022792022792</v>
      </c>
      <c r="CF98" s="320">
        <f t="shared" si="289"/>
        <v>0.23983402489626557</v>
      </c>
      <c r="CG98" s="949">
        <f t="shared" si="289"/>
        <v>0.23016908929101157</v>
      </c>
      <c r="CH98" s="320">
        <f t="shared" si="289"/>
        <v>0.23085793357933579</v>
      </c>
      <c r="CI98" s="320">
        <f t="shared" si="289"/>
        <v>0.22251648470435628</v>
      </c>
      <c r="CJ98" s="320">
        <f t="shared" si="289"/>
        <v>0.22878449730553591</v>
      </c>
      <c r="CK98" s="320">
        <f t="shared" si="289"/>
        <v>0.23582122780653419</v>
      </c>
      <c r="CL98" s="949">
        <f t="shared" si="289"/>
        <v>0.22942757397761276</v>
      </c>
      <c r="CM98" s="320">
        <f t="shared" si="289"/>
        <v>0.23153604670375061</v>
      </c>
      <c r="CN98" s="320">
        <f t="shared" si="289"/>
        <v>0.22969277786713849</v>
      </c>
      <c r="CO98" s="320">
        <f t="shared" si="289"/>
        <v>0.23326949076160433</v>
      </c>
      <c r="CP98" s="320">
        <f>CP13/CP$9</f>
        <v>0</v>
      </c>
      <c r="CQ98" s="949">
        <f t="shared" ref="CQ98:DF98" si="290">CQ18/CQ$9</f>
        <v>0.23561766225063868</v>
      </c>
      <c r="CR98" s="1292">
        <f t="shared" si="290"/>
        <v>0.25398475398475401</v>
      </c>
      <c r="CS98" s="320">
        <f t="shared" si="290"/>
        <v>0.241164798627125</v>
      </c>
      <c r="CT98" s="320">
        <f t="shared" si="290"/>
        <v>0.23819144869764647</v>
      </c>
      <c r="CU98" s="320">
        <f t="shared" si="290"/>
        <v>0.23889415305724318</v>
      </c>
      <c r="CV98" s="949">
        <f t="shared" si="290"/>
        <v>0.24292064195411053</v>
      </c>
      <c r="CW98" s="320">
        <f t="shared" si="290"/>
        <v>0.2389110153308964</v>
      </c>
      <c r="CX98" s="320">
        <f t="shared" si="290"/>
        <v>0.23305279265493498</v>
      </c>
      <c r="CY98" s="320">
        <f t="shared" si="290"/>
        <v>0.23457553734343592</v>
      </c>
      <c r="CZ98" s="320">
        <f t="shared" si="290"/>
        <v>0.23576638505536024</v>
      </c>
      <c r="DA98" s="949">
        <f t="shared" si="290"/>
        <v>0.23552204419310924</v>
      </c>
      <c r="DB98" s="320">
        <f t="shared" si="290"/>
        <v>0.22788176332208243</v>
      </c>
      <c r="DC98" s="320">
        <f t="shared" si="290"/>
        <v>0.21096601813871221</v>
      </c>
      <c r="DD98" s="320">
        <f t="shared" si="290"/>
        <v>0.21114776870984545</v>
      </c>
      <c r="DE98" s="320">
        <f>DE18/DE$9</f>
        <v>0.22540495056447654</v>
      </c>
      <c r="DF98" s="949">
        <f t="shared" si="290"/>
        <v>0.2181953520745524</v>
      </c>
      <c r="DG98" s="320">
        <f>DG18/DG$9</f>
        <v>0.20783246650363379</v>
      </c>
      <c r="DH98" s="320">
        <f>DH18/DH$9</f>
        <v>0.20156374238006891</v>
      </c>
      <c r="DI98" s="320">
        <f>DI18/DI$9</f>
        <v>0.20228490067123195</v>
      </c>
      <c r="DJ98" s="320">
        <f>DJ18/DJ$9</f>
        <v>0.21123760301718117</v>
      </c>
      <c r="DK98" s="949">
        <f t="shared" ref="DK98:DU98" si="291">DK18/DK$9</f>
        <v>0.20565653466949579</v>
      </c>
      <c r="DL98" s="320">
        <f>DL18/DL$9</f>
        <v>0.19950177186765378</v>
      </c>
      <c r="DM98" s="320">
        <f>DM18/DM$9</f>
        <v>0.20797391835903009</v>
      </c>
      <c r="DN98" s="320">
        <f>DN18/DN$9</f>
        <v>0.18965402749186533</v>
      </c>
      <c r="DO98" s="320">
        <f>DO18/DO$9</f>
        <v>0.20624232976218115</v>
      </c>
      <c r="DP98" s="949">
        <f t="shared" si="291"/>
        <v>0.20082223763682813</v>
      </c>
      <c r="DQ98" s="320">
        <f>DQ18/DQ$9</f>
        <v>0.19216005204944697</v>
      </c>
      <c r="DR98" s="320">
        <f t="shared" ca="1" si="291"/>
        <v>0.19112546660041221</v>
      </c>
      <c r="DS98" s="320">
        <f t="shared" ca="1" si="291"/>
        <v>0.18923599981813471</v>
      </c>
      <c r="DT98" s="1303">
        <f t="shared" si="291"/>
        <v>0.18915762951619963</v>
      </c>
      <c r="DU98" s="949">
        <f t="shared" ca="1" si="291"/>
        <v>0.19038239568830675</v>
      </c>
      <c r="DV98" s="1302">
        <f t="shared" ref="DV98:DZ98" si="292">DV18/DV$9</f>
        <v>0.18974717901138757</v>
      </c>
      <c r="DW98" s="320">
        <f t="shared" ca="1" si="292"/>
        <v>0.19201870235221102</v>
      </c>
      <c r="DX98" s="320">
        <f t="shared" ca="1" si="292"/>
        <v>0.18645247857120617</v>
      </c>
      <c r="DY98" s="1303">
        <f t="shared" si="292"/>
        <v>0.1854125164400196</v>
      </c>
      <c r="DZ98" s="949">
        <f t="shared" ca="1" si="292"/>
        <v>0.18840943518510281</v>
      </c>
      <c r="EA98" s="1302">
        <f t="shared" ref="EA98:EE98" si="293">EA18/EA$9</f>
        <v>0.19059020523517398</v>
      </c>
      <c r="EB98" s="320">
        <f t="shared" ca="1" si="293"/>
        <v>0.19301100010289665</v>
      </c>
      <c r="EC98" s="320">
        <f t="shared" ca="1" si="293"/>
        <v>0.18723808937575634</v>
      </c>
      <c r="ED98" s="1303">
        <f t="shared" si="293"/>
        <v>0.18600788941917207</v>
      </c>
      <c r="EE98" s="949">
        <f t="shared" ca="1" si="293"/>
        <v>0.18921231780857839</v>
      </c>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row>
    <row r="99" spans="2:232" s="54" customFormat="1" collapsed="1">
      <c r="B99" s="693" t="s">
        <v>445</v>
      </c>
      <c r="C99" s="375"/>
      <c r="D99" s="320"/>
      <c r="E99" s="320"/>
      <c r="F99" s="320"/>
      <c r="G99" s="320"/>
      <c r="H99" s="320"/>
      <c r="I99" s="320"/>
      <c r="J99" s="320"/>
      <c r="K99" s="1292"/>
      <c r="L99" s="320"/>
      <c r="M99" s="320"/>
      <c r="N99" s="1301"/>
      <c r="O99" s="320"/>
      <c r="P99" s="1292"/>
      <c r="Q99" s="320"/>
      <c r="R99" s="320"/>
      <c r="S99" s="1301"/>
      <c r="T99" s="320"/>
      <c r="U99" s="1292"/>
      <c r="V99" s="320"/>
      <c r="W99" s="320"/>
      <c r="X99" s="1301"/>
      <c r="Y99" s="320"/>
      <c r="Z99" s="1292"/>
      <c r="AA99" s="320"/>
      <c r="AB99" s="320"/>
      <c r="AC99" s="1301"/>
      <c r="AD99" s="320"/>
      <c r="AE99" s="1292"/>
      <c r="AF99" s="320"/>
      <c r="AG99" s="320"/>
      <c r="AH99" s="1301"/>
      <c r="AI99" s="320"/>
      <c r="AJ99" s="1292"/>
      <c r="AK99" s="320"/>
      <c r="AL99" s="320"/>
      <c r="AM99" s="1301"/>
      <c r="AN99" s="320"/>
      <c r="AO99" s="1292"/>
      <c r="AP99" s="320"/>
      <c r="AQ99" s="320"/>
      <c r="AR99" s="1301"/>
      <c r="AS99" s="320"/>
      <c r="AT99" s="1292"/>
      <c r="AU99" s="320"/>
      <c r="AV99" s="320"/>
      <c r="AW99" s="1301"/>
      <c r="AX99" s="320"/>
      <c r="AY99" s="1292"/>
      <c r="AZ99" s="320"/>
      <c r="BA99" s="320"/>
      <c r="BB99" s="1301"/>
      <c r="BC99" s="320"/>
      <c r="BD99" s="1292"/>
      <c r="BE99" s="320"/>
      <c r="BF99" s="320"/>
      <c r="BG99" s="1301"/>
      <c r="BH99" s="320"/>
      <c r="BI99" s="1292"/>
      <c r="BJ99" s="320"/>
      <c r="BK99" s="320"/>
      <c r="BL99" s="1301"/>
      <c r="BM99" s="320"/>
      <c r="BN99" s="1292"/>
      <c r="BO99" s="320"/>
      <c r="BP99" s="320"/>
      <c r="BQ99" s="1301"/>
      <c r="BR99" s="320"/>
      <c r="BS99" s="1292"/>
      <c r="BT99" s="320"/>
      <c r="BU99" s="320"/>
      <c r="BV99" s="1301"/>
      <c r="BW99" s="320"/>
      <c r="BX99" s="1302">
        <f t="shared" ref="BX99:DF99" si="294">BX66/BX$9</f>
        <v>0.23061483909814678</v>
      </c>
      <c r="BY99" s="320">
        <f t="shared" si="294"/>
        <v>0.21802731411229134</v>
      </c>
      <c r="BZ99" s="320">
        <f t="shared" si="294"/>
        <v>0.22054287476866133</v>
      </c>
      <c r="CA99" s="320">
        <f t="shared" si="294"/>
        <v>0.22951028465898235</v>
      </c>
      <c r="CB99" s="949">
        <f t="shared" si="294"/>
        <v>0.22448882924133576</v>
      </c>
      <c r="CC99" s="320">
        <f t="shared" si="294"/>
        <v>0.2262283060376436</v>
      </c>
      <c r="CD99" s="320">
        <f t="shared" si="294"/>
        <v>0.22211102607876612</v>
      </c>
      <c r="CE99" s="320">
        <f t="shared" si="294"/>
        <v>0.22489679632536774</v>
      </c>
      <c r="CF99" s="320">
        <f t="shared" si="294"/>
        <v>0.23669235328986366</v>
      </c>
      <c r="CG99" s="949">
        <f t="shared" si="294"/>
        <v>0.22746959359240582</v>
      </c>
      <c r="CH99" s="320">
        <f t="shared" si="294"/>
        <v>0.22785977859778597</v>
      </c>
      <c r="CI99" s="320">
        <f t="shared" si="294"/>
        <v>0.22003026699816236</v>
      </c>
      <c r="CJ99" s="320">
        <f t="shared" si="294"/>
        <v>0.22584508192259539</v>
      </c>
      <c r="CK99" s="320">
        <f t="shared" si="294"/>
        <v>0.23209216897645685</v>
      </c>
      <c r="CL99" s="949">
        <f t="shared" si="294"/>
        <v>0.22639366064501829</v>
      </c>
      <c r="CM99" s="320">
        <f t="shared" si="294"/>
        <v>0.22823153604670374</v>
      </c>
      <c r="CN99" s="320">
        <f t="shared" si="294"/>
        <v>0.22642217575465123</v>
      </c>
      <c r="CO99" s="320">
        <f t="shared" si="294"/>
        <v>0.22859396124380352</v>
      </c>
      <c r="CP99" s="320">
        <f t="shared" si="294"/>
        <v>0.24184384700989867</v>
      </c>
      <c r="CQ99" s="949">
        <f t="shared" si="294"/>
        <v>0.23109460723409603</v>
      </c>
      <c r="CR99" s="1292">
        <f t="shared" si="294"/>
        <v>0.24532224532224534</v>
      </c>
      <c r="CS99" s="320">
        <f t="shared" si="294"/>
        <v>0.23601651740226309</v>
      </c>
      <c r="CT99" s="320">
        <f t="shared" si="294"/>
        <v>0.23152951455250367</v>
      </c>
      <c r="CU99" s="320">
        <f t="shared" si="294"/>
        <v>0.23348754250041803</v>
      </c>
      <c r="CV99" s="949">
        <f t="shared" si="294"/>
        <v>0.23648171483168784</v>
      </c>
      <c r="CW99" s="320">
        <f t="shared" si="294"/>
        <v>0.2326913634131704</v>
      </c>
      <c r="CX99" s="320">
        <f t="shared" si="294"/>
        <v>0.22836011221627137</v>
      </c>
      <c r="CY99" s="320">
        <f t="shared" si="294"/>
        <v>0.22478222772022061</v>
      </c>
      <c r="CZ99" s="320">
        <f t="shared" si="294"/>
        <v>0.22432701894317048</v>
      </c>
      <c r="DA99" s="949">
        <f t="shared" si="294"/>
        <v>0.22748455335637238</v>
      </c>
      <c r="DB99" s="320">
        <f t="shared" si="294"/>
        <v>0.22179605195867852</v>
      </c>
      <c r="DC99" s="320">
        <f t="shared" si="294"/>
        <v>0.19561208745719338</v>
      </c>
      <c r="DD99" s="320">
        <f t="shared" si="294"/>
        <v>0.20145858656016669</v>
      </c>
      <c r="DE99" s="320">
        <f>DE66/DE$9</f>
        <v>0.20769931982329429</v>
      </c>
      <c r="DF99" s="949">
        <f t="shared" si="294"/>
        <v>0.20552182823556708</v>
      </c>
      <c r="DG99" s="320">
        <f>DG66/DG$9</f>
        <v>0.20077153583852858</v>
      </c>
      <c r="DH99" s="320">
        <f>DH66/DH$9</f>
        <v>0.19520275642724622</v>
      </c>
      <c r="DI99" s="320">
        <f>DI66/DI$9</f>
        <v>0.19604718963997558</v>
      </c>
      <c r="DJ99" s="320">
        <f>DJ66/DJ$9</f>
        <v>0.19758346137728733</v>
      </c>
      <c r="DK99" s="949">
        <f t="shared" ref="DK99:DU99" si="295">DK66/DK$9</f>
        <v>0.19737369089313256</v>
      </c>
      <c r="DL99" s="320">
        <f>DL66/DL$9</f>
        <v>0.19318620399284236</v>
      </c>
      <c r="DM99" s="320">
        <f>DM66/DM$9</f>
        <v>0.19265774638320995</v>
      </c>
      <c r="DN99" s="320">
        <f>DN66/DN$9</f>
        <v>0.17467959359851251</v>
      </c>
      <c r="DO99" s="320">
        <f>DO66/DO$9</f>
        <v>0.18342233573252845</v>
      </c>
      <c r="DP99" s="949">
        <f t="shared" si="295"/>
        <v>0.18584939178100732</v>
      </c>
      <c r="DQ99" s="320">
        <f>DQ66/DQ$9</f>
        <v>0.18562134027325961</v>
      </c>
      <c r="DR99" s="320">
        <f t="shared" ca="1" si="295"/>
        <v>0.18859320723199424</v>
      </c>
      <c r="DS99" s="320">
        <f t="shared" ca="1" si="295"/>
        <v>0.18672468189913072</v>
      </c>
      <c r="DT99" s="1303">
        <f t="shared" si="295"/>
        <v>0.18660515232760899</v>
      </c>
      <c r="DU99" s="949">
        <f t="shared" ca="1" si="295"/>
        <v>0.18691351785296428</v>
      </c>
      <c r="DV99" s="1302">
        <f t="shared" ref="DV99:DZ99" si="296">DV66/DV$9</f>
        <v>0.187193877996572</v>
      </c>
      <c r="DW99" s="320">
        <f t="shared" ca="1" si="296"/>
        <v>0.18954496011491842</v>
      </c>
      <c r="DX99" s="320">
        <f t="shared" ca="1" si="296"/>
        <v>0.18397895498901656</v>
      </c>
      <c r="DY99" s="1303">
        <f t="shared" si="296"/>
        <v>0.18289789444964685</v>
      </c>
      <c r="DZ99" s="949">
        <f t="shared" ca="1" si="296"/>
        <v>0.18590607341876506</v>
      </c>
      <c r="EA99" s="1302">
        <f t="shared" ref="EA99:EE99" si="297">EA66/EA$9</f>
        <v>0.18808196861769699</v>
      </c>
      <c r="EB99" s="320">
        <f t="shared" ca="1" si="297"/>
        <v>0.19057962223368885</v>
      </c>
      <c r="EC99" s="320">
        <f t="shared" ca="1" si="297"/>
        <v>0.18480909030545631</v>
      </c>
      <c r="ED99" s="1303">
        <f t="shared" si="297"/>
        <v>0.18354091104942136</v>
      </c>
      <c r="EE99" s="949">
        <f t="shared" ca="1" si="297"/>
        <v>0.186753838883572</v>
      </c>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row>
    <row r="100" spans="2:232" s="54" customFormat="1" ht="11.25" hidden="1" customHeight="1" outlineLevel="2">
      <c r="B100" s="693" t="s">
        <v>237</v>
      </c>
      <c r="C100" s="375"/>
      <c r="D100" s="320">
        <f t="shared" ref="D100:J100" si="298">D79/D$9</f>
        <v>6.5037239785707926E-2</v>
      </c>
      <c r="E100" s="320">
        <f t="shared" si="298"/>
        <v>6.5044297687604155E-2</v>
      </c>
      <c r="F100" s="320">
        <f t="shared" si="298"/>
        <v>6.5594254248152822E-2</v>
      </c>
      <c r="G100" s="320">
        <f t="shared" si="298"/>
        <v>6.4946827147325512E-2</v>
      </c>
      <c r="H100" s="320">
        <f t="shared" si="298"/>
        <v>6.4156511759117671E-2</v>
      </c>
      <c r="I100" s="320">
        <f t="shared" si="298"/>
        <v>6.2681903519423515E-2</v>
      </c>
      <c r="J100" s="320">
        <f t="shared" si="298"/>
        <v>6.4745626206819062E-2</v>
      </c>
      <c r="K100" s="1292"/>
      <c r="L100" s="320"/>
      <c r="M100" s="320"/>
      <c r="N100" s="1301"/>
      <c r="O100" s="320">
        <f t="shared" ref="O100:AT100" si="299">O79/O$9</f>
        <v>6.5229868077247594E-2</v>
      </c>
      <c r="P100" s="1292">
        <f t="shared" si="299"/>
        <v>5.5947994403366855E-2</v>
      </c>
      <c r="Q100" s="320">
        <f t="shared" si="299"/>
        <v>8.1766880770106118E-2</v>
      </c>
      <c r="R100" s="320">
        <f t="shared" si="299"/>
        <v>6.7917988552811268E-2</v>
      </c>
      <c r="S100" s="1301">
        <f t="shared" si="299"/>
        <v>6.3307280369030286E-2</v>
      </c>
      <c r="T100" s="320">
        <f t="shared" si="299"/>
        <v>6.7776280860999821E-2</v>
      </c>
      <c r="U100" s="1292">
        <f t="shared" si="299"/>
        <v>5.676755156147776E-2</v>
      </c>
      <c r="V100" s="320">
        <f t="shared" si="299"/>
        <v>8.4453838274499343E-2</v>
      </c>
      <c r="W100" s="320">
        <f t="shared" si="299"/>
        <v>7.3539754214960881E-2</v>
      </c>
      <c r="X100" s="1301">
        <f t="shared" si="299"/>
        <v>7.2641350501019261E-2</v>
      </c>
      <c r="Y100" s="320">
        <f t="shared" si="299"/>
        <v>7.4856466769803218E-2</v>
      </c>
      <c r="Z100" s="1292">
        <f t="shared" si="299"/>
        <v>6.082511702021709E-2</v>
      </c>
      <c r="AA100" s="320">
        <f t="shared" si="299"/>
        <v>8.8893626092517622E-2</v>
      </c>
      <c r="AB100" s="320">
        <f t="shared" si="299"/>
        <v>7.4441090256814016E-2</v>
      </c>
      <c r="AC100" s="1301">
        <f t="shared" si="299"/>
        <v>6.8881578947368433E-2</v>
      </c>
      <c r="AD100" s="320">
        <f t="shared" si="299"/>
        <v>7.1232369890351296E-2</v>
      </c>
      <c r="AE100" s="1292">
        <f t="shared" si="299"/>
        <v>6.1888372864488249E-2</v>
      </c>
      <c r="AF100" s="320">
        <f t="shared" si="299"/>
        <v>8.2887605191841393E-2</v>
      </c>
      <c r="AG100" s="320">
        <f t="shared" si="299"/>
        <v>7.1782132329767781E-2</v>
      </c>
      <c r="AH100" s="1301">
        <f t="shared" si="299"/>
        <v>6.6867380315194791E-2</v>
      </c>
      <c r="AI100" s="320">
        <f t="shared" si="299"/>
        <v>7.2811207672974387E-2</v>
      </c>
      <c r="AJ100" s="1292">
        <f t="shared" si="299"/>
        <v>5.9385130561789644E-2</v>
      </c>
      <c r="AK100" s="320">
        <f t="shared" si="299"/>
        <v>8.5985378752527625E-2</v>
      </c>
      <c r="AL100" s="320">
        <f t="shared" si="299"/>
        <v>6.8358692544709429E-2</v>
      </c>
      <c r="AM100" s="1301">
        <f t="shared" si="299"/>
        <v>6.6076771277611621E-2</v>
      </c>
      <c r="AN100" s="320">
        <f t="shared" si="299"/>
        <v>7.1169232018844106E-2</v>
      </c>
      <c r="AO100" s="1292">
        <f t="shared" si="299"/>
        <v>5.9868280635423904E-2</v>
      </c>
      <c r="AP100" s="320">
        <f t="shared" si="299"/>
        <v>8.2499833077385273E-2</v>
      </c>
      <c r="AQ100" s="320">
        <f t="shared" si="299"/>
        <v>6.9654902066802735E-2</v>
      </c>
      <c r="AR100" s="1301">
        <f t="shared" si="299"/>
        <v>6.5014581288958317E-2</v>
      </c>
      <c r="AS100" s="320">
        <f t="shared" si="299"/>
        <v>6.8975736634926843E-2</v>
      </c>
      <c r="AT100" s="1292">
        <f t="shared" si="299"/>
        <v>6.1042899704738862E-2</v>
      </c>
      <c r="AU100" s="320">
        <f t="shared" ref="AU100:BZ100" si="300">AU79/AU$9</f>
        <v>8.3257361385728354E-2</v>
      </c>
      <c r="AV100" s="320">
        <f t="shared" si="300"/>
        <v>6.6642651296829974E-2</v>
      </c>
      <c r="AW100" s="1301">
        <f t="shared" si="300"/>
        <v>6.2827415599534309E-2</v>
      </c>
      <c r="AX100" s="320">
        <f t="shared" si="300"/>
        <v>6.8179440954426074E-2</v>
      </c>
      <c r="AY100" s="1292">
        <f t="shared" si="300"/>
        <v>5.9145949912851992E-2</v>
      </c>
      <c r="AZ100" s="320">
        <f t="shared" si="300"/>
        <v>8.1280284598556601E-2</v>
      </c>
      <c r="BA100" s="320">
        <f t="shared" si="300"/>
        <v>6.882079657566427E-2</v>
      </c>
      <c r="BB100" s="1301">
        <f t="shared" si="300"/>
        <v>6.0021004169009413E-2</v>
      </c>
      <c r="BC100" s="320">
        <f t="shared" si="300"/>
        <v>6.7609216118075424E-2</v>
      </c>
      <c r="BD100" s="1292">
        <f t="shared" si="300"/>
        <v>6.4232336613038635E-2</v>
      </c>
      <c r="BE100" s="320">
        <f t="shared" si="300"/>
        <v>8.3744425229817093E-2</v>
      </c>
      <c r="BF100" s="320">
        <f t="shared" si="300"/>
        <v>7.3172308090041258E-2</v>
      </c>
      <c r="BG100" s="1301">
        <f t="shared" si="300"/>
        <v>5.9657547951862282E-2</v>
      </c>
      <c r="BH100" s="320">
        <f t="shared" si="300"/>
        <v>7.0468892174704284E-2</v>
      </c>
      <c r="BI100" s="1292">
        <f t="shared" si="300"/>
        <v>6.3850867858060281E-2</v>
      </c>
      <c r="BJ100" s="320">
        <f t="shared" si="300"/>
        <v>8.0807935476975512E-2</v>
      </c>
      <c r="BK100" s="320">
        <f t="shared" si="300"/>
        <v>7.1401291149221432E-2</v>
      </c>
      <c r="BL100" s="1301">
        <f t="shared" si="300"/>
        <v>6.7442873224160343E-2</v>
      </c>
      <c r="BM100" s="320">
        <f t="shared" si="300"/>
        <v>7.1062456495602222E-2</v>
      </c>
      <c r="BN100" s="1292">
        <f t="shared" si="300"/>
        <v>6.7616162410984809E-2</v>
      </c>
      <c r="BO100" s="320">
        <f t="shared" si="300"/>
        <v>8.5591049039379419E-2</v>
      </c>
      <c r="BP100" s="320">
        <f t="shared" si="300"/>
        <v>7.5082309483658474E-2</v>
      </c>
      <c r="BQ100" s="1301">
        <f t="shared" si="300"/>
        <v>5.8786275751592523E-2</v>
      </c>
      <c r="BR100" s="320">
        <f t="shared" si="300"/>
        <v>7.1972768870205608E-2</v>
      </c>
      <c r="BS100" s="1292">
        <f t="shared" si="300"/>
        <v>6.7707924921050169E-2</v>
      </c>
      <c r="BT100" s="320">
        <f t="shared" si="300"/>
        <v>8.5756418251741004E-2</v>
      </c>
      <c r="BU100" s="320">
        <f t="shared" si="300"/>
        <v>7.6027091644079253E-2</v>
      </c>
      <c r="BV100" s="1301">
        <f t="shared" si="300"/>
        <v>5.4997225476293272E-2</v>
      </c>
      <c r="BW100" s="320">
        <f t="shared" si="300"/>
        <v>7.1387312121935914E-2</v>
      </c>
      <c r="BX100" s="1302">
        <f t="shared" si="300"/>
        <v>6.3758613768649233E-2</v>
      </c>
      <c r="BY100" s="320">
        <f t="shared" si="300"/>
        <v>8.012139605462823E-2</v>
      </c>
      <c r="BZ100" s="320">
        <f t="shared" si="300"/>
        <v>7.0450339296730419E-2</v>
      </c>
      <c r="CA100" s="320">
        <f t="shared" ref="CA100:CW100" si="301">CA79/CA$9</f>
        <v>6.2663185378590072E-2</v>
      </c>
      <c r="CB100" s="949">
        <f t="shared" si="301"/>
        <v>6.9456066945606701E-2</v>
      </c>
      <c r="CC100" s="320">
        <f t="shared" si="301"/>
        <v>6.6487411390857981E-2</v>
      </c>
      <c r="CD100" s="320">
        <f t="shared" si="301"/>
        <v>8.01200918349326E-2</v>
      </c>
      <c r="CE100" s="320">
        <f t="shared" si="301"/>
        <v>6.4538635967207394E-2</v>
      </c>
      <c r="CF100" s="320">
        <f t="shared" si="301"/>
        <v>6.3366923532898634E-2</v>
      </c>
      <c r="CG100" s="949">
        <f t="shared" si="301"/>
        <v>6.8644319193117767E-2</v>
      </c>
      <c r="CH100" s="320">
        <f t="shared" si="301"/>
        <v>7.2416974169741702E-2</v>
      </c>
      <c r="CI100" s="320">
        <f t="shared" si="301"/>
        <v>8.2099232515403742E-2</v>
      </c>
      <c r="CJ100" s="320">
        <f t="shared" si="301"/>
        <v>6.913069511730445E-2</v>
      </c>
      <c r="CK100" s="320">
        <f t="shared" si="301"/>
        <v>6.5675961484944617E-2</v>
      </c>
      <c r="CL100" s="949">
        <f t="shared" si="301"/>
        <v>7.2384461930621743E-2</v>
      </c>
      <c r="CM100" s="320">
        <f t="shared" si="301"/>
        <v>6.730186704852123E-2</v>
      </c>
      <c r="CN100" s="320">
        <f t="shared" si="301"/>
        <v>7.8279984987400145E-2</v>
      </c>
      <c r="CO100" s="320">
        <f t="shared" si="301"/>
        <v>7.0301937809824244E-2</v>
      </c>
      <c r="CP100" s="320">
        <f t="shared" si="301"/>
        <v>6.3140631406314068E-2</v>
      </c>
      <c r="CQ100" s="949">
        <f t="shared" si="301"/>
        <v>6.9911912107548199E-2</v>
      </c>
      <c r="CR100" s="1292">
        <f t="shared" si="301"/>
        <v>6.7163317163317166E-2</v>
      </c>
      <c r="CS100" s="320">
        <f t="shared" si="301"/>
        <v>8.8486083552314049E-2</v>
      </c>
      <c r="CT100" s="320">
        <f t="shared" si="301"/>
        <v>8.1909026374706498E-2</v>
      </c>
      <c r="CU100" s="320">
        <f t="shared" si="301"/>
        <v>7.5525333036062653E-2</v>
      </c>
      <c r="CV100" s="949">
        <f t="shared" si="301"/>
        <v>7.8485675118046994E-2</v>
      </c>
      <c r="CW100" s="320">
        <f t="shared" si="301"/>
        <v>7.4472147962245619E-2</v>
      </c>
      <c r="CX100" s="320">
        <f t="shared" ref="CX100:DF100" si="302">CX79/CX$9</f>
        <v>8.1407804131599079E-2</v>
      </c>
      <c r="CY100" s="320">
        <f t="shared" si="302"/>
        <v>8.1026751198391839E-2</v>
      </c>
      <c r="CZ100" s="320">
        <f t="shared" si="302"/>
        <v>7.2886603347851187E-2</v>
      </c>
      <c r="DA100" s="949">
        <f t="shared" si="302"/>
        <v>7.7521206409048068E-2</v>
      </c>
      <c r="DB100" s="320">
        <f t="shared" si="302"/>
        <v>7.4511608877978933E-2</v>
      </c>
      <c r="DC100" s="320">
        <f t="shared" si="302"/>
        <v>8.0156549881458622E-2</v>
      </c>
      <c r="DD100" s="320">
        <f t="shared" si="302"/>
        <v>7.2616773745441912E-2</v>
      </c>
      <c r="DE100" s="320">
        <f>DE79/DE$9</f>
        <v>6.363508870345698E-2</v>
      </c>
      <c r="DF100" s="949">
        <f t="shared" si="302"/>
        <v>7.243532732686285E-2</v>
      </c>
      <c r="DG100" s="320">
        <f>DG79/DG$9</f>
        <v>6.9575999724451484E-2</v>
      </c>
      <c r="DH100" s="320">
        <f>DH79/DH$9</f>
        <v>8.1533262655711633E-2</v>
      </c>
      <c r="DI100" s="320">
        <f>DI79/DI$9</f>
        <v>7.3394806427554415E-2</v>
      </c>
      <c r="DJ100" s="320">
        <f>DJ79/DJ$9</f>
        <v>6.6734180751501601E-2</v>
      </c>
      <c r="DK100" s="949">
        <f t="shared" ref="DK100:DU100" si="303">DK79/DK$9</f>
        <v>7.2917998142325163E-2</v>
      </c>
      <c r="DL100" s="320">
        <f>DL79/DL$9</f>
        <v>7.2383425142977437E-2</v>
      </c>
      <c r="DM100" s="320">
        <f>DM79/DM$9</f>
        <v>7.9671262650275076E-2</v>
      </c>
      <c r="DN100" s="320">
        <f>DN79/DN$9</f>
        <v>7.9188525134471083E-2</v>
      </c>
      <c r="DO100" s="320">
        <f>DO79/DO$9</f>
        <v>7.3269428505091383E-2</v>
      </c>
      <c r="DP100" s="949">
        <f t="shared" si="303"/>
        <v>7.615849222596309E-2</v>
      </c>
      <c r="DQ100" s="320">
        <f>DQ79/DQ$9</f>
        <v>6.9616135328562131E-2</v>
      </c>
      <c r="DR100" s="320">
        <f t="shared" ca="1" si="303"/>
        <v>7.3799478843083521E-2</v>
      </c>
      <c r="DS100" s="320">
        <f t="shared" ca="1" si="303"/>
        <v>6.9012269897723827E-2</v>
      </c>
      <c r="DT100" s="1303">
        <f t="shared" si="303"/>
        <v>6.7035011704004166E-2</v>
      </c>
      <c r="DU100" s="949">
        <f t="shared" ca="1" si="303"/>
        <v>6.9874999305114052E-2</v>
      </c>
      <c r="DV100" s="1302">
        <f t="shared" ref="DV100:DZ100" si="304">DV79/DV$9</f>
        <v>6.5864850863035729E-2</v>
      </c>
      <c r="DW100" s="320">
        <f t="shared" ca="1" si="304"/>
        <v>7.3555939407904447E-2</v>
      </c>
      <c r="DX100" s="320">
        <f t="shared" ca="1" si="304"/>
        <v>7.3845204056294175E-2</v>
      </c>
      <c r="DY100" s="1303">
        <f t="shared" si="304"/>
        <v>7.3293952478328178E-2</v>
      </c>
      <c r="DZ100" s="949">
        <f t="shared" ca="1" si="304"/>
        <v>7.1678759264368105E-2</v>
      </c>
      <c r="EA100" s="1302">
        <f t="shared" ref="EA100:EE100" si="305">EA79/EA$9</f>
        <v>6.6361694695998938E-2</v>
      </c>
      <c r="EB100" s="320">
        <f t="shared" ca="1" si="305"/>
        <v>7.3257220027741987E-2</v>
      </c>
      <c r="EC100" s="320">
        <f t="shared" ca="1" si="305"/>
        <v>7.3974887490226252E-2</v>
      </c>
      <c r="ED100" s="1303">
        <f t="shared" si="305"/>
        <v>7.3496311100587505E-2</v>
      </c>
      <c r="EE100" s="949">
        <f t="shared" ca="1" si="305"/>
        <v>7.1808697782859476E-2</v>
      </c>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row>
    <row r="101" spans="2:232" s="54" customFormat="1" hidden="1" outlineLevel="1" collapsed="1">
      <c r="B101" s="693" t="s">
        <v>287</v>
      </c>
      <c r="C101" s="375"/>
      <c r="D101" s="320">
        <f t="shared" ref="D101:J101" si="306">D22/D$9</f>
        <v>5.4324121727102319E-2</v>
      </c>
      <c r="E101" s="320">
        <f t="shared" si="306"/>
        <v>5.3407246042741018E-2</v>
      </c>
      <c r="F101" s="320">
        <f t="shared" si="306"/>
        <v>5.3678692727984527E-2</v>
      </c>
      <c r="G101" s="320">
        <f t="shared" si="306"/>
        <v>5.2624488609371946E-2</v>
      </c>
      <c r="H101" s="320">
        <f t="shared" si="306"/>
        <v>5.2361347536540752E-2</v>
      </c>
      <c r="I101" s="320">
        <f t="shared" si="306"/>
        <v>4.9891618583173529E-2</v>
      </c>
      <c r="J101" s="320">
        <f t="shared" si="306"/>
        <v>5.2091871013023837E-2</v>
      </c>
      <c r="K101" s="1292"/>
      <c r="L101" s="320"/>
      <c r="M101" s="320"/>
      <c r="N101" s="1301"/>
      <c r="O101" s="320">
        <f t="shared" ref="O101:AT101" si="307">O22/O$9</f>
        <v>5.1641274440484462E-2</v>
      </c>
      <c r="P101" s="1292">
        <f t="shared" si="307"/>
        <v>4.2002253453609174E-2</v>
      </c>
      <c r="Q101" s="320">
        <f t="shared" si="307"/>
        <v>6.9048914401185726E-2</v>
      </c>
      <c r="R101" s="320">
        <f t="shared" si="307"/>
        <v>5.2750860125860916E-2</v>
      </c>
      <c r="S101" s="1301">
        <f t="shared" si="307"/>
        <v>5.106227614123876E-2</v>
      </c>
      <c r="T101" s="320">
        <f t="shared" si="307"/>
        <v>5.4270878677676479E-2</v>
      </c>
      <c r="U101" s="1292">
        <f t="shared" si="307"/>
        <v>4.2893009216219573E-2</v>
      </c>
      <c r="V101" s="320">
        <f t="shared" si="307"/>
        <v>7.0431983450703284E-2</v>
      </c>
      <c r="W101" s="320">
        <f t="shared" si="307"/>
        <v>5.6702033357496552E-2</v>
      </c>
      <c r="X101" s="1301">
        <f t="shared" si="307"/>
        <v>5.8175416504902634E-2</v>
      </c>
      <c r="Y101" s="320">
        <f t="shared" si="307"/>
        <v>5.7599356093073768E-2</v>
      </c>
      <c r="Z101" s="1292">
        <f t="shared" si="307"/>
        <v>4.5463599243103253E-2</v>
      </c>
      <c r="AA101" s="320">
        <f t="shared" si="307"/>
        <v>7.3800895331485858E-2</v>
      </c>
      <c r="AB101" s="320">
        <f t="shared" si="307"/>
        <v>5.9522247014043746E-2</v>
      </c>
      <c r="AC101" s="1301">
        <f t="shared" si="307"/>
        <v>5.695175438596492E-2</v>
      </c>
      <c r="AD101" s="320">
        <f t="shared" si="307"/>
        <v>5.6920869116756666E-2</v>
      </c>
      <c r="AE101" s="1292">
        <f t="shared" si="307"/>
        <v>4.7230054735445295E-2</v>
      </c>
      <c r="AF101" s="320">
        <f t="shared" si="307"/>
        <v>6.9747539580658977E-2</v>
      </c>
      <c r="AG101" s="320">
        <f t="shared" si="307"/>
        <v>5.7989284588717376E-2</v>
      </c>
      <c r="AH101" s="1301">
        <f t="shared" si="307"/>
        <v>5.759366636931313E-2</v>
      </c>
      <c r="AI101" s="320">
        <f t="shared" si="307"/>
        <v>5.855169779647193E-2</v>
      </c>
      <c r="AJ101" s="1292">
        <f t="shared" si="307"/>
        <v>4.5883652167717476E-2</v>
      </c>
      <c r="AK101" s="320">
        <f t="shared" si="307"/>
        <v>7.1068595426971554E-2</v>
      </c>
      <c r="AL101" s="320">
        <f t="shared" si="307"/>
        <v>5.4874368666814832E-2</v>
      </c>
      <c r="AM101" s="1301">
        <f t="shared" si="307"/>
        <v>5.3838563880578075E-2</v>
      </c>
      <c r="AN101" s="320">
        <f t="shared" si="307"/>
        <v>5.6788368598464783E-2</v>
      </c>
      <c r="AO101" s="1292">
        <f t="shared" si="307"/>
        <v>4.4516266731713203E-2</v>
      </c>
      <c r="AP101" s="320">
        <f t="shared" si="307"/>
        <v>6.9893837217066115E-2</v>
      </c>
      <c r="AQ101" s="320">
        <f t="shared" si="307"/>
        <v>5.5975344354478963E-2</v>
      </c>
      <c r="AR101" s="1301">
        <f t="shared" si="307"/>
        <v>5.4551988169115315E-2</v>
      </c>
      <c r="AS101" s="320">
        <f t="shared" si="307"/>
        <v>5.6005522800729408E-2</v>
      </c>
      <c r="AT101" s="1292">
        <f t="shared" si="307"/>
        <v>4.7121538029900177E-2</v>
      </c>
      <c r="AU101" s="320">
        <f t="shared" ref="AU101:BZ101" si="308">AU22/AU$9</f>
        <v>7.0233598939155373E-2</v>
      </c>
      <c r="AV101" s="320">
        <f t="shared" si="308"/>
        <v>5.5319404418828058E-2</v>
      </c>
      <c r="AW101" s="1301">
        <f t="shared" si="308"/>
        <v>5.3562766783081056E-2</v>
      </c>
      <c r="AX101" s="320">
        <f t="shared" si="308"/>
        <v>5.633833147723151E-2</v>
      </c>
      <c r="AY101" s="1292">
        <f t="shared" si="308"/>
        <v>4.6440693514356431E-2</v>
      </c>
      <c r="AZ101" s="320">
        <f t="shared" si="308"/>
        <v>6.9207335773139006E-2</v>
      </c>
      <c r="BA101" s="320">
        <f t="shared" si="308"/>
        <v>5.6866941587931333E-2</v>
      </c>
      <c r="BB101" s="1301">
        <f t="shared" si="308"/>
        <v>5.2977181834576358E-2</v>
      </c>
      <c r="BC101" s="320">
        <f t="shared" si="308"/>
        <v>5.6683605184999465E-2</v>
      </c>
      <c r="BD101" s="1292">
        <f t="shared" si="308"/>
        <v>5.1177559130760164E-2</v>
      </c>
      <c r="BE101" s="320">
        <f t="shared" si="308"/>
        <v>7.0592518430872886E-2</v>
      </c>
      <c r="BF101" s="320">
        <f t="shared" si="308"/>
        <v>5.9470389452107988E-2</v>
      </c>
      <c r="BG101" s="1301">
        <f t="shared" si="308"/>
        <v>4.7470676233217983E-2</v>
      </c>
      <c r="BH101" s="320">
        <f t="shared" si="308"/>
        <v>5.7438580527752504E-2</v>
      </c>
      <c r="BI101" s="1292">
        <f t="shared" si="308"/>
        <v>4.9704597996403817E-2</v>
      </c>
      <c r="BJ101" s="320">
        <f t="shared" si="308"/>
        <v>6.749101791484087E-2</v>
      </c>
      <c r="BK101" s="320">
        <f t="shared" si="308"/>
        <v>5.8118141796438726E-2</v>
      </c>
      <c r="BL101" s="1301">
        <f t="shared" si="308"/>
        <v>5.1863963912146663E-2</v>
      </c>
      <c r="BM101" s="320">
        <f t="shared" si="308"/>
        <v>5.6982851357337327E-2</v>
      </c>
      <c r="BN101" s="1292">
        <f t="shared" si="308"/>
        <v>5.2870126293425704E-2</v>
      </c>
      <c r="BO101" s="320">
        <f t="shared" si="308"/>
        <v>7.3239699433747016E-2</v>
      </c>
      <c r="BP101" s="320">
        <f t="shared" si="308"/>
        <v>6.240190388588357E-2</v>
      </c>
      <c r="BQ101" s="1301">
        <f t="shared" si="308"/>
        <v>4.496516782773901E-2</v>
      </c>
      <c r="BR101" s="320">
        <f t="shared" si="308"/>
        <v>5.8604590603028042E-2</v>
      </c>
      <c r="BS101" s="1292">
        <f t="shared" si="308"/>
        <v>5.1889448884009697E-2</v>
      </c>
      <c r="BT101" s="320">
        <f t="shared" si="308"/>
        <v>7.0652738800540502E-2</v>
      </c>
      <c r="BU101" s="320">
        <f t="shared" si="308"/>
        <v>6.0916241001085579E-2</v>
      </c>
      <c r="BV101" s="1301">
        <f t="shared" si="308"/>
        <v>4.3289420501332491E-2</v>
      </c>
      <c r="BW101" s="320">
        <f t="shared" si="308"/>
        <v>5.695163659093095E-2</v>
      </c>
      <c r="BX101" s="1302">
        <f t="shared" si="308"/>
        <v>4.475814544724694E-2</v>
      </c>
      <c r="BY101" s="320">
        <f t="shared" si="308"/>
        <v>6.2518968133535663E-2</v>
      </c>
      <c r="BZ101" s="320">
        <f t="shared" si="308"/>
        <v>5.219000616903146E-2</v>
      </c>
      <c r="CA101" s="320">
        <f t="shared" ref="CA101:DF101" si="309">CA22/CA$9</f>
        <v>4.4704833471311212E-2</v>
      </c>
      <c r="CB101" s="949">
        <f t="shared" si="309"/>
        <v>5.1267071919160023E-2</v>
      </c>
      <c r="CC101" s="320">
        <f t="shared" si="309"/>
        <v>4.8704473233928132E-2</v>
      </c>
      <c r="CD101" s="320">
        <f t="shared" si="309"/>
        <v>6.3931241537646441E-2</v>
      </c>
      <c r="CE101" s="320">
        <f t="shared" si="309"/>
        <v>4.8200476771905344E-2</v>
      </c>
      <c r="CF101" s="320">
        <f t="shared" si="309"/>
        <v>4.4220509780675758E-2</v>
      </c>
      <c r="CG101" s="949">
        <f t="shared" si="309"/>
        <v>5.1290418273509344E-2</v>
      </c>
      <c r="CH101" s="320">
        <f t="shared" si="309"/>
        <v>5.4255073800738005E-2</v>
      </c>
      <c r="CI101" s="320">
        <f t="shared" si="309"/>
        <v>6.5236190682088427E-2</v>
      </c>
      <c r="CJ101" s="320">
        <f t="shared" si="309"/>
        <v>5.1766370910674431E-2</v>
      </c>
      <c r="CK101" s="320">
        <f t="shared" si="309"/>
        <v>7.0462514610118557E-2</v>
      </c>
      <c r="CL101" s="949">
        <f t="shared" si="309"/>
        <v>6.04704643688352E-2</v>
      </c>
      <c r="CM101" s="320">
        <f t="shared" si="309"/>
        <v>4.9567659855703036E-2</v>
      </c>
      <c r="CN101" s="320">
        <f t="shared" si="309"/>
        <v>5.9246153021285719E-2</v>
      </c>
      <c r="CO101" s="320">
        <f t="shared" si="309"/>
        <v>4.9177557458314557E-2</v>
      </c>
      <c r="CP101" s="320">
        <f t="shared" si="309"/>
        <v>3.432320037486089E-2</v>
      </c>
      <c r="CQ101" s="949">
        <f t="shared" si="309"/>
        <v>4.8357600547233814E-2</v>
      </c>
      <c r="CR101" s="1292">
        <f t="shared" si="309"/>
        <v>4.0713790713790714E-2</v>
      </c>
      <c r="CS101" s="320">
        <f t="shared" si="309"/>
        <v>6.5157934252158531E-2</v>
      </c>
      <c r="CT101" s="320">
        <f t="shared" si="309"/>
        <v>5.411456342488942E-2</v>
      </c>
      <c r="CU101" s="320">
        <f t="shared" si="309"/>
        <v>5.7354662504877099E-2</v>
      </c>
      <c r="CV101" s="949">
        <f t="shared" si="309"/>
        <v>5.4557791101818132E-2</v>
      </c>
      <c r="CW101" s="320">
        <f t="shared" si="309"/>
        <v>5.0411915543673962E-2</v>
      </c>
      <c r="CX101" s="320">
        <f t="shared" si="309"/>
        <v>6.5034429992348888E-2</v>
      </c>
      <c r="CY101" s="320">
        <f t="shared" si="309"/>
        <v>5.2883871965362608E-2</v>
      </c>
      <c r="CZ101" s="320">
        <f t="shared" si="309"/>
        <v>5.0847457627118647E-2</v>
      </c>
      <c r="DA101" s="949">
        <f t="shared" si="309"/>
        <v>5.4901036757775683E-2</v>
      </c>
      <c r="DB101" s="320">
        <f t="shared" si="309"/>
        <v>5.3902014933006032E-2</v>
      </c>
      <c r="DC101" s="320">
        <f t="shared" si="309"/>
        <v>5.1819516050126066E-2</v>
      </c>
      <c r="DD101" s="320">
        <f t="shared" si="309"/>
        <v>4.8654280256989063E-2</v>
      </c>
      <c r="DE101" s="320">
        <f>DE22/DE$9</f>
        <v>2.9310707524016547E-2</v>
      </c>
      <c r="DF101" s="949">
        <f t="shared" si="309"/>
        <v>4.5125865202428367E-2</v>
      </c>
      <c r="DG101" s="320">
        <f>DG22/DG$9</f>
        <v>5.0563152274997414E-2</v>
      </c>
      <c r="DH101" s="320">
        <f>DH22/DH$9</f>
        <v>6.1622051417969788E-2</v>
      </c>
      <c r="DI101" s="320">
        <f>DI22/DI$9</f>
        <v>5.1969625059326056E-2</v>
      </c>
      <c r="DJ101" s="320">
        <f>DJ22/DJ$9</f>
        <v>3.9810029333705824E-2</v>
      </c>
      <c r="DK101" s="949">
        <f t="shared" ref="DK101:DU101" si="310">DK22/DK$9</f>
        <v>5.1137186730407069E-2</v>
      </c>
      <c r="DL101" s="320">
        <f>DL22/DL$9</f>
        <v>5.0770148415845061E-2</v>
      </c>
      <c r="DM101" s="320">
        <f>DM22/DM$9</f>
        <v>5.0227535149086462E-2</v>
      </c>
      <c r="DN101" s="320">
        <f>DN22/DN$9</f>
        <v>5.0368550368550369E-2</v>
      </c>
      <c r="DO101" s="320">
        <f>DO22/DO$9</f>
        <v>3.6949815914292347E-2</v>
      </c>
      <c r="DP101" s="949">
        <f t="shared" si="310"/>
        <v>4.7007968599319876E-2</v>
      </c>
      <c r="DQ101" s="320">
        <f>DQ22/DQ$9</f>
        <v>4.3428757319453483E-2</v>
      </c>
      <c r="DR101" s="320">
        <f t="shared" ca="1" si="310"/>
        <v>5.8347992150090421E-2</v>
      </c>
      <c r="DS101" s="320">
        <f t="shared" ca="1" si="310"/>
        <v>5.3851839050763628E-2</v>
      </c>
      <c r="DT101" s="1303">
        <f t="shared" si="310"/>
        <v>5.4576994803954865E-2</v>
      </c>
      <c r="DU101" s="949">
        <f t="shared" ca="1" si="310"/>
        <v>5.2746245430404154E-2</v>
      </c>
      <c r="DV101" s="1302">
        <f t="shared" ref="DV101:DZ101" si="311">DV22/DV$9</f>
        <v>5.0709897534338383E-2</v>
      </c>
      <c r="DW101" s="320">
        <f t="shared" ca="1" si="311"/>
        <v>5.8138186119913046E-2</v>
      </c>
      <c r="DX101" s="320">
        <f t="shared" ca="1" si="311"/>
        <v>5.8706560532909319E-2</v>
      </c>
      <c r="DY101" s="1303">
        <f t="shared" si="311"/>
        <v>6.0819012077899109E-2</v>
      </c>
      <c r="DZ101" s="949">
        <f t="shared" ca="1" si="311"/>
        <v>5.7128448945139652E-2</v>
      </c>
      <c r="EA101" s="1302">
        <f t="shared" ref="EA101:EE101" si="312">EA22/EA$9</f>
        <v>5.1235370513846128E-2</v>
      </c>
      <c r="EB101" s="320">
        <f t="shared" ca="1" si="312"/>
        <v>5.7863888551940641E-2</v>
      </c>
      <c r="EC101" s="320">
        <f t="shared" ca="1" si="312"/>
        <v>5.8861911038401271E-2</v>
      </c>
      <c r="ED101" s="1303">
        <f t="shared" si="312"/>
        <v>6.1000071199174458E-2</v>
      </c>
      <c r="EE101" s="949">
        <f t="shared" ca="1" si="312"/>
        <v>5.727351089034495E-2</v>
      </c>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row>
    <row r="102" spans="2:232" s="54" customFormat="1" collapsed="1">
      <c r="B102" s="693" t="s">
        <v>211</v>
      </c>
      <c r="C102" s="375"/>
      <c r="D102" s="320"/>
      <c r="E102" s="320"/>
      <c r="F102" s="320"/>
      <c r="G102" s="320"/>
      <c r="H102" s="320"/>
      <c r="I102" s="320"/>
      <c r="J102" s="320"/>
      <c r="K102" s="1292"/>
      <c r="L102" s="320"/>
      <c r="M102" s="320"/>
      <c r="N102" s="1301"/>
      <c r="O102" s="320"/>
      <c r="P102" s="1292"/>
      <c r="Q102" s="320"/>
      <c r="R102" s="320"/>
      <c r="S102" s="1301"/>
      <c r="T102" s="320"/>
      <c r="U102" s="1292"/>
      <c r="V102" s="320"/>
      <c r="W102" s="320"/>
      <c r="X102" s="1301"/>
      <c r="Y102" s="320"/>
      <c r="Z102" s="1292"/>
      <c r="AA102" s="320"/>
      <c r="AB102" s="320"/>
      <c r="AC102" s="1301"/>
      <c r="AD102" s="320"/>
      <c r="AE102" s="1292"/>
      <c r="AF102" s="320"/>
      <c r="AG102" s="320"/>
      <c r="AH102" s="1301"/>
      <c r="AI102" s="320"/>
      <c r="AJ102" s="1292"/>
      <c r="AK102" s="320"/>
      <c r="AL102" s="320"/>
      <c r="AM102" s="1301"/>
      <c r="AN102" s="320"/>
      <c r="AO102" s="1292"/>
      <c r="AP102" s="320"/>
      <c r="AQ102" s="320"/>
      <c r="AR102" s="1301"/>
      <c r="AS102" s="320"/>
      <c r="AT102" s="1292"/>
      <c r="AU102" s="320"/>
      <c r="AV102" s="320"/>
      <c r="AW102" s="1301"/>
      <c r="AX102" s="320"/>
      <c r="AY102" s="1292"/>
      <c r="AZ102" s="320"/>
      <c r="BA102" s="320"/>
      <c r="BB102" s="1301"/>
      <c r="BC102" s="320"/>
      <c r="BD102" s="1292"/>
      <c r="BE102" s="320"/>
      <c r="BF102" s="320"/>
      <c r="BG102" s="1301"/>
      <c r="BH102" s="320"/>
      <c r="BI102" s="1292"/>
      <c r="BJ102" s="320"/>
      <c r="BK102" s="320"/>
      <c r="BL102" s="1301"/>
      <c r="BM102" s="320"/>
      <c r="BN102" s="1292"/>
      <c r="BO102" s="320"/>
      <c r="BP102" s="320"/>
      <c r="BQ102" s="1301"/>
      <c r="BR102" s="320"/>
      <c r="BS102" s="1292">
        <f t="shared" ref="BS102:BX102" si="313">BS76/BS$9</f>
        <v>5.3807055938522495E-2</v>
      </c>
      <c r="BT102" s="320">
        <f t="shared" si="313"/>
        <v>7.2640577902504985E-2</v>
      </c>
      <c r="BU102" s="320">
        <f t="shared" si="313"/>
        <v>6.1988452086815866E-2</v>
      </c>
      <c r="BV102" s="1301">
        <f t="shared" si="313"/>
        <v>4.4995238780305723E-2</v>
      </c>
      <c r="BW102" s="320">
        <f t="shared" si="313"/>
        <v>5.8620158111470831E-2</v>
      </c>
      <c r="BX102" s="1302">
        <f t="shared" si="313"/>
        <v>5.0311099217234229E-2</v>
      </c>
      <c r="BY102" s="320">
        <f t="shared" ref="BY102:DF102" si="314">BY76/BY$9</f>
        <v>6.7617602427921086E-2</v>
      </c>
      <c r="BZ102" s="320">
        <f t="shared" si="314"/>
        <v>5.6508328192473783E-2</v>
      </c>
      <c r="CA102" s="320">
        <f t="shared" si="314"/>
        <v>5.030885817996561E-2</v>
      </c>
      <c r="CB102" s="949">
        <f t="shared" si="314"/>
        <v>5.6398515828530831E-2</v>
      </c>
      <c r="CC102" s="320">
        <f t="shared" si="314"/>
        <v>5.3165485211439746E-2</v>
      </c>
      <c r="CD102" s="320">
        <f t="shared" si="314"/>
        <v>6.7757697062459529E-2</v>
      </c>
      <c r="CE102" s="320">
        <f t="shared" si="314"/>
        <v>5.2270480841909411E-2</v>
      </c>
      <c r="CF102" s="320">
        <f t="shared" si="314"/>
        <v>5.0978067575577948E-2</v>
      </c>
      <c r="CG102" s="949">
        <f t="shared" si="314"/>
        <v>5.6066449124888756E-2</v>
      </c>
      <c r="CH102" s="320">
        <f t="shared" si="314"/>
        <v>5.9674815498154982E-2</v>
      </c>
      <c r="CI102" s="320">
        <f t="shared" si="314"/>
        <v>7.0749108204518435E-2</v>
      </c>
      <c r="CJ102" s="320">
        <f t="shared" si="314"/>
        <v>5.7427467203745031E-2</v>
      </c>
      <c r="CK102" s="320">
        <f t="shared" si="314"/>
        <v>5.3375633105137196E-2</v>
      </c>
      <c r="CL102" s="949">
        <f t="shared" si="314"/>
        <v>6.0373489970076473E-2</v>
      </c>
      <c r="CM102" s="320">
        <f t="shared" si="314"/>
        <v>5.5350553505535055E-2</v>
      </c>
      <c r="CN102" s="320">
        <f t="shared" si="314"/>
        <v>6.6377137955069429E-2</v>
      </c>
      <c r="CO102" s="320">
        <f t="shared" si="314"/>
        <v>5.7232987832356919E-2</v>
      </c>
      <c r="CP102" s="320">
        <f t="shared" si="314"/>
        <v>4.9083347976336907E-2</v>
      </c>
      <c r="CQ102" s="949">
        <f t="shared" si="314"/>
        <v>5.7194309885108818E-2</v>
      </c>
      <c r="CR102" s="320">
        <f t="shared" si="314"/>
        <v>5.3361053361053359E-2</v>
      </c>
      <c r="CS102" s="320">
        <f t="shared" si="314"/>
        <v>7.4971845337051535E-2</v>
      </c>
      <c r="CT102" s="320">
        <f t="shared" si="314"/>
        <v>6.8202915961338942E-2</v>
      </c>
      <c r="CU102" s="320">
        <f t="shared" si="314"/>
        <v>6.1479293238949892E-2</v>
      </c>
      <c r="CV102" s="949">
        <f t="shared" si="314"/>
        <v>6.4721602946674603E-2</v>
      </c>
      <c r="CW102" s="320">
        <f t="shared" si="314"/>
        <v>6.0177860221506903E-2</v>
      </c>
      <c r="CX102" s="320">
        <f t="shared" si="314"/>
        <v>6.8247895944912013E-2</v>
      </c>
      <c r="CY102" s="320">
        <f t="shared" si="314"/>
        <v>6.726457399103139E-2</v>
      </c>
      <c r="CZ102" s="320">
        <f t="shared" si="314"/>
        <v>5.9925486697801331E-2</v>
      </c>
      <c r="DA102" s="949">
        <f t="shared" si="314"/>
        <v>6.3985757670960305E-2</v>
      </c>
      <c r="DB102" s="320">
        <f t="shared" si="314"/>
        <v>6.1624220108417713E-2</v>
      </c>
      <c r="DC102" s="320">
        <f t="shared" si="314"/>
        <v>6.924321679900651E-2</v>
      </c>
      <c r="DD102" s="320">
        <f t="shared" si="314"/>
        <v>6.0739711755513112E-2</v>
      </c>
      <c r="DE102" s="320">
        <f>DE76/DE$9</f>
        <v>5.083794965289952E-2</v>
      </c>
      <c r="DF102" s="949">
        <f t="shared" si="314"/>
        <v>6.0361161594679247E-2</v>
      </c>
      <c r="DG102" s="320">
        <f>DG76/DG$9</f>
        <v>5.9208486894223818E-2</v>
      </c>
      <c r="DH102" s="320">
        <f>DH76/DH$9</f>
        <v>7.023588656241718E-2</v>
      </c>
      <c r="DI102" s="320">
        <f>DI76/DI$9</f>
        <v>6.1495694623364294E-2</v>
      </c>
      <c r="DJ102" s="320">
        <f>DJ76/DJ$9</f>
        <v>5.4302276854309259E-2</v>
      </c>
      <c r="DK102" s="949">
        <f t="shared" ref="DK102:DU102" si="315">DK76/DK$9</f>
        <v>6.1422569897146166E-2</v>
      </c>
      <c r="DL102" s="320">
        <f>DL76/DL$9</f>
        <v>6.0559278621802742E-2</v>
      </c>
      <c r="DM102" s="320">
        <f>DM76/DM$9</f>
        <v>6.8464307546016442E-2</v>
      </c>
      <c r="DN102" s="320">
        <f>DN76/DN$9</f>
        <v>6.8198419549770906E-2</v>
      </c>
      <c r="DO102" s="320">
        <f>DO76/DO$9</f>
        <v>6.2489634813758334E-2</v>
      </c>
      <c r="DP102" s="949">
        <f t="shared" si="315"/>
        <v>6.4966924391358052E-2</v>
      </c>
      <c r="DQ102" s="320">
        <f>DQ76/DQ$9</f>
        <v>5.88484059856864E-2</v>
      </c>
      <c r="DR102" s="320">
        <f t="shared" ca="1" si="315"/>
        <v>6.2340024566184642E-2</v>
      </c>
      <c r="DS102" s="320">
        <f t="shared" ca="1" si="315"/>
        <v>5.7810857887781668E-2</v>
      </c>
      <c r="DT102" s="1303">
        <f t="shared" si="315"/>
        <v>5.598836454352852E-2</v>
      </c>
      <c r="DU102" s="949">
        <f t="shared" ca="1" si="315"/>
        <v>5.8748316948134816E-2</v>
      </c>
      <c r="DV102" s="1302">
        <f t="shared" ref="DV102:DZ102" si="316">DV76/DV$9</f>
        <v>5.4885295664448587E-2</v>
      </c>
      <c r="DW102" s="320">
        <f t="shared" ca="1" si="316"/>
        <v>6.2037967999880178E-2</v>
      </c>
      <c r="DX102" s="320">
        <f t="shared" ca="1" si="316"/>
        <v>6.2605997709537647E-2</v>
      </c>
      <c r="DY102" s="1303">
        <f t="shared" si="316"/>
        <v>6.2209450119634642E-2</v>
      </c>
      <c r="DZ102" s="949">
        <f t="shared" ca="1" si="316"/>
        <v>6.0471173186073181E-2</v>
      </c>
      <c r="EA102" s="1302">
        <f t="shared" ref="EA102:EE102" si="317">EA76/EA$9</f>
        <v>5.5337075100073171E-2</v>
      </c>
      <c r="EB102" s="320">
        <f t="shared" ca="1" si="317"/>
        <v>6.169688425163293E-2</v>
      </c>
      <c r="EC102" s="320">
        <f t="shared" ca="1" si="317"/>
        <v>6.2691156631580133E-2</v>
      </c>
      <c r="ED102" s="1303">
        <f t="shared" si="317"/>
        <v>6.2364165121271901E-2</v>
      </c>
      <c r="EE102" s="949">
        <f t="shared" ca="1" si="317"/>
        <v>6.0556303337265166E-2</v>
      </c>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row>
    <row r="103" spans="2:232" s="54" customFormat="1" ht="11.25" hidden="1" customHeight="1" outlineLevel="2">
      <c r="B103" s="693" t="s">
        <v>415</v>
      </c>
      <c r="C103" s="375"/>
      <c r="D103" s="320">
        <f t="shared" ref="D103:J103" si="318">D29/D28</f>
        <v>0.36744327199504562</v>
      </c>
      <c r="E103" s="320">
        <f t="shared" si="318"/>
        <v>0.3785592493316674</v>
      </c>
      <c r="F103" s="320">
        <f t="shared" si="318"/>
        <v>0.37500000000000017</v>
      </c>
      <c r="G103" s="320">
        <f t="shared" si="318"/>
        <v>0.37500035410263366</v>
      </c>
      <c r="H103" s="320">
        <f t="shared" si="318"/>
        <v>0.38628038711356227</v>
      </c>
      <c r="I103" s="320">
        <f t="shared" si="318"/>
        <v>0.38499981458092125</v>
      </c>
      <c r="J103" s="320">
        <f t="shared" si="318"/>
        <v>0.38750069213599858</v>
      </c>
      <c r="K103" s="1292"/>
      <c r="L103" s="320"/>
      <c r="M103" s="320"/>
      <c r="N103" s="1301"/>
      <c r="O103" s="320">
        <f t="shared" ref="O103:AT103" si="319">O29/O28</f>
        <v>0.38490039866718306</v>
      </c>
      <c r="P103" s="1292">
        <f t="shared" si="319"/>
        <v>0.36961956310112565</v>
      </c>
      <c r="Q103" s="320">
        <f t="shared" si="319"/>
        <v>0.37317272225378301</v>
      </c>
      <c r="R103" s="320">
        <f t="shared" si="319"/>
        <v>0.37822487432322566</v>
      </c>
      <c r="S103" s="1301">
        <f t="shared" si="319"/>
        <v>0.39422646927295446</v>
      </c>
      <c r="T103" s="320">
        <f t="shared" si="319"/>
        <v>0.37870712733975537</v>
      </c>
      <c r="U103" s="1292">
        <f t="shared" si="319"/>
        <v>0.3715765801943624</v>
      </c>
      <c r="V103" s="320">
        <f t="shared" si="319"/>
        <v>0.3742075322094226</v>
      </c>
      <c r="W103" s="320">
        <f t="shared" si="319"/>
        <v>0.35895495495495455</v>
      </c>
      <c r="X103" s="1301">
        <f t="shared" si="319"/>
        <v>0.3667456502092305</v>
      </c>
      <c r="Y103" s="320">
        <f t="shared" si="319"/>
        <v>0.36796842857452228</v>
      </c>
      <c r="Z103" s="1292">
        <f t="shared" si="319"/>
        <v>0.3581927054980949</v>
      </c>
      <c r="AA103" s="320">
        <f t="shared" si="319"/>
        <v>0.37672811059907818</v>
      </c>
      <c r="AB103" s="320">
        <f t="shared" si="319"/>
        <v>0.37014388489208694</v>
      </c>
      <c r="AC103" s="1301">
        <f t="shared" si="319"/>
        <v>0.39339908952959024</v>
      </c>
      <c r="AD103" s="320">
        <f t="shared" si="319"/>
        <v>0.39248515526136518</v>
      </c>
      <c r="AE103" s="1292">
        <f t="shared" si="319"/>
        <v>0.36478811708169551</v>
      </c>
      <c r="AF103" s="320">
        <f t="shared" si="319"/>
        <v>0.39102727504460866</v>
      </c>
      <c r="AG103" s="320">
        <f t="shared" si="319"/>
        <v>0.38520165131787815</v>
      </c>
      <c r="AH103" s="1301">
        <f t="shared" si="319"/>
        <v>0.37180974477958229</v>
      </c>
      <c r="AI103" s="320">
        <f t="shared" si="319"/>
        <v>0.37973300023421008</v>
      </c>
      <c r="AJ103" s="1292">
        <f t="shared" si="319"/>
        <v>0.38509316770186419</v>
      </c>
      <c r="AK103" s="320">
        <f t="shared" si="319"/>
        <v>0.38120050020842011</v>
      </c>
      <c r="AL103" s="320">
        <f t="shared" si="319"/>
        <v>0.38234442836468935</v>
      </c>
      <c r="AM103" s="1301">
        <f t="shared" si="319"/>
        <v>0.36168334314302492</v>
      </c>
      <c r="AN103" s="320">
        <f t="shared" si="319"/>
        <v>0.37752161383285349</v>
      </c>
      <c r="AO103" s="1292">
        <f t="shared" si="319"/>
        <v>0.37763642450619406</v>
      </c>
      <c r="AP103" s="320">
        <f t="shared" si="319"/>
        <v>0.3774304231795656</v>
      </c>
      <c r="AQ103" s="320">
        <f t="shared" si="319"/>
        <v>0.37740384615384626</v>
      </c>
      <c r="AR103" s="1301">
        <f t="shared" si="319"/>
        <v>0.37763819095477386</v>
      </c>
      <c r="AS103" s="320">
        <f t="shared" si="319"/>
        <v>0.37748548845251323</v>
      </c>
      <c r="AT103" s="1292">
        <f t="shared" si="319"/>
        <v>0.39515902054601765</v>
      </c>
      <c r="AU103" s="320">
        <f t="shared" ref="AU103:BZ103" si="320">AU29/AU28</f>
        <v>0.37747566297415225</v>
      </c>
      <c r="AV103" s="320">
        <f t="shared" si="320"/>
        <v>0.38731938753504414</v>
      </c>
      <c r="AW103" s="1301">
        <f t="shared" si="320"/>
        <v>0.37834796308800389</v>
      </c>
      <c r="AX103" s="320">
        <f t="shared" si="320"/>
        <v>0.37962108463167021</v>
      </c>
      <c r="AY103" s="1292">
        <f t="shared" si="320"/>
        <v>0.37493869543894109</v>
      </c>
      <c r="AZ103" s="320">
        <f t="shared" si="320"/>
        <v>0.37509009595512227</v>
      </c>
      <c r="BA103" s="320">
        <f t="shared" si="320"/>
        <v>0.37493197895882435</v>
      </c>
      <c r="BB103" s="1301">
        <f t="shared" si="320"/>
        <v>0.37502465969619181</v>
      </c>
      <c r="BC103" s="320">
        <f t="shared" si="320"/>
        <v>0.37500514649622146</v>
      </c>
      <c r="BD103" s="1292">
        <f t="shared" si="320"/>
        <v>0.35719874804381818</v>
      </c>
      <c r="BE103" s="320">
        <f t="shared" si="320"/>
        <v>0.37249137159657397</v>
      </c>
      <c r="BF103" s="320">
        <f t="shared" si="320"/>
        <v>0.3725190839694652</v>
      </c>
      <c r="BG103" s="1301">
        <f t="shared" si="320"/>
        <v>0.3512127785446662</v>
      </c>
      <c r="BH103" s="320">
        <f t="shared" si="320"/>
        <v>0.36492099690503343</v>
      </c>
      <c r="BI103" s="1292">
        <f t="shared" si="320"/>
        <v>0.37003281079110456</v>
      </c>
      <c r="BJ103" s="320">
        <f t="shared" si="320"/>
        <v>0.36996028402936526</v>
      </c>
      <c r="BK103" s="320">
        <f t="shared" si="320"/>
        <v>0.35121681415929162</v>
      </c>
      <c r="BL103" s="1301">
        <f t="shared" si="320"/>
        <v>0.36705557261283472</v>
      </c>
      <c r="BM103" s="320">
        <f t="shared" si="320"/>
        <v>0.36436585454413351</v>
      </c>
      <c r="BN103" s="1292">
        <f t="shared" si="320"/>
        <v>0.36747252747252718</v>
      </c>
      <c r="BO103" s="320">
        <f t="shared" si="320"/>
        <v>0.3675172213059083</v>
      </c>
      <c r="BP103" s="320">
        <f t="shared" si="320"/>
        <v>0.35196304849884574</v>
      </c>
      <c r="BQ103" s="1301">
        <f t="shared" si="320"/>
        <v>0.34989342515166477</v>
      </c>
      <c r="BR103" s="320">
        <f t="shared" si="320"/>
        <v>0.35997616882506112</v>
      </c>
      <c r="BS103" s="1292">
        <f t="shared" si="320"/>
        <v>0.37443361252231244</v>
      </c>
      <c r="BT103" s="320">
        <f t="shared" si="320"/>
        <v>0.3684453045802229</v>
      </c>
      <c r="BU103" s="320">
        <f t="shared" si="320"/>
        <v>0.37231712658782273</v>
      </c>
      <c r="BV103" s="1301">
        <f t="shared" si="320"/>
        <v>0.37</v>
      </c>
      <c r="BW103" s="320">
        <f t="shared" si="320"/>
        <v>0.37985259451556175</v>
      </c>
      <c r="BX103" s="1302">
        <f t="shared" si="320"/>
        <v>0.37614678899082571</v>
      </c>
      <c r="BY103" s="320">
        <f t="shared" si="320"/>
        <v>0.36633663366336633</v>
      </c>
      <c r="BZ103" s="320">
        <f t="shared" si="320"/>
        <v>0.36419001218026797</v>
      </c>
      <c r="CA103" s="320">
        <f t="shared" ref="CA103:DF103" si="321">CA29/CA28</f>
        <v>0.35787923416789397</v>
      </c>
      <c r="CB103" s="949">
        <f t="shared" si="321"/>
        <v>0.36599241466498106</v>
      </c>
      <c r="CC103" s="320">
        <f t="shared" si="321"/>
        <v>0.36984536082474229</v>
      </c>
      <c r="CD103" s="320">
        <f t="shared" si="321"/>
        <v>0.37124060150375937</v>
      </c>
      <c r="CE103" s="320">
        <f t="shared" si="321"/>
        <v>0.42484472049689442</v>
      </c>
      <c r="CF103" s="320">
        <f t="shared" si="321"/>
        <v>0.35439560439560441</v>
      </c>
      <c r="CG103" s="949">
        <f t="shared" si="321"/>
        <v>0.38007708271568336</v>
      </c>
      <c r="CH103" s="320">
        <f t="shared" si="321"/>
        <v>0.37024972855591748</v>
      </c>
      <c r="CI103" s="320">
        <f t="shared" si="321"/>
        <v>0.37846930193439865</v>
      </c>
      <c r="CJ103" s="320">
        <f t="shared" si="321"/>
        <v>0.3536977491961415</v>
      </c>
      <c r="CK103" s="320">
        <f t="shared" si="321"/>
        <v>0.36690647482014388</v>
      </c>
      <c r="CL103" s="949">
        <f t="shared" si="321"/>
        <v>0.36795528644620401</v>
      </c>
      <c r="CM103" s="320">
        <f t="shared" si="321"/>
        <v>0.37259343148357871</v>
      </c>
      <c r="CN103" s="320">
        <f t="shared" si="321"/>
        <v>0.37224264705882354</v>
      </c>
      <c r="CO103" s="320">
        <f t="shared" si="321"/>
        <v>0.37266355140186919</v>
      </c>
      <c r="CP103" s="320">
        <f t="shared" si="321"/>
        <v>0.3570127504553734</v>
      </c>
      <c r="CQ103" s="949">
        <f t="shared" si="321"/>
        <v>0.36996445497630331</v>
      </c>
      <c r="CR103" s="320">
        <f t="shared" si="321"/>
        <v>0.38173652694610777</v>
      </c>
      <c r="CS103" s="320">
        <f t="shared" si="321"/>
        <v>0.36577181208053694</v>
      </c>
      <c r="CT103" s="320">
        <f t="shared" si="321"/>
        <v>0.38703339882121807</v>
      </c>
      <c r="CU103" s="320">
        <f t="shared" si="321"/>
        <v>0.35398230088495575</v>
      </c>
      <c r="CV103" s="949">
        <f t="shared" si="321"/>
        <v>0.37098844672657255</v>
      </c>
      <c r="CW103" s="320">
        <f t="shared" si="321"/>
        <v>0.36462093862815886</v>
      </c>
      <c r="CX103" s="320">
        <f t="shared" si="321"/>
        <v>0.34860050890585242</v>
      </c>
      <c r="CY103" s="320">
        <f t="shared" si="321"/>
        <v>0.3147982062780269</v>
      </c>
      <c r="CZ103" s="320">
        <f t="shared" si="321"/>
        <v>2.3225806451612905</v>
      </c>
      <c r="DA103" s="949">
        <f>DA29/DA28</f>
        <v>0.42901321338206355</v>
      </c>
      <c r="DB103" s="320">
        <v>0.27400000000000002</v>
      </c>
      <c r="DC103" s="1702">
        <v>0.27700000000000002</v>
      </c>
      <c r="DD103" s="1702">
        <v>0.3</v>
      </c>
      <c r="DE103" s="1702">
        <v>0.3</v>
      </c>
      <c r="DF103" s="949">
        <f t="shared" si="321"/>
        <v>0.19883261156091131</v>
      </c>
      <c r="DG103" s="1702">
        <v>0.28399999999999997</v>
      </c>
      <c r="DH103" s="1702">
        <v>0.28100000000000003</v>
      </c>
      <c r="DI103" s="1702">
        <v>0.24399999999999999</v>
      </c>
      <c r="DJ103" s="1702">
        <v>0.182328190743338</v>
      </c>
      <c r="DK103" s="837">
        <f t="shared" ref="DK103:DU103" si="322">DK29/DK28</f>
        <v>0.19381804043545878</v>
      </c>
      <c r="DL103" s="1702">
        <v>0.182328190743338</v>
      </c>
      <c r="DM103" s="1702">
        <v>0.182328190743338</v>
      </c>
      <c r="DN103" s="1702">
        <v>0.182328190743338</v>
      </c>
      <c r="DO103" s="1702">
        <v>0.182328190743338</v>
      </c>
      <c r="DP103" s="837">
        <f t="shared" si="322"/>
        <v>0.15660416237378941</v>
      </c>
      <c r="DQ103" s="1702">
        <v>0.182328190743338</v>
      </c>
      <c r="DR103" s="373">
        <f t="shared" ca="1" si="322"/>
        <v>0.20961597924474015</v>
      </c>
      <c r="DS103" s="373">
        <f t="shared" ca="1" si="322"/>
        <v>0.16371057174038409</v>
      </c>
      <c r="DT103" s="1827">
        <f t="shared" ca="1" si="322"/>
        <v>0.16513975423897267</v>
      </c>
      <c r="DU103" s="837">
        <f t="shared" ca="1" si="322"/>
        <v>0.18711535220810332</v>
      </c>
      <c r="DV103" s="1826">
        <f t="shared" ref="DV103:DZ103" ca="1" si="323">DV29/DV28</f>
        <v>0.16486211161924999</v>
      </c>
      <c r="DW103" s="373">
        <f t="shared" ca="1" si="323"/>
        <v>0.16696229669396148</v>
      </c>
      <c r="DX103" s="373">
        <f t="shared" ca="1" si="323"/>
        <v>0.16546229355458414</v>
      </c>
      <c r="DY103" s="1827">
        <f t="shared" ca="1" si="323"/>
        <v>0.16631398793980176</v>
      </c>
      <c r="DZ103" s="837">
        <f t="shared" ca="1" si="323"/>
        <v>0.16595336105072611</v>
      </c>
      <c r="EA103" s="1826">
        <f t="shared" ref="EA103:EE103" ca="1" si="324">EA29/EA28</f>
        <v>0.16653945488875341</v>
      </c>
      <c r="EB103" s="373">
        <f t="shared" ca="1" si="324"/>
        <v>0.16798003606830028</v>
      </c>
      <c r="EC103" s="373">
        <f t="shared" ca="1" si="324"/>
        <v>0.16673210842666294</v>
      </c>
      <c r="ED103" s="1827">
        <f t="shared" ca="1" si="324"/>
        <v>0.16746116110019543</v>
      </c>
      <c r="EE103" s="837">
        <f t="shared" ca="1" si="324"/>
        <v>0.16720364366890642</v>
      </c>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row>
    <row r="104" spans="2:232" s="54" customFormat="1" hidden="1" outlineLevel="1">
      <c r="B104" s="693" t="s">
        <v>236</v>
      </c>
      <c r="C104" s="375"/>
      <c r="D104" s="320">
        <f t="shared" ref="D104:J105" si="325">D33/D$9</f>
        <v>2.8668808001586613E-2</v>
      </c>
      <c r="E104" s="320">
        <f t="shared" si="325"/>
        <v>2.8867659893502998E-2</v>
      </c>
      <c r="F104" s="320">
        <f t="shared" si="325"/>
        <v>2.8956442286727967E-2</v>
      </c>
      <c r="G104" s="320">
        <f t="shared" si="325"/>
        <v>2.9515605499480128E-2</v>
      </c>
      <c r="H104" s="320">
        <f t="shared" si="325"/>
        <v>2.6723360547038846E-2</v>
      </c>
      <c r="I104" s="320">
        <f t="shared" si="325"/>
        <v>3.0528388914407779E-2</v>
      </c>
      <c r="J104" s="320">
        <f t="shared" si="325"/>
        <v>3.0859840063045086E-2</v>
      </c>
      <c r="K104" s="1292"/>
      <c r="L104" s="320"/>
      <c r="M104" s="320"/>
      <c r="N104" s="1301"/>
      <c r="O104" s="320">
        <f t="shared" ref="O104:AT104" si="326">O33/O$9</f>
        <v>3.1909915160011369E-2</v>
      </c>
      <c r="P104" s="1292">
        <f t="shared" si="326"/>
        <v>2.6504438963070767E-2</v>
      </c>
      <c r="Q104" s="320">
        <f t="shared" si="326"/>
        <v>4.3491403478579396E-2</v>
      </c>
      <c r="R104" s="320">
        <f t="shared" si="326"/>
        <v>3.3035767543144412E-2</v>
      </c>
      <c r="S104" s="1301">
        <f t="shared" si="326"/>
        <v>3.1167285218956561E-2</v>
      </c>
      <c r="T104" s="320">
        <f t="shared" si="326"/>
        <v>3.3900038935800639E-2</v>
      </c>
      <c r="U104" s="1292">
        <f t="shared" si="326"/>
        <v>1.9361808353131511E-2</v>
      </c>
      <c r="V104" s="320">
        <f t="shared" si="326"/>
        <v>4.4152548438768417E-2</v>
      </c>
      <c r="W104" s="320">
        <f t="shared" si="326"/>
        <v>3.6607946264169335E-2</v>
      </c>
      <c r="X104" s="1301">
        <f t="shared" si="326"/>
        <v>4.3423059307048519E-2</v>
      </c>
      <c r="Y104" s="320">
        <f t="shared" si="326"/>
        <v>3.640876852800369E-2</v>
      </c>
      <c r="Z104" s="1292">
        <f t="shared" si="326"/>
        <v>2.9354645951598424E-2</v>
      </c>
      <c r="AA104" s="320">
        <f t="shared" si="326"/>
        <v>4.6130888936260959E-2</v>
      </c>
      <c r="AB104" s="320">
        <f t="shared" si="326"/>
        <v>3.8303364396027377E-2</v>
      </c>
      <c r="AC104" s="1301">
        <f t="shared" si="326"/>
        <v>3.5065789473684217E-2</v>
      </c>
      <c r="AD104" s="320">
        <f t="shared" si="326"/>
        <v>3.4985537143753999E-2</v>
      </c>
      <c r="AE104" s="1292">
        <f t="shared" si="326"/>
        <v>3.0145961187593242E-2</v>
      </c>
      <c r="AF104" s="320">
        <f t="shared" si="326"/>
        <v>4.2593781200969912E-2</v>
      </c>
      <c r="AG104" s="320">
        <f t="shared" si="326"/>
        <v>3.5891066164883932E-2</v>
      </c>
      <c r="AH104" s="1301">
        <f t="shared" si="326"/>
        <v>4.0254237288135604E-2</v>
      </c>
      <c r="AI104" s="320">
        <f t="shared" si="326"/>
        <v>3.746422155053309E-2</v>
      </c>
      <c r="AJ104" s="1292">
        <f t="shared" si="326"/>
        <v>2.8214171208720648E-2</v>
      </c>
      <c r="AK104" s="320">
        <f t="shared" si="326"/>
        <v>4.6181365686732007E-2</v>
      </c>
      <c r="AL104" s="320">
        <f t="shared" si="326"/>
        <v>3.3893459547028298E-2</v>
      </c>
      <c r="AM104" s="1301">
        <f t="shared" si="326"/>
        <v>3.4518428926093386E-2</v>
      </c>
      <c r="AN104" s="320">
        <f t="shared" si="326"/>
        <v>3.5966372903382941E-2</v>
      </c>
      <c r="AO104" s="1292">
        <f t="shared" si="326"/>
        <v>2.8341006799402314E-2</v>
      </c>
      <c r="AP104" s="320">
        <f t="shared" si="326"/>
        <v>4.3613540762502463E-2</v>
      </c>
      <c r="AQ104" s="320">
        <f t="shared" si="326"/>
        <v>3.5009935251895795E-2</v>
      </c>
      <c r="AR104" s="1301">
        <f t="shared" si="326"/>
        <v>3.4234931516315847E-2</v>
      </c>
      <c r="AS104" s="320">
        <f t="shared" si="326"/>
        <v>3.5148582167350631E-2</v>
      </c>
      <c r="AT104" s="1292">
        <f t="shared" si="326"/>
        <v>2.7321674304265901E-2</v>
      </c>
      <c r="AU104" s="320">
        <f t="shared" ref="AU104:BW104" si="327">AU33/AU$9</f>
        <v>4.3913759013035639E-2</v>
      </c>
      <c r="AV104" s="320">
        <f t="shared" si="327"/>
        <v>3.2684918347742557E-2</v>
      </c>
      <c r="AW104" s="1301">
        <f t="shared" si="327"/>
        <v>3.3493403181994522E-2</v>
      </c>
      <c r="AX104" s="320">
        <f t="shared" si="327"/>
        <v>3.5843275271185741E-2</v>
      </c>
      <c r="AY104" s="1292">
        <f t="shared" si="327"/>
        <v>2.9228969819282587E-2</v>
      </c>
      <c r="AZ104" s="320">
        <f t="shared" si="327"/>
        <v>4.4315184767836677E-2</v>
      </c>
      <c r="BA104" s="320">
        <f t="shared" si="327"/>
        <v>3.5976405491465295E-2</v>
      </c>
      <c r="BB104" s="1301">
        <f t="shared" si="327"/>
        <v>3.3606670414885478E-2</v>
      </c>
      <c r="BC104" s="320">
        <f t="shared" si="327"/>
        <v>3.5986797565223827E-2</v>
      </c>
      <c r="BD104" s="1292">
        <f t="shared" si="327"/>
        <v>3.3228504110586442E-2</v>
      </c>
      <c r="BE104" s="320">
        <f t="shared" si="327"/>
        <v>4.4680076453991122E-2</v>
      </c>
      <c r="BF104" s="320">
        <f t="shared" si="327"/>
        <v>3.7948036119882629E-2</v>
      </c>
      <c r="BG104" s="1301">
        <f t="shared" si="327"/>
        <v>3.1348559776653358E-2</v>
      </c>
      <c r="BH104" s="320">
        <f t="shared" si="327"/>
        <v>3.6953575219896874E-2</v>
      </c>
      <c r="BI104" s="1292">
        <f t="shared" si="327"/>
        <v>3.1705258522623035E-2</v>
      </c>
      <c r="BJ104" s="320">
        <f t="shared" si="327"/>
        <v>4.3040014469995398E-2</v>
      </c>
      <c r="BK104" s="320">
        <f t="shared" si="327"/>
        <v>3.8537354622511399E-2</v>
      </c>
      <c r="BL104" s="1301">
        <f t="shared" si="327"/>
        <v>3.3877554374173072E-2</v>
      </c>
      <c r="BM104" s="320">
        <f t="shared" si="327"/>
        <v>3.6925478284713986E-2</v>
      </c>
      <c r="BN104" s="1292">
        <f t="shared" si="327"/>
        <v>3.3969390565369677E-2</v>
      </c>
      <c r="BO104" s="320">
        <f t="shared" si="327"/>
        <v>4.6785850133130538E-2</v>
      </c>
      <c r="BP104" s="320">
        <f t="shared" si="327"/>
        <v>4.0968587342954887E-2</v>
      </c>
      <c r="BQ104" s="1301">
        <f t="shared" si="327"/>
        <v>2.9542152516484677E-2</v>
      </c>
      <c r="BR104" s="320">
        <f t="shared" si="327"/>
        <v>3.7965477474796207E-2</v>
      </c>
      <c r="BS104" s="1292">
        <f t="shared" si="327"/>
        <v>3.2478132863792843E-2</v>
      </c>
      <c r="BT104" s="320">
        <f t="shared" si="327"/>
        <v>4.4518501195301971E-2</v>
      </c>
      <c r="BU104" s="320">
        <f t="shared" si="327"/>
        <v>3.8173378530471487E-2</v>
      </c>
      <c r="BV104" s="1301">
        <f t="shared" si="327"/>
        <v>3.0371169615882626E-2</v>
      </c>
      <c r="BW104" s="320">
        <f t="shared" si="327"/>
        <v>3.4361887919395928E-2</v>
      </c>
      <c r="BX104" s="1302">
        <f t="shared" ref="BX104:DF104" si="328">BX31/BX$9</f>
        <v>2.7296447447648357E-2</v>
      </c>
      <c r="BY104" s="320">
        <f t="shared" si="328"/>
        <v>3.8846737481031866E-2</v>
      </c>
      <c r="BZ104" s="320">
        <f t="shared" si="328"/>
        <v>3.2202344231955581E-2</v>
      </c>
      <c r="CA104" s="320">
        <f t="shared" si="328"/>
        <v>2.7765395147424061E-2</v>
      </c>
      <c r="CB104" s="949">
        <f t="shared" si="328"/>
        <v>3.167285071445488E-2</v>
      </c>
      <c r="CC104" s="320">
        <f t="shared" si="328"/>
        <v>2.9882669274016133E-2</v>
      </c>
      <c r="CD104" s="320">
        <f t="shared" si="328"/>
        <v>3.938305763230706E-2</v>
      </c>
      <c r="CE104" s="320">
        <f t="shared" si="328"/>
        <v>2.6920169777312635E-2</v>
      </c>
      <c r="CF104" s="320">
        <f t="shared" si="328"/>
        <v>2.7860106698280974E-2</v>
      </c>
      <c r="CG104" s="949">
        <f t="shared" si="328"/>
        <v>3.1014535746069414E-2</v>
      </c>
      <c r="CH104" s="1292">
        <f t="shared" si="328"/>
        <v>3.3440959409594094E-2</v>
      </c>
      <c r="CI104" s="320">
        <f t="shared" si="328"/>
        <v>3.9941627932115448E-2</v>
      </c>
      <c r="CJ104" s="320">
        <f t="shared" si="328"/>
        <v>3.2823471776168962E-2</v>
      </c>
      <c r="CK104" s="320">
        <f t="shared" si="328"/>
        <v>4.4080814827183172E-2</v>
      </c>
      <c r="CL104" s="949">
        <f t="shared" si="328"/>
        <v>3.7598359747312425E-2</v>
      </c>
      <c r="CM104" s="1292">
        <f t="shared" si="328"/>
        <v>3.051164840006609E-2</v>
      </c>
      <c r="CN104" s="320">
        <f t="shared" si="328"/>
        <v>3.6620020374242668E-2</v>
      </c>
      <c r="CO104" s="320">
        <f t="shared" si="328"/>
        <v>3.0250112663361875E-2</v>
      </c>
      <c r="CP104" s="320">
        <f t="shared" si="328"/>
        <v>2.0675921044924734E-2</v>
      </c>
      <c r="CQ104" s="949">
        <f t="shared" si="328"/>
        <v>2.9693018580821687E-2</v>
      </c>
      <c r="CR104" s="1292">
        <f t="shared" si="328"/>
        <v>2.3850773850773849E-2</v>
      </c>
      <c r="CS104" s="320">
        <f t="shared" si="328"/>
        <v>4.0542714645787528E-2</v>
      </c>
      <c r="CT104" s="320">
        <f t="shared" si="328"/>
        <v>3.40741549718779E-2</v>
      </c>
      <c r="CU104" s="320">
        <f t="shared" si="328"/>
        <v>3.6620032328186836E-2</v>
      </c>
      <c r="CV104" s="949">
        <f t="shared" si="328"/>
        <v>3.392552999986153E-2</v>
      </c>
      <c r="CW104" s="1292">
        <f t="shared" si="328"/>
        <v>3.8409078509465872E-2</v>
      </c>
      <c r="CX104" s="320">
        <f t="shared" si="328"/>
        <v>3.9173680183626623E-2</v>
      </c>
      <c r="CY104" s="320">
        <f t="shared" si="328"/>
        <v>3.9379413432297304E-2</v>
      </c>
      <c r="CZ104" s="320">
        <f t="shared" si="328"/>
        <v>-1.0757202077976596E-2</v>
      </c>
      <c r="DA104" s="949">
        <f t="shared" si="328"/>
        <v>2.6586553565818412E-2</v>
      </c>
      <c r="DB104" s="1292">
        <f t="shared" si="328"/>
        <v>4.4850158535338039E-2</v>
      </c>
      <c r="DC104" s="320">
        <f t="shared" si="328"/>
        <v>7.722123960410944E-2</v>
      </c>
      <c r="DD104" s="320">
        <f t="shared" si="328"/>
        <v>4.5250911616600102E-2</v>
      </c>
      <c r="DE104" s="320">
        <f>DE31/DE$9</f>
        <v>8.0639506345978539E-4</v>
      </c>
      <c r="DF104" s="949">
        <f t="shared" si="328"/>
        <v>4.1133366845829626E-2</v>
      </c>
      <c r="DG104" s="320">
        <f>DG31/DG$9</f>
        <v>3.8094582027348188E-2</v>
      </c>
      <c r="DH104" s="320">
        <f>DH31/DH$9</f>
        <v>3.0579114762788233E-2</v>
      </c>
      <c r="DI104" s="320">
        <f>DI31/DI$9</f>
        <v>3.7019458946369245E-2</v>
      </c>
      <c r="DJ104" s="320">
        <f>DJ31/DJ$9</f>
        <v>3.5829026400335244E-2</v>
      </c>
      <c r="DK104" s="949">
        <f t="shared" ref="DK104:DU104" si="329">DK31/DK$9</f>
        <v>3.5338429156973522E-2</v>
      </c>
      <c r="DL104" s="320">
        <f>DL31/DL$9</f>
        <v>3.7016245044033544E-2</v>
      </c>
      <c r="DM104" s="320">
        <f>DM31/DM$9</f>
        <v>3.552265163349861E-2</v>
      </c>
      <c r="DN104" s="320">
        <f>DN31/DN$9</f>
        <v>3.9378444783850192E-2</v>
      </c>
      <c r="DO104" s="320">
        <f>DO31/DO$9</f>
        <v>2.6733888354505953E-2</v>
      </c>
      <c r="DP104" s="949">
        <f t="shared" si="329"/>
        <v>3.4623648637217251E-2</v>
      </c>
      <c r="DQ104" s="320">
        <f>DQ31/DQ$9</f>
        <v>2.6740403383214054E-2</v>
      </c>
      <c r="DR104" s="320">
        <f t="shared" ca="1" si="329"/>
        <v>3.8014673642879755E-2</v>
      </c>
      <c r="DS104" s="320">
        <f t="shared" ca="1" si="329"/>
        <v>3.6551969353569601E-2</v>
      </c>
      <c r="DT104" s="1303">
        <f t="shared" ca="1" si="329"/>
        <v>3.6983204183483658E-2</v>
      </c>
      <c r="DU104" s="949">
        <f t="shared" ca="1" si="329"/>
        <v>3.474032811384118E-2</v>
      </c>
      <c r="DV104" s="1302">
        <f t="shared" ref="DV104:DZ104" ca="1" si="330">DV31/DV$9</f>
        <v>3.390548042544745E-2</v>
      </c>
      <c r="DW104" s="320">
        <f t="shared" ca="1" si="330"/>
        <v>4.0384684185007978E-2</v>
      </c>
      <c r="DX104" s="320">
        <f t="shared" ca="1" si="330"/>
        <v>4.0928727726713396E-2</v>
      </c>
      <c r="DY104" s="1303">
        <f t="shared" ca="1" si="330"/>
        <v>4.2526613460993956E-2</v>
      </c>
      <c r="DZ104" s="949">
        <f t="shared" ca="1" si="330"/>
        <v>3.9467300517348973E-2</v>
      </c>
      <c r="EA104" s="1302">
        <f t="shared" ref="EA104:EE104" ca="1" si="331">EA31/EA$9</f>
        <v>3.9830192640433318E-2</v>
      </c>
      <c r="EB104" s="320">
        <f t="shared" ca="1" si="331"/>
        <v>4.5392163778370589E-2</v>
      </c>
      <c r="EC104" s="320">
        <f t="shared" ca="1" si="331"/>
        <v>4.629428708255566E-2</v>
      </c>
      <c r="ED104" s="1303">
        <f t="shared" ca="1" si="331"/>
        <v>4.8003332229196671E-2</v>
      </c>
      <c r="EE104" s="949">
        <f t="shared" ca="1" si="331"/>
        <v>4.4908066265599678E-2</v>
      </c>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row>
    <row r="105" spans="2:232" ht="12" collapsed="1" thickBot="1">
      <c r="B105" s="694" t="s">
        <v>213</v>
      </c>
      <c r="C105" s="695"/>
      <c r="D105" s="1288">
        <f t="shared" si="325"/>
        <v>0</v>
      </c>
      <c r="E105" s="1288">
        <f t="shared" si="325"/>
        <v>0</v>
      </c>
      <c r="F105" s="1288">
        <f t="shared" si="325"/>
        <v>0</v>
      </c>
      <c r="G105" s="1288">
        <f t="shared" si="325"/>
        <v>0</v>
      </c>
      <c r="H105" s="1288">
        <f t="shared" si="325"/>
        <v>0</v>
      </c>
      <c r="I105" s="1288">
        <f t="shared" si="325"/>
        <v>0</v>
      </c>
      <c r="J105" s="1288">
        <f t="shared" si="325"/>
        <v>0</v>
      </c>
      <c r="K105" s="1293"/>
      <c r="L105" s="1288"/>
      <c r="M105" s="1288"/>
      <c r="N105" s="1304"/>
      <c r="O105" s="1288">
        <f t="shared" ref="O105:AT105" si="332">O34/O$9</f>
        <v>0</v>
      </c>
      <c r="P105" s="1293">
        <f t="shared" si="332"/>
        <v>0</v>
      </c>
      <c r="Q105" s="1288">
        <f t="shared" si="332"/>
        <v>0</v>
      </c>
      <c r="R105" s="1288">
        <f t="shared" si="332"/>
        <v>0</v>
      </c>
      <c r="S105" s="1304">
        <f t="shared" si="332"/>
        <v>0</v>
      </c>
      <c r="T105" s="1288">
        <f t="shared" si="332"/>
        <v>0</v>
      </c>
      <c r="U105" s="1293">
        <f t="shared" si="332"/>
        <v>0</v>
      </c>
      <c r="V105" s="1288">
        <f t="shared" si="332"/>
        <v>0</v>
      </c>
      <c r="W105" s="1288">
        <f t="shared" si="332"/>
        <v>0</v>
      </c>
      <c r="X105" s="1304">
        <f t="shared" si="332"/>
        <v>0</v>
      </c>
      <c r="Y105" s="1288">
        <f t="shared" si="332"/>
        <v>0</v>
      </c>
      <c r="Z105" s="1293">
        <f t="shared" si="332"/>
        <v>0</v>
      </c>
      <c r="AA105" s="1288">
        <f t="shared" si="332"/>
        <v>0</v>
      </c>
      <c r="AB105" s="1288">
        <f t="shared" si="332"/>
        <v>0</v>
      </c>
      <c r="AC105" s="1304">
        <f t="shared" si="332"/>
        <v>0</v>
      </c>
      <c r="AD105" s="1288">
        <f t="shared" si="332"/>
        <v>0</v>
      </c>
      <c r="AE105" s="1293">
        <f t="shared" si="332"/>
        <v>0</v>
      </c>
      <c r="AF105" s="1288">
        <f t="shared" si="332"/>
        <v>0</v>
      </c>
      <c r="AG105" s="1288">
        <f t="shared" si="332"/>
        <v>0</v>
      </c>
      <c r="AH105" s="1304">
        <f t="shared" si="332"/>
        <v>0</v>
      </c>
      <c r="AI105" s="1288">
        <f t="shared" si="332"/>
        <v>0</v>
      </c>
      <c r="AJ105" s="1293">
        <f t="shared" si="332"/>
        <v>0</v>
      </c>
      <c r="AK105" s="1288">
        <f t="shared" si="332"/>
        <v>0</v>
      </c>
      <c r="AL105" s="1288">
        <f t="shared" si="332"/>
        <v>0</v>
      </c>
      <c r="AM105" s="1304">
        <f t="shared" si="332"/>
        <v>0</v>
      </c>
      <c r="AN105" s="1288">
        <f t="shared" si="332"/>
        <v>0</v>
      </c>
      <c r="AO105" s="1293">
        <f t="shared" si="332"/>
        <v>0</v>
      </c>
      <c r="AP105" s="1288">
        <f t="shared" si="332"/>
        <v>0</v>
      </c>
      <c r="AQ105" s="1288">
        <f t="shared" si="332"/>
        <v>0</v>
      </c>
      <c r="AR105" s="1304">
        <f t="shared" si="332"/>
        <v>0</v>
      </c>
      <c r="AS105" s="1288">
        <f t="shared" si="332"/>
        <v>0</v>
      </c>
      <c r="AT105" s="1293">
        <f t="shared" si="332"/>
        <v>0</v>
      </c>
      <c r="AU105" s="1288">
        <f t="shared" ref="AU105:BW105" si="333">AU34/AU$9</f>
        <v>0</v>
      </c>
      <c r="AV105" s="1288">
        <f t="shared" si="333"/>
        <v>0</v>
      </c>
      <c r="AW105" s="1304">
        <f t="shared" si="333"/>
        <v>0</v>
      </c>
      <c r="AX105" s="1288">
        <f t="shared" si="333"/>
        <v>0</v>
      </c>
      <c r="AY105" s="1293">
        <f t="shared" si="333"/>
        <v>0</v>
      </c>
      <c r="AZ105" s="1288">
        <f t="shared" si="333"/>
        <v>0</v>
      </c>
      <c r="BA105" s="1288">
        <f t="shared" si="333"/>
        <v>0</v>
      </c>
      <c r="BB105" s="1304">
        <f t="shared" si="333"/>
        <v>0</v>
      </c>
      <c r="BC105" s="1288">
        <f t="shared" si="333"/>
        <v>0</v>
      </c>
      <c r="BD105" s="1293">
        <f t="shared" si="333"/>
        <v>0</v>
      </c>
      <c r="BE105" s="1288">
        <f t="shared" si="333"/>
        <v>0</v>
      </c>
      <c r="BF105" s="1288">
        <f t="shared" si="333"/>
        <v>0</v>
      </c>
      <c r="BG105" s="1304">
        <f t="shared" si="333"/>
        <v>0</v>
      </c>
      <c r="BH105" s="1288">
        <f t="shared" si="333"/>
        <v>0</v>
      </c>
      <c r="BI105" s="1293">
        <f t="shared" si="333"/>
        <v>0</v>
      </c>
      <c r="BJ105" s="1288">
        <f t="shared" si="333"/>
        <v>0</v>
      </c>
      <c r="BK105" s="1288">
        <f t="shared" si="333"/>
        <v>0</v>
      </c>
      <c r="BL105" s="1304">
        <f t="shared" si="333"/>
        <v>0</v>
      </c>
      <c r="BM105" s="1288">
        <f t="shared" si="333"/>
        <v>0</v>
      </c>
      <c r="BN105" s="1293">
        <f t="shared" si="333"/>
        <v>0</v>
      </c>
      <c r="BO105" s="1288">
        <f t="shared" si="333"/>
        <v>0</v>
      </c>
      <c r="BP105" s="1288">
        <f t="shared" si="333"/>
        <v>0</v>
      </c>
      <c r="BQ105" s="1304">
        <f t="shared" si="333"/>
        <v>0</v>
      </c>
      <c r="BR105" s="1288">
        <f t="shared" si="333"/>
        <v>0</v>
      </c>
      <c r="BS105" s="1293">
        <f t="shared" si="333"/>
        <v>0</v>
      </c>
      <c r="BT105" s="1288">
        <f t="shared" si="333"/>
        <v>0</v>
      </c>
      <c r="BU105" s="1288">
        <f t="shared" si="333"/>
        <v>0</v>
      </c>
      <c r="BV105" s="1304">
        <f t="shared" si="333"/>
        <v>0</v>
      </c>
      <c r="BW105" s="1288">
        <f t="shared" si="333"/>
        <v>0</v>
      </c>
      <c r="BX105" s="1305">
        <f t="shared" ref="BX105:DF105" si="334">BX41/BX$9</f>
        <v>2.7296447447648357E-2</v>
      </c>
      <c r="BY105" s="1288">
        <f t="shared" si="334"/>
        <v>3.8846737481031866E-2</v>
      </c>
      <c r="BZ105" s="1288">
        <f t="shared" si="334"/>
        <v>3.2202344231955581E-2</v>
      </c>
      <c r="CA105" s="1288">
        <f t="shared" si="334"/>
        <v>2.7765395147424061E-2</v>
      </c>
      <c r="CB105" s="1287">
        <f t="shared" si="334"/>
        <v>3.167285071445488E-2</v>
      </c>
      <c r="CC105" s="1288">
        <f t="shared" si="334"/>
        <v>3.2632608164263013E-2</v>
      </c>
      <c r="CD105" s="1288">
        <f t="shared" si="334"/>
        <v>4.1796668040266084E-2</v>
      </c>
      <c r="CE105" s="1288">
        <f t="shared" si="334"/>
        <v>3.1978603407174837E-2</v>
      </c>
      <c r="CF105" s="1288">
        <f t="shared" si="334"/>
        <v>3.2187314759928864E-2</v>
      </c>
      <c r="CG105" s="1287">
        <f t="shared" si="334"/>
        <v>3.4663304657371698E-2</v>
      </c>
      <c r="CH105" s="1293">
        <f t="shared" si="334"/>
        <v>3.6842712177121768E-2</v>
      </c>
      <c r="CI105" s="1288">
        <f t="shared" si="334"/>
        <v>4.334666522538104E-2</v>
      </c>
      <c r="CJ105" s="1288">
        <f t="shared" si="334"/>
        <v>3.6470524195743294E-2</v>
      </c>
      <c r="CK105" s="1288">
        <f t="shared" si="334"/>
        <v>3.3338899092781211E-2</v>
      </c>
      <c r="CL105" s="1287">
        <f t="shared" si="334"/>
        <v>3.7542945805164582E-2</v>
      </c>
      <c r="CM105" s="1293">
        <f t="shared" si="334"/>
        <v>3.4091534945200196E-2</v>
      </c>
      <c r="CN105" s="1288">
        <f t="shared" si="334"/>
        <v>4.1123800332421856E-2</v>
      </c>
      <c r="CO105" s="1288">
        <f t="shared" si="334"/>
        <v>3.5376295628661562E-2</v>
      </c>
      <c r="CP105" s="1288">
        <f t="shared" si="334"/>
        <v>3.2390323903239031E-2</v>
      </c>
      <c r="CQ105" s="1287">
        <f t="shared" si="334"/>
        <v>3.5835438973657395E-2</v>
      </c>
      <c r="CR105" s="1293">
        <f t="shared" si="334"/>
        <v>3.1935781935781934E-2</v>
      </c>
      <c r="CS105" s="1288">
        <f t="shared" si="334"/>
        <v>4.9069555424465061E-2</v>
      </c>
      <c r="CT105" s="1288">
        <f t="shared" si="334"/>
        <v>4.4340086277507781E-2</v>
      </c>
      <c r="CU105" s="1288">
        <f t="shared" si="334"/>
        <v>3.9128253720528396E-2</v>
      </c>
      <c r="CV105" s="1287">
        <f t="shared" si="334"/>
        <v>4.1292216514117172E-2</v>
      </c>
      <c r="CW105" s="1293">
        <f t="shared" si="334"/>
        <v>3.7536144906978014E-2</v>
      </c>
      <c r="CX105" s="1288">
        <f t="shared" si="334"/>
        <v>4.4886508543738844E-2</v>
      </c>
      <c r="CY105" s="1288">
        <f t="shared" si="334"/>
        <v>4.551311788052162E-2</v>
      </c>
      <c r="CZ105" s="1288">
        <f t="shared" si="334"/>
        <v>3.7466547725245318E-2</v>
      </c>
      <c r="DA105" s="1287">
        <f t="shared" si="334"/>
        <v>4.1431039899465914E-2</v>
      </c>
      <c r="DB105" s="1293">
        <f t="shared" si="334"/>
        <v>3.8304183287306948E-2</v>
      </c>
      <c r="DC105" s="1288">
        <f t="shared" si="334"/>
        <v>4.6814435705415269E-2</v>
      </c>
      <c r="DD105" s="1288">
        <f t="shared" si="334"/>
        <v>3.8999826358742835E-2</v>
      </c>
      <c r="DE105" s="1288">
        <f>DE41/DE$9</f>
        <v>3.3973774630110087E-2</v>
      </c>
      <c r="DF105" s="1287">
        <f t="shared" si="334"/>
        <v>3.9489965585244188E-2</v>
      </c>
      <c r="DG105" s="1288">
        <f>DG41/DG$9</f>
        <v>3.8990114697068853E-2</v>
      </c>
      <c r="DH105" s="1288">
        <f>DH41/DH$9</f>
        <v>4.714418234826398E-2</v>
      </c>
      <c r="DI105" s="1288">
        <f>DI41/DI$9</f>
        <v>4.3663977218794496E-2</v>
      </c>
      <c r="DJ105" s="1288">
        <f>DJ41/DJ$9</f>
        <v>4.0717977371141217E-2</v>
      </c>
      <c r="DK105" s="1287">
        <f t="shared" ref="DK105:DU105" si="335">DK41/DK$9</f>
        <v>4.2683914069756544E-2</v>
      </c>
      <c r="DL105" s="1288">
        <f>DL41/DL$9</f>
        <v>4.2138872320269465E-2</v>
      </c>
      <c r="DM105" s="1288">
        <f>DM41/DM$9</f>
        <v>5.0125653739047746E-2</v>
      </c>
      <c r="DN105" s="1288">
        <f>DN41/DN$9</f>
        <v>4.7845142439737032E-2</v>
      </c>
      <c r="DO105" s="1288">
        <f>DO41/DO$9</f>
        <v>4.5938505423065441E-2</v>
      </c>
      <c r="DP105" s="1287">
        <f t="shared" si="335"/>
        <v>4.6551169912193144E-2</v>
      </c>
      <c r="DQ105" s="1288">
        <f>DQ41/DQ$9</f>
        <v>4.2127521145087832E-2</v>
      </c>
      <c r="DR105" s="1288">
        <f t="shared" ca="1" si="335"/>
        <v>4.5705592214065449E-2</v>
      </c>
      <c r="DS105" s="1288">
        <f t="shared" ca="1" si="335"/>
        <v>4.4492904338043662E-2</v>
      </c>
      <c r="DT105" s="1306">
        <f t="shared" ca="1" si="335"/>
        <v>4.289894543233494E-2</v>
      </c>
      <c r="DU105" s="1287">
        <f t="shared" ca="1" si="335"/>
        <v>4.3845637964379895E-2</v>
      </c>
      <c r="DV105" s="1305">
        <f t="shared" ref="DV105:DZ105" ca="1" si="336">DV41/DV$9</f>
        <v>4.2103078624778918E-2</v>
      </c>
      <c r="DW105" s="1288">
        <f t="shared" ca="1" si="336"/>
        <v>4.8206802653576367E-2</v>
      </c>
      <c r="DX105" s="1288">
        <f t="shared" ca="1" si="336"/>
        <v>4.8750154794984117E-2</v>
      </c>
      <c r="DY105" s="1306">
        <f t="shared" ca="1" si="336"/>
        <v>4.8354619721034359E-2</v>
      </c>
      <c r="DZ105" s="1287">
        <f t="shared" ca="1" si="336"/>
        <v>4.6884982315869496E-2</v>
      </c>
      <c r="EA105" s="1305">
        <f t="shared" ref="EA105:EE105" ca="1" si="337">EA41/EA$9</f>
        <v>4.2697697267531247E-2</v>
      </c>
      <c r="EB105" s="1288">
        <f t="shared" ca="1" si="337"/>
        <v>4.8053807434015119E-2</v>
      </c>
      <c r="EC105" s="1288">
        <f t="shared" ca="1" si="337"/>
        <v>4.8953326653042924E-2</v>
      </c>
      <c r="ED105" s="1306">
        <f t="shared" ca="1" si="337"/>
        <v>4.8620802403507801E-2</v>
      </c>
      <c r="EE105" s="1287">
        <f t="shared" ca="1" si="337"/>
        <v>4.7110212608572316E-2</v>
      </c>
    </row>
    <row r="106" spans="2:232" s="54" customFormat="1" ht="12" thickBot="1">
      <c r="B106" s="1296"/>
      <c r="C106" s="320"/>
      <c r="D106" s="320"/>
      <c r="E106" s="320"/>
      <c r="F106" s="320"/>
      <c r="G106" s="320"/>
      <c r="H106" s="320"/>
      <c r="I106" s="320"/>
      <c r="J106" s="320"/>
      <c r="K106" s="320"/>
      <c r="L106" s="320"/>
      <c r="M106" s="320"/>
      <c r="N106" s="320"/>
      <c r="O106" s="320"/>
      <c r="P106" s="320"/>
      <c r="Q106" s="320"/>
      <c r="R106" s="320"/>
      <c r="S106" s="320"/>
      <c r="T106" s="320"/>
      <c r="U106" s="320"/>
      <c r="V106" s="320"/>
      <c r="W106" s="320"/>
      <c r="X106" s="320"/>
      <c r="Y106" s="320"/>
      <c r="Z106" s="320"/>
      <c r="AA106" s="320"/>
      <c r="AB106" s="320"/>
      <c r="AC106" s="320"/>
      <c r="AD106" s="320"/>
      <c r="AE106" s="320"/>
      <c r="AF106" s="320"/>
      <c r="AG106" s="320"/>
      <c r="AH106" s="320"/>
      <c r="AI106" s="320"/>
      <c r="AJ106" s="320"/>
      <c r="AK106" s="320"/>
      <c r="AL106" s="320"/>
      <c r="AM106" s="320"/>
      <c r="AN106" s="320"/>
      <c r="AO106" s="320"/>
      <c r="AP106" s="320"/>
      <c r="AQ106" s="320"/>
      <c r="AR106" s="320"/>
      <c r="AS106" s="320"/>
      <c r="AT106" s="320"/>
      <c r="AU106" s="320"/>
      <c r="AV106" s="320"/>
      <c r="AW106" s="320"/>
      <c r="AX106" s="320"/>
      <c r="AY106" s="320"/>
      <c r="AZ106" s="320"/>
      <c r="BA106" s="320"/>
      <c r="BB106" s="320"/>
      <c r="BC106" s="320"/>
      <c r="BD106" s="320"/>
      <c r="BE106" s="320"/>
      <c r="BF106" s="320"/>
      <c r="BG106" s="320"/>
      <c r="BH106" s="320"/>
      <c r="BI106" s="320"/>
      <c r="BJ106" s="320"/>
      <c r="BK106" s="320"/>
      <c r="BL106" s="320"/>
      <c r="BM106" s="320"/>
      <c r="BN106" s="320"/>
      <c r="BO106" s="320"/>
      <c r="BP106" s="320"/>
      <c r="BQ106" s="320"/>
      <c r="BR106" s="320"/>
      <c r="BS106" s="320"/>
      <c r="BT106" s="320"/>
      <c r="BU106" s="320"/>
      <c r="BV106" s="320"/>
      <c r="BW106" s="320"/>
      <c r="BX106" s="320"/>
      <c r="BY106" s="320"/>
      <c r="BZ106" s="320"/>
      <c r="CA106" s="320"/>
      <c r="CB106" s="320"/>
      <c r="CC106" s="320"/>
      <c r="CD106" s="320"/>
      <c r="CE106" s="320"/>
      <c r="CF106" s="320"/>
      <c r="CG106" s="320"/>
      <c r="CH106" s="320"/>
      <c r="CI106" s="320"/>
      <c r="CJ106" s="320"/>
      <c r="CK106" s="320"/>
      <c r="CL106" s="320"/>
      <c r="CM106" s="320"/>
      <c r="CN106" s="320"/>
      <c r="CO106" s="320"/>
      <c r="CP106" s="320"/>
      <c r="CQ106" s="320"/>
      <c r="CR106" s="320"/>
      <c r="CS106" s="320"/>
      <c r="CT106" s="320"/>
      <c r="CU106" s="320"/>
      <c r="CV106" s="320"/>
      <c r="CW106" s="320"/>
      <c r="CX106" s="320"/>
      <c r="CY106" s="320"/>
      <c r="CZ106" s="320"/>
      <c r="DA106" s="320"/>
      <c r="DB106" s="320"/>
      <c r="DC106" s="320"/>
      <c r="DD106" s="320"/>
      <c r="DE106" s="320"/>
      <c r="DF106" s="320"/>
      <c r="DG106" s="320"/>
      <c r="DH106" s="320"/>
      <c r="DI106" s="320"/>
      <c r="DJ106" s="320"/>
      <c r="DK106" s="320"/>
      <c r="DL106" s="320"/>
      <c r="DM106" s="320"/>
      <c r="DN106" s="320"/>
      <c r="DO106" s="320"/>
      <c r="DP106" s="320"/>
      <c r="DQ106" s="320"/>
      <c r="DR106" s="375">
        <f ca="1">DR102-DM102</f>
        <v>-6.1242829798318008E-3</v>
      </c>
      <c r="DS106" s="320"/>
      <c r="DT106" s="320"/>
      <c r="DU106" s="320"/>
      <c r="DV106" s="320"/>
      <c r="DW106" s="320"/>
      <c r="DX106" s="320"/>
      <c r="DY106" s="320"/>
      <c r="DZ106" s="320"/>
      <c r="EA106" s="320"/>
      <c r="EB106" s="320"/>
      <c r="EC106" s="320"/>
      <c r="ED106" s="320"/>
      <c r="EE106" s="320"/>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row>
    <row r="107" spans="2:232" s="54" customFormat="1" ht="12" thickBot="1">
      <c r="B107" s="683" t="s">
        <v>293</v>
      </c>
      <c r="C107" s="684"/>
      <c r="D107" s="684"/>
      <c r="E107" s="685"/>
      <c r="F107" s="685"/>
      <c r="G107" s="685"/>
      <c r="H107" s="685"/>
      <c r="I107" s="685"/>
      <c r="J107" s="685"/>
      <c r="K107" s="684"/>
      <c r="L107" s="684"/>
      <c r="M107" s="684"/>
      <c r="N107" s="684"/>
      <c r="O107" s="685"/>
      <c r="P107" s="684"/>
      <c r="Q107" s="684"/>
      <c r="R107" s="684"/>
      <c r="S107" s="684"/>
      <c r="T107" s="685"/>
      <c r="U107" s="684"/>
      <c r="V107" s="684"/>
      <c r="W107" s="684"/>
      <c r="X107" s="684"/>
      <c r="Y107" s="685"/>
      <c r="Z107" s="684"/>
      <c r="AA107" s="684"/>
      <c r="AB107" s="684"/>
      <c r="AC107" s="684"/>
      <c r="AD107" s="685"/>
      <c r="AE107" s="684"/>
      <c r="AF107" s="684"/>
      <c r="AG107" s="684"/>
      <c r="AH107" s="684"/>
      <c r="AI107" s="685"/>
      <c r="AJ107" s="684"/>
      <c r="AK107" s="684"/>
      <c r="AL107" s="684"/>
      <c r="AM107" s="684"/>
      <c r="AN107" s="685"/>
      <c r="AO107" s="684"/>
      <c r="AP107" s="684"/>
      <c r="AQ107" s="684"/>
      <c r="AR107" s="684"/>
      <c r="AS107" s="685"/>
      <c r="AT107" s="684"/>
      <c r="AU107" s="684"/>
      <c r="AV107" s="684"/>
      <c r="AW107" s="684"/>
      <c r="AX107" s="685"/>
      <c r="AY107" s="684"/>
      <c r="AZ107" s="684"/>
      <c r="BA107" s="684"/>
      <c r="BB107" s="684"/>
      <c r="BC107" s="685"/>
      <c r="BD107" s="684"/>
      <c r="BE107" s="684"/>
      <c r="BF107" s="684"/>
      <c r="BG107" s="684"/>
      <c r="BH107" s="685"/>
      <c r="BI107" s="684"/>
      <c r="BJ107" s="684"/>
      <c r="BK107" s="684"/>
      <c r="BL107" s="684"/>
      <c r="BM107" s="685"/>
      <c r="BN107" s="684"/>
      <c r="BO107" s="684"/>
      <c r="BP107" s="684"/>
      <c r="BQ107" s="684"/>
      <c r="BR107" s="685"/>
      <c r="BS107" s="684"/>
      <c r="BT107" s="684"/>
      <c r="BU107" s="684"/>
      <c r="BV107" s="684"/>
      <c r="BW107" s="685"/>
      <c r="BX107" s="684"/>
      <c r="BY107" s="684"/>
      <c r="BZ107" s="684"/>
      <c r="CA107" s="684"/>
      <c r="CB107" s="685"/>
      <c r="CC107" s="684"/>
      <c r="CD107" s="684"/>
      <c r="CE107" s="686"/>
      <c r="CF107" s="686"/>
      <c r="CG107" s="685"/>
      <c r="CH107" s="686"/>
      <c r="CI107" s="686"/>
      <c r="CJ107" s="686"/>
      <c r="CK107" s="686"/>
      <c r="CL107" s="687"/>
      <c r="CM107" s="684"/>
      <c r="CN107" s="684"/>
      <c r="CO107" s="684"/>
      <c r="CP107" s="684"/>
      <c r="CQ107" s="685"/>
      <c r="CR107" s="684"/>
      <c r="CS107" s="684"/>
      <c r="CT107" s="684"/>
      <c r="CU107" s="684"/>
      <c r="CV107" s="685"/>
      <c r="CW107" s="684"/>
      <c r="CX107" s="684"/>
      <c r="CY107" s="684"/>
      <c r="CZ107" s="684"/>
      <c r="DA107" s="685"/>
      <c r="DB107" s="684"/>
      <c r="DC107" s="684"/>
      <c r="DD107" s="684"/>
      <c r="DE107" s="684"/>
      <c r="DF107" s="685"/>
      <c r="DG107" s="684"/>
      <c r="DH107" s="684"/>
      <c r="DI107" s="684"/>
      <c r="DJ107" s="684"/>
      <c r="DK107" s="688"/>
      <c r="DL107" s="684"/>
      <c r="DM107" s="684"/>
      <c r="DN107" s="684"/>
      <c r="DO107" s="684"/>
      <c r="DP107" s="688"/>
      <c r="DQ107" s="684"/>
      <c r="DR107" s="685"/>
      <c r="DS107" s="685"/>
      <c r="DT107" s="688"/>
      <c r="DU107" s="688"/>
      <c r="DV107" s="685"/>
      <c r="DW107" s="685"/>
      <c r="DX107" s="685"/>
      <c r="DY107" s="688"/>
      <c r="DZ107" s="688"/>
      <c r="EA107" s="685"/>
      <c r="EB107" s="685"/>
      <c r="EC107" s="685"/>
      <c r="ED107" s="688"/>
      <c r="EE107" s="688"/>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row>
    <row r="108" spans="2:232" s="54" customFormat="1" ht="12" hidden="1" outlineLevel="1" thickBot="1">
      <c r="B108" s="689" t="s">
        <v>298</v>
      </c>
      <c r="C108" s="690"/>
      <c r="D108" s="690"/>
      <c r="E108" s="690">
        <f t="shared" ref="E108:J110" si="338">E96-D96</f>
        <v>-5.8335764871609297E-3</v>
      </c>
      <c r="F108" s="690">
        <f t="shared" si="338"/>
        <v>2.6942598375715443E-3</v>
      </c>
      <c r="G108" s="690">
        <f t="shared" si="338"/>
        <v>-3.5098885204613017E-3</v>
      </c>
      <c r="H108" s="690">
        <f t="shared" si="338"/>
        <v>-2.4556068180087154E-4</v>
      </c>
      <c r="I108" s="690">
        <f t="shared" si="338"/>
        <v>-6.7713760194332284E-4</v>
      </c>
      <c r="J108" s="690">
        <f t="shared" si="338"/>
        <v>-2.0436775496127657E-3</v>
      </c>
      <c r="K108" s="691"/>
      <c r="L108" s="690"/>
      <c r="M108" s="690"/>
      <c r="N108" s="692"/>
      <c r="O108" s="690">
        <f t="shared" ref="O108:X110" si="339">O96-J96</f>
        <v>-4.8327790393917214E-3</v>
      </c>
      <c r="P108" s="691">
        <f t="shared" si="339"/>
        <v>-7.1028896928460039E-4</v>
      </c>
      <c r="Q108" s="690">
        <f t="shared" si="339"/>
        <v>3.7793225648991013E-4</v>
      </c>
      <c r="R108" s="690">
        <f t="shared" si="339"/>
        <v>-1.3115591347704902E-3</v>
      </c>
      <c r="S108" s="692">
        <f t="shared" si="339"/>
        <v>-1.3323290306169189E-3</v>
      </c>
      <c r="T108" s="690">
        <f t="shared" si="339"/>
        <v>-7.2515682942358994E-4</v>
      </c>
      <c r="U108" s="691">
        <f t="shared" si="339"/>
        <v>-1.0546694613967067E-3</v>
      </c>
      <c r="V108" s="690">
        <f t="shared" si="339"/>
        <v>-2.6769468947790975E-3</v>
      </c>
      <c r="W108" s="690">
        <f t="shared" si="339"/>
        <v>-1.8596329020593161E-3</v>
      </c>
      <c r="X108" s="692">
        <f t="shared" si="339"/>
        <v>4.8137620873800469E-5</v>
      </c>
      <c r="Y108" s="690">
        <f t="shared" ref="Y108:AH110" si="340">Y96-T96</f>
        <v>-1.4288965569625445E-3</v>
      </c>
      <c r="Z108" s="691">
        <f t="shared" si="340"/>
        <v>-1.6285108444078489E-3</v>
      </c>
      <c r="AA108" s="690">
        <f t="shared" si="340"/>
        <v>1.1312220793634475E-3</v>
      </c>
      <c r="AB108" s="690">
        <f t="shared" si="340"/>
        <v>1.4078732747962452E-3</v>
      </c>
      <c r="AC108" s="692">
        <f t="shared" si="340"/>
        <v>-2.2544754790150279E-3</v>
      </c>
      <c r="AD108" s="690">
        <f t="shared" si="340"/>
        <v>-2.8328034879632757E-3</v>
      </c>
      <c r="AE108" s="691">
        <f t="shared" si="340"/>
        <v>-3.6229176415839559E-3</v>
      </c>
      <c r="AF108" s="690">
        <f t="shared" si="340"/>
        <v>-5.0888353384201945E-3</v>
      </c>
      <c r="AG108" s="690">
        <f t="shared" si="340"/>
        <v>-5.8634843836564143E-3</v>
      </c>
      <c r="AH108" s="692">
        <f t="shared" si="340"/>
        <v>8.5674992566164843E-4</v>
      </c>
      <c r="AI108" s="690">
        <f t="shared" ref="AI108:AR110" si="341">AI96-AD96</f>
        <v>-9.0736604665769827E-4</v>
      </c>
      <c r="AJ108" s="691">
        <f t="shared" si="341"/>
        <v>-2.3557971579293846E-3</v>
      </c>
      <c r="AK108" s="690">
        <f t="shared" si="341"/>
        <v>2.4686059297662766E-4</v>
      </c>
      <c r="AL108" s="690">
        <f t="shared" si="341"/>
        <v>-6.6806554153622244E-3</v>
      </c>
      <c r="AM108" s="692">
        <f t="shared" si="341"/>
        <v>-9.2400252969148666E-3</v>
      </c>
      <c r="AN108" s="690">
        <f t="shared" si="341"/>
        <v>-4.5534832809141501E-3</v>
      </c>
      <c r="AO108" s="691">
        <f t="shared" si="341"/>
        <v>-6.2101315542736901E-3</v>
      </c>
      <c r="AP108" s="690">
        <f t="shared" si="341"/>
        <v>-3.836290358754435E-3</v>
      </c>
      <c r="AQ108" s="690">
        <f t="shared" si="341"/>
        <v>-4.5885821805285998E-4</v>
      </c>
      <c r="AR108" s="692">
        <f t="shared" si="341"/>
        <v>2.8243286890389796E-3</v>
      </c>
      <c r="AS108" s="690">
        <f t="shared" ref="AS108:BB110" si="342">AS96-AN96</f>
        <v>-1.8330182926305505E-3</v>
      </c>
      <c r="AT108" s="691">
        <f t="shared" si="342"/>
        <v>7.780253891929545E-3</v>
      </c>
      <c r="AU108" s="690">
        <f t="shared" si="342"/>
        <v>6.4068443068169834E-3</v>
      </c>
      <c r="AV108" s="690">
        <f t="shared" si="342"/>
        <v>5.9132788143957393E-3</v>
      </c>
      <c r="AW108" s="692">
        <f t="shared" si="342"/>
        <v>2.2861948083502392E-3</v>
      </c>
      <c r="AX108" s="690">
        <f t="shared" si="342"/>
        <v>5.5424434882687112E-3</v>
      </c>
      <c r="AY108" s="691">
        <f t="shared" si="342"/>
        <v>-2.8814100515509589E-3</v>
      </c>
      <c r="AZ108" s="690">
        <f t="shared" si="342"/>
        <v>-1.4259695888508284E-3</v>
      </c>
      <c r="BA108" s="690">
        <f t="shared" si="342"/>
        <v>1.3521842892120217E-3</v>
      </c>
      <c r="BB108" s="692">
        <f t="shared" si="342"/>
        <v>7.4660750475519788E-3</v>
      </c>
      <c r="BC108" s="690">
        <f t="shared" ref="BC108:BL110" si="343">BC96-AX96</f>
        <v>1.18224422983082E-3</v>
      </c>
      <c r="BD108" s="691">
        <f t="shared" si="343"/>
        <v>1.0077999882470656E-2</v>
      </c>
      <c r="BE108" s="690">
        <f t="shared" si="343"/>
        <v>8.3527439147337845E-3</v>
      </c>
      <c r="BF108" s="690">
        <f t="shared" si="343"/>
        <v>9.3651684179831829E-3</v>
      </c>
      <c r="BG108" s="692">
        <f t="shared" si="343"/>
        <v>2.1493158073508933E-3</v>
      </c>
      <c r="BH108" s="690">
        <f t="shared" si="343"/>
        <v>7.439281350140492E-3</v>
      </c>
      <c r="BI108" s="691">
        <f t="shared" si="343"/>
        <v>1.6218688602533948E-3</v>
      </c>
      <c r="BJ108" s="690">
        <f t="shared" si="343"/>
        <v>-5.2734121572795001E-4</v>
      </c>
      <c r="BK108" s="690">
        <f t="shared" si="343"/>
        <v>-3.8977545747984621E-3</v>
      </c>
      <c r="BL108" s="692">
        <f t="shared" si="343"/>
        <v>-3.1008646428492548E-3</v>
      </c>
      <c r="BM108" s="690">
        <f t="shared" ref="BM108:BV110" si="344">BM96-BH96</f>
        <v>-1.5553381243325615E-3</v>
      </c>
      <c r="BN108" s="691">
        <f t="shared" si="344"/>
        <v>5.9063912324144319E-3</v>
      </c>
      <c r="BO108" s="690">
        <f t="shared" si="344"/>
        <v>5.2336933083065307E-3</v>
      </c>
      <c r="BP108" s="690">
        <f t="shared" si="344"/>
        <v>8.4514495108024001E-3</v>
      </c>
      <c r="BQ108" s="692">
        <f t="shared" si="344"/>
        <v>3.4196008381933152E-3</v>
      </c>
      <c r="BR108" s="690">
        <f t="shared" si="344"/>
        <v>5.7783139286099461E-3</v>
      </c>
      <c r="BS108" s="691">
        <f t="shared" si="344"/>
        <v>-1.8477309635188677E-3</v>
      </c>
      <c r="BT108" s="690">
        <f t="shared" si="344"/>
        <v>-1.1076002458633161E-3</v>
      </c>
      <c r="BU108" s="690">
        <f t="shared" si="344"/>
        <v>-2.9170041024179083E-4</v>
      </c>
      <c r="BV108" s="692">
        <f t="shared" si="344"/>
        <v>-3.3999734884485044E-3</v>
      </c>
      <c r="BW108" s="690">
        <f t="shared" ref="BW108:CF110" si="345">BW96-BR96</f>
        <v>-1.6266774393813299E-3</v>
      </c>
      <c r="BX108" s="691">
        <f t="shared" si="345"/>
        <v>-1.7926761026159088E-3</v>
      </c>
      <c r="BY108" s="690">
        <f t="shared" si="345"/>
        <v>-5.8647820689409214E-3</v>
      </c>
      <c r="BZ108" s="690">
        <f t="shared" si="345"/>
        <v>-7.6736080188362643E-3</v>
      </c>
      <c r="CA108" s="692">
        <f t="shared" si="345"/>
        <v>3.6503548855770784E-4</v>
      </c>
      <c r="CB108" s="690">
        <f t="shared" si="345"/>
        <v>-3.8247797720109555E-3</v>
      </c>
      <c r="CC108" s="691">
        <f t="shared" si="345"/>
        <v>-3.9853191371508334E-4</v>
      </c>
      <c r="CD108" s="690">
        <f t="shared" si="345"/>
        <v>5.6085591829438397E-3</v>
      </c>
      <c r="CE108" s="690">
        <f t="shared" si="345"/>
        <v>1.043591798857546E-3</v>
      </c>
      <c r="CF108" s="690">
        <f t="shared" si="345"/>
        <v>7.2921325881684651E-3</v>
      </c>
      <c r="CG108" s="696">
        <f t="shared" ref="CG108:DQ108" si="346">CG96-CB96</f>
        <v>3.3668257929885814E-3</v>
      </c>
      <c r="CH108" s="690">
        <f t="shared" si="346"/>
        <v>7.796947736954718E-3</v>
      </c>
      <c r="CI108" s="690">
        <f t="shared" si="346"/>
        <v>-5.2659699832008355E-4</v>
      </c>
      <c r="CJ108" s="690">
        <f t="shared" si="346"/>
        <v>4.4301635240770465E-3</v>
      </c>
      <c r="CK108" s="690">
        <f t="shared" si="346"/>
        <v>-1.9261882640732586E-3</v>
      </c>
      <c r="CL108" s="696">
        <f t="shared" si="346"/>
        <v>2.4261180588859288E-3</v>
      </c>
      <c r="CM108" s="690">
        <f t="shared" si="346"/>
        <v>-4.0093008206201208E-3</v>
      </c>
      <c r="CN108" s="690">
        <f t="shared" si="346"/>
        <v>1.1862555019794829E-3</v>
      </c>
      <c r="CO108" s="690">
        <f t="shared" si="346"/>
        <v>1.8961800037085585E-3</v>
      </c>
      <c r="CP108" s="690">
        <f t="shared" si="346"/>
        <v>1.0673426868800795E-3</v>
      </c>
      <c r="CQ108" s="696">
        <f t="shared" si="346"/>
        <v>8.9637174465639902E-5</v>
      </c>
      <c r="CR108" s="690">
        <f t="shared" si="346"/>
        <v>1.3363837908090814E-2</v>
      </c>
      <c r="CS108" s="690">
        <f t="shared" si="346"/>
        <v>1.1752869401166599E-2</v>
      </c>
      <c r="CT108" s="690">
        <f t="shared" si="346"/>
        <v>2.7055755992259622E-3</v>
      </c>
      <c r="CU108" s="690">
        <f t="shared" si="346"/>
        <v>6.1415830701420648E-3</v>
      </c>
      <c r="CV108" s="696">
        <f t="shared" si="346"/>
        <v>8.4628058009338925E-3</v>
      </c>
      <c r="CW108" s="690">
        <f t="shared" si="346"/>
        <v>-1.3382924466453283E-2</v>
      </c>
      <c r="CX108" s="690">
        <f t="shared" si="346"/>
        <v>-1.250001248035848E-2</v>
      </c>
      <c r="CY108" s="690">
        <f t="shared" si="346"/>
        <v>-4.7547061860331863E-3</v>
      </c>
      <c r="CZ108" s="690">
        <f t="shared" si="346"/>
        <v>-9.8074406119325053E-3</v>
      </c>
      <c r="DA108" s="696">
        <f t="shared" si="346"/>
        <v>-1.0091749612525125E-2</v>
      </c>
      <c r="DB108" s="690">
        <f t="shared" si="346"/>
        <v>-1.0244894113804692E-2</v>
      </c>
      <c r="DC108" s="690">
        <f t="shared" si="346"/>
        <v>-2.9207104107730808E-2</v>
      </c>
      <c r="DD108" s="690">
        <f t="shared" si="346"/>
        <v>-2.0595868666277162E-2</v>
      </c>
      <c r="DE108" s="690">
        <f t="shared" si="346"/>
        <v>-2.4814173469464573E-2</v>
      </c>
      <c r="DF108" s="696">
        <f t="shared" si="346"/>
        <v>-2.2070227574502888E-2</v>
      </c>
      <c r="DG108" s="690">
        <f t="shared" si="346"/>
        <v>-1.2444107108655289E-2</v>
      </c>
      <c r="DH108" s="690">
        <f t="shared" si="346"/>
        <v>4.201110096537175E-3</v>
      </c>
      <c r="DI108" s="690">
        <f t="shared" si="346"/>
        <v>-5.6492250465687288E-3</v>
      </c>
      <c r="DJ108" s="690">
        <f t="shared" si="346"/>
        <v>-4.8553424019447122E-3</v>
      </c>
      <c r="DK108" s="696">
        <f t="shared" ref="DK108:DU109" si="347">DK96-DF96</f>
        <v>-3.7976634478070204E-3</v>
      </c>
      <c r="DL108" s="690">
        <f t="shared" si="346"/>
        <v>-8.7201687944201411E-3</v>
      </c>
      <c r="DM108" s="690">
        <f t="shared" si="346"/>
        <v>-6.4106800304641332E-3</v>
      </c>
      <c r="DN108" s="690">
        <f t="shared" si="346"/>
        <v>-1.6919275875906914E-2</v>
      </c>
      <c r="DO108" s="690">
        <f t="shared" si="346"/>
        <v>-6.4028212422882202E-3</v>
      </c>
      <c r="DP108" s="696">
        <f t="shared" si="347"/>
        <v>-9.7902184456401808E-3</v>
      </c>
      <c r="DQ108" s="690">
        <f t="shared" si="346"/>
        <v>-1.0866081083755641E-2</v>
      </c>
      <c r="DR108" s="690">
        <f t="shared" ca="1" si="347"/>
        <v>-9.5718124787740611E-3</v>
      </c>
      <c r="DS108" s="690">
        <f t="shared" ca="1" si="347"/>
        <v>3.034687113051604E-3</v>
      </c>
      <c r="DT108" s="1637">
        <f t="shared" si="347"/>
        <v>-2.2188463523321877E-3</v>
      </c>
      <c r="DU108" s="696">
        <f t="shared" ca="1" si="347"/>
        <v>-4.7444260209246747E-3</v>
      </c>
      <c r="DV108" s="1636">
        <f t="shared" ref="DV108:DV109" si="348">DV96-DQ96</f>
        <v>-7.0420491795453177E-4</v>
      </c>
      <c r="DW108" s="690">
        <f t="shared" ref="DW108:DW109" ca="1" si="349">DW96-DR96</f>
        <v>7.2696795383586643E-4</v>
      </c>
      <c r="DX108" s="690">
        <f t="shared" ref="DX108:DX109" ca="1" si="350">DX96-DS96</f>
        <v>2.2178702649667814E-3</v>
      </c>
      <c r="DY108" s="1637">
        <f t="shared" ref="DY108:DY109" si="351">DY96-DT96</f>
        <v>2.461014731726302E-3</v>
      </c>
      <c r="DZ108" s="696">
        <f t="shared" ref="DZ108:DZ109" ca="1" si="352">DZ96-DU96</f>
        <v>1.1478762241401708E-3</v>
      </c>
      <c r="EA108" s="1636">
        <f t="shared" ref="EA108:EA109" si="353">EA96-DV96</f>
        <v>1.4100092021700483E-3</v>
      </c>
      <c r="EB108" s="690">
        <f t="shared" ref="EB108:EB109" ca="1" si="354">EB96-DW96</f>
        <v>7.5613241621785843E-4</v>
      </c>
      <c r="EC108" s="690">
        <f t="shared" ref="EC108:EC109" ca="1" si="355">EC96-DX96</f>
        <v>9.8907529138819728E-4</v>
      </c>
      <c r="ED108" s="1637">
        <f t="shared" ref="ED108:ED109" si="356">ED96-DY96</f>
        <v>8.2440243118342416E-4</v>
      </c>
      <c r="EE108" s="696">
        <f t="shared" ref="EE108:EE109" ca="1" si="357">EE96-DZ96</f>
        <v>9.9180299276996342E-4</v>
      </c>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row>
    <row r="109" spans="2:232" s="54" customFormat="1" collapsed="1">
      <c r="B109" s="693" t="s">
        <v>215</v>
      </c>
      <c r="C109" s="375"/>
      <c r="D109" s="375"/>
      <c r="E109" s="375">
        <f t="shared" si="338"/>
        <v>-6.6294134219808121E-3</v>
      </c>
      <c r="F109" s="375">
        <f t="shared" si="338"/>
        <v>2.2620025985603531E-3</v>
      </c>
      <c r="G109" s="375">
        <f t="shared" si="338"/>
        <v>-4.8228521550071624E-3</v>
      </c>
      <c r="H109" s="375">
        <f t="shared" si="338"/>
        <v>-1.526040582883581E-3</v>
      </c>
      <c r="I109" s="375">
        <f t="shared" si="338"/>
        <v>-3.5146361827484429E-3</v>
      </c>
      <c r="J109" s="375">
        <f t="shared" si="338"/>
        <v>-5.3009610397719564E-4</v>
      </c>
      <c r="K109" s="376"/>
      <c r="L109" s="375"/>
      <c r="M109" s="375"/>
      <c r="N109" s="377"/>
      <c r="O109" s="375">
        <f t="shared" si="339"/>
        <v>-5.8163827746451902E-3</v>
      </c>
      <c r="P109" s="376">
        <f t="shared" si="339"/>
        <v>0.27566201339301932</v>
      </c>
      <c r="Q109" s="375">
        <f t="shared" si="339"/>
        <v>0.2843927475004302</v>
      </c>
      <c r="R109" s="375">
        <f t="shared" si="339"/>
        <v>0.27658486031567775</v>
      </c>
      <c r="S109" s="377">
        <f t="shared" si="339"/>
        <v>0.27444891123393683</v>
      </c>
      <c r="T109" s="375">
        <f t="shared" si="339"/>
        <v>-5.6962299313456644E-4</v>
      </c>
      <c r="U109" s="376">
        <f t="shared" si="339"/>
        <v>-1.233292760394189E-3</v>
      </c>
      <c r="V109" s="375">
        <f t="shared" si="339"/>
        <v>-2.8223818421752589E-3</v>
      </c>
      <c r="W109" s="375">
        <f t="shared" si="339"/>
        <v>1.0749598960697049E-3</v>
      </c>
      <c r="X109" s="377">
        <f t="shared" si="339"/>
        <v>4.6150369120067092E-3</v>
      </c>
      <c r="Y109" s="375">
        <f t="shared" si="340"/>
        <v>3.7128103453853978E-4</v>
      </c>
      <c r="Z109" s="376">
        <f t="shared" si="340"/>
        <v>7.0831204841248496E-5</v>
      </c>
      <c r="AA109" s="375">
        <f t="shared" si="340"/>
        <v>2.164445682610594E-3</v>
      </c>
      <c r="AB109" s="375">
        <f t="shared" si="340"/>
        <v>6.575442717804969E-4</v>
      </c>
      <c r="AC109" s="377">
        <f t="shared" si="340"/>
        <v>-6.0814920055926591E-3</v>
      </c>
      <c r="AD109" s="375">
        <f t="shared" si="340"/>
        <v>-3.337371242256415E-3</v>
      </c>
      <c r="AE109" s="376">
        <f t="shared" si="340"/>
        <v>-3.4346986279789604E-3</v>
      </c>
      <c r="AF109" s="375">
        <f t="shared" si="340"/>
        <v>-5.5291345472555098E-3</v>
      </c>
      <c r="AG109" s="375">
        <f t="shared" si="340"/>
        <v>-6.909715385439219E-3</v>
      </c>
      <c r="AH109" s="377">
        <f t="shared" si="340"/>
        <v>-6.0660124888489708E-4</v>
      </c>
      <c r="AI109" s="375">
        <f t="shared" si="341"/>
        <v>-1.61157557037378E-3</v>
      </c>
      <c r="AJ109" s="376">
        <f t="shared" si="341"/>
        <v>-3.0836626569599734E-3</v>
      </c>
      <c r="AK109" s="375">
        <f t="shared" si="341"/>
        <v>1.4023493379812235E-3</v>
      </c>
      <c r="AL109" s="375">
        <f t="shared" si="341"/>
        <v>-6.4224199122306924E-3</v>
      </c>
      <c r="AM109" s="377">
        <f t="shared" si="341"/>
        <v>-7.1775609198573287E-3</v>
      </c>
      <c r="AN109" s="375">
        <f t="shared" si="341"/>
        <v>-3.8326155282110141E-3</v>
      </c>
      <c r="AO109" s="376">
        <f t="shared" si="341"/>
        <v>-5.7163492560674545E-3</v>
      </c>
      <c r="AP109" s="375">
        <f t="shared" si="341"/>
        <v>-5.2273090320386073E-3</v>
      </c>
      <c r="AQ109" s="375">
        <f t="shared" si="341"/>
        <v>-7.2213330007064869E-5</v>
      </c>
      <c r="AR109" s="377">
        <f t="shared" si="341"/>
        <v>1.0104326879631365E-3</v>
      </c>
      <c r="AS109" s="375">
        <f t="shared" si="342"/>
        <v>-2.4344605520221219E-3</v>
      </c>
      <c r="AT109" s="376">
        <f t="shared" si="342"/>
        <v>7.277837964451972E-3</v>
      </c>
      <c r="AU109" s="375">
        <f t="shared" si="342"/>
        <v>6.5773582251534846E-3</v>
      </c>
      <c r="AV109" s="375">
        <f t="shared" si="342"/>
        <v>3.9390494659549691E-3</v>
      </c>
      <c r="AW109" s="377">
        <f t="shared" si="342"/>
        <v>1.2898181599858005E-3</v>
      </c>
      <c r="AX109" s="375">
        <f t="shared" si="342"/>
        <v>4.7070859112856578E-3</v>
      </c>
      <c r="AY109" s="376">
        <f t="shared" si="342"/>
        <v>-3.4891061942208812E-3</v>
      </c>
      <c r="AZ109" s="375">
        <f t="shared" si="342"/>
        <v>-2.0842023717916325E-3</v>
      </c>
      <c r="BA109" s="375">
        <f t="shared" si="342"/>
        <v>1.5973787456367572E-3</v>
      </c>
      <c r="BB109" s="377">
        <f t="shared" si="342"/>
        <v>4.6857826757483734E-3</v>
      </c>
      <c r="BC109" s="375">
        <f t="shared" si="343"/>
        <v>2.4721072182554149E-4</v>
      </c>
      <c r="BD109" s="376">
        <f t="shared" si="343"/>
        <v>9.6439120431773828E-3</v>
      </c>
      <c r="BE109" s="375">
        <f t="shared" si="343"/>
        <v>8.5294218500344687E-3</v>
      </c>
      <c r="BF109" s="375">
        <f t="shared" si="343"/>
        <v>1.0273692231561993E-2</v>
      </c>
      <c r="BG109" s="377">
        <f t="shared" si="343"/>
        <v>7.1037076455719439E-3</v>
      </c>
      <c r="BH109" s="375">
        <f t="shared" si="343"/>
        <v>8.8672279017028566E-3</v>
      </c>
      <c r="BI109" s="376">
        <f t="shared" si="343"/>
        <v>1.6960050372820668E-3</v>
      </c>
      <c r="BJ109" s="375">
        <f t="shared" si="343"/>
        <v>-1.0371545919828917E-3</v>
      </c>
      <c r="BK109" s="375">
        <f t="shared" si="343"/>
        <v>-4.1445174672811724E-3</v>
      </c>
      <c r="BL109" s="377">
        <f t="shared" si="343"/>
        <v>-7.6573084270953329E-4</v>
      </c>
      <c r="BM109" s="375">
        <f t="shared" si="344"/>
        <v>-1.1517454367007685E-3</v>
      </c>
      <c r="BN109" s="376">
        <f t="shared" si="344"/>
        <v>6.1175457736898919E-3</v>
      </c>
      <c r="BO109" s="375">
        <f t="shared" si="344"/>
        <v>4.2386524858769037E-3</v>
      </c>
      <c r="BP109" s="375">
        <f t="shared" si="344"/>
        <v>6.2082963329319063E-3</v>
      </c>
      <c r="BQ109" s="377">
        <f t="shared" si="344"/>
        <v>3.659270041510454E-3</v>
      </c>
      <c r="BR109" s="375">
        <f t="shared" si="344"/>
        <v>5.0571616282422682E-3</v>
      </c>
      <c r="BS109" s="376">
        <f t="shared" si="344"/>
        <v>-2.0861612068775459E-3</v>
      </c>
      <c r="BT109" s="375">
        <f t="shared" si="344"/>
        <v>-8.1458324116601144E-5</v>
      </c>
      <c r="BU109" s="375">
        <f t="shared" si="344"/>
        <v>1.0360168331868813E-3</v>
      </c>
      <c r="BV109" s="377">
        <f t="shared" si="344"/>
        <v>-4.0783894604904947E-3</v>
      </c>
      <c r="BW109" s="375">
        <f t="shared" si="345"/>
        <v>-1.2471704644314019E-3</v>
      </c>
      <c r="BX109" s="1636">
        <f t="shared" si="345"/>
        <v>-4.9893639858189509E-4</v>
      </c>
      <c r="BY109" s="690">
        <f t="shared" si="345"/>
        <v>-4.8784178325139149E-3</v>
      </c>
      <c r="BZ109" s="690">
        <f t="shared" si="345"/>
        <v>-6.7717290367071969E-3</v>
      </c>
      <c r="CA109" s="692">
        <f t="shared" si="345"/>
        <v>1.7159579597596508E-3</v>
      </c>
      <c r="CB109" s="1637">
        <f t="shared" si="345"/>
        <v>-2.7775832851298921E-3</v>
      </c>
      <c r="CC109" s="375">
        <f>CC97-BX97</f>
        <v>-1.5321470662976178E-3</v>
      </c>
      <c r="CD109" s="375">
        <f t="shared" ref="CD109:DQ109" si="358">CD97-BY97</f>
        <v>4.2238066010131803E-3</v>
      </c>
      <c r="CE109" s="375">
        <f t="shared" si="358"/>
        <v>1.1607420614206942E-4</v>
      </c>
      <c r="CF109" s="375">
        <f t="shared" si="358"/>
        <v>7.8512780264936022E-3</v>
      </c>
      <c r="CG109" s="697">
        <f t="shared" si="358"/>
        <v>2.7276429383413792E-3</v>
      </c>
      <c r="CH109" s="375">
        <f t="shared" si="358"/>
        <v>8.1408028468575866E-3</v>
      </c>
      <c r="CI109" s="375">
        <f t="shared" si="358"/>
        <v>9.1065206145513056E-4</v>
      </c>
      <c r="CJ109" s="375">
        <f t="shared" si="358"/>
        <v>6.1052719590632409E-3</v>
      </c>
      <c r="CK109" s="375">
        <f t="shared" si="358"/>
        <v>-2.202618783847532E-3</v>
      </c>
      <c r="CL109" s="697">
        <f t="shared" si="358"/>
        <v>3.2311078978002339E-3</v>
      </c>
      <c r="CM109" s="375">
        <f t="shared" si="358"/>
        <v>-3.9525045437021622E-3</v>
      </c>
      <c r="CN109" s="375">
        <f t="shared" si="358"/>
        <v>2.019938507039909E-3</v>
      </c>
      <c r="CO109" s="375">
        <f t="shared" si="358"/>
        <v>2.5543999498199854E-3</v>
      </c>
      <c r="CP109" s="375">
        <f t="shared" si="358"/>
        <v>5.4593929046415357E-3</v>
      </c>
      <c r="CQ109" s="697">
        <f t="shared" si="358"/>
        <v>1.521766504110067E-3</v>
      </c>
      <c r="CR109" s="375">
        <f t="shared" si="358"/>
        <v>1.4061708091558878E-2</v>
      </c>
      <c r="CS109" s="375">
        <f t="shared" si="358"/>
        <v>1.1753697498516569E-2</v>
      </c>
      <c r="CT109" s="375">
        <f t="shared" si="358"/>
        <v>5.8783968529609876E-3</v>
      </c>
      <c r="CU109" s="375">
        <f t="shared" si="358"/>
        <v>-2.0358288416505443E-3</v>
      </c>
      <c r="CV109" s="697">
        <f t="shared" si="358"/>
        <v>7.4586215489757524E-3</v>
      </c>
      <c r="CW109" s="375">
        <f t="shared" si="358"/>
        <v>-1.3122001582910547E-2</v>
      </c>
      <c r="CX109" s="375">
        <f t="shared" si="358"/>
        <v>-1.3759846199310977E-2</v>
      </c>
      <c r="CY109" s="375">
        <f t="shared" si="358"/>
        <v>-9.1941351667895743E-3</v>
      </c>
      <c r="CZ109" s="375">
        <f t="shared" si="358"/>
        <v>-9.9387503078846029E-3</v>
      </c>
      <c r="DA109" s="697">
        <f t="shared" si="358"/>
        <v>-1.1516205544293279E-2</v>
      </c>
      <c r="DB109" s="375">
        <f t="shared" si="358"/>
        <v>-1.1022767729088001E-2</v>
      </c>
      <c r="DC109" s="375">
        <f t="shared" si="358"/>
        <v>-2.9738711240063109E-2</v>
      </c>
      <c r="DD109" s="375">
        <f t="shared" si="358"/>
        <v>-2.0312912446652009E-2</v>
      </c>
      <c r="DE109" s="375">
        <f t="shared" si="358"/>
        <v>-2.0415346360506625E-2</v>
      </c>
      <c r="DF109" s="697">
        <f t="shared" si="358"/>
        <v>-2.1200127834068661E-2</v>
      </c>
      <c r="DG109" s="375">
        <f t="shared" si="358"/>
        <v>-1.3519005599046729E-2</v>
      </c>
      <c r="DH109" s="375">
        <f t="shared" si="358"/>
        <v>4.3841892208002498E-3</v>
      </c>
      <c r="DI109" s="375">
        <f t="shared" si="358"/>
        <v>-4.926618879785849E-3</v>
      </c>
      <c r="DJ109" s="375">
        <f t="shared" si="358"/>
        <v>-8.3975851627421938E-3</v>
      </c>
      <c r="DK109" s="697">
        <f t="shared" si="347"/>
        <v>-4.7291882639731164E-3</v>
      </c>
      <c r="DL109" s="375">
        <f t="shared" si="358"/>
        <v>-8.2695564333242766E-3</v>
      </c>
      <c r="DM109" s="375">
        <f t="shared" si="358"/>
        <v>-6.999466191456527E-3</v>
      </c>
      <c r="DN109" s="375">
        <f t="shared" si="358"/>
        <v>-1.8411197332168616E-2</v>
      </c>
      <c r="DO109" s="375">
        <f t="shared" si="358"/>
        <v>-7.0138758289247649E-3</v>
      </c>
      <c r="DP109" s="697">
        <f t="shared" si="347"/>
        <v>-1.0378759205282834E-2</v>
      </c>
      <c r="DQ109" s="375">
        <f t="shared" si="358"/>
        <v>-9.7455996761359742E-3</v>
      </c>
      <c r="DR109" s="375">
        <f t="shared" ca="1" si="347"/>
        <v>-9.7761024617301628E-3</v>
      </c>
      <c r="DS109" s="375">
        <f t="shared" ca="1" si="347"/>
        <v>2.8554539716992011E-3</v>
      </c>
      <c r="DT109" s="1639">
        <f t="shared" si="347"/>
        <v>-3.0282678416158615E-3</v>
      </c>
      <c r="DU109" s="697">
        <f t="shared" ca="1" si="347"/>
        <v>-4.785145770198479E-3</v>
      </c>
      <c r="DV109" s="1638">
        <f t="shared" si="348"/>
        <v>-2.2376055254966498E-3</v>
      </c>
      <c r="DW109" s="375">
        <f t="shared" ca="1" si="349"/>
        <v>6.9323454883418734E-4</v>
      </c>
      <c r="DX109" s="375">
        <f t="shared" ca="1" si="350"/>
        <v>2.1960829413914251E-3</v>
      </c>
      <c r="DY109" s="1639">
        <f t="shared" si="351"/>
        <v>2.4779382321060694E-3</v>
      </c>
      <c r="DZ109" s="697">
        <f t="shared" ca="1" si="352"/>
        <v>7.9291014577820285E-4</v>
      </c>
      <c r="EA109" s="1638">
        <f t="shared" si="353"/>
        <v>1.3813800556255196E-3</v>
      </c>
      <c r="EB109" s="375">
        <f t="shared" ca="1" si="354"/>
        <v>7.3171060402782429E-4</v>
      </c>
      <c r="EC109" s="375">
        <f t="shared" ca="1" si="355"/>
        <v>9.6340821982832114E-4</v>
      </c>
      <c r="ED109" s="1639">
        <f t="shared" si="356"/>
        <v>8.4570193216740308E-4</v>
      </c>
      <c r="EE109" s="697">
        <f t="shared" ca="1" si="357"/>
        <v>9.7675404008798483E-4</v>
      </c>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row>
    <row r="110" spans="2:232" s="54" customFormat="1">
      <c r="B110" s="1578" t="s">
        <v>103</v>
      </c>
      <c r="C110" s="375"/>
      <c r="D110" s="375"/>
      <c r="E110" s="375">
        <f t="shared" si="338"/>
        <v>-4.9167008027996006E-3</v>
      </c>
      <c r="F110" s="375">
        <f t="shared" si="338"/>
        <v>2.422813152328035E-3</v>
      </c>
      <c r="G110" s="375">
        <f t="shared" si="338"/>
        <v>-2.4556844018487345E-3</v>
      </c>
      <c r="H110" s="375">
        <f t="shared" si="338"/>
        <v>1.7580391030336262E-5</v>
      </c>
      <c r="I110" s="375">
        <f t="shared" si="338"/>
        <v>1.7925913514239278E-3</v>
      </c>
      <c r="J110" s="375">
        <f t="shared" si="338"/>
        <v>-4.2439299794631014E-3</v>
      </c>
      <c r="K110" s="376"/>
      <c r="L110" s="375"/>
      <c r="M110" s="375"/>
      <c r="N110" s="377"/>
      <c r="O110" s="375">
        <f t="shared" si="339"/>
        <v>-4.3821824668523468E-3</v>
      </c>
      <c r="P110" s="376">
        <f t="shared" si="339"/>
        <v>0.23171966801343427</v>
      </c>
      <c r="Q110" s="375">
        <f t="shared" si="339"/>
        <v>0.2127782003097746</v>
      </c>
      <c r="R110" s="375">
        <f t="shared" si="339"/>
        <v>0.22256199238323254</v>
      </c>
      <c r="S110" s="377">
        <f t="shared" si="339"/>
        <v>0.2242800266291832</v>
      </c>
      <c r="T110" s="375">
        <f t="shared" si="339"/>
        <v>-3.3547610666156136E-3</v>
      </c>
      <c r="U110" s="376">
        <f t="shared" si="339"/>
        <v>-1.9454252240070913E-3</v>
      </c>
      <c r="V110" s="375">
        <f t="shared" si="339"/>
        <v>-4.060015944296641E-3</v>
      </c>
      <c r="W110" s="375">
        <f t="shared" si="339"/>
        <v>-5.8108061336949457E-3</v>
      </c>
      <c r="X110" s="377">
        <f t="shared" si="339"/>
        <v>-7.0650027427900941E-3</v>
      </c>
      <c r="Y110" s="375">
        <f t="shared" si="340"/>
        <v>-4.7573739723597852E-3</v>
      </c>
      <c r="Z110" s="376">
        <f t="shared" si="340"/>
        <v>-4.1991008712915501E-3</v>
      </c>
      <c r="AA110" s="375">
        <f t="shared" si="340"/>
        <v>-2.2376898014191127E-3</v>
      </c>
      <c r="AB110" s="375">
        <f t="shared" si="340"/>
        <v>-1.4123403817509206E-3</v>
      </c>
      <c r="AC110" s="377">
        <f t="shared" si="340"/>
        <v>-1.0308133600773206E-3</v>
      </c>
      <c r="AD110" s="375">
        <f t="shared" si="340"/>
        <v>-2.1543165116461871E-3</v>
      </c>
      <c r="AE110" s="376">
        <f t="shared" si="340"/>
        <v>-5.3893731339259565E-3</v>
      </c>
      <c r="AF110" s="375">
        <f t="shared" si="340"/>
        <v>-1.0354795875933132E-3</v>
      </c>
      <c r="AG110" s="375">
        <f t="shared" si="340"/>
        <v>-4.330521958330058E-3</v>
      </c>
      <c r="AH110" s="377">
        <f t="shared" si="340"/>
        <v>2.1483794231341724E-4</v>
      </c>
      <c r="AI110" s="375">
        <f t="shared" si="341"/>
        <v>-2.5381947263729832E-3</v>
      </c>
      <c r="AJ110" s="376">
        <f t="shared" si="341"/>
        <v>-1.0093945902016066E-3</v>
      </c>
      <c r="AK110" s="375">
        <f t="shared" si="341"/>
        <v>-1.0741952533359356E-3</v>
      </c>
      <c r="AL110" s="375">
        <f t="shared" si="341"/>
        <v>-3.5657394934596742E-3</v>
      </c>
      <c r="AM110" s="377">
        <f t="shared" si="341"/>
        <v>-5.484922808179804E-3</v>
      </c>
      <c r="AN110" s="375">
        <f t="shared" si="341"/>
        <v>-2.7901540829070315E-3</v>
      </c>
      <c r="AO110" s="376">
        <f t="shared" si="341"/>
        <v>-4.8427461182694032E-3</v>
      </c>
      <c r="AP110" s="375">
        <f t="shared" si="341"/>
        <v>-2.6615321488490384E-3</v>
      </c>
      <c r="AQ110" s="375">
        <f t="shared" si="341"/>
        <v>-1.5598339057170119E-3</v>
      </c>
      <c r="AR110" s="377">
        <f t="shared" si="341"/>
        <v>2.1109044005017674E-3</v>
      </c>
      <c r="AS110" s="375">
        <f t="shared" si="342"/>
        <v>-1.0501724948951685E-3</v>
      </c>
      <c r="AT110" s="376">
        <f t="shared" si="342"/>
        <v>5.1749825937425775E-3</v>
      </c>
      <c r="AU110" s="375">
        <f t="shared" si="342"/>
        <v>6.0670825847277399E-3</v>
      </c>
      <c r="AV110" s="375">
        <f t="shared" si="342"/>
        <v>6.5692187500466792E-3</v>
      </c>
      <c r="AW110" s="377">
        <f t="shared" si="342"/>
        <v>3.2754161943845117E-3</v>
      </c>
      <c r="AX110" s="375">
        <f t="shared" si="342"/>
        <v>5.2096348117666169E-3</v>
      </c>
      <c r="AY110" s="376">
        <f t="shared" si="342"/>
        <v>-2.200565536007254E-3</v>
      </c>
      <c r="AZ110" s="375">
        <f t="shared" si="342"/>
        <v>-3.9970642283446156E-4</v>
      </c>
      <c r="BA110" s="375">
        <f t="shared" si="342"/>
        <v>-1.953528798912807E-4</v>
      </c>
      <c r="BB110" s="377">
        <f t="shared" si="342"/>
        <v>8.0516599960566426E-3</v>
      </c>
      <c r="BC110" s="375">
        <f t="shared" si="343"/>
        <v>8.369705220628576E-4</v>
      </c>
      <c r="BD110" s="376">
        <f t="shared" si="343"/>
        <v>5.3411342660669436E-3</v>
      </c>
      <c r="BE110" s="375">
        <f t="shared" si="343"/>
        <v>6.9675612569999046E-3</v>
      </c>
      <c r="BF110" s="375">
        <f t="shared" si="343"/>
        <v>6.7617205538065273E-3</v>
      </c>
      <c r="BG110" s="377">
        <f t="shared" si="343"/>
        <v>7.655821408709268E-3</v>
      </c>
      <c r="BH110" s="375">
        <f t="shared" si="343"/>
        <v>6.6843060073874805E-3</v>
      </c>
      <c r="BI110" s="376">
        <f t="shared" si="343"/>
        <v>3.0948299946097213E-3</v>
      </c>
      <c r="BJ110" s="375">
        <f t="shared" si="343"/>
        <v>2.5741593003040797E-3</v>
      </c>
      <c r="BK110" s="375">
        <f t="shared" si="343"/>
        <v>-2.5455069191291924E-3</v>
      </c>
      <c r="BL110" s="377">
        <f t="shared" si="343"/>
        <v>-7.4941523217779415E-3</v>
      </c>
      <c r="BM110" s="375">
        <f t="shared" si="344"/>
        <v>-1.0996089539173637E-3</v>
      </c>
      <c r="BN110" s="376">
        <f t="shared" si="344"/>
        <v>2.7408629353925518E-3</v>
      </c>
      <c r="BO110" s="375">
        <f t="shared" si="344"/>
        <v>-5.1498821059961508E-4</v>
      </c>
      <c r="BP110" s="375">
        <f t="shared" si="344"/>
        <v>4.1676874213575632E-3</v>
      </c>
      <c r="BQ110" s="377">
        <f t="shared" si="344"/>
        <v>1.0318396922601003E-2</v>
      </c>
      <c r="BR110" s="375">
        <f t="shared" si="344"/>
        <v>4.1565746829192174E-3</v>
      </c>
      <c r="BS110" s="376">
        <f t="shared" si="344"/>
        <v>-8.670535541028257E-4</v>
      </c>
      <c r="BT110" s="375">
        <f t="shared" si="344"/>
        <v>1.4793603873431704E-3</v>
      </c>
      <c r="BU110" s="375">
        <f t="shared" si="344"/>
        <v>1.1939624745562205E-3</v>
      </c>
      <c r="BV110" s="377">
        <f t="shared" si="344"/>
        <v>-1.7242261620420141E-3</v>
      </c>
      <c r="BW110" s="375">
        <f t="shared" si="345"/>
        <v>2.6276572715727697E-5</v>
      </c>
      <c r="BX110" s="1638">
        <f t="shared" si="345"/>
        <v>5.3386273341468338E-3</v>
      </c>
      <c r="BY110" s="375">
        <f t="shared" si="345"/>
        <v>2.2689885980639035E-3</v>
      </c>
      <c r="BZ110" s="375">
        <f t="shared" si="345"/>
        <v>1.0526268132178551E-3</v>
      </c>
      <c r="CA110" s="377">
        <f t="shared" si="345"/>
        <v>-1.0503774814210054E-3</v>
      </c>
      <c r="CB110" s="1639">
        <f t="shared" si="345"/>
        <v>1.8597848997599642E-3</v>
      </c>
      <c r="CC110" s="375">
        <f>CC99-BX99</f>
        <v>-4.3865330605031838E-3</v>
      </c>
      <c r="CD110" s="375">
        <f t="shared" ref="CD110:DQ110" si="359">CD99-BY99</f>
        <v>4.083711966474779E-3</v>
      </c>
      <c r="CE110" s="375">
        <f t="shared" si="359"/>
        <v>4.3539215567064138E-3</v>
      </c>
      <c r="CF110" s="375">
        <f t="shared" si="359"/>
        <v>7.1820686308813053E-3</v>
      </c>
      <c r="CG110" s="697">
        <f t="shared" si="359"/>
        <v>2.9807643510700588E-3</v>
      </c>
      <c r="CH110" s="375">
        <f t="shared" si="359"/>
        <v>1.6314725601423719E-3</v>
      </c>
      <c r="CI110" s="375">
        <f t="shared" si="359"/>
        <v>-2.0807590806037612E-3</v>
      </c>
      <c r="CJ110" s="375">
        <f t="shared" si="359"/>
        <v>9.4828559722764938E-4</v>
      </c>
      <c r="CK110" s="375">
        <f t="shared" si="359"/>
        <v>-4.6001843134068077E-3</v>
      </c>
      <c r="CL110" s="697">
        <f t="shared" si="359"/>
        <v>-1.0759329473875312E-3</v>
      </c>
      <c r="CM110" s="375">
        <f t="shared" si="359"/>
        <v>3.7175744891776441E-4</v>
      </c>
      <c r="CN110" s="375">
        <f t="shared" si="359"/>
        <v>6.3919087564888732E-3</v>
      </c>
      <c r="CO110" s="375">
        <f t="shared" si="359"/>
        <v>2.7488793212081253E-3</v>
      </c>
      <c r="CP110" s="375">
        <f t="shared" si="359"/>
        <v>9.7516780334418185E-3</v>
      </c>
      <c r="CQ110" s="697">
        <f t="shared" si="359"/>
        <v>4.7009465890777424E-3</v>
      </c>
      <c r="CR110" s="375">
        <f t="shared" si="359"/>
        <v>1.7090709275541599E-2</v>
      </c>
      <c r="CS110" s="375">
        <f t="shared" si="359"/>
        <v>9.5943416476118593E-3</v>
      </c>
      <c r="CT110" s="375">
        <f t="shared" si="359"/>
        <v>2.9355533087001562E-3</v>
      </c>
      <c r="CU110" s="375">
        <f t="shared" si="359"/>
        <v>-8.3563045094806332E-3</v>
      </c>
      <c r="CV110" s="697">
        <f t="shared" si="359"/>
        <v>5.3871075975918115E-3</v>
      </c>
      <c r="CW110" s="375">
        <f t="shared" si="359"/>
        <v>-1.2630881909074937E-2</v>
      </c>
      <c r="CX110" s="375">
        <f t="shared" si="359"/>
        <v>-7.656405185991727E-3</v>
      </c>
      <c r="CY110" s="375">
        <f t="shared" si="359"/>
        <v>-6.747286832283067E-3</v>
      </c>
      <c r="CZ110" s="375">
        <f t="shared" si="359"/>
        <v>-9.1605235572475574E-3</v>
      </c>
      <c r="DA110" s="697">
        <f t="shared" si="359"/>
        <v>-8.9971614753154572E-3</v>
      </c>
      <c r="DB110" s="375">
        <f t="shared" si="359"/>
        <v>-1.0895311454491879E-2</v>
      </c>
      <c r="DC110" s="375">
        <f t="shared" si="359"/>
        <v>-3.2748024759077982E-2</v>
      </c>
      <c r="DD110" s="375">
        <f t="shared" si="359"/>
        <v>-2.3323641160053921E-2</v>
      </c>
      <c r="DE110" s="375">
        <f t="shared" si="359"/>
        <v>-1.6627699119876188E-2</v>
      </c>
      <c r="DF110" s="697">
        <f t="shared" si="359"/>
        <v>-2.1962725120805299E-2</v>
      </c>
      <c r="DG110" s="375">
        <f t="shared" si="359"/>
        <v>-2.1024516120149939E-2</v>
      </c>
      <c r="DH110" s="375">
        <f t="shared" si="359"/>
        <v>-4.0933102994716863E-4</v>
      </c>
      <c r="DI110" s="375">
        <f t="shared" si="359"/>
        <v>-5.4113969201911027E-3</v>
      </c>
      <c r="DJ110" s="375">
        <f t="shared" si="359"/>
        <v>-1.0115858446006959E-2</v>
      </c>
      <c r="DK110" s="697">
        <f t="shared" ref="DK110:DU111" si="360">DK99-DF99</f>
        <v>-8.1481373424345249E-3</v>
      </c>
      <c r="DL110" s="375">
        <f t="shared" si="359"/>
        <v>-7.5853318456862162E-3</v>
      </c>
      <c r="DM110" s="375">
        <f t="shared" si="359"/>
        <v>-2.5450100440362611E-3</v>
      </c>
      <c r="DN110" s="375">
        <f t="shared" si="359"/>
        <v>-2.1367596041463072E-2</v>
      </c>
      <c r="DO110" s="375">
        <f t="shared" si="359"/>
        <v>-1.4161125644758882E-2</v>
      </c>
      <c r="DP110" s="697">
        <f t="shared" si="360"/>
        <v>-1.1524299112125241E-2</v>
      </c>
      <c r="DQ110" s="375">
        <f t="shared" si="359"/>
        <v>-7.5648637195827595E-3</v>
      </c>
      <c r="DR110" s="375">
        <f t="shared" ca="1" si="360"/>
        <v>-4.0645391512157125E-3</v>
      </c>
      <c r="DS110" s="375">
        <f t="shared" ca="1" si="360"/>
        <v>1.2045088300618206E-2</v>
      </c>
      <c r="DT110" s="1639">
        <f t="shared" si="360"/>
        <v>3.1828165950805454E-3</v>
      </c>
      <c r="DU110" s="697">
        <f t="shared" ca="1" si="360"/>
        <v>1.0641260719569667E-3</v>
      </c>
      <c r="DV110" s="1638">
        <f t="shared" ref="DV110:DV111" si="361">DV99-DQ99</f>
        <v>1.5725377233123949E-3</v>
      </c>
      <c r="DW110" s="375">
        <f t="shared" ref="DW110:DW111" ca="1" si="362">DW99-DR99</f>
        <v>9.5175288292417837E-4</v>
      </c>
      <c r="DX110" s="375">
        <f t="shared" ref="DX110:DX111" ca="1" si="363">DX99-DS99</f>
        <v>-2.7457269101141546E-3</v>
      </c>
      <c r="DY110" s="1639">
        <f t="shared" ref="DY110:DY111" si="364">DY99-DT99</f>
        <v>-3.707257877962139E-3</v>
      </c>
      <c r="DZ110" s="697">
        <f t="shared" ref="DZ110:DZ111" ca="1" si="365">DZ99-DU99</f>
        <v>-1.0074444341992284E-3</v>
      </c>
      <c r="EA110" s="1638">
        <f t="shared" ref="EA110:EA111" si="366">EA99-DV99</f>
        <v>8.8809062112499282E-4</v>
      </c>
      <c r="EB110" s="375">
        <f t="shared" ref="EB110:EB111" ca="1" si="367">EB99-DW99</f>
        <v>1.0346621187704297E-3</v>
      </c>
      <c r="EC110" s="375">
        <f t="shared" ref="EC110:EC111" ca="1" si="368">EC99-DX99</f>
        <v>8.3013531643974514E-4</v>
      </c>
      <c r="ED110" s="1639">
        <f t="shared" ref="ED110:ED111" si="369">ED99-DY99</f>
        <v>6.4301659977450409E-4</v>
      </c>
      <c r="EE110" s="697">
        <f t="shared" ref="EE110:EE111" ca="1" si="370">EE99-DZ99</f>
        <v>8.4776546480694326E-4</v>
      </c>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row>
    <row r="111" spans="2:232" s="54" customFormat="1" ht="11.25" hidden="1" customHeight="1" outlineLevel="1">
      <c r="B111" s="693" t="s">
        <v>237</v>
      </c>
      <c r="C111" s="375"/>
      <c r="D111" s="375"/>
      <c r="E111" s="375">
        <f t="shared" ref="E111:J112" si="371">E100-D100</f>
        <v>7.057901896229124E-6</v>
      </c>
      <c r="F111" s="375">
        <f t="shared" si="371"/>
        <v>5.4995656054866726E-4</v>
      </c>
      <c r="G111" s="375">
        <f t="shared" si="371"/>
        <v>-6.4742710082731081E-4</v>
      </c>
      <c r="H111" s="375">
        <f t="shared" si="371"/>
        <v>-7.9031538820784064E-4</v>
      </c>
      <c r="I111" s="375">
        <f t="shared" si="371"/>
        <v>-1.4746082396941557E-3</v>
      </c>
      <c r="J111" s="375">
        <f t="shared" si="371"/>
        <v>2.0637226873955472E-3</v>
      </c>
      <c r="K111" s="376"/>
      <c r="L111" s="375"/>
      <c r="M111" s="375"/>
      <c r="N111" s="377"/>
      <c r="O111" s="375">
        <f t="shared" ref="O111:X112" si="372">O100-J100</f>
        <v>4.8424187042853117E-4</v>
      </c>
      <c r="P111" s="376">
        <f t="shared" si="372"/>
        <v>5.5947994403366855E-2</v>
      </c>
      <c r="Q111" s="375">
        <f t="shared" si="372"/>
        <v>8.1766880770106118E-2</v>
      </c>
      <c r="R111" s="375">
        <f t="shared" si="372"/>
        <v>6.7917988552811268E-2</v>
      </c>
      <c r="S111" s="377">
        <f t="shared" si="372"/>
        <v>6.3307280369030286E-2</v>
      </c>
      <c r="T111" s="375">
        <f t="shared" si="372"/>
        <v>2.5464127837522277E-3</v>
      </c>
      <c r="U111" s="376">
        <f t="shared" si="372"/>
        <v>8.1955715811090485E-4</v>
      </c>
      <c r="V111" s="375">
        <f t="shared" si="372"/>
        <v>2.6869575043932253E-3</v>
      </c>
      <c r="W111" s="375">
        <f t="shared" si="372"/>
        <v>5.6217656621496137E-3</v>
      </c>
      <c r="X111" s="377">
        <f t="shared" si="372"/>
        <v>9.3340701319889752E-3</v>
      </c>
      <c r="Y111" s="375">
        <f t="shared" ref="Y111:AH112" si="373">Y100-T100</f>
        <v>7.0801859088033964E-3</v>
      </c>
      <c r="Z111" s="376">
        <f t="shared" si="373"/>
        <v>4.0575654587393303E-3</v>
      </c>
      <c r="AA111" s="375">
        <f t="shared" si="373"/>
        <v>4.4397878180182787E-3</v>
      </c>
      <c r="AB111" s="375">
        <f t="shared" si="373"/>
        <v>9.0133604185313465E-4</v>
      </c>
      <c r="AC111" s="377">
        <f t="shared" si="373"/>
        <v>-3.7597715536508286E-3</v>
      </c>
      <c r="AD111" s="375">
        <f t="shared" si="373"/>
        <v>-3.6240968794519213E-3</v>
      </c>
      <c r="AE111" s="376">
        <f t="shared" si="373"/>
        <v>1.063255844271159E-3</v>
      </c>
      <c r="AF111" s="375">
        <f t="shared" si="373"/>
        <v>-6.0060209006762288E-3</v>
      </c>
      <c r="AG111" s="375">
        <f t="shared" si="373"/>
        <v>-2.6589579270462349E-3</v>
      </c>
      <c r="AH111" s="377">
        <f t="shared" si="373"/>
        <v>-2.0141986321736416E-3</v>
      </c>
      <c r="AI111" s="375">
        <f t="shared" ref="AI111:AR112" si="374">AI100-AD100</f>
        <v>1.5788377826230909E-3</v>
      </c>
      <c r="AJ111" s="376">
        <f t="shared" si="374"/>
        <v>-2.503242302698605E-3</v>
      </c>
      <c r="AK111" s="375">
        <f t="shared" si="374"/>
        <v>3.0977735606862317E-3</v>
      </c>
      <c r="AL111" s="375">
        <f t="shared" si="374"/>
        <v>-3.423439785058352E-3</v>
      </c>
      <c r="AM111" s="377">
        <f t="shared" si="374"/>
        <v>-7.9060903758317036E-4</v>
      </c>
      <c r="AN111" s="375">
        <f t="shared" si="374"/>
        <v>-1.6419756541302816E-3</v>
      </c>
      <c r="AO111" s="376">
        <f t="shared" si="374"/>
        <v>4.8315007363426005E-4</v>
      </c>
      <c r="AP111" s="375">
        <f t="shared" si="374"/>
        <v>-3.4855456751423514E-3</v>
      </c>
      <c r="AQ111" s="375">
        <f t="shared" si="374"/>
        <v>1.2962095220933056E-3</v>
      </c>
      <c r="AR111" s="377">
        <f t="shared" si="374"/>
        <v>-1.0621899886533032E-3</v>
      </c>
      <c r="AS111" s="375">
        <f t="shared" ref="AS111:BB112" si="375">AS100-AN100</f>
        <v>-2.1934953839172627E-3</v>
      </c>
      <c r="AT111" s="376">
        <f t="shared" si="375"/>
        <v>1.1746190693149583E-3</v>
      </c>
      <c r="AU111" s="375">
        <f t="shared" si="375"/>
        <v>7.575283083430806E-4</v>
      </c>
      <c r="AV111" s="375">
        <f t="shared" si="375"/>
        <v>-3.0122507699727602E-3</v>
      </c>
      <c r="AW111" s="377">
        <f t="shared" si="375"/>
        <v>-2.1871656894240088E-3</v>
      </c>
      <c r="AX111" s="375">
        <f t="shared" si="375"/>
        <v>-7.9629568050076927E-4</v>
      </c>
      <c r="AY111" s="376">
        <f t="shared" si="375"/>
        <v>-1.8969497918868705E-3</v>
      </c>
      <c r="AZ111" s="375">
        <f t="shared" si="375"/>
        <v>-1.9770767871717526E-3</v>
      </c>
      <c r="BA111" s="375">
        <f t="shared" si="375"/>
        <v>2.1781452788342953E-3</v>
      </c>
      <c r="BB111" s="377">
        <f t="shared" si="375"/>
        <v>-2.8064114305248952E-3</v>
      </c>
      <c r="BC111" s="375">
        <f t="shared" ref="BC111:BL112" si="376">BC100-AX100</f>
        <v>-5.7022483635064958E-4</v>
      </c>
      <c r="BD111" s="376">
        <f t="shared" si="376"/>
        <v>5.0863867001866431E-3</v>
      </c>
      <c r="BE111" s="375">
        <f t="shared" si="376"/>
        <v>2.4641406312604919E-3</v>
      </c>
      <c r="BF111" s="375">
        <f t="shared" si="376"/>
        <v>4.3515115143769878E-3</v>
      </c>
      <c r="BG111" s="377">
        <f t="shared" si="376"/>
        <v>-3.6345621714713172E-4</v>
      </c>
      <c r="BH111" s="375">
        <f t="shared" si="376"/>
        <v>2.8596760566288598E-3</v>
      </c>
      <c r="BI111" s="376">
        <f t="shared" si="376"/>
        <v>-3.8146875497835353E-4</v>
      </c>
      <c r="BJ111" s="375">
        <f t="shared" si="376"/>
        <v>-2.9364897528415812E-3</v>
      </c>
      <c r="BK111" s="375">
        <f t="shared" si="376"/>
        <v>-1.7710169408198251E-3</v>
      </c>
      <c r="BL111" s="377">
        <f t="shared" si="376"/>
        <v>7.7853252722980618E-3</v>
      </c>
      <c r="BM111" s="375">
        <f t="shared" ref="BM111:BV112" si="377">BM100-BH100</f>
        <v>5.9356432089793798E-4</v>
      </c>
      <c r="BN111" s="376">
        <f t="shared" si="377"/>
        <v>3.765294552924528E-3</v>
      </c>
      <c r="BO111" s="375">
        <f t="shared" si="377"/>
        <v>4.7831135624039067E-3</v>
      </c>
      <c r="BP111" s="375">
        <f t="shared" si="377"/>
        <v>3.6810183344370417E-3</v>
      </c>
      <c r="BQ111" s="377">
        <f t="shared" si="377"/>
        <v>-8.6565974725678202E-3</v>
      </c>
      <c r="BR111" s="375">
        <f t="shared" si="377"/>
        <v>9.1031237460338643E-4</v>
      </c>
      <c r="BS111" s="376">
        <f t="shared" si="377"/>
        <v>9.1762510065360181E-5</v>
      </c>
      <c r="BT111" s="375">
        <f t="shared" si="377"/>
        <v>1.6536921236158519E-4</v>
      </c>
      <c r="BU111" s="375">
        <f t="shared" si="377"/>
        <v>9.44782160420779E-4</v>
      </c>
      <c r="BV111" s="377">
        <f t="shared" si="377"/>
        <v>-3.7890502752992508E-3</v>
      </c>
      <c r="BW111" s="375">
        <f t="shared" ref="BW111:CF112" si="378">BW100-BR100</f>
        <v>-5.8545674826969429E-4</v>
      </c>
      <c r="BX111" s="1638">
        <f t="shared" si="378"/>
        <v>-3.9493111524009361E-3</v>
      </c>
      <c r="BY111" s="375">
        <f t="shared" si="378"/>
        <v>-5.635022197112774E-3</v>
      </c>
      <c r="BZ111" s="375">
        <f t="shared" si="378"/>
        <v>-5.5767523473488345E-3</v>
      </c>
      <c r="CA111" s="377">
        <f t="shared" si="378"/>
        <v>7.6659599022967997E-3</v>
      </c>
      <c r="CB111" s="1639">
        <f t="shared" si="378"/>
        <v>-1.9312451763292132E-3</v>
      </c>
      <c r="CC111" s="375">
        <f t="shared" si="378"/>
        <v>2.7287976222087479E-3</v>
      </c>
      <c r="CD111" s="375">
        <f t="shared" si="378"/>
        <v>-1.3042196956303265E-6</v>
      </c>
      <c r="CE111" s="375">
        <f t="shared" si="378"/>
        <v>-5.9117033295230242E-3</v>
      </c>
      <c r="CF111" s="375">
        <f t="shared" si="378"/>
        <v>7.0373815430856135E-4</v>
      </c>
      <c r="CG111" s="697">
        <f t="shared" ref="CG111:CP111" si="379">CG100-CB100</f>
        <v>-8.1174775248893383E-4</v>
      </c>
      <c r="CH111" s="375">
        <f t="shared" si="379"/>
        <v>5.9295627788837207E-3</v>
      </c>
      <c r="CI111" s="375">
        <f t="shared" si="379"/>
        <v>1.979140680471142E-3</v>
      </c>
      <c r="CJ111" s="375">
        <f t="shared" si="379"/>
        <v>4.5920591500970553E-3</v>
      </c>
      <c r="CK111" s="375">
        <f t="shared" si="379"/>
        <v>2.3090379520459836E-3</v>
      </c>
      <c r="CL111" s="697">
        <f t="shared" si="379"/>
        <v>3.7401427375039764E-3</v>
      </c>
      <c r="CM111" s="375">
        <f t="shared" si="379"/>
        <v>-5.1151071212204718E-3</v>
      </c>
      <c r="CN111" s="375">
        <f t="shared" si="379"/>
        <v>-3.819247528003597E-3</v>
      </c>
      <c r="CO111" s="375">
        <f t="shared" si="379"/>
        <v>1.1712426925197944E-3</v>
      </c>
      <c r="CP111" s="375">
        <f t="shared" si="379"/>
        <v>-2.5353300786305488E-3</v>
      </c>
      <c r="CQ111" s="697">
        <f t="shared" ref="CQ111:CW111" si="380">CQ100-CL100</f>
        <v>-2.4725498230735443E-3</v>
      </c>
      <c r="CR111" s="375">
        <f t="shared" si="380"/>
        <v>-1.3854988520406453E-4</v>
      </c>
      <c r="CS111" s="375">
        <f t="shared" si="380"/>
        <v>1.0206098564913904E-2</v>
      </c>
      <c r="CT111" s="375">
        <f t="shared" si="380"/>
        <v>1.1607088564882254E-2</v>
      </c>
      <c r="CU111" s="375">
        <f t="shared" si="380"/>
        <v>1.2384701629748585E-2</v>
      </c>
      <c r="CV111" s="697">
        <f t="shared" si="380"/>
        <v>8.5737630104987944E-3</v>
      </c>
      <c r="CW111" s="375">
        <f t="shared" si="380"/>
        <v>7.3088307989284534E-3</v>
      </c>
      <c r="CX111" s="375">
        <f t="shared" ref="CX111:DQ111" si="381">CX100-CS100</f>
        <v>-7.0782794207149696E-3</v>
      </c>
      <c r="CY111" s="375">
        <f t="shared" si="381"/>
        <v>-8.8227517631465913E-4</v>
      </c>
      <c r="CZ111" s="375">
        <f t="shared" si="381"/>
        <v>-2.6387296882114664E-3</v>
      </c>
      <c r="DA111" s="697">
        <f t="shared" si="381"/>
        <v>-9.6446870899892512E-4</v>
      </c>
      <c r="DB111" s="375">
        <f t="shared" si="381"/>
        <v>3.9460915733313673E-5</v>
      </c>
      <c r="DC111" s="375">
        <f t="shared" si="381"/>
        <v>-1.2512542501404572E-3</v>
      </c>
      <c r="DD111" s="375">
        <f t="shared" si="381"/>
        <v>-8.4099774529499266E-3</v>
      </c>
      <c r="DE111" s="375">
        <f t="shared" si="381"/>
        <v>-9.251514644394207E-3</v>
      </c>
      <c r="DF111" s="697">
        <f t="shared" si="381"/>
        <v>-5.0858790821852184E-3</v>
      </c>
      <c r="DG111" s="375">
        <f t="shared" si="381"/>
        <v>-4.9356091535274482E-3</v>
      </c>
      <c r="DH111" s="375">
        <f t="shared" si="381"/>
        <v>1.3767127742530111E-3</v>
      </c>
      <c r="DI111" s="375">
        <f t="shared" si="381"/>
        <v>7.7803268211250332E-4</v>
      </c>
      <c r="DJ111" s="375">
        <f t="shared" si="381"/>
        <v>3.0990920480446216E-3</v>
      </c>
      <c r="DK111" s="697">
        <f t="shared" si="360"/>
        <v>4.8267081546231327E-4</v>
      </c>
      <c r="DL111" s="375">
        <f t="shared" si="381"/>
        <v>2.8074254185259523E-3</v>
      </c>
      <c r="DM111" s="375">
        <f t="shared" si="381"/>
        <v>-1.8620000054365565E-3</v>
      </c>
      <c r="DN111" s="375">
        <f t="shared" si="381"/>
        <v>5.7937187069166673E-3</v>
      </c>
      <c r="DO111" s="375">
        <f t="shared" si="381"/>
        <v>6.5352477535897818E-3</v>
      </c>
      <c r="DP111" s="697">
        <f t="shared" si="360"/>
        <v>3.2404940836379265E-3</v>
      </c>
      <c r="DQ111" s="375">
        <f t="shared" si="381"/>
        <v>-2.7672898144153052E-3</v>
      </c>
      <c r="DR111" s="375">
        <f t="shared" ca="1" si="360"/>
        <v>-5.8717838071915551E-3</v>
      </c>
      <c r="DS111" s="375">
        <f t="shared" ca="1" si="360"/>
        <v>-1.0176255236747256E-2</v>
      </c>
      <c r="DT111" s="1639">
        <f t="shared" si="360"/>
        <v>-6.234416801087217E-3</v>
      </c>
      <c r="DU111" s="697">
        <f t="shared" ca="1" si="360"/>
        <v>-6.2834929208490375E-3</v>
      </c>
      <c r="DV111" s="1638">
        <f t="shared" si="361"/>
        <v>-3.7512844655264027E-3</v>
      </c>
      <c r="DW111" s="375">
        <f t="shared" ca="1" si="362"/>
        <v>-2.4353943517907428E-4</v>
      </c>
      <c r="DX111" s="375">
        <f t="shared" ca="1" si="363"/>
        <v>4.8329341585703484E-3</v>
      </c>
      <c r="DY111" s="1639">
        <f t="shared" si="364"/>
        <v>6.2589407743240122E-3</v>
      </c>
      <c r="DZ111" s="697">
        <f t="shared" ca="1" si="365"/>
        <v>1.8037599592540532E-3</v>
      </c>
      <c r="EA111" s="1638">
        <f t="shared" si="366"/>
        <v>4.9684383296320911E-4</v>
      </c>
      <c r="EB111" s="375">
        <f t="shared" ca="1" si="367"/>
        <v>-2.9871938016245991E-4</v>
      </c>
      <c r="EC111" s="375">
        <f t="shared" ca="1" si="368"/>
        <v>1.2968343393207626E-4</v>
      </c>
      <c r="ED111" s="1639">
        <f t="shared" si="369"/>
        <v>2.023586222593271E-4</v>
      </c>
      <c r="EE111" s="697">
        <f t="shared" ca="1" si="370"/>
        <v>1.2993851849137095E-4</v>
      </c>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row>
    <row r="112" spans="2:232" s="54" customFormat="1" collapsed="1">
      <c r="B112" s="693" t="s">
        <v>376</v>
      </c>
      <c r="C112" s="375"/>
      <c r="D112" s="375"/>
      <c r="E112" s="375">
        <f t="shared" si="371"/>
        <v>-9.1687568436130129E-4</v>
      </c>
      <c r="F112" s="375">
        <f t="shared" si="371"/>
        <v>2.7144668524350934E-4</v>
      </c>
      <c r="G112" s="375">
        <f t="shared" si="371"/>
        <v>-1.0542041186125811E-3</v>
      </c>
      <c r="H112" s="375">
        <f t="shared" si="371"/>
        <v>-2.6314107283119392E-4</v>
      </c>
      <c r="I112" s="375">
        <f t="shared" si="371"/>
        <v>-2.4697289533672229E-3</v>
      </c>
      <c r="J112" s="375">
        <f t="shared" si="371"/>
        <v>2.2002524298503079E-3</v>
      </c>
      <c r="K112" s="376"/>
      <c r="L112" s="375"/>
      <c r="M112" s="375"/>
      <c r="N112" s="377"/>
      <c r="O112" s="375">
        <f t="shared" si="372"/>
        <v>-4.5059657253937457E-4</v>
      </c>
      <c r="P112" s="376">
        <f t="shared" si="372"/>
        <v>4.2002253453609174E-2</v>
      </c>
      <c r="Q112" s="375">
        <f t="shared" si="372"/>
        <v>6.9048914401185726E-2</v>
      </c>
      <c r="R112" s="375">
        <f t="shared" si="372"/>
        <v>5.2750860125860916E-2</v>
      </c>
      <c r="S112" s="377">
        <f t="shared" si="372"/>
        <v>5.106227614123876E-2</v>
      </c>
      <c r="T112" s="375">
        <f t="shared" si="372"/>
        <v>2.6296042371920167E-3</v>
      </c>
      <c r="U112" s="376">
        <f t="shared" si="372"/>
        <v>8.9075576261039846E-4</v>
      </c>
      <c r="V112" s="375">
        <f t="shared" si="372"/>
        <v>1.3830690495175574E-3</v>
      </c>
      <c r="W112" s="375">
        <f t="shared" si="372"/>
        <v>3.9511732316356366E-3</v>
      </c>
      <c r="X112" s="377">
        <f t="shared" si="372"/>
        <v>7.1131403636638738E-3</v>
      </c>
      <c r="Y112" s="375">
        <f t="shared" si="373"/>
        <v>3.3284774153972893E-3</v>
      </c>
      <c r="Z112" s="376">
        <f t="shared" si="373"/>
        <v>2.5705900268836804E-3</v>
      </c>
      <c r="AA112" s="375">
        <f t="shared" si="373"/>
        <v>3.3689118807825741E-3</v>
      </c>
      <c r="AB112" s="375">
        <f t="shared" si="373"/>
        <v>2.8202136565471936E-3</v>
      </c>
      <c r="AC112" s="377">
        <f t="shared" si="373"/>
        <v>-1.2236621189377142E-3</v>
      </c>
      <c r="AD112" s="375">
        <f t="shared" si="373"/>
        <v>-6.7848697631710253E-4</v>
      </c>
      <c r="AE112" s="376">
        <f t="shared" si="373"/>
        <v>1.7664554923420422E-3</v>
      </c>
      <c r="AF112" s="375">
        <f t="shared" si="373"/>
        <v>-4.0533557508268814E-3</v>
      </c>
      <c r="AG112" s="375">
        <f t="shared" si="373"/>
        <v>-1.5329624253263702E-3</v>
      </c>
      <c r="AH112" s="377">
        <f t="shared" si="373"/>
        <v>6.4191198334821037E-4</v>
      </c>
      <c r="AI112" s="375">
        <f t="shared" si="374"/>
        <v>1.6308286797152641E-3</v>
      </c>
      <c r="AJ112" s="376">
        <f t="shared" si="374"/>
        <v>-1.3464025677278196E-3</v>
      </c>
      <c r="AK112" s="375">
        <f t="shared" si="374"/>
        <v>1.3210558463125771E-3</v>
      </c>
      <c r="AL112" s="375">
        <f t="shared" si="374"/>
        <v>-3.1149159219025432E-3</v>
      </c>
      <c r="AM112" s="377">
        <f t="shared" si="374"/>
        <v>-3.7551024887350556E-3</v>
      </c>
      <c r="AN112" s="375">
        <f t="shared" si="374"/>
        <v>-1.7633291980071464E-3</v>
      </c>
      <c r="AO112" s="376">
        <f t="shared" si="374"/>
        <v>-1.3673854360042731E-3</v>
      </c>
      <c r="AP112" s="375">
        <f t="shared" si="374"/>
        <v>-1.1747582099054382E-3</v>
      </c>
      <c r="AQ112" s="375">
        <f t="shared" si="374"/>
        <v>1.1009756876641311E-3</v>
      </c>
      <c r="AR112" s="377">
        <f t="shared" si="374"/>
        <v>7.1342428853723994E-4</v>
      </c>
      <c r="AS112" s="375">
        <f t="shared" si="375"/>
        <v>-7.8284579773537505E-4</v>
      </c>
      <c r="AT112" s="376">
        <f t="shared" si="375"/>
        <v>2.6052712981869744E-3</v>
      </c>
      <c r="AU112" s="375">
        <f t="shared" si="375"/>
        <v>3.3976172208925737E-4</v>
      </c>
      <c r="AV112" s="375">
        <f t="shared" si="375"/>
        <v>-6.5593993565090519E-4</v>
      </c>
      <c r="AW112" s="377">
        <f t="shared" si="375"/>
        <v>-9.8922138603425858E-4</v>
      </c>
      <c r="AX112" s="375">
        <f t="shared" si="375"/>
        <v>3.3280867650210127E-4</v>
      </c>
      <c r="AY112" s="376">
        <f t="shared" si="375"/>
        <v>-6.8084451554374648E-4</v>
      </c>
      <c r="AZ112" s="375">
        <f t="shared" si="375"/>
        <v>-1.0262631660163668E-3</v>
      </c>
      <c r="BA112" s="375">
        <f t="shared" si="375"/>
        <v>1.5475371691032747E-3</v>
      </c>
      <c r="BB112" s="377">
        <f t="shared" si="375"/>
        <v>-5.855849485046985E-4</v>
      </c>
      <c r="BC112" s="375">
        <f t="shared" si="376"/>
        <v>3.4527370776795546E-4</v>
      </c>
      <c r="BD112" s="376">
        <f t="shared" si="376"/>
        <v>4.7368656164037334E-3</v>
      </c>
      <c r="BE112" s="375">
        <f t="shared" si="376"/>
        <v>1.3851826577338799E-3</v>
      </c>
      <c r="BF112" s="375">
        <f t="shared" si="376"/>
        <v>2.6034478641766556E-3</v>
      </c>
      <c r="BG112" s="377">
        <f t="shared" si="376"/>
        <v>-5.5065056013583746E-3</v>
      </c>
      <c r="BH112" s="375">
        <f t="shared" si="376"/>
        <v>7.5497534275303924E-4</v>
      </c>
      <c r="BI112" s="376">
        <f t="shared" si="376"/>
        <v>-1.4729611343563473E-3</v>
      </c>
      <c r="BJ112" s="375">
        <f t="shared" si="376"/>
        <v>-3.1015005160320158E-3</v>
      </c>
      <c r="BK112" s="375">
        <f t="shared" si="376"/>
        <v>-1.3522476556692628E-3</v>
      </c>
      <c r="BL112" s="377">
        <f t="shared" si="376"/>
        <v>4.3932876789286798E-3</v>
      </c>
      <c r="BM112" s="375">
        <f t="shared" si="377"/>
        <v>-4.5572917041517697E-4</v>
      </c>
      <c r="BN112" s="376">
        <f t="shared" si="377"/>
        <v>3.165528297021887E-3</v>
      </c>
      <c r="BO112" s="375">
        <f t="shared" si="377"/>
        <v>5.7486815189061458E-3</v>
      </c>
      <c r="BP112" s="375">
        <f t="shared" si="377"/>
        <v>4.2837620894448439E-3</v>
      </c>
      <c r="BQ112" s="377">
        <f t="shared" si="377"/>
        <v>-6.8987960844076532E-3</v>
      </c>
      <c r="BR112" s="375">
        <f t="shared" si="377"/>
        <v>1.6217392456907148E-3</v>
      </c>
      <c r="BS112" s="376">
        <f t="shared" si="377"/>
        <v>-9.8067740941600728E-4</v>
      </c>
      <c r="BT112" s="375">
        <f t="shared" si="377"/>
        <v>-2.5869606332065143E-3</v>
      </c>
      <c r="BU112" s="375">
        <f t="shared" si="377"/>
        <v>-1.4856628847979905E-3</v>
      </c>
      <c r="BV112" s="377">
        <f t="shared" si="377"/>
        <v>-1.6757473264065181E-3</v>
      </c>
      <c r="BW112" s="375">
        <f t="shared" si="378"/>
        <v>-1.6529540120970923E-3</v>
      </c>
      <c r="BX112" s="1638">
        <f t="shared" si="378"/>
        <v>-7.1313034367627565E-3</v>
      </c>
      <c r="BY112" s="375">
        <f t="shared" si="378"/>
        <v>-8.1337706670048388E-3</v>
      </c>
      <c r="BZ112" s="375">
        <f t="shared" si="378"/>
        <v>-8.7262348320541194E-3</v>
      </c>
      <c r="CA112" s="377">
        <f t="shared" si="378"/>
        <v>1.4154129699787202E-3</v>
      </c>
      <c r="CB112" s="1639">
        <f t="shared" si="378"/>
        <v>-5.6845646717709267E-3</v>
      </c>
      <c r="CC112" s="375">
        <f>CC102-BX102</f>
        <v>2.8543859942055175E-3</v>
      </c>
      <c r="CD112" s="375">
        <f t="shared" ref="CD112:DQ112" si="382">CD102-BY102</f>
        <v>1.4009463453844295E-4</v>
      </c>
      <c r="CE112" s="375">
        <f t="shared" si="382"/>
        <v>-4.2378473505643721E-3</v>
      </c>
      <c r="CF112" s="375">
        <f t="shared" si="382"/>
        <v>6.692093956123385E-4</v>
      </c>
      <c r="CG112" s="697">
        <f t="shared" si="382"/>
        <v>-3.3206670364207408E-4</v>
      </c>
      <c r="CH112" s="375">
        <f t="shared" si="382"/>
        <v>6.5093302867152356E-3</v>
      </c>
      <c r="CI112" s="375">
        <f t="shared" si="382"/>
        <v>2.9914111420589057E-3</v>
      </c>
      <c r="CJ112" s="375">
        <f t="shared" si="382"/>
        <v>5.1569863618356193E-3</v>
      </c>
      <c r="CK112" s="375">
        <f t="shared" si="382"/>
        <v>2.397565529559248E-3</v>
      </c>
      <c r="CL112" s="697">
        <f t="shared" si="382"/>
        <v>4.3070408451877165E-3</v>
      </c>
      <c r="CM112" s="375">
        <f t="shared" si="382"/>
        <v>-4.3242619926199266E-3</v>
      </c>
      <c r="CN112" s="375">
        <f t="shared" si="382"/>
        <v>-4.3719702494490059E-3</v>
      </c>
      <c r="CO112" s="375">
        <f t="shared" si="382"/>
        <v>-1.9447937138811211E-4</v>
      </c>
      <c r="CP112" s="375">
        <f t="shared" si="382"/>
        <v>-4.2922851288002897E-3</v>
      </c>
      <c r="CQ112" s="697">
        <f t="shared" si="382"/>
        <v>-3.1791800849676546E-3</v>
      </c>
      <c r="CR112" s="375">
        <f t="shared" si="382"/>
        <v>-1.9895001444816957E-3</v>
      </c>
      <c r="CS112" s="375">
        <f t="shared" si="382"/>
        <v>8.5947073819821057E-3</v>
      </c>
      <c r="CT112" s="375">
        <f t="shared" si="382"/>
        <v>1.0969928128982023E-2</v>
      </c>
      <c r="CU112" s="375">
        <f t="shared" si="382"/>
        <v>1.2395945262612985E-2</v>
      </c>
      <c r="CV112" s="697">
        <f t="shared" si="382"/>
        <v>7.5272930615657846E-3</v>
      </c>
      <c r="CW112" s="375">
        <f t="shared" si="382"/>
        <v>6.8168068604535434E-3</v>
      </c>
      <c r="CX112" s="375">
        <f t="shared" si="382"/>
        <v>-6.7239493921395221E-3</v>
      </c>
      <c r="CY112" s="375">
        <f t="shared" si="382"/>
        <v>-9.3834197030755184E-4</v>
      </c>
      <c r="CZ112" s="375">
        <f t="shared" si="382"/>
        <v>-1.5538065411485613E-3</v>
      </c>
      <c r="DA112" s="697">
        <f t="shared" si="382"/>
        <v>-7.3584527571429748E-4</v>
      </c>
      <c r="DB112" s="375">
        <f t="shared" si="382"/>
        <v>1.4463598869108099E-3</v>
      </c>
      <c r="DC112" s="375">
        <f t="shared" si="382"/>
        <v>9.9532085409449744E-4</v>
      </c>
      <c r="DD112" s="375">
        <f t="shared" si="382"/>
        <v>-6.5248622355182778E-3</v>
      </c>
      <c r="DE112" s="375">
        <f t="shared" si="382"/>
        <v>-9.0875370449018111E-3</v>
      </c>
      <c r="DF112" s="697">
        <f t="shared" si="382"/>
        <v>-3.6245960762810586E-3</v>
      </c>
      <c r="DG112" s="375">
        <f t="shared" si="382"/>
        <v>-2.415733214193895E-3</v>
      </c>
      <c r="DH112" s="375">
        <f t="shared" si="382"/>
        <v>9.9266976341066959E-4</v>
      </c>
      <c r="DI112" s="375">
        <f t="shared" si="382"/>
        <v>7.5598286785118207E-4</v>
      </c>
      <c r="DJ112" s="375">
        <f t="shared" si="382"/>
        <v>3.4643272014097393E-3</v>
      </c>
      <c r="DK112" s="697">
        <f t="shared" ref="DK112:DU112" si="383">DK102-DF102</f>
        <v>1.0614083024669194E-3</v>
      </c>
      <c r="DL112" s="375">
        <f t="shared" si="382"/>
        <v>1.3507917275789247E-3</v>
      </c>
      <c r="DM112" s="375">
        <f t="shared" si="382"/>
        <v>-1.7715790164007372E-3</v>
      </c>
      <c r="DN112" s="375">
        <f t="shared" si="382"/>
        <v>6.7027249264066113E-3</v>
      </c>
      <c r="DO112" s="375">
        <f t="shared" si="382"/>
        <v>8.187357959449075E-3</v>
      </c>
      <c r="DP112" s="697">
        <f t="shared" si="383"/>
        <v>3.5443544942118863E-3</v>
      </c>
      <c r="DQ112" s="375">
        <f t="shared" si="382"/>
        <v>-1.7108726361163423E-3</v>
      </c>
      <c r="DR112" s="375">
        <f t="shared" ca="1" si="383"/>
        <v>-6.1242829798318008E-3</v>
      </c>
      <c r="DS112" s="375">
        <f t="shared" ca="1" si="383"/>
        <v>-1.0387561661989238E-2</v>
      </c>
      <c r="DT112" s="1639">
        <f t="shared" si="383"/>
        <v>-6.5012702702298142E-3</v>
      </c>
      <c r="DU112" s="697">
        <f t="shared" ca="1" si="383"/>
        <v>-6.2186074432232369E-3</v>
      </c>
      <c r="DV112" s="1638">
        <f t="shared" ref="DV112" si="384">DV102-DQ102</f>
        <v>-3.963110321237813E-3</v>
      </c>
      <c r="DW112" s="375">
        <f t="shared" ref="DW112" ca="1" si="385">DW102-DR102</f>
        <v>-3.0205656630446359E-4</v>
      </c>
      <c r="DX112" s="375">
        <f t="shared" ref="DX112" ca="1" si="386">DX102-DS102</f>
        <v>4.7951398217559796E-3</v>
      </c>
      <c r="DY112" s="1639">
        <f t="shared" ref="DY112" si="387">DY102-DT102</f>
        <v>6.2210855761061223E-3</v>
      </c>
      <c r="DZ112" s="697">
        <f t="shared" ref="DZ112" ca="1" si="388">DZ102-DU102</f>
        <v>1.7228562379383652E-3</v>
      </c>
      <c r="EA112" s="1638">
        <f t="shared" ref="EA112" si="389">EA102-DV102</f>
        <v>4.5177943562458439E-4</v>
      </c>
      <c r="EB112" s="375">
        <f t="shared" ref="EB112" ca="1" si="390">EB102-DW102</f>
        <v>-3.4108374824724785E-4</v>
      </c>
      <c r="EC112" s="375">
        <f t="shared" ref="EC112" ca="1" si="391">EC102-DX102</f>
        <v>8.5158922042485874E-5</v>
      </c>
      <c r="ED112" s="1639">
        <f t="shared" ref="ED112" si="392">ED102-DY102</f>
        <v>1.5471500163725949E-4</v>
      </c>
      <c r="EE112" s="697">
        <f t="shared" ref="EE112" ca="1" si="393">EE102-DZ102</f>
        <v>8.5130151191985248E-5</v>
      </c>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row>
    <row r="113" spans="2:232" s="54" customFormat="1" ht="12" thickBot="1">
      <c r="B113" s="694" t="s">
        <v>377</v>
      </c>
      <c r="C113" s="695"/>
      <c r="D113" s="695"/>
      <c r="E113" s="695">
        <f t="shared" ref="E113:J113" si="394">E104-D104</f>
        <v>1.9885189191638439E-4</v>
      </c>
      <c r="F113" s="695">
        <f t="shared" si="394"/>
        <v>8.8782393224969003E-5</v>
      </c>
      <c r="G113" s="695">
        <f t="shared" si="394"/>
        <v>5.5916321275216105E-4</v>
      </c>
      <c r="H113" s="695">
        <f t="shared" si="394"/>
        <v>-2.7922449524412814E-3</v>
      </c>
      <c r="I113" s="695">
        <f t="shared" si="394"/>
        <v>3.8050283673689324E-3</v>
      </c>
      <c r="J113" s="695">
        <f t="shared" si="394"/>
        <v>3.3145114863730729E-4</v>
      </c>
      <c r="K113" s="847"/>
      <c r="L113" s="695"/>
      <c r="M113" s="695"/>
      <c r="N113" s="848"/>
      <c r="O113" s="695">
        <f t="shared" ref="O113:AT113" si="395">O104-J104</f>
        <v>1.0500750969662832E-3</v>
      </c>
      <c r="P113" s="847">
        <f t="shared" si="395"/>
        <v>2.6504438963070767E-2</v>
      </c>
      <c r="Q113" s="695">
        <f t="shared" si="395"/>
        <v>4.3491403478579396E-2</v>
      </c>
      <c r="R113" s="695">
        <f t="shared" si="395"/>
        <v>3.3035767543144412E-2</v>
      </c>
      <c r="S113" s="848">
        <f t="shared" si="395"/>
        <v>3.1167285218956561E-2</v>
      </c>
      <c r="T113" s="695">
        <f t="shared" si="395"/>
        <v>1.9901237757892695E-3</v>
      </c>
      <c r="U113" s="847">
        <f t="shared" si="395"/>
        <v>-7.1426306099392559E-3</v>
      </c>
      <c r="V113" s="695">
        <f t="shared" si="395"/>
        <v>6.6114496018902097E-4</v>
      </c>
      <c r="W113" s="695">
        <f t="shared" si="395"/>
        <v>3.5721787210249226E-3</v>
      </c>
      <c r="X113" s="848">
        <f t="shared" si="395"/>
        <v>1.2255774088091958E-2</v>
      </c>
      <c r="Y113" s="695">
        <f t="shared" si="395"/>
        <v>2.5087295922030517E-3</v>
      </c>
      <c r="Z113" s="847">
        <f t="shared" si="395"/>
        <v>9.9928375984669124E-3</v>
      </c>
      <c r="AA113" s="695">
        <f t="shared" si="395"/>
        <v>1.9783404974925423E-3</v>
      </c>
      <c r="AB113" s="695">
        <f t="shared" si="395"/>
        <v>1.6954181318580425E-3</v>
      </c>
      <c r="AC113" s="848">
        <f t="shared" si="395"/>
        <v>-8.3572698333643017E-3</v>
      </c>
      <c r="AD113" s="695">
        <f t="shared" si="395"/>
        <v>-1.4232313842496916E-3</v>
      </c>
      <c r="AE113" s="847">
        <f t="shared" si="395"/>
        <v>7.9131523599481821E-4</v>
      </c>
      <c r="AF113" s="695">
        <f t="shared" si="395"/>
        <v>-3.5371077352910479E-3</v>
      </c>
      <c r="AG113" s="695">
        <f t="shared" si="395"/>
        <v>-2.4122982311434449E-3</v>
      </c>
      <c r="AH113" s="848">
        <f t="shared" si="395"/>
        <v>5.1884478144513871E-3</v>
      </c>
      <c r="AI113" s="695">
        <f t="shared" si="395"/>
        <v>2.4786844067790914E-3</v>
      </c>
      <c r="AJ113" s="847">
        <f t="shared" si="395"/>
        <v>-1.9317899788725938E-3</v>
      </c>
      <c r="AK113" s="695">
        <f t="shared" si="395"/>
        <v>3.587584485762095E-3</v>
      </c>
      <c r="AL113" s="695">
        <f t="shared" si="395"/>
        <v>-1.9976066178556337E-3</v>
      </c>
      <c r="AM113" s="848">
        <f t="shared" si="395"/>
        <v>-5.7358083620422176E-3</v>
      </c>
      <c r="AN113" s="695">
        <f t="shared" si="395"/>
        <v>-1.497848647150149E-3</v>
      </c>
      <c r="AO113" s="847">
        <f t="shared" si="395"/>
        <v>1.2683559068166553E-4</v>
      </c>
      <c r="AP113" s="695">
        <f t="shared" si="395"/>
        <v>-2.5678249242295434E-3</v>
      </c>
      <c r="AQ113" s="695">
        <f t="shared" si="395"/>
        <v>1.1164757048674964E-3</v>
      </c>
      <c r="AR113" s="848">
        <f t="shared" si="395"/>
        <v>-2.834974097775389E-4</v>
      </c>
      <c r="AS113" s="695">
        <f t="shared" si="395"/>
        <v>-8.1779073603231028E-4</v>
      </c>
      <c r="AT113" s="847">
        <f t="shared" si="395"/>
        <v>-1.0193324951364123E-3</v>
      </c>
      <c r="AU113" s="695">
        <f t="shared" ref="AU113:BZ113" si="396">AU104-AP104</f>
        <v>3.0021825053317547E-4</v>
      </c>
      <c r="AV113" s="695">
        <f t="shared" si="396"/>
        <v>-2.3250169041532376E-3</v>
      </c>
      <c r="AW113" s="848">
        <f t="shared" si="396"/>
        <v>-7.4152833432132581E-4</v>
      </c>
      <c r="AX113" s="695">
        <f t="shared" si="396"/>
        <v>6.9469310383511035E-4</v>
      </c>
      <c r="AY113" s="847">
        <f t="shared" si="396"/>
        <v>1.9072955150166854E-3</v>
      </c>
      <c r="AZ113" s="695">
        <f t="shared" si="396"/>
        <v>4.0142575480103804E-4</v>
      </c>
      <c r="BA113" s="695">
        <f t="shared" si="396"/>
        <v>3.2914871437227378E-3</v>
      </c>
      <c r="BB113" s="848">
        <f t="shared" si="396"/>
        <v>1.1326723289095675E-4</v>
      </c>
      <c r="BC113" s="695">
        <f t="shared" si="396"/>
        <v>1.4352229403808564E-4</v>
      </c>
      <c r="BD113" s="847">
        <f t="shared" si="396"/>
        <v>3.9995342913038551E-3</v>
      </c>
      <c r="BE113" s="695">
        <f t="shared" si="396"/>
        <v>3.6489168615444489E-4</v>
      </c>
      <c r="BF113" s="695">
        <f t="shared" si="396"/>
        <v>1.9716306284173341E-3</v>
      </c>
      <c r="BG113" s="848">
        <f t="shared" si="396"/>
        <v>-2.2581106382321206E-3</v>
      </c>
      <c r="BH113" s="695">
        <f t="shared" si="396"/>
        <v>9.6677765467304694E-4</v>
      </c>
      <c r="BI113" s="847">
        <f t="shared" si="396"/>
        <v>-1.5232455879634066E-3</v>
      </c>
      <c r="BJ113" s="695">
        <f t="shared" si="396"/>
        <v>-1.6400619839957234E-3</v>
      </c>
      <c r="BK113" s="695">
        <f t="shared" si="396"/>
        <v>5.8931850262877034E-4</v>
      </c>
      <c r="BL113" s="848">
        <f t="shared" si="396"/>
        <v>2.5289945975197139E-3</v>
      </c>
      <c r="BM113" s="695">
        <f t="shared" si="396"/>
        <v>-2.809693518288775E-5</v>
      </c>
      <c r="BN113" s="847">
        <f t="shared" si="396"/>
        <v>2.2641320427466416E-3</v>
      </c>
      <c r="BO113" s="695">
        <f t="shared" si="396"/>
        <v>3.74583566313514E-3</v>
      </c>
      <c r="BP113" s="695">
        <f t="shared" si="396"/>
        <v>2.431232720443488E-3</v>
      </c>
      <c r="BQ113" s="848">
        <f t="shared" si="396"/>
        <v>-4.3354018576883951E-3</v>
      </c>
      <c r="BR113" s="695">
        <f t="shared" si="396"/>
        <v>1.0399991900822206E-3</v>
      </c>
      <c r="BS113" s="847">
        <f t="shared" si="396"/>
        <v>-1.4912577015768341E-3</v>
      </c>
      <c r="BT113" s="695">
        <f t="shared" si="396"/>
        <v>-2.2673489378285672E-3</v>
      </c>
      <c r="BU113" s="695">
        <f t="shared" si="396"/>
        <v>-2.7952088124834004E-3</v>
      </c>
      <c r="BV113" s="848">
        <f t="shared" si="396"/>
        <v>8.2901709939794954E-4</v>
      </c>
      <c r="BW113" s="695">
        <f t="shared" si="396"/>
        <v>-3.6035895554002786E-3</v>
      </c>
      <c r="BX113" s="1640">
        <f t="shared" si="396"/>
        <v>-5.1816854161444853E-3</v>
      </c>
      <c r="BY113" s="695">
        <f t="shared" si="396"/>
        <v>-5.6717637142701047E-3</v>
      </c>
      <c r="BZ113" s="695">
        <f t="shared" si="396"/>
        <v>-5.9710342985159065E-3</v>
      </c>
      <c r="CA113" s="848">
        <f>CA104-BV104</f>
        <v>-2.6057744684585653E-3</v>
      </c>
      <c r="CB113" s="1641">
        <f>CB104-BW104</f>
        <v>-2.6890372049410485E-3</v>
      </c>
      <c r="CC113" s="695">
        <f>CC105-BX105</f>
        <v>5.336160716614656E-3</v>
      </c>
      <c r="CD113" s="695">
        <f t="shared" ref="CD113:DQ113" si="397">CD105-BY105</f>
        <v>2.9499305592342179E-3</v>
      </c>
      <c r="CE113" s="695">
        <f t="shared" si="397"/>
        <v>-2.2374082478074375E-4</v>
      </c>
      <c r="CF113" s="695">
        <f t="shared" si="397"/>
        <v>4.4219196125048037E-3</v>
      </c>
      <c r="CG113" s="698">
        <f t="shared" si="397"/>
        <v>2.9904539429168181E-3</v>
      </c>
      <c r="CH113" s="695">
        <f t="shared" si="397"/>
        <v>4.210104012858755E-3</v>
      </c>
      <c r="CI113" s="695">
        <f t="shared" si="397"/>
        <v>1.5499971851149555E-3</v>
      </c>
      <c r="CJ113" s="695">
        <f t="shared" si="397"/>
        <v>4.491920788568457E-3</v>
      </c>
      <c r="CK113" s="695">
        <f t="shared" si="397"/>
        <v>1.151584332852347E-3</v>
      </c>
      <c r="CL113" s="698">
        <f t="shared" si="397"/>
        <v>2.8796411477928843E-3</v>
      </c>
      <c r="CM113" s="695">
        <f t="shared" si="397"/>
        <v>-2.7511772319215727E-3</v>
      </c>
      <c r="CN113" s="695">
        <f t="shared" si="397"/>
        <v>-2.2228648929591838E-3</v>
      </c>
      <c r="CO113" s="695">
        <f t="shared" si="397"/>
        <v>-1.0942285670817314E-3</v>
      </c>
      <c r="CP113" s="695">
        <f t="shared" si="397"/>
        <v>-9.4857518954218067E-4</v>
      </c>
      <c r="CQ113" s="698">
        <f t="shared" si="397"/>
        <v>-1.707506831507187E-3</v>
      </c>
      <c r="CR113" s="695">
        <f t="shared" si="397"/>
        <v>-2.1557530094182611E-3</v>
      </c>
      <c r="CS113" s="695">
        <f t="shared" si="397"/>
        <v>7.9457550920432052E-3</v>
      </c>
      <c r="CT113" s="695">
        <f t="shared" si="397"/>
        <v>8.9637906488462191E-3</v>
      </c>
      <c r="CU113" s="695">
        <f t="shared" si="397"/>
        <v>6.7379298172893648E-3</v>
      </c>
      <c r="CV113" s="698">
        <f t="shared" si="397"/>
        <v>5.4567775404597771E-3</v>
      </c>
      <c r="CW113" s="695">
        <f t="shared" si="397"/>
        <v>5.6003629711960795E-3</v>
      </c>
      <c r="CX113" s="695">
        <f t="shared" si="397"/>
        <v>-4.1830468807262169E-3</v>
      </c>
      <c r="CY113" s="695">
        <f t="shared" si="397"/>
        <v>1.1730316030138382E-3</v>
      </c>
      <c r="CZ113" s="695">
        <f t="shared" si="397"/>
        <v>-1.6617059952830776E-3</v>
      </c>
      <c r="DA113" s="698">
        <f t="shared" si="397"/>
        <v>1.3882338534874222E-4</v>
      </c>
      <c r="DB113" s="695">
        <f t="shared" si="397"/>
        <v>7.6803838032893368E-4</v>
      </c>
      <c r="DC113" s="695">
        <f t="shared" si="397"/>
        <v>1.9279271616764251E-3</v>
      </c>
      <c r="DD113" s="695">
        <f t="shared" si="397"/>
        <v>-6.5132915217787843E-3</v>
      </c>
      <c r="DE113" s="695">
        <f t="shared" si="397"/>
        <v>-3.4927730951352307E-3</v>
      </c>
      <c r="DF113" s="698">
        <f t="shared" si="397"/>
        <v>-1.941074314221726E-3</v>
      </c>
      <c r="DG113" s="695">
        <f t="shared" si="397"/>
        <v>6.859314097619057E-4</v>
      </c>
      <c r="DH113" s="695">
        <f t="shared" si="397"/>
        <v>3.2974664284871058E-4</v>
      </c>
      <c r="DI113" s="695">
        <f t="shared" si="397"/>
        <v>4.6641508600516607E-3</v>
      </c>
      <c r="DJ113" s="695">
        <f t="shared" si="397"/>
        <v>6.74420274103113E-3</v>
      </c>
      <c r="DK113" s="698">
        <f t="shared" ref="DK113:DU113" si="398">DK105-DF105</f>
        <v>3.1939484845123559E-3</v>
      </c>
      <c r="DL113" s="695">
        <f t="shared" si="397"/>
        <v>3.1487576232006112E-3</v>
      </c>
      <c r="DM113" s="695">
        <f t="shared" si="397"/>
        <v>2.9814713907837659E-3</v>
      </c>
      <c r="DN113" s="695">
        <f t="shared" si="397"/>
        <v>4.1811652209425357E-3</v>
      </c>
      <c r="DO113" s="695">
        <f t="shared" si="397"/>
        <v>5.2205280519242239E-3</v>
      </c>
      <c r="DP113" s="698">
        <f t="shared" si="398"/>
        <v>3.8672558424365996E-3</v>
      </c>
      <c r="DQ113" s="695">
        <f t="shared" si="397"/>
        <v>-1.1351175181632811E-5</v>
      </c>
      <c r="DR113" s="695">
        <f t="shared" ca="1" si="398"/>
        <v>-4.4200615249822967E-3</v>
      </c>
      <c r="DS113" s="695">
        <f t="shared" ca="1" si="398"/>
        <v>-3.3522381016933694E-3</v>
      </c>
      <c r="DT113" s="1641">
        <f t="shared" ca="1" si="398"/>
        <v>-3.0395599907305018E-3</v>
      </c>
      <c r="DU113" s="698">
        <f t="shared" ca="1" si="398"/>
        <v>-2.7055319478132486E-3</v>
      </c>
      <c r="DV113" s="1640">
        <f t="shared" ref="DV113" ca="1" si="399">DV105-DQ105</f>
        <v>-2.4442520308913529E-5</v>
      </c>
      <c r="DW113" s="695">
        <f t="shared" ref="DW113" ca="1" si="400">DW105-DR105</f>
        <v>2.5012104395109175E-3</v>
      </c>
      <c r="DX113" s="695">
        <f t="shared" ref="DX113" ca="1" si="401">DX105-DS105</f>
        <v>4.2572504569404548E-3</v>
      </c>
      <c r="DY113" s="1641">
        <f t="shared" ref="DY113" ca="1" si="402">DY105-DT105</f>
        <v>5.4556742886994192E-3</v>
      </c>
      <c r="DZ113" s="698">
        <f t="shared" ref="DZ113" ca="1" si="403">DZ105-DU105</f>
        <v>3.0393443514896007E-3</v>
      </c>
      <c r="EA113" s="1640">
        <f t="shared" ref="EA113" ca="1" si="404">EA105-DV105</f>
        <v>5.9461864275232867E-4</v>
      </c>
      <c r="EB113" s="695">
        <f t="shared" ref="EB113" ca="1" si="405">EB105-DW105</f>
        <v>-1.5299521956124718E-4</v>
      </c>
      <c r="EC113" s="695">
        <f t="shared" ref="EC113" ca="1" si="406">EC105-DX105</f>
        <v>2.0317185805880655E-4</v>
      </c>
      <c r="ED113" s="1641">
        <f t="shared" ref="ED113" ca="1" si="407">ED105-DY105</f>
        <v>2.6618268247344257E-4</v>
      </c>
      <c r="EE113" s="698">
        <f t="shared" ref="EE113" ca="1" si="408">EE105-DZ105</f>
        <v>2.2523029270282019E-4</v>
      </c>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row>
    <row r="114" spans="2:232" s="54" customFormat="1">
      <c r="B114" s="55" t="s">
        <v>268</v>
      </c>
      <c r="C114" s="55"/>
      <c r="E114" s="374"/>
      <c r="F114" s="374"/>
      <c r="G114" s="374"/>
      <c r="H114" s="374"/>
      <c r="I114" s="374"/>
      <c r="J114" s="374"/>
      <c r="K114" s="379"/>
      <c r="L114" s="379"/>
      <c r="M114" s="379"/>
      <c r="N114" s="380"/>
      <c r="O114" s="374"/>
      <c r="P114" s="379"/>
      <c r="Q114" s="379"/>
      <c r="R114" s="379"/>
      <c r="S114" s="380"/>
      <c r="T114" s="374"/>
      <c r="U114" s="379"/>
      <c r="V114" s="379"/>
      <c r="W114" s="379"/>
      <c r="X114" s="380"/>
      <c r="Y114" s="374"/>
      <c r="Z114" s="379"/>
      <c r="AA114" s="379"/>
      <c r="AB114" s="379"/>
      <c r="AC114" s="380"/>
      <c r="AD114" s="374"/>
      <c r="AE114" s="379"/>
      <c r="AF114" s="379"/>
      <c r="AG114" s="379"/>
      <c r="AH114" s="380"/>
      <c r="AI114" s="374"/>
      <c r="AJ114" s="379"/>
      <c r="AK114" s="379"/>
      <c r="AL114" s="379"/>
      <c r="AM114" s="380"/>
      <c r="AN114" s="374"/>
      <c r="AO114" s="379"/>
      <c r="AP114" s="379"/>
      <c r="AQ114" s="379"/>
      <c r="AR114" s="380"/>
      <c r="AS114" s="374"/>
      <c r="AT114" s="379"/>
      <c r="AU114" s="379"/>
      <c r="AV114" s="379"/>
      <c r="AW114" s="380"/>
      <c r="AX114" s="374"/>
      <c r="AY114" s="379"/>
      <c r="AZ114" s="379"/>
      <c r="BA114" s="379"/>
      <c r="BB114" s="380"/>
      <c r="BC114" s="374"/>
      <c r="BD114" s="379"/>
      <c r="BE114" s="379"/>
      <c r="BF114" s="379"/>
      <c r="BG114" s="380"/>
      <c r="BH114" s="374"/>
      <c r="BI114" s="379"/>
      <c r="BJ114" s="379"/>
      <c r="BK114" s="379"/>
      <c r="BL114" s="380"/>
      <c r="BM114" s="374"/>
      <c r="BN114" s="379"/>
      <c r="BO114" s="379"/>
      <c r="BP114" s="379"/>
      <c r="BQ114" s="380"/>
      <c r="BR114" s="374"/>
      <c r="BS114" s="379"/>
      <c r="BT114" s="379"/>
      <c r="BU114" s="379"/>
      <c r="BV114" s="380"/>
      <c r="BW114" s="374"/>
      <c r="BX114" s="381"/>
      <c r="BY114" s="379"/>
      <c r="BZ114" s="379"/>
      <c r="CA114" s="380"/>
      <c r="CB114" s="374"/>
      <c r="CC114" s="381"/>
      <c r="CD114" s="381"/>
      <c r="CE114" s="381"/>
      <c r="CF114" s="381"/>
      <c r="CG114" s="382"/>
      <c r="CH114" s="381"/>
      <c r="CI114" s="381"/>
      <c r="CJ114" s="381"/>
      <c r="CK114" s="381"/>
      <c r="CL114" s="382"/>
      <c r="CM114" s="381"/>
      <c r="CN114" s="381"/>
      <c r="CO114" s="381"/>
      <c r="CP114" s="381"/>
      <c r="CQ114" s="374"/>
      <c r="CR114" s="62"/>
      <c r="CS114" s="62"/>
      <c r="CT114" s="62"/>
      <c r="CU114" s="62"/>
      <c r="CV114" s="374"/>
      <c r="CW114" s="62"/>
      <c r="CX114" s="62"/>
      <c r="CY114" s="62"/>
      <c r="CZ114" s="62"/>
      <c r="DA114" s="374"/>
      <c r="DB114" s="62"/>
      <c r="DC114" s="62"/>
      <c r="DD114" s="62"/>
      <c r="DE114" s="62"/>
      <c r="DF114" s="374"/>
      <c r="DG114" s="62"/>
      <c r="DH114" s="62"/>
      <c r="DI114" s="62"/>
      <c r="DJ114" s="62"/>
      <c r="DK114" s="374"/>
      <c r="DL114" s="62"/>
      <c r="DM114" s="62"/>
      <c r="DN114" s="62"/>
      <c r="DO114" s="320"/>
      <c r="DP114" s="374"/>
      <c r="DQ114" s="320"/>
      <c r="DR114" s="320"/>
      <c r="DS114" s="320"/>
      <c r="DT114" s="320"/>
      <c r="DU114" s="374"/>
      <c r="DV114" s="320"/>
      <c r="DW114" s="320"/>
      <c r="DX114" s="320"/>
      <c r="DY114" s="320"/>
      <c r="DZ114" s="374"/>
      <c r="EA114" s="320"/>
      <c r="EB114" s="320"/>
      <c r="EC114" s="320"/>
      <c r="ED114" s="320"/>
      <c r="EE114" s="37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row>
    <row r="115" spans="2:232" s="54" customFormat="1" ht="12" thickBot="1">
      <c r="B115" s="55"/>
      <c r="C115" s="55"/>
      <c r="E115" s="374"/>
      <c r="F115" s="374"/>
      <c r="G115" s="374"/>
      <c r="H115" s="374"/>
      <c r="I115" s="374"/>
      <c r="J115" s="374"/>
      <c r="K115" s="379"/>
      <c r="L115" s="379"/>
      <c r="M115" s="379"/>
      <c r="N115" s="380"/>
      <c r="O115" s="374"/>
      <c r="P115" s="379"/>
      <c r="Q115" s="379"/>
      <c r="R115" s="379"/>
      <c r="S115" s="380"/>
      <c r="T115" s="374"/>
      <c r="U115" s="379"/>
      <c r="V115" s="379"/>
      <c r="W115" s="379"/>
      <c r="X115" s="380"/>
      <c r="Y115" s="374"/>
      <c r="Z115" s="379"/>
      <c r="AA115" s="379"/>
      <c r="AB115" s="379"/>
      <c r="AC115" s="380"/>
      <c r="AD115" s="374"/>
      <c r="AE115" s="379"/>
      <c r="AF115" s="379"/>
      <c r="AG115" s="379"/>
      <c r="AH115" s="380"/>
      <c r="AI115" s="374"/>
      <c r="AJ115" s="379"/>
      <c r="AK115" s="379"/>
      <c r="AL115" s="379"/>
      <c r="AM115" s="380"/>
      <c r="AN115" s="374"/>
      <c r="AO115" s="379"/>
      <c r="AP115" s="379"/>
      <c r="AQ115" s="379"/>
      <c r="AR115" s="380"/>
      <c r="AS115" s="374"/>
      <c r="AT115" s="379"/>
      <c r="AU115" s="379"/>
      <c r="AV115" s="379"/>
      <c r="AW115" s="380"/>
      <c r="AX115" s="374"/>
      <c r="AY115" s="379"/>
      <c r="AZ115" s="379"/>
      <c r="BA115" s="379"/>
      <c r="BB115" s="380"/>
      <c r="BC115" s="374"/>
      <c r="BD115" s="379"/>
      <c r="BE115" s="379"/>
      <c r="BF115" s="379"/>
      <c r="BG115" s="380"/>
      <c r="BH115" s="374"/>
      <c r="BI115" s="379"/>
      <c r="BJ115" s="379"/>
      <c r="BK115" s="379"/>
      <c r="BL115" s="380"/>
      <c r="BM115" s="374"/>
      <c r="BN115" s="379"/>
      <c r="BO115" s="379"/>
      <c r="BP115" s="379"/>
      <c r="BQ115" s="380"/>
      <c r="BR115" s="374"/>
      <c r="BS115" s="379"/>
      <c r="BT115" s="379"/>
      <c r="BU115" s="379"/>
      <c r="BV115" s="380"/>
      <c r="BW115" s="374"/>
      <c r="BX115" s="381"/>
      <c r="BY115" s="379"/>
      <c r="BZ115" s="379"/>
      <c r="CA115" s="380"/>
      <c r="CB115" s="374"/>
      <c r="CC115" s="381"/>
      <c r="CD115" s="381"/>
      <c r="CE115" s="381"/>
      <c r="CF115" s="381"/>
      <c r="CG115" s="382"/>
      <c r="CH115" s="381"/>
      <c r="CI115" s="381"/>
      <c r="CJ115" s="381"/>
      <c r="CK115" s="381"/>
      <c r="CL115" s="382"/>
      <c r="CM115" s="381"/>
      <c r="CN115" s="381"/>
      <c r="CO115" s="381"/>
      <c r="CP115" s="381"/>
      <c r="CQ115" s="374"/>
      <c r="CR115" s="62"/>
      <c r="CS115" s="62"/>
      <c r="CT115" s="62"/>
      <c r="CU115" s="62"/>
      <c r="CV115" s="374"/>
      <c r="CW115" s="62"/>
      <c r="CX115" s="62"/>
      <c r="CY115" s="62"/>
      <c r="CZ115" s="62"/>
      <c r="DA115" s="374"/>
      <c r="DB115" s="62"/>
      <c r="DC115" s="62"/>
      <c r="DD115" s="62"/>
      <c r="DE115" s="62"/>
      <c r="DF115" s="1603"/>
      <c r="DG115" s="62"/>
      <c r="DH115" s="62"/>
      <c r="DI115" s="62"/>
      <c r="DJ115" s="62"/>
      <c r="DK115" s="1603"/>
      <c r="DL115" s="62"/>
      <c r="DM115" s="62"/>
      <c r="DN115" s="62"/>
      <c r="DO115" s="375"/>
      <c r="DP115" s="374"/>
      <c r="DQ115" s="375"/>
      <c r="DR115" s="2399">
        <f>200/(1-0.175)</f>
        <v>242.42424242424244</v>
      </c>
      <c r="DS115" s="2399">
        <f>DR115*0.26</f>
        <v>63.030303030303038</v>
      </c>
      <c r="DT115" s="2399">
        <f>DS115*(1-0.175)</f>
        <v>52.000000000000007</v>
      </c>
      <c r="DU115" s="2400">
        <f>DT115/DU55</f>
        <v>5.248979079373222E-2</v>
      </c>
      <c r="DV115" s="375"/>
      <c r="DW115" s="375"/>
      <c r="DX115" s="375"/>
      <c r="DY115" s="375"/>
      <c r="DZ115" s="374"/>
      <c r="EA115" s="375"/>
      <c r="EB115" s="375"/>
      <c r="EC115" s="375"/>
      <c r="ED115" s="375"/>
      <c r="EE115" s="374"/>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row>
    <row r="116" spans="2:232" s="54" customFormat="1" ht="12" thickBot="1">
      <c r="B116" s="683" t="s">
        <v>41</v>
      </c>
      <c r="C116" s="684"/>
      <c r="D116" s="684"/>
      <c r="E116" s="685"/>
      <c r="F116" s="685"/>
      <c r="G116" s="685"/>
      <c r="H116" s="685"/>
      <c r="I116" s="685"/>
      <c r="J116" s="685"/>
      <c r="K116" s="684"/>
      <c r="L116" s="684"/>
      <c r="M116" s="684"/>
      <c r="N116" s="684"/>
      <c r="O116" s="685"/>
      <c r="P116" s="684"/>
      <c r="Q116" s="684"/>
      <c r="R116" s="684"/>
      <c r="S116" s="684"/>
      <c r="T116" s="685"/>
      <c r="U116" s="684"/>
      <c r="V116" s="684"/>
      <c r="W116" s="684"/>
      <c r="X116" s="684"/>
      <c r="Y116" s="685"/>
      <c r="Z116" s="684"/>
      <c r="AA116" s="684"/>
      <c r="AB116" s="684"/>
      <c r="AC116" s="684"/>
      <c r="AD116" s="685"/>
      <c r="AE116" s="684"/>
      <c r="AF116" s="684"/>
      <c r="AG116" s="684"/>
      <c r="AH116" s="684"/>
      <c r="AI116" s="685"/>
      <c r="AJ116" s="684"/>
      <c r="AK116" s="684"/>
      <c r="AL116" s="684"/>
      <c r="AM116" s="684"/>
      <c r="AN116" s="685"/>
      <c r="AO116" s="684"/>
      <c r="AP116" s="684"/>
      <c r="AQ116" s="684"/>
      <c r="AR116" s="684"/>
      <c r="AS116" s="685"/>
      <c r="AT116" s="684"/>
      <c r="AU116" s="684"/>
      <c r="AV116" s="684"/>
      <c r="AW116" s="684"/>
      <c r="AX116" s="685"/>
      <c r="AY116" s="684"/>
      <c r="AZ116" s="684"/>
      <c r="BA116" s="684"/>
      <c r="BB116" s="684"/>
      <c r="BC116" s="685"/>
      <c r="BD116" s="684"/>
      <c r="BE116" s="684"/>
      <c r="BF116" s="684"/>
      <c r="BG116" s="684"/>
      <c r="BH116" s="685"/>
      <c r="BI116" s="684"/>
      <c r="BJ116" s="684"/>
      <c r="BK116" s="684"/>
      <c r="BL116" s="684"/>
      <c r="BM116" s="685"/>
      <c r="BN116" s="684"/>
      <c r="BO116" s="684"/>
      <c r="BP116" s="684"/>
      <c r="BQ116" s="684"/>
      <c r="BR116" s="685"/>
      <c r="BS116" s="684"/>
      <c r="BT116" s="684"/>
      <c r="BU116" s="684"/>
      <c r="BV116" s="684"/>
      <c r="BW116" s="685"/>
      <c r="BX116" s="684"/>
      <c r="BY116" s="684"/>
      <c r="BZ116" s="684"/>
      <c r="CA116" s="684"/>
      <c r="CB116" s="685"/>
      <c r="CC116" s="684"/>
      <c r="CD116" s="684"/>
      <c r="CE116" s="686"/>
      <c r="CF116" s="686"/>
      <c r="CG116" s="685"/>
      <c r="CH116" s="686"/>
      <c r="CI116" s="686"/>
      <c r="CJ116" s="686"/>
      <c r="CK116" s="686"/>
      <c r="CL116" s="687"/>
      <c r="CM116" s="684"/>
      <c r="CN116" s="684"/>
      <c r="CO116" s="684"/>
      <c r="CP116" s="684"/>
      <c r="CQ116" s="685"/>
      <c r="CR116" s="684"/>
      <c r="CS116" s="684"/>
      <c r="CT116" s="684"/>
      <c r="CU116" s="684"/>
      <c r="CV116" s="685"/>
      <c r="CW116" s="684"/>
      <c r="CX116" s="684"/>
      <c r="CY116" s="684"/>
      <c r="CZ116" s="684"/>
      <c r="DA116" s="685"/>
      <c r="DB116" s="684"/>
      <c r="DC116" s="684"/>
      <c r="DD116" s="684"/>
      <c r="DE116" s="684"/>
      <c r="DF116" s="685"/>
      <c r="DG116" s="684"/>
      <c r="DH116" s="684"/>
      <c r="DI116" s="684"/>
      <c r="DJ116" s="684"/>
      <c r="DK116" s="688"/>
      <c r="DL116" s="684"/>
      <c r="DM116" s="684"/>
      <c r="DN116" s="684"/>
      <c r="DO116" s="688"/>
      <c r="DP116" s="688"/>
      <c r="DQ116" s="685"/>
      <c r="DR116" s="685"/>
      <c r="DS116" s="685"/>
      <c r="DT116" s="688"/>
      <c r="DU116" s="688"/>
      <c r="DV116" s="685"/>
      <c r="DW116" s="685"/>
      <c r="DX116" s="685"/>
      <c r="DY116" s="688"/>
      <c r="DZ116" s="688"/>
      <c r="EA116" s="685"/>
      <c r="EB116" s="685"/>
      <c r="EC116" s="685"/>
      <c r="ED116" s="688"/>
      <c r="EE116" s="688"/>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row>
    <row r="117" spans="2:232" s="54" customFormat="1">
      <c r="B117" s="689" t="s">
        <v>25</v>
      </c>
      <c r="C117" s="690"/>
      <c r="D117" s="690"/>
      <c r="E117" s="690"/>
      <c r="F117" s="690"/>
      <c r="G117" s="690"/>
      <c r="H117" s="690"/>
      <c r="I117" s="690"/>
      <c r="J117" s="690"/>
      <c r="K117" s="691"/>
      <c r="L117" s="1286">
        <f>L9/K9-1</f>
        <v>0.18060307482971982</v>
      </c>
      <c r="M117" s="1286">
        <f>M9/L9-1</f>
        <v>-5.9845131734279855E-2</v>
      </c>
      <c r="N117" s="1297">
        <f>N9/M9-1</f>
        <v>-2.3795216599371782E-2</v>
      </c>
      <c r="O117" s="1286"/>
      <c r="P117" s="1298">
        <f>P9/N9-1</f>
        <v>4.670194083317214E-2</v>
      </c>
      <c r="Q117" s="1286">
        <f>Q9/P9-1</f>
        <v>0.1796479281619161</v>
      </c>
      <c r="R117" s="1286">
        <f>R9/Q9-1</f>
        <v>-5.5331675280767878E-2</v>
      </c>
      <c r="S117" s="1297">
        <f>S9/R9-1</f>
        <v>-2.9423958820914309E-2</v>
      </c>
      <c r="T117" s="1286"/>
      <c r="U117" s="1298">
        <f>U9/S9-1</f>
        <v>5.5104184105865262E-2</v>
      </c>
      <c r="V117" s="1286">
        <f>V9/U9-1</f>
        <v>0.17454205832730785</v>
      </c>
      <c r="W117" s="1286">
        <f>W9/V9-1</f>
        <v>-5.0325311038295961E-2</v>
      </c>
      <c r="X117" s="1297">
        <f>X9/W9-1</f>
        <v>-1.2087835199418029E-2</v>
      </c>
      <c r="Y117" s="1286"/>
      <c r="Z117" s="1298">
        <f>Z9/X9-1</f>
        <v>4.5809224962250816E-2</v>
      </c>
      <c r="AA117" s="1286">
        <f>AA9/Z9-1</f>
        <v>0.16796135843043514</v>
      </c>
      <c r="AB117" s="1286">
        <f>AB9/AA9-1</f>
        <v>-2.5495629929652597E-2</v>
      </c>
      <c r="AC117" s="1297">
        <f>AC9/AB9-1</f>
        <v>-2.4937655860348684E-3</v>
      </c>
      <c r="AD117" s="1286"/>
      <c r="AE117" s="1298">
        <f>AE9/AC9-1</f>
        <v>5.7719298245614059E-2</v>
      </c>
      <c r="AF117" s="1286">
        <f>AF9/AE9-1</f>
        <v>0.16287941615524981</v>
      </c>
      <c r="AG117" s="1286">
        <f>AG9/AF9-1</f>
        <v>-3.8279132791327886E-2</v>
      </c>
      <c r="AH117" s="1297">
        <f>AH9/AG9-1</f>
        <v>-2.4656569214512869E-3</v>
      </c>
      <c r="AI117" s="1286"/>
      <c r="AJ117" s="1298">
        <f>AJ9/AH9-1</f>
        <v>4.3376449598572675E-2</v>
      </c>
      <c r="AK117" s="1286">
        <f>AK9/AJ9-1</f>
        <v>0.1451319867478893</v>
      </c>
      <c r="AL117" s="1286">
        <f>AL9/AK9-1</f>
        <v>-2.065640068439889E-2</v>
      </c>
      <c r="AM117" s="1297">
        <f>AM9/AL9-1</f>
        <v>-2.0012070772845725E-3</v>
      </c>
      <c r="AN117" s="1286"/>
      <c r="AO117" s="1298">
        <f>AO9/AM9-1</f>
        <v>4.3892036412247704E-2</v>
      </c>
      <c r="AP117" s="1286">
        <f>AP9/AO9-1</f>
        <v>0.14164405280970827</v>
      </c>
      <c r="AQ117" s="1286">
        <f>AQ9/AP9-1</f>
        <v>-1.2098551111704658E-2</v>
      </c>
      <c r="AR117" s="1297">
        <f>AR9/AQ9-1</f>
        <v>-2.1979210316441122E-2</v>
      </c>
      <c r="AS117" s="1286"/>
      <c r="AT117" s="1298">
        <f>AT9/AR9-1</f>
        <v>3.449753292883484E-2</v>
      </c>
      <c r="AU117" s="1286">
        <f>AU9/AT9-1</f>
        <v>0.12841854934601682</v>
      </c>
      <c r="AV117" s="1286">
        <f>AV9/AU9-1</f>
        <v>-1.3982784954002514E-2</v>
      </c>
      <c r="AW117" s="1297">
        <f>AW9/AV9-1</f>
        <v>-9.7982708933718188E-3</v>
      </c>
      <c r="AX117" s="1286"/>
      <c r="AY117" s="1298">
        <f>AY9/AW9-1</f>
        <v>5.7528133488552458E-2</v>
      </c>
      <c r="AZ117" s="1286">
        <f>AZ9/AY9-1</f>
        <v>0.12170901752132846</v>
      </c>
      <c r="BA117" s="1286">
        <f>BA9/AZ9-1</f>
        <v>-2.0823536627752492E-2</v>
      </c>
      <c r="BB117" s="1297">
        <f>BB9/BA9-1</f>
        <v>-1.5847992900767216E-2</v>
      </c>
      <c r="BC117" s="1286"/>
      <c r="BD117" s="1298">
        <f>BD9/BB9-1</f>
        <v>4.9052160353039831E-2</v>
      </c>
      <c r="BE117" s="1286">
        <f>BE9/BD9-1</f>
        <v>0.11102122538957038</v>
      </c>
      <c r="BF117" s="1286">
        <f>BF9/BE9-1</f>
        <v>-1.4235005005916013E-2</v>
      </c>
      <c r="BG117" s="1297">
        <f>BG9/BF9-1</f>
        <v>-3.0995512713977158E-2</v>
      </c>
      <c r="BH117" s="1286"/>
      <c r="BI117" s="1298">
        <f>BI9/BG9-1</f>
        <v>3.8637814557547001E-2</v>
      </c>
      <c r="BJ117" s="1286">
        <f>BJ9/BI9-1</f>
        <v>0.11583978569593789</v>
      </c>
      <c r="BK117" s="1286">
        <f>BK9/BJ9-1</f>
        <v>9.9481217781649534E-4</v>
      </c>
      <c r="BL117" s="1297">
        <f>BL9/BK9-1</f>
        <v>-4.0245745449773995E-4</v>
      </c>
      <c r="BM117" s="1286"/>
      <c r="BN117" s="1298">
        <f>BN9/BL9-1</f>
        <v>4.4222410293912384E-2</v>
      </c>
      <c r="BO117" s="1286">
        <f>BO9/BN9-1</f>
        <v>9.6407915961757906E-2</v>
      </c>
      <c r="BP117" s="1286">
        <f>BP9/BO9-1</f>
        <v>-1.6894292255467014E-2</v>
      </c>
      <c r="BQ117" s="1297">
        <f>BQ9/BP9-1</f>
        <v>-2.020688698597628E-2</v>
      </c>
      <c r="BR117" s="1286"/>
      <c r="BS117" s="1299">
        <f>BS9/BQ9-1</f>
        <v>4.518123905673721E-2</v>
      </c>
      <c r="BT117" s="1286">
        <f>BT9/BS9-1</f>
        <v>9.7355983433015769E-2</v>
      </c>
      <c r="BU117" s="1286">
        <f>BU9/BT9-1</f>
        <v>-2.4549163288639431E-2</v>
      </c>
      <c r="BV117" s="1300">
        <f>BV9/BU9-1</f>
        <v>-2.7877488228987057E-2</v>
      </c>
      <c r="BW117" s="1285"/>
      <c r="BX117" s="1299">
        <f>BX9/BV9-1</f>
        <v>2.3970514691274314E-2</v>
      </c>
      <c r="BY117" s="1286">
        <f>BY9/BX9-1</f>
        <v>0.10222787181374193</v>
      </c>
      <c r="BZ117" s="1286">
        <f>BZ9/BY9-1</f>
        <v>-1.6084977238239762E-2</v>
      </c>
      <c r="CA117" s="1300">
        <f>CA9/BZ9-1</f>
        <v>-3.1276989512646569E-2</v>
      </c>
      <c r="CB117" s="1285"/>
      <c r="CC117" s="1299">
        <f>CC9/CA9-1</f>
        <v>4.2093867413870001E-2</v>
      </c>
      <c r="CD117" s="1286">
        <f>CD9/CC9-1</f>
        <v>3.8071376191640249E-2</v>
      </c>
      <c r="CE117" s="1286">
        <f>CE9/CD9-1</f>
        <v>1.2480131865544308E-2</v>
      </c>
      <c r="CF117" s="1300">
        <f>CF9/CE9-1</f>
        <v>-1.9129019129019098E-2</v>
      </c>
      <c r="CG117" s="1285"/>
      <c r="CH117" s="1286">
        <f>CH9/CF9-1</f>
        <v>2.8097213989330072E-2</v>
      </c>
      <c r="CI117" s="1286">
        <f>CI9/CH9-1</f>
        <v>6.6766605166051596E-2</v>
      </c>
      <c r="CJ117" s="1286">
        <f>CJ9/CI9-1</f>
        <v>-7.080315641552315E-3</v>
      </c>
      <c r="CK117" s="1286">
        <f>CK9/CJ9-1</f>
        <v>-2.1991181753851174E-2</v>
      </c>
      <c r="CL117" s="1285"/>
      <c r="CM117" s="1286">
        <f>CM9/CK9-1</f>
        <v>1.0574942950965616E-2</v>
      </c>
      <c r="CN117" s="1286">
        <f>CN9/CM9-1</f>
        <v>2.7207137743019194E-2</v>
      </c>
      <c r="CO117" s="1286">
        <f>CO9/CN9-1</f>
        <v>-4.8201168838131969E-2</v>
      </c>
      <c r="CP117" s="1286">
        <f>CP9/CO9-1</f>
        <v>-3.8249211356466861E-2</v>
      </c>
      <c r="CQ117" s="1285"/>
      <c r="CR117" s="1286">
        <f>CR9/CP9-1</f>
        <v>1.4232999472851837E-2</v>
      </c>
      <c r="CS117" s="1286">
        <f>CS9/CR9-1</f>
        <v>7.6865326865326766E-2</v>
      </c>
      <c r="CT117" s="1286">
        <f>CT9/CS9-1</f>
        <v>-1.7911728428165352E-2</v>
      </c>
      <c r="CU117" s="1286">
        <f>CU9/CT9-1</f>
        <v>-2.0313438540927264E-2</v>
      </c>
      <c r="CV117" s="1285"/>
      <c r="CW117" s="1286">
        <f>CW9/CU9-1</f>
        <v>2.1626442227300702E-2</v>
      </c>
      <c r="CX117" s="1286">
        <f>CX9/CW9-1</f>
        <v>6.9616454798406835E-2</v>
      </c>
      <c r="CY117" s="1286">
        <f>CY9/CX9-1</f>
        <v>-1.0405508798775776E-2</v>
      </c>
      <c r="CZ117" s="1286">
        <f>CZ9/CY9-1</f>
        <v>-1.7731044791505557E-2</v>
      </c>
      <c r="DA117" s="1285"/>
      <c r="DB117" s="1286">
        <f>DB9/CZ9-1</f>
        <v>2.6079655769533527E-2</v>
      </c>
      <c r="DC117" s="1286">
        <f>DC9/DB9-1</f>
        <v>0.35895468957758014</v>
      </c>
      <c r="DD117" s="1286">
        <f>DD9/DC9-1</f>
        <v>8.3618710721409029E-2</v>
      </c>
      <c r="DE117" s="1286">
        <f>DE9/DD9-1</f>
        <v>-9.4808126410834692E-3</v>
      </c>
      <c r="DF117" s="1285"/>
      <c r="DG117" s="1286">
        <f>DG9/DF9-1</f>
        <v>-0.71933606589072352</v>
      </c>
      <c r="DH117" s="1286">
        <f>DH9/DG9-1</f>
        <v>3.9644542417249351E-2</v>
      </c>
      <c r="DI117" s="1286">
        <f>DI9/DH9-1</f>
        <v>-2.2727272727272707E-2</v>
      </c>
      <c r="DJ117" s="1286">
        <f>DJ9/DI9-1</f>
        <v>-2.9222320157298753E-2</v>
      </c>
      <c r="DK117" s="1285"/>
      <c r="DL117" s="1286">
        <f>DL9/DK9-1</f>
        <v>-0.75713031844637024</v>
      </c>
      <c r="DM117" s="1286">
        <f>DM9/DL9-1</f>
        <v>3.3156731342759871E-2</v>
      </c>
      <c r="DN117" s="1286">
        <f>DN9/DM9-1</f>
        <v>2.2821435848672245E-2</v>
      </c>
      <c r="DO117" s="1300">
        <f>DO9/DN9-1</f>
        <v>1.0292848130686316E-3</v>
      </c>
      <c r="DP117" s="1285"/>
      <c r="DQ117" s="1286">
        <f>DQ9/DP9-1</f>
        <v>-0.73996311773563206</v>
      </c>
      <c r="DR117" s="1286">
        <f ca="1">DR9/DQ9-1</f>
        <v>9.1960367493678197E-2</v>
      </c>
      <c r="DS117" s="1286">
        <f ca="1">DS9/DR9-1</f>
        <v>8.3388284914158728E-3</v>
      </c>
      <c r="DT117" s="1300">
        <f ca="1">DT9/DS9-1</f>
        <v>-1.6125225240268604E-2</v>
      </c>
      <c r="DU117" s="1285"/>
      <c r="DV117" s="1299">
        <f ca="1">DV9/DU9-1</f>
        <v>-0.74675488857089745</v>
      </c>
      <c r="DW117" s="1286">
        <f ca="1">DW9/DV9-1</f>
        <v>3.2161304570716309E-2</v>
      </c>
      <c r="DX117" s="1286">
        <f ca="1">DX9/DW9-1</f>
        <v>8.8398228563102421E-5</v>
      </c>
      <c r="DY117" s="1300">
        <f ca="1">DY9/DX9-1</f>
        <v>-1.6343771883210678E-2</v>
      </c>
      <c r="DZ117" s="1285"/>
      <c r="EA117" s="1299">
        <f ca="1">EA9/DZ9-1</f>
        <v>-0.75048588429668484</v>
      </c>
      <c r="EB117" s="1286">
        <f ca="1">EB9/EA9-1</f>
        <v>3.1611190199002825E-2</v>
      </c>
      <c r="EC117" s="1286">
        <f ca="1">EC9/EB9-1</f>
        <v>9.7933298404795366E-4</v>
      </c>
      <c r="ED117" s="1300">
        <f ca="1">ED9/EC9-1</f>
        <v>-1.5395067875895507E-2</v>
      </c>
      <c r="EE117" s="1285"/>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row>
    <row r="118" spans="2:232" s="54" customFormat="1">
      <c r="B118" s="693" t="s">
        <v>214</v>
      </c>
      <c r="C118" s="375"/>
      <c r="D118" s="375"/>
      <c r="E118" s="375"/>
      <c r="F118" s="375"/>
      <c r="G118" s="375"/>
      <c r="H118" s="375"/>
      <c r="I118" s="375"/>
      <c r="J118" s="375"/>
      <c r="K118" s="376"/>
      <c r="L118" s="320">
        <f>L11/K11-1</f>
        <v>0.21078997864630034</v>
      </c>
      <c r="M118" s="320">
        <f>M11/L11-1</f>
        <v>-7.5961830764278981E-2</v>
      </c>
      <c r="N118" s="1301">
        <f>N11/M11-1</f>
        <v>-2.3617990166730274E-2</v>
      </c>
      <c r="O118" s="320"/>
      <c r="P118" s="1292">
        <f>P11/N11-1</f>
        <v>3.5531391451060212E-2</v>
      </c>
      <c r="Q118" s="320">
        <f>Q11/P11-1</f>
        <v>0.21457854083003469</v>
      </c>
      <c r="R118" s="320">
        <f>R11/Q11-1</f>
        <v>-7.7167108565214915E-2</v>
      </c>
      <c r="S118" s="1301">
        <f>S11/R11-1</f>
        <v>-2.9320136141401165E-2</v>
      </c>
      <c r="T118" s="320"/>
      <c r="U118" s="1292">
        <f>U11/S11-1</f>
        <v>4.4853462635858321E-2</v>
      </c>
      <c r="V118" s="320">
        <f>V11/U11-1</f>
        <v>0.20246788082362355</v>
      </c>
      <c r="W118" s="320">
        <f>W11/V11-1</f>
        <v>-6.9706447581675324E-2</v>
      </c>
      <c r="X118" s="1301">
        <f>X11/W11-1</f>
        <v>-5.089182993286534E-3</v>
      </c>
      <c r="Y118" s="320"/>
      <c r="Z118" s="1292">
        <f>Z11/X11-1</f>
        <v>2.9283425473393798E-2</v>
      </c>
      <c r="AA118" s="320">
        <f>AA11/Z11-1</f>
        <v>0.20778982178945471</v>
      </c>
      <c r="AB118" s="320">
        <f>AB11/AA11-1</f>
        <v>-4.4341344691208318E-2</v>
      </c>
      <c r="AC118" s="1301">
        <f>AC11/AB11-1</f>
        <v>-8.7544767210502306E-3</v>
      </c>
      <c r="AD118" s="320"/>
      <c r="AE118" s="1292">
        <f>AE11/AC11-1</f>
        <v>3.5568044961862499E-2</v>
      </c>
      <c r="AF118" s="320">
        <f>AF11/AE11-1</f>
        <v>0.1966971623507523</v>
      </c>
      <c r="AG118" s="320">
        <f>AG11/AF11-1</f>
        <v>-5.9928733398120881E-2</v>
      </c>
      <c r="AH118" s="1301">
        <f>AH11/AG11-1</f>
        <v>1.6057891109579447E-2</v>
      </c>
      <c r="AI118" s="320"/>
      <c r="AJ118" s="1292">
        <f>AJ11/AH11-1</f>
        <v>9.3603744149761692E-3</v>
      </c>
      <c r="AK118" s="320">
        <f>AK11/AJ11-1</f>
        <v>0.189973792083866</v>
      </c>
      <c r="AL118" s="320">
        <f>AL11/AK11-1</f>
        <v>-6.731420826745016E-2</v>
      </c>
      <c r="AM118" s="1301">
        <f>AM11/AL11-1</f>
        <v>7.2656817631393533E-3</v>
      </c>
      <c r="AN118" s="320"/>
      <c r="AO118" s="1292">
        <f>AO11/AM11-1</f>
        <v>2.0617937004087095E-2</v>
      </c>
      <c r="AP118" s="320">
        <f>AP11/AO11-1</f>
        <v>0.19789151304552677</v>
      </c>
      <c r="AQ118" s="320">
        <f>AQ11/AP11-1</f>
        <v>-4.7544127046560747E-2</v>
      </c>
      <c r="AR118" s="1301">
        <f>AR11/AQ11-1</f>
        <v>-6.1945075366498514E-4</v>
      </c>
      <c r="AS118" s="320"/>
      <c r="AT118" s="1292">
        <f>AT11/AR11-1</f>
        <v>3.0836776859504145E-2</v>
      </c>
      <c r="AU118" s="320">
        <f>AU11/AT11-1</f>
        <v>0.17657964623941513</v>
      </c>
      <c r="AV118" s="320">
        <f>AV11/AU11-1</f>
        <v>-5.0295983987053483E-2</v>
      </c>
      <c r="AW118" s="1301">
        <f>AW11/AV11-1</f>
        <v>-2.062780269058484E-3</v>
      </c>
      <c r="AX118" s="320"/>
      <c r="AY118" s="1292">
        <f>AY11/AW11-1</f>
        <v>3.3566999191156466E-2</v>
      </c>
      <c r="AZ118" s="320">
        <f>AZ11/AY11-1</f>
        <v>0.17629668275292421</v>
      </c>
      <c r="BA118" s="320">
        <f>BA11/AZ11-1</f>
        <v>-4.7235363690124266E-2</v>
      </c>
      <c r="BB118" s="1301">
        <f>BB11/BA11-1</f>
        <v>1.4159360695166878E-2</v>
      </c>
      <c r="BC118" s="320"/>
      <c r="BD118" s="1292">
        <f>BD11/BB11-1</f>
        <v>3.5803083043261852E-2</v>
      </c>
      <c r="BE118" s="320">
        <f>BE11/BD11-1</f>
        <v>0.15609882196536051</v>
      </c>
      <c r="BF118" s="320">
        <f>BF11/BE11-1</f>
        <v>-3.6542515811665344E-2</v>
      </c>
      <c r="BG118" s="1301">
        <f>BG11/BF11-1</f>
        <v>-2.7551223393674551E-2</v>
      </c>
      <c r="BH118" s="320"/>
      <c r="BI118" s="1292">
        <f>BI11/BG11-1</f>
        <v>2.366097303194592E-2</v>
      </c>
      <c r="BJ118" s="320">
        <f>BJ11/BI11-1</f>
        <v>0.15213988343047502</v>
      </c>
      <c r="BK118" s="320">
        <f>BK11/BJ11-1</f>
        <v>-3.35617032347586E-2</v>
      </c>
      <c r="BL118" s="1301">
        <f>BL11/BK11-1</f>
        <v>6.1019382627416352E-3</v>
      </c>
      <c r="BM118" s="320"/>
      <c r="BN118" s="1292">
        <f>BN11/BL11-1</f>
        <v>6.3027708407658922E-2</v>
      </c>
      <c r="BO118" s="320">
        <f>BO11/BN11-1</f>
        <v>0.12870567177536651</v>
      </c>
      <c r="BP118" s="320">
        <f>BP11/BO11-1</f>
        <v>-3.9298280390505536E-2</v>
      </c>
      <c r="BQ118" s="1301">
        <f>BQ11/BP11-1</f>
        <v>-3.1440214587846849E-2</v>
      </c>
      <c r="BR118" s="320"/>
      <c r="BS118" s="1302">
        <f>BS11/BQ11-1</f>
        <v>4.4097675285596383E-2</v>
      </c>
      <c r="BT118" s="320">
        <f>BT11/BS11-1</f>
        <v>0.13280114259481257</v>
      </c>
      <c r="BU118" s="320">
        <f>BU11/BT11-1</f>
        <v>-4.4105727665705974E-2</v>
      </c>
      <c r="BV118" s="1303">
        <f>BV11/BU11-1</f>
        <v>-4.9720894081070388E-2</v>
      </c>
      <c r="BW118" s="949"/>
      <c r="BX118" s="1302">
        <f>BX11/BV11-1</f>
        <v>2.8850443662320924E-2</v>
      </c>
      <c r="BY118" s="320">
        <f>BY11/BX11-1</f>
        <v>0.12189833774993986</v>
      </c>
      <c r="BZ118" s="320">
        <f>BZ11/BY11-1</f>
        <v>-4.2516641614773421E-2</v>
      </c>
      <c r="CA118" s="1303">
        <f>CA11/BZ11-1</f>
        <v>-2.5342004933841644E-2</v>
      </c>
      <c r="CB118" s="949"/>
      <c r="CC118" s="1302">
        <f>CC11/CA11-1</f>
        <v>4.4178554993097086E-2</v>
      </c>
      <c r="CD118" s="320">
        <f>CD11/CC11-1</f>
        <v>7.9109739973556525E-2</v>
      </c>
      <c r="CE118" s="320">
        <f>CE11/CD11-1</f>
        <v>-3.02225852562793E-2</v>
      </c>
      <c r="CF118" s="1303">
        <f>CF11/CE11-1</f>
        <v>9.0545377974309282E-3</v>
      </c>
      <c r="CG118" s="949"/>
      <c r="CH118" s="320">
        <f>CH60/CF60-1</f>
        <v>2.7611786523799697E-2</v>
      </c>
      <c r="CI118" s="320">
        <f>CI60/CH60-1</f>
        <v>7.8804892721074715E-2</v>
      </c>
      <c r="CJ118" s="320">
        <f>CJ60/CI60-1</f>
        <v>-3.2713754646840121E-2</v>
      </c>
      <c r="CK118" s="320">
        <f>CK60/CJ60-1</f>
        <v>-1.4411990776325934E-2</v>
      </c>
      <c r="CL118" s="949"/>
      <c r="CM118" s="320">
        <f>CM60/CK60-1</f>
        <v>3.8993955936830194E-3</v>
      </c>
      <c r="CN118" s="320">
        <f>CN60/CM60-1</f>
        <v>6.0594290153427766E-2</v>
      </c>
      <c r="CO118" s="320">
        <f>CO60/CN60-1</f>
        <v>-7.086614173228345E-2</v>
      </c>
      <c r="CP118" s="320">
        <f>CP60/CO60-1</f>
        <v>-2.1087899093417461E-2</v>
      </c>
      <c r="CQ118" s="949"/>
      <c r="CR118" s="320">
        <f>CR60/CP60-1</f>
        <v>3.7648479967787418E-2</v>
      </c>
      <c r="CS118" s="320">
        <f>CS60/CR60-1</f>
        <v>0.10186263096623982</v>
      </c>
      <c r="CT118" s="320">
        <f>CT60/CS60-1</f>
        <v>-5.9341433350942108E-2</v>
      </c>
      <c r="CU118" s="320">
        <f>CU60/CT60-1</f>
        <v>-2.9764133283414429E-2</v>
      </c>
      <c r="CV118" s="949"/>
      <c r="CW118" s="320">
        <f>CW60/CU60-1</f>
        <v>6.1740304842754501E-3</v>
      </c>
      <c r="CX118" s="320">
        <f>CX60/CW60-1</f>
        <v>9.3192713326941456E-2</v>
      </c>
      <c r="CY118" s="320">
        <f>CY60/CX60-1</f>
        <v>-3.8589721101561114E-2</v>
      </c>
      <c r="CZ118" s="320">
        <f>CZ60/CY60-1</f>
        <v>-3.0103995621237001E-2</v>
      </c>
      <c r="DA118" s="949"/>
      <c r="DB118" s="320">
        <f>DB60/CZ60-1</f>
        <v>6.0195635816402415E-3</v>
      </c>
      <c r="DC118" s="320">
        <f>DC60/DB60-1</f>
        <v>0.29712041884816753</v>
      </c>
      <c r="DD118" s="320">
        <f>DD60/DC60-1</f>
        <v>8.8366729133631194E-2</v>
      </c>
      <c r="DE118" s="320">
        <f>DE60/DD60-1</f>
        <v>-2.331125827814573E-2</v>
      </c>
      <c r="DF118" s="949"/>
      <c r="DG118" s="320">
        <f>DG60/DF60-1</f>
        <v>-0.72259178948142155</v>
      </c>
      <c r="DH118" s="320">
        <f>DH60/DG60-1</f>
        <v>6.1473237943826087E-2</v>
      </c>
      <c r="DI118" s="320">
        <f>DI60/DH60-1</f>
        <v>-5.2795806290564129E-2</v>
      </c>
      <c r="DJ118" s="320">
        <f>DJ60/DI60-1</f>
        <v>-5.613387798128866E-2</v>
      </c>
      <c r="DK118" s="949"/>
      <c r="DL118" s="320">
        <f>DL60/DK60-1</f>
        <v>-0.76332805489575084</v>
      </c>
      <c r="DM118" s="320">
        <f>DM60/DL60-1</f>
        <v>6.0775020908837574E-2</v>
      </c>
      <c r="DN118" s="320">
        <f>DN60/DM60-1</f>
        <v>-5.4664914586070923E-2</v>
      </c>
      <c r="DO118" s="1303">
        <f>DO60/DN60-1</f>
        <v>1.8904642757853862E-2</v>
      </c>
      <c r="DP118" s="949"/>
      <c r="DQ118" s="320">
        <f>DQ60/DP60-1</f>
        <v>-0.74621263818752559</v>
      </c>
      <c r="DR118" s="320">
        <f ca="1">DR60/DQ60-1</f>
        <v>0.12218862938190211</v>
      </c>
      <c r="DS118" s="320">
        <f ca="1">DS60/DR60-1</f>
        <v>-1.9832098270465948E-2</v>
      </c>
      <c r="DT118" s="1303">
        <f ca="1">DT60/DS60-1</f>
        <v>-2.2712703366409071E-2</v>
      </c>
      <c r="DU118" s="949"/>
      <c r="DV118" s="1302">
        <f ca="1">DV60/DU60-1</f>
        <v>-0.75030752506324783</v>
      </c>
      <c r="DW118" s="320">
        <f ca="1">DW60/DV60-1</f>
        <v>7.3619795693598E-2</v>
      </c>
      <c r="DX118" s="320">
        <f ca="1">DX60/DW60-1</f>
        <v>-2.1746907075781086E-2</v>
      </c>
      <c r="DY118" s="1303">
        <f ca="1">DY60/DX60-1</f>
        <v>-2.1733813915202349E-2</v>
      </c>
      <c r="DZ118" s="949"/>
      <c r="EA118" s="1302">
        <f ca="1">EA60/DZ60-1</f>
        <v>-0.75337286399984937</v>
      </c>
      <c r="EB118" s="320">
        <f ca="1">EB60/EA60-1</f>
        <v>7.0030498308615075E-2</v>
      </c>
      <c r="EC118" s="320">
        <f ca="1">EC60/EB60-1</f>
        <v>-1.9884109922469695E-2</v>
      </c>
      <c r="ED118" s="1303">
        <f ca="1">ED60/EC60-1</f>
        <v>-2.1242360203787225E-2</v>
      </c>
      <c r="EE118" s="949"/>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row>
    <row r="119" spans="2:232" s="54" customFormat="1">
      <c r="B119" s="693" t="s">
        <v>445</v>
      </c>
      <c r="C119" s="375"/>
      <c r="D119" s="375"/>
      <c r="E119" s="375"/>
      <c r="F119" s="375"/>
      <c r="G119" s="375"/>
      <c r="H119" s="375"/>
      <c r="I119" s="375"/>
      <c r="J119" s="375"/>
      <c r="K119" s="376"/>
      <c r="L119" s="320">
        <f>L18/K18-1</f>
        <v>7.5017946877243169E-2</v>
      </c>
      <c r="M119" s="320">
        <f>M18/L18-1</f>
        <v>-1.1653926134200243E-2</v>
      </c>
      <c r="N119" s="1301">
        <f>N18/M18-1</f>
        <v>-1.2367721535867404E-2</v>
      </c>
      <c r="O119" s="320"/>
      <c r="P119" s="1292">
        <f>P18/N18-1</f>
        <v>6.1678331120462504E-2</v>
      </c>
      <c r="Q119" s="320">
        <f>Q18/P18-1</f>
        <v>8.3219932538892039E-2</v>
      </c>
      <c r="R119" s="320">
        <f>R18/Q18-1</f>
        <v>-1.1894713909823107E-2</v>
      </c>
      <c r="S119" s="1301">
        <f>S18/R18-1</f>
        <v>-2.1931741218127798E-2</v>
      </c>
      <c r="T119" s="320"/>
      <c r="U119" s="1292">
        <f>U18/S18-1</f>
        <v>8.0951204663964216E-2</v>
      </c>
      <c r="V119" s="320">
        <f>V18/U18-1</f>
        <v>6.6909340659340621E-2</v>
      </c>
      <c r="W119" s="320">
        <f>W18/V18-1</f>
        <v>-1.3774884975204293E-2</v>
      </c>
      <c r="X119" s="1301">
        <f>X18/W18-1</f>
        <v>-9.9737482969622926E-3</v>
      </c>
      <c r="Y119" s="320"/>
      <c r="Z119" s="1292">
        <f>Z18/X18-1</f>
        <v>8.6060071349111977E-2</v>
      </c>
      <c r="AA119" s="320">
        <f>AA18/Z18-1</f>
        <v>6.9094922737306774E-2</v>
      </c>
      <c r="AB119" s="320">
        <f>AB18/AA18-1</f>
        <v>1.6312203179847051E-2</v>
      </c>
      <c r="AC119" s="1301">
        <f>AC18/AB18-1</f>
        <v>1.4221861032099881E-3</v>
      </c>
      <c r="AD119" s="320"/>
      <c r="AE119" s="1292">
        <f>AE18/AC18-1</f>
        <v>7.7297626293365784E-2</v>
      </c>
      <c r="AF119" s="320">
        <f>AF18/AE18-1</f>
        <v>8.5028248587570632E-2</v>
      </c>
      <c r="AG119" s="320">
        <f>AG18/AF18-1</f>
        <v>-1.2236396771673985E-2</v>
      </c>
      <c r="AH119" s="1301">
        <f>AH18/AG18-1</f>
        <v>2.3018801616587536E-2</v>
      </c>
      <c r="AI119" s="320"/>
      <c r="AJ119" s="1292">
        <f>AJ18/AH18-1</f>
        <v>5.6767433871521833E-2</v>
      </c>
      <c r="AK119" s="320">
        <f>AK18/AJ18-1</f>
        <v>6.7777326290126005E-2</v>
      </c>
      <c r="AL119" s="320">
        <f>AL18/AK18-1</f>
        <v>-5.9365248496843215E-3</v>
      </c>
      <c r="AM119" s="1301">
        <f>AM18/AL18-1</f>
        <v>1.4700252660592605E-2</v>
      </c>
      <c r="AN119" s="320"/>
      <c r="AO119" s="1292">
        <f>AO18/AM18-1</f>
        <v>6.0816418924017235E-2</v>
      </c>
      <c r="AP119" s="320">
        <f>AP18/AO18-1</f>
        <v>7.4400739739668431E-2</v>
      </c>
      <c r="AQ119" s="320">
        <f>AQ18/AP18-1</f>
        <v>8.3416087388281657E-3</v>
      </c>
      <c r="AR119" s="1301">
        <f>AR18/AQ18-1</f>
        <v>1.1949313899284331E-2</v>
      </c>
      <c r="AS119" s="320"/>
      <c r="AT119" s="1292">
        <f>AT18/AR18-1</f>
        <v>6.5983260883669681E-2</v>
      </c>
      <c r="AU119" s="320">
        <f>AU18/AT18-1</f>
        <v>6.8107121119902692E-2</v>
      </c>
      <c r="AV119" s="320">
        <f>AV18/AU18-1</f>
        <v>8.2055957604421081E-3</v>
      </c>
      <c r="AW119" s="1301">
        <f>AW18/AV18-1</f>
        <v>8.138811959532033E-3</v>
      </c>
      <c r="AX119" s="320"/>
      <c r="AY119" s="1292">
        <f>AY18/AW18-1</f>
        <v>6.245444861804117E-2</v>
      </c>
      <c r="AZ119" s="320">
        <f>AZ18/AY18-1</f>
        <v>7.0444831407313613E-2</v>
      </c>
      <c r="BA119" s="320">
        <f>BA18/AZ18-1</f>
        <v>2.2182786157940448E-3</v>
      </c>
      <c r="BB119" s="1301">
        <f>BB18/BA18-1</f>
        <v>4.0234125227485151E-2</v>
      </c>
      <c r="BC119" s="320"/>
      <c r="BD119" s="1292">
        <f>BD18/BB18-1</f>
        <v>4.108941321102666E-2</v>
      </c>
      <c r="BE119" s="320">
        <f>BE18/BD18-1</f>
        <v>6.9579435007720791E-2</v>
      </c>
      <c r="BF119" s="320">
        <f>BF18/BE18-1</f>
        <v>7.2611464968153072E-3</v>
      </c>
      <c r="BG119" s="1301">
        <f>BG18/BF18-1</f>
        <v>2.6474431937945297E-2</v>
      </c>
      <c r="BH119" s="320"/>
      <c r="BI119" s="1292">
        <f>BI18/BG18-1</f>
        <v>1.059591769682533E-2</v>
      </c>
      <c r="BJ119" s="320">
        <f>BJ18/BI18-1</f>
        <v>7.221522331044028E-2</v>
      </c>
      <c r="BK119" s="320">
        <f>BK18/BJ18-1</f>
        <v>-1.0612492419649344E-3</v>
      </c>
      <c r="BL119" s="1301">
        <f>BL18/BK18-1</f>
        <v>3.6727879799666185E-2</v>
      </c>
      <c r="BM119" s="320"/>
      <c r="BN119" s="1292">
        <f>BN18/BL18-1</f>
        <v>6.2692138779095297E-2</v>
      </c>
      <c r="BO119" s="320">
        <f>BO18/BN18-1</f>
        <v>3.8433722491993061E-2</v>
      </c>
      <c r="BP119" s="320">
        <f>BP18/BO18-1</f>
        <v>2.354657911318947E-3</v>
      </c>
      <c r="BQ119" s="1301">
        <f>BQ18/BP18-1</f>
        <v>4.2813658020116385E-2</v>
      </c>
      <c r="BR119" s="320"/>
      <c r="BS119" s="1302">
        <f>BS18/BQ18-1</f>
        <v>1.3071895424836555E-2</v>
      </c>
      <c r="BT119" s="320">
        <f>BT18/BS18-1</f>
        <v>5.0422799874725976E-2</v>
      </c>
      <c r="BU119" s="320">
        <f>BU18/BT18-1</f>
        <v>-6.8574836016696006E-3</v>
      </c>
      <c r="BV119" s="1303">
        <f>BV18/BU18-1</f>
        <v>2.1525067547283117E-2</v>
      </c>
      <c r="BW119" s="949"/>
      <c r="BX119" s="1302">
        <f>BX18/BV18-1</f>
        <v>2.3305022482146498E-2</v>
      </c>
      <c r="BY119" s="320">
        <f>BY18/BX18-1</f>
        <v>4.1642734060884479E-2</v>
      </c>
      <c r="BZ119" s="320">
        <f>BZ18/BY18-1</f>
        <v>-3.859939343810348E-3</v>
      </c>
      <c r="CA119" s="1303">
        <f>CA18/BZ18-1</f>
        <v>8.5801273180181603E-3</v>
      </c>
      <c r="CB119" s="949"/>
      <c r="CC119" s="1302">
        <f>CC18/CA18-1</f>
        <v>2.661909989023048E-2</v>
      </c>
      <c r="CD119" s="320">
        <f>CD18/CC18-1</f>
        <v>1.8711574445335444E-2</v>
      </c>
      <c r="CE119" s="320">
        <f>CE18/CD18-1</f>
        <v>2.8601416950931435E-2</v>
      </c>
      <c r="CF119" s="1303">
        <f>CF18/CE18-1</f>
        <v>3.2142857142857251E-2</v>
      </c>
      <c r="CG119" s="949"/>
      <c r="CH119" s="320">
        <f>CH66/CF66-1</f>
        <v>-1.0267968945654848E-2</v>
      </c>
      <c r="CI119" s="320">
        <f>CI66/CH66-1</f>
        <v>3.011133603238858E-2</v>
      </c>
      <c r="CJ119" s="320">
        <f>CJ66/CI66-1</f>
        <v>1.915991156963881E-2</v>
      </c>
      <c r="CK119" s="320">
        <f>CK66/CJ66-1</f>
        <v>5.0614605929140133E-3</v>
      </c>
      <c r="CL119" s="949"/>
      <c r="CM119" s="320">
        <f>CM66/CK66-1</f>
        <v>-6.2350119904076573E-3</v>
      </c>
      <c r="CN119" s="320">
        <f>CN66/CM66-1</f>
        <v>1.9063706563706484E-2</v>
      </c>
      <c r="CO119" s="320">
        <f>CO66/CN66-1</f>
        <v>-3.9071749940800427E-2</v>
      </c>
      <c r="CP119" s="320">
        <f>CP66/CO66-1</f>
        <v>1.7496303597831497E-2</v>
      </c>
      <c r="CQ119" s="949"/>
      <c r="CR119" s="320">
        <f>CR66/CP66-1</f>
        <v>2.8820537660450452E-2</v>
      </c>
      <c r="CS119" s="320">
        <f>CS66/CR66-1</f>
        <v>3.6016949152542388E-2</v>
      </c>
      <c r="CT119" s="320">
        <f>CT66/CS66-1</f>
        <v>-3.6582594864803419E-2</v>
      </c>
      <c r="CU119" s="320">
        <f>CU66/CT66-1</f>
        <v>-1.2028301886792492E-2</v>
      </c>
      <c r="CV119" s="949"/>
      <c r="CW119" s="320">
        <f>CW66/CU66-1</f>
        <v>1.8142754834089336E-2</v>
      </c>
      <c r="CX119" s="320">
        <f>CX66/CW66-1</f>
        <v>4.970691676436112E-2</v>
      </c>
      <c r="CY119" s="320">
        <f>CY66/CX66-1</f>
        <v>-2.5910207728389589E-2</v>
      </c>
      <c r="CZ119" s="320">
        <f>CZ66/CY66-1</f>
        <v>-1.9720247649621658E-2</v>
      </c>
      <c r="DA119" s="949"/>
      <c r="DB119" s="320">
        <f>DB66/CZ66-1</f>
        <v>1.4502923976608129E-2</v>
      </c>
      <c r="DC119" s="320">
        <f>DC66/DB66-1</f>
        <v>0.19852432557067101</v>
      </c>
      <c r="DD119" s="320">
        <f>DD66/DC66-1</f>
        <v>0.11600615621392851</v>
      </c>
      <c r="DE119" s="320">
        <f>DE66/DD66-1</f>
        <v>2.1203240820548253E-2</v>
      </c>
      <c r="DF119" s="949"/>
      <c r="DG119" s="320">
        <f>DG66/DF66-1</f>
        <v>-0.72582314205079967</v>
      </c>
      <c r="DH119" s="320">
        <f>DH66/DG66-1</f>
        <v>1.0808028821410298E-2</v>
      </c>
      <c r="DI119" s="320">
        <f>DI66/DH66-1</f>
        <v>-1.8499660556687059E-2</v>
      </c>
      <c r="DJ119" s="320">
        <f>DJ66/DI66-1</f>
        <v>-2.1615078678886346E-2</v>
      </c>
      <c r="DK119" s="949"/>
      <c r="DL119" s="320">
        <f>DL66/DK66-1</f>
        <v>-0.76228304982298589</v>
      </c>
      <c r="DM119" s="320">
        <f>DM66/DL66-1</f>
        <v>3.0330548492553566E-2</v>
      </c>
      <c r="DN119" s="320">
        <f>DN66/DM66-1</f>
        <v>-7.2624713555438092E-2</v>
      </c>
      <c r="DO119" s="1303">
        <f>DO66/DN66-1</f>
        <v>5.1130963695114939E-2</v>
      </c>
      <c r="DP119" s="949"/>
      <c r="DQ119" s="320">
        <f>DQ66/DP66-1</f>
        <v>-0.74028220300409653</v>
      </c>
      <c r="DR119" s="320">
        <f>DR66/DQ66-1</f>
        <v>0.1094430606561394</v>
      </c>
      <c r="DS119" s="320">
        <f>DS66/DR66-1</f>
        <v>-1.6514923308417195E-3</v>
      </c>
      <c r="DT119" s="1303">
        <f>DT66/DS66-1</f>
        <v>-1.6755040908245533E-2</v>
      </c>
      <c r="DU119" s="949"/>
      <c r="DV119" s="1302">
        <f>DV66/DU66-1</f>
        <v>-0.7463750346329705</v>
      </c>
      <c r="DW119" s="320">
        <f>DW66/DV66-1</f>
        <v>4.5124848103212489E-2</v>
      </c>
      <c r="DX119" s="320">
        <f>DX66/DW66-1</f>
        <v>-2.9279289245270346E-2</v>
      </c>
      <c r="DY119" s="1303">
        <f>DY66/DX66-1</f>
        <v>-2.2123736948159722E-2</v>
      </c>
      <c r="DZ119" s="949"/>
      <c r="EA119" s="1302">
        <f>EA66/DZ66-1</f>
        <v>-0.74756550328685289</v>
      </c>
      <c r="EB119" s="320">
        <f>EB66/EA66-1</f>
        <v>4.5310575836206235E-2</v>
      </c>
      <c r="EC119" s="320">
        <f>EC66/EB66-1</f>
        <v>-2.9329170793982451E-2</v>
      </c>
      <c r="ED119" s="1303">
        <f>ED66/EC66-1</f>
        <v>-2.2151529629187539E-2</v>
      </c>
      <c r="EE119" s="94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row>
    <row r="120" spans="2:232" s="54" customFormat="1" ht="11.25" hidden="1" customHeight="1" outlineLevel="1">
      <c r="B120" s="693" t="s">
        <v>237</v>
      </c>
      <c r="C120" s="375"/>
      <c r="D120" s="375"/>
      <c r="E120" s="375"/>
      <c r="F120" s="375"/>
      <c r="G120" s="375"/>
      <c r="H120" s="375"/>
      <c r="I120" s="375"/>
      <c r="J120" s="375"/>
      <c r="K120" s="376"/>
      <c r="L120" s="320">
        <f>L79/K79-1</f>
        <v>0.74397700153369328</v>
      </c>
      <c r="M120" s="320">
        <f>M79/L79-1</f>
        <v>-0.23859907877717201</v>
      </c>
      <c r="N120" s="1301">
        <f>N79/M79-1</f>
        <v>-8.7112128573130665E-2</v>
      </c>
      <c r="O120" s="320"/>
      <c r="P120" s="1292">
        <f>P79/N79-1</f>
        <v>-3.0580866249843242E-2</v>
      </c>
      <c r="Q120" s="320">
        <f>Q79/P79-1</f>
        <v>0.7240319786496856</v>
      </c>
      <c r="R120" s="320">
        <f>R79/Q79-1</f>
        <v>-0.21533056097767866</v>
      </c>
      <c r="S120" s="1301">
        <f>S79/R79-1</f>
        <v>-9.5312878551899516E-2</v>
      </c>
      <c r="T120" s="320"/>
      <c r="U120" s="1292">
        <f>U79/S79-1</f>
        <v>-5.3889523845958909E-2</v>
      </c>
      <c r="V120" s="320">
        <f>V79/U79-1</f>
        <v>0.74738177554032625</v>
      </c>
      <c r="W120" s="320">
        <f>W79/V79-1</f>
        <v>-0.1730530590756959</v>
      </c>
      <c r="X120" s="1301">
        <f>X79/W79-1</f>
        <v>-2.4156735447719346E-2</v>
      </c>
      <c r="Y120" s="320"/>
      <c r="Z120" s="1292">
        <f>Z79/X79-1</f>
        <v>-0.12430773863078326</v>
      </c>
      <c r="AA120" s="320">
        <f>AA79/Z79-1</f>
        <v>0.70693169817190604</v>
      </c>
      <c r="AB120" s="320">
        <f>AB79/AA79-1</f>
        <v>-0.18393285371702772</v>
      </c>
      <c r="AC120" s="1301">
        <f>AC79/AB79-1</f>
        <v>-7.699089039083018E-2</v>
      </c>
      <c r="AD120" s="320"/>
      <c r="AE120" s="1292">
        <f>AE79/AC79-1</f>
        <v>-4.9665711556830194E-2</v>
      </c>
      <c r="AF120" s="320">
        <f>AF79/AE79-1</f>
        <v>0.55745393634841034</v>
      </c>
      <c r="AG120" s="320">
        <f>AG79/AF79-1</f>
        <v>-0.1671327167132709</v>
      </c>
      <c r="AH120" s="1301">
        <f>AH79/AG79-1</f>
        <v>-7.0764462809917994E-2</v>
      </c>
      <c r="AI120" s="320"/>
      <c r="AJ120" s="1292">
        <f>AJ79/AH79-1</f>
        <v>-7.3374096720402182E-2</v>
      </c>
      <c r="AK120" s="320">
        <f>AK79/AJ79-1</f>
        <v>0.65806838632273856</v>
      </c>
      <c r="AL120" s="320">
        <f>AL79/AK79-1</f>
        <v>-0.22141823444283748</v>
      </c>
      <c r="AM120" s="1301">
        <f>AM79/AL79-1</f>
        <v>-3.5315985130109584E-2</v>
      </c>
      <c r="AN120" s="320"/>
      <c r="AO120" s="1292">
        <f>AO79/AM79-1</f>
        <v>-5.419075144508867E-2</v>
      </c>
      <c r="AP120" s="320">
        <f>AP79/AO79-1</f>
        <v>0.57321110262286812</v>
      </c>
      <c r="AQ120" s="320">
        <f>AQ79/AP79-1</f>
        <v>-0.16591129815474215</v>
      </c>
      <c r="AR120" s="1301">
        <f>AR79/AQ79-1</f>
        <v>-8.7133708519308906E-2</v>
      </c>
      <c r="AS120" s="320"/>
      <c r="AT120" s="1292">
        <f>AT79/AR79-1</f>
        <v>-2.8698979591837204E-2</v>
      </c>
      <c r="AU120" s="320">
        <f>AU79/AT79-1</f>
        <v>0.53906762967826771</v>
      </c>
      <c r="AV120" s="320">
        <f>AV79/AU79-1</f>
        <v>-0.21075085324232112</v>
      </c>
      <c r="AW120" s="1301">
        <f>AW79/AV79-1</f>
        <v>-6.6486486486487029E-2</v>
      </c>
      <c r="AX120" s="320"/>
      <c r="AY120" s="1292">
        <f>AY79/AW79-1</f>
        <v>-4.4392974329281465E-3</v>
      </c>
      <c r="AZ120" s="320">
        <f>AZ79/AY79-1</f>
        <v>0.54148894920512025</v>
      </c>
      <c r="BA120" s="320">
        <f>BA79/AZ79-1</f>
        <v>-0.17092189661677792</v>
      </c>
      <c r="BB120" s="1301">
        <f>BB79/BA79-1</f>
        <v>-0.14168689320388217</v>
      </c>
      <c r="BC120" s="320"/>
      <c r="BD120" s="1292">
        <f>BD79/BB79-1</f>
        <v>0.12265818310356869</v>
      </c>
      <c r="BE120" s="320">
        <f>BE79/BD79-1</f>
        <v>0.44852015113350086</v>
      </c>
      <c r="BF120" s="320">
        <f>BF79/BE79-1</f>
        <v>-0.13868057819802126</v>
      </c>
      <c r="BG120" s="1301">
        <f>BG79/BF79-1</f>
        <v>-0.20996845425867672</v>
      </c>
      <c r="BH120" s="320"/>
      <c r="BI120" s="1292">
        <f>BI79/BG79-1</f>
        <v>0.11164350742692997</v>
      </c>
      <c r="BJ120" s="320">
        <f>BJ79/BI79-1</f>
        <v>0.41217672413793194</v>
      </c>
      <c r="BK120" s="320">
        <f>BK79/BJ79-1</f>
        <v>-0.11552842426554744</v>
      </c>
      <c r="BL120" s="1301">
        <f>BL79/BK79-1</f>
        <v>-5.5819170045727673E-2</v>
      </c>
      <c r="BM120" s="320"/>
      <c r="BN120" s="1292">
        <f>BN79/BL79-1</f>
        <v>4.6905458089671059E-2</v>
      </c>
      <c r="BO120" s="320">
        <f>BO79/BN79-1</f>
        <v>0.38787385080879822</v>
      </c>
      <c r="BP120" s="320">
        <f>BP79/BO79-1</f>
        <v>-0.13759852423277041</v>
      </c>
      <c r="BQ120" s="1301">
        <f>BQ79/BP79-1</f>
        <v>-0.23286339329120076</v>
      </c>
      <c r="BR120" s="320"/>
      <c r="BS120" s="1302">
        <f>BS79/BQ79-1</f>
        <v>0.20380228136882228</v>
      </c>
      <c r="BT120" s="320">
        <f>BT79/BS79-1</f>
        <v>0.38987155190566525</v>
      </c>
      <c r="BU120" s="320">
        <f>BU79/BT79-1</f>
        <v>-0.13521702901295318</v>
      </c>
      <c r="BV120" s="1303">
        <f>BV79/BU79-1</f>
        <v>-0.29677645409950948</v>
      </c>
      <c r="BW120" s="949"/>
      <c r="BX120" s="1302">
        <f>BX79/BV79-1</f>
        <v>0.18709516691579386</v>
      </c>
      <c r="BY120" s="320">
        <f>BY79/BX79-1</f>
        <v>0.3850996852046169</v>
      </c>
      <c r="BZ120" s="320">
        <f>BZ79/BY79-1</f>
        <v>-0.13484848484848488</v>
      </c>
      <c r="CA120" s="1303">
        <f>CA79/BZ79-1</f>
        <v>-0.13835376532399302</v>
      </c>
      <c r="CB120" s="949"/>
      <c r="CC120" s="1302">
        <f>CC79/CA79-1</f>
        <v>0.10569105691056913</v>
      </c>
      <c r="CD120" s="320">
        <f>CD79/CC79-1</f>
        <v>0.25091911764705888</v>
      </c>
      <c r="CE120" s="320">
        <f>CE79/CD79-1</f>
        <v>-0.18442321822189567</v>
      </c>
      <c r="CF120" s="1303">
        <f>CF79/CE79-1</f>
        <v>-3.6936936936936893E-2</v>
      </c>
      <c r="CG120" s="949"/>
      <c r="CH120" s="320">
        <f>CH79/CF79-1</f>
        <v>0.1749298409728719</v>
      </c>
      <c r="CI120" s="320">
        <f>CI79/CH79-1</f>
        <v>0.20939490445859876</v>
      </c>
      <c r="CJ120" s="320">
        <f>CJ79/CI79-1</f>
        <v>-0.16392363396971688</v>
      </c>
      <c r="CK120" s="320">
        <f>CK79/CJ79-1</f>
        <v>-7.086614173228345E-2</v>
      </c>
      <c r="CL120" s="949"/>
      <c r="CM120" s="320">
        <f>CM79/CK79-1</f>
        <v>3.5593220338983045E-2</v>
      </c>
      <c r="CN120" s="320">
        <f>CN79/CM79-1</f>
        <v>0.19476268412438635</v>
      </c>
      <c r="CO120" s="320">
        <f>CO79/CN79-1</f>
        <v>-0.14520547945205475</v>
      </c>
      <c r="CP120" s="320">
        <f>CP79/CO79-1</f>
        <v>-0.13621794871794868</v>
      </c>
      <c r="CQ120" s="949"/>
      <c r="CR120" s="320">
        <f>CR79/CP79-1</f>
        <v>7.8849721706864662E-2</v>
      </c>
      <c r="CS120" s="320">
        <f>CS79/CR79-1</f>
        <v>0.41874462596732598</v>
      </c>
      <c r="CT120" s="320">
        <f>CT79/CS79-1</f>
        <v>-9.0909090909090939E-2</v>
      </c>
      <c r="CU120" s="320">
        <f>CU79/CT79-1</f>
        <v>-9.6666666666666679E-2</v>
      </c>
      <c r="CV120" s="949"/>
      <c r="CW120" s="320">
        <f>CW79/CU79-1</f>
        <v>7.3800738007379074E-3</v>
      </c>
      <c r="CX120" s="320">
        <f>CX79/CW79-1</f>
        <v>0.1692307692307693</v>
      </c>
      <c r="CY120" s="320">
        <f>CY79/CX79-1</f>
        <v>-1.5037593984962405E-2</v>
      </c>
      <c r="CZ120" s="320">
        <f>CZ79/CY79-1</f>
        <v>-0.11641221374045807</v>
      </c>
      <c r="DA120" s="949"/>
      <c r="DB120" s="320">
        <f>DB79/CZ79-1</f>
        <v>4.8956083513318926E-2</v>
      </c>
      <c r="DC120" s="320">
        <f>DC79/DB79-1</f>
        <v>0.46190803019903903</v>
      </c>
      <c r="DD120" s="320">
        <f>DD79/DC79-1</f>
        <v>-1.8309859154929553E-2</v>
      </c>
      <c r="DE120" s="320">
        <f>DE79/DD79-1</f>
        <v>-0.13199426111908175</v>
      </c>
      <c r="DF120" s="949"/>
      <c r="DG120" s="320">
        <f>DG79/DF79-1</f>
        <v>-0.73041505405044704</v>
      </c>
      <c r="DH120" s="320">
        <f>DH79/DG79-1</f>
        <v>0.21831683168316829</v>
      </c>
      <c r="DI120" s="320">
        <f>DI79/DH79-1</f>
        <v>-0.12027631044290943</v>
      </c>
      <c r="DJ120" s="320">
        <f>DJ79/DI79-1</f>
        <v>-0.11732101616628177</v>
      </c>
      <c r="DK120" s="949"/>
      <c r="DL120" s="320">
        <f>DL79/DK79-1</f>
        <v>-0.75891083323594721</v>
      </c>
      <c r="DM120" s="320">
        <f>DM79/DL79-1</f>
        <v>0.13717886572952009</v>
      </c>
      <c r="DN120" s="320">
        <f>DN79/DM79-1</f>
        <v>1.6624040920716121E-2</v>
      </c>
      <c r="DO120" s="1303">
        <f>DO79/DN79-1</f>
        <v>-7.37945492662474E-2</v>
      </c>
      <c r="DP120" s="949"/>
      <c r="DQ120" s="320">
        <f>DQ79/DP79-1</f>
        <v>-0.76230145507053204</v>
      </c>
      <c r="DR120" s="320">
        <f ca="1">DR79/DQ79-1</f>
        <v>0.15757799047590204</v>
      </c>
      <c r="DS120" s="320">
        <f ca="1">DS79/DR79-1</f>
        <v>-5.7069880829842656E-2</v>
      </c>
      <c r="DT120" s="1303">
        <f ca="1">DT79/DS79-1</f>
        <v>-4.4314045327925489E-2</v>
      </c>
      <c r="DU120" s="949"/>
      <c r="DV120" s="1302">
        <f ca="1">DV79/DU79-1</f>
        <v>-0.76128870609019206</v>
      </c>
      <c r="DW120" s="320">
        <f ca="1">DW79/DV79-1</f>
        <v>0.15268756223352309</v>
      </c>
      <c r="DX120" s="320">
        <f ca="1">DX79/DW79-1</f>
        <v>4.0213262993742394E-3</v>
      </c>
      <c r="DY120" s="1303">
        <f ca="1">DY79/DX79-1</f>
        <v>-2.3686727392035589E-2</v>
      </c>
      <c r="DZ120" s="949"/>
      <c r="EA120" s="1302">
        <f ca="1">EA79/DZ79-1</f>
        <v>-0.7689946123707988</v>
      </c>
      <c r="EB120" s="320">
        <f ca="1">EB79/EA79-1</f>
        <v>0.13880406896910635</v>
      </c>
      <c r="EC120" s="320">
        <f ca="1">EC79/EB79-1</f>
        <v>1.0785469466292552E-2</v>
      </c>
      <c r="ED120" s="1303">
        <f ca="1">ED79/EC79-1</f>
        <v>-2.1764914314644335E-2</v>
      </c>
      <c r="EE120" s="949"/>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row>
    <row r="121" spans="2:232" s="54" customFormat="1" collapsed="1">
      <c r="B121" s="693" t="s">
        <v>211</v>
      </c>
      <c r="C121" s="375"/>
      <c r="D121" s="375"/>
      <c r="E121" s="375"/>
      <c r="F121" s="375"/>
      <c r="G121" s="375"/>
      <c r="H121" s="375"/>
      <c r="I121" s="375"/>
      <c r="J121" s="375"/>
      <c r="K121" s="376"/>
      <c r="L121" s="320">
        <f>L22/K22-1</f>
        <v>1.0418601961955849</v>
      </c>
      <c r="M121" s="320">
        <f>M22/L22-1</f>
        <v>-0.28320559530326839</v>
      </c>
      <c r="N121" s="1301">
        <f>N22/M22-1</f>
        <v>-7.3609291362430773E-2</v>
      </c>
      <c r="O121" s="320"/>
      <c r="P121" s="1292">
        <f>P22/N22-1</f>
        <v>-8.8335003518047794E-2</v>
      </c>
      <c r="Q121" s="320">
        <f>Q22/P22-1</f>
        <v>0.93926282800879313</v>
      </c>
      <c r="R121" s="320">
        <f>R22/Q22-1</f>
        <v>-0.27830774611367615</v>
      </c>
      <c r="S121" s="1301">
        <f>S22/R22-1</f>
        <v>-6.0492630593898533E-2</v>
      </c>
      <c r="T121" s="320"/>
      <c r="U121" s="1292">
        <f>U22/S22-1</f>
        <v>-0.11369807785801544</v>
      </c>
      <c r="V121" s="320">
        <f>V22/U22-1</f>
        <v>0.92864357912622619</v>
      </c>
      <c r="W121" s="320">
        <f>W22/V22-1</f>
        <v>-0.23545407563360321</v>
      </c>
      <c r="X121" s="1301">
        <f>X22/W22-1</f>
        <v>1.3582728068701533E-2</v>
      </c>
      <c r="Y121" s="320"/>
      <c r="Z121" s="1292">
        <f>Z22/X22-1</f>
        <v>-0.18270887696322202</v>
      </c>
      <c r="AA121" s="320">
        <f>AA22/Z22-1</f>
        <v>0.89594742606790989</v>
      </c>
      <c r="AB121" s="320">
        <f>AB22/AA22-1</f>
        <v>-0.21403812824956836</v>
      </c>
      <c r="AC121" s="1301">
        <f>AC22/AB22-1</f>
        <v>-4.5571481073133246E-2</v>
      </c>
      <c r="AD121" s="320"/>
      <c r="AE121" s="1292">
        <f>AE22/AC22-1</f>
        <v>-0.12283403927608905</v>
      </c>
      <c r="AF121" s="320">
        <f>AF22/AE22-1</f>
        <v>0.71729587357331215</v>
      </c>
      <c r="AG121" s="320">
        <f>AG22/AF22-1</f>
        <v>-0.20040899795500933</v>
      </c>
      <c r="AH121" s="1301">
        <f>AH22/AG22-1</f>
        <v>-9.2710997442465581E-3</v>
      </c>
      <c r="AI121" s="320"/>
      <c r="AJ121" s="1292">
        <f>AJ22/AH22-1</f>
        <v>-0.16876411745724629</v>
      </c>
      <c r="AK121" s="320">
        <f>AK22/AJ22-1</f>
        <v>0.77368012422360666</v>
      </c>
      <c r="AL121" s="320">
        <f>AL22/AK22-1</f>
        <v>-0.24381702779601777</v>
      </c>
      <c r="AM121" s="1301">
        <f>AM22/AL22-1</f>
        <v>-2.0839363241676234E-2</v>
      </c>
      <c r="AN121" s="320"/>
      <c r="AO121" s="1292">
        <f>AO22/AM22-1</f>
        <v>-0.13686077446054035</v>
      </c>
      <c r="AP121" s="320">
        <f>AP22/AO22-1</f>
        <v>0.79246575342465908</v>
      </c>
      <c r="AQ121" s="320">
        <f>AQ22/AP22-1</f>
        <v>-0.20882690103171531</v>
      </c>
      <c r="AR121" s="1301">
        <f>AR22/AQ22-1</f>
        <v>-4.6848587297753874E-2</v>
      </c>
      <c r="AS121" s="320"/>
      <c r="AT121" s="1292">
        <f>AT22/AR22-1</f>
        <v>-0.106409931593616</v>
      </c>
      <c r="AU121" s="320">
        <f>AU22/AT22-1</f>
        <v>0.68188261979019171</v>
      </c>
      <c r="AV121" s="320">
        <f>AV22/AU22-1</f>
        <v>-0.22336480107889445</v>
      </c>
      <c r="AW121" s="1301">
        <f>AW22/AV22-1</f>
        <v>-4.1241588886478109E-2</v>
      </c>
      <c r="AX121" s="320"/>
      <c r="AY121" s="1292">
        <f>AY22/AW22-1</f>
        <v>-8.3088068824994532E-2</v>
      </c>
      <c r="AZ121" s="320">
        <f>AZ22/AY22-1</f>
        <v>0.67160493827160783</v>
      </c>
      <c r="BA121" s="320">
        <f>BA22/AZ22-1</f>
        <v>-0.19542097488921728</v>
      </c>
      <c r="BB121" s="1301">
        <f>BB22/BA22-1</f>
        <v>-8.3165044978886105E-2</v>
      </c>
      <c r="BC121" s="320"/>
      <c r="BD121" s="1292">
        <f>BD22/BB22-1</f>
        <v>1.341609931918164E-2</v>
      </c>
      <c r="BE121" s="320">
        <f>BE22/BD22-1</f>
        <v>0.5325034578146608</v>
      </c>
      <c r="BF121" s="320">
        <f>BF22/BE22-1</f>
        <v>-0.16954615781330518</v>
      </c>
      <c r="BG121" s="1301">
        <f>BG22/BF22-1</f>
        <v>-0.22651762148734866</v>
      </c>
      <c r="BH121" s="320"/>
      <c r="BI121" s="1292">
        <f>BI22/BG22-1</f>
        <v>8.7515054195104192E-2</v>
      </c>
      <c r="BJ121" s="320">
        <f>BJ22/BI22-1</f>
        <v>0.51513473606497007</v>
      </c>
      <c r="BK121" s="320">
        <f>BK22/BJ22-1</f>
        <v>-0.13801924716774272</v>
      </c>
      <c r="BL121" s="1301">
        <f>BL22/BK22-1</f>
        <v>-0.10797060486150689</v>
      </c>
      <c r="BM121" s="320"/>
      <c r="BN121" s="1292">
        <f>BN22/BL22-1</f>
        <v>6.4480354879597801E-2</v>
      </c>
      <c r="BO121" s="320">
        <f>BO22/BN22-1</f>
        <v>0.51882720642952829</v>
      </c>
      <c r="BP121" s="320">
        <f>BP22/BO22-1</f>
        <v>-0.16237138657521011</v>
      </c>
      <c r="BQ121" s="1301">
        <f>BQ22/BP22-1</f>
        <v>-0.29398689751988782</v>
      </c>
      <c r="BR121" s="320"/>
      <c r="BS121" s="1302">
        <f>BS22/BQ22-1</f>
        <v>0.20613090306545279</v>
      </c>
      <c r="BT121" s="320">
        <f>BT22/BS22-1</f>
        <v>0.49416128589092034</v>
      </c>
      <c r="BU121" s="320">
        <f>BU22/BT22-1</f>
        <v>-0.15897388745862406</v>
      </c>
      <c r="BV121" s="1303">
        <f>BV22/BU22-1</f>
        <v>-0.30917240625341635</v>
      </c>
      <c r="BW121" s="949"/>
      <c r="BX121" s="1302">
        <f>BX22/BV22-1</f>
        <v>5.8711821490741389E-2</v>
      </c>
      <c r="BY121" s="320">
        <f>BY22/BX22-1</f>
        <v>0.53961136023916301</v>
      </c>
      <c r="BZ121" s="320">
        <f>BZ22/BY22-1</f>
        <v>-0.17864077669902911</v>
      </c>
      <c r="CA121" s="1303">
        <f>CA22/BZ22-1</f>
        <v>-0.17021276595744683</v>
      </c>
      <c r="CB121" s="949"/>
      <c r="CC121" s="1302">
        <f>CC22/CA22-1</f>
        <v>0.13532763532763536</v>
      </c>
      <c r="CD121" s="320">
        <f>CD22/CC22-1</f>
        <v>0.36260978670012545</v>
      </c>
      <c r="CE121" s="320">
        <f>CE22/CD22-1</f>
        <v>-0.23664825046040516</v>
      </c>
      <c r="CF121" s="1303">
        <f>CF22/CE22-1</f>
        <v>-0.10012062726176119</v>
      </c>
      <c r="CG121" s="949"/>
      <c r="CH121" s="320">
        <f>CH76/CF76-1</f>
        <v>0.20348837209302317</v>
      </c>
      <c r="CI121" s="320">
        <f>CI76/CH76-1</f>
        <v>0.26473429951690819</v>
      </c>
      <c r="CJ121" s="320">
        <f>CJ76/CI76-1</f>
        <v>-0.19404125286478224</v>
      </c>
      <c r="CK121" s="320">
        <f>CK76/CJ76-1</f>
        <v>-9.099526066350716E-2</v>
      </c>
      <c r="CL121" s="949"/>
      <c r="CM121" s="320">
        <f>CM76/CK76-1</f>
        <v>4.7966631908237689E-2</v>
      </c>
      <c r="CN121" s="320">
        <f>CN76/CM76-1</f>
        <v>0.23184079601990049</v>
      </c>
      <c r="CO121" s="320">
        <f>CO76/CN76-1</f>
        <v>-0.17932148626817446</v>
      </c>
      <c r="CP121" s="320">
        <f>CP76/CO76-1</f>
        <v>-0.17519685039370081</v>
      </c>
      <c r="CQ121" s="949"/>
      <c r="CR121" s="320">
        <f>CR76/CP76-1</f>
        <v>0.10262529832935563</v>
      </c>
      <c r="CS121" s="320">
        <f>CS76/CR76-1</f>
        <v>0.51298701298701288</v>
      </c>
      <c r="CT121" s="320">
        <f>CT76/CS76-1</f>
        <v>-0.10658082975679539</v>
      </c>
      <c r="CU121" s="320">
        <f>CU76/CT76-1</f>
        <v>-0.11689351481184951</v>
      </c>
      <c r="CV121" s="949"/>
      <c r="CW121" s="320">
        <f>CW76/CU76-1</f>
        <v>0</v>
      </c>
      <c r="CX121" s="320">
        <f>CX76/CW76-1</f>
        <v>0.21305530371713499</v>
      </c>
      <c r="CY121" s="320">
        <f>CY76/CX76-1</f>
        <v>-2.4663677130044803E-2</v>
      </c>
      <c r="CZ121" s="320">
        <f>CZ76/CY76-1</f>
        <v>-0.12490421455938694</v>
      </c>
      <c r="DA121" s="949"/>
      <c r="DB121" s="320">
        <f>DB76/CZ76-1</f>
        <v>5.516637478108577E-2</v>
      </c>
      <c r="DC121" s="320">
        <f>DC76/DB76-1</f>
        <v>0.52697095435684638</v>
      </c>
      <c r="DD121" s="320">
        <f>DD76/DC76-1</f>
        <v>-4.9456521739130399E-2</v>
      </c>
      <c r="DE121" s="320">
        <f>DE76/DD76-1</f>
        <v>-0.1709548313321898</v>
      </c>
      <c r="DF121" s="949"/>
      <c r="DG121" s="320">
        <f>DG76/DF76-1</f>
        <v>-0.72469570787956439</v>
      </c>
      <c r="DH121" s="320">
        <f>DH76/DG76-1</f>
        <v>0.23327515997673065</v>
      </c>
      <c r="DI121" s="320">
        <f>DI76/DH76-1</f>
        <v>-0.14433962264150946</v>
      </c>
      <c r="DJ121" s="320">
        <f>DJ76/DI76-1</f>
        <v>-0.14277839029768469</v>
      </c>
      <c r="DK121" s="949"/>
      <c r="DL121" s="320">
        <f>DL76/DK76-1</f>
        <v>-0.76054384017758048</v>
      </c>
      <c r="DM121" s="320">
        <f>DM76/DL76-1</f>
        <v>0.16801853997682503</v>
      </c>
      <c r="DN121" s="320">
        <f>DN76/DM76-1</f>
        <v>1.8849206349206282E-2</v>
      </c>
      <c r="DO121" s="1303">
        <f>DO76/DN76-1</f>
        <v>-8.276533592989288E-2</v>
      </c>
      <c r="DP121" s="949"/>
      <c r="DQ121" s="320">
        <f>DQ76/DP76-1</f>
        <v>-0.76445312499999996</v>
      </c>
      <c r="DR121" s="320">
        <f ca="1">DR76/DQ76-1</f>
        <v>0.15674902309865701</v>
      </c>
      <c r="DS121" s="320">
        <f ca="1">DS76/DR76-1</f>
        <v>-6.4919638349491882E-2</v>
      </c>
      <c r="DT121" s="1303">
        <f ca="1">DT76/DS76-1</f>
        <v>-4.7141980467441003E-2</v>
      </c>
      <c r="DU121" s="949"/>
      <c r="DV121" s="1302">
        <f ca="1">DV76/DU76-1</f>
        <v>-0.763407131669262</v>
      </c>
      <c r="DW121" s="320">
        <f ca="1">DW76/DV76-1</f>
        <v>0.16667295326514098</v>
      </c>
      <c r="DX121" s="320">
        <f ca="1">DX76/DW76-1</f>
        <v>9.2453700120147531E-3</v>
      </c>
      <c r="DY121" s="1303">
        <f ca="1">DY76/DX76-1</f>
        <v>-2.257426929278028E-2</v>
      </c>
      <c r="DZ121" s="949"/>
      <c r="EA121" s="1302">
        <f ca="1">EA76/DZ76-1</f>
        <v>-0.77167002669657803</v>
      </c>
      <c r="EB121" s="320">
        <f ca="1">EB76/EA76-1</f>
        <v>0.15017275631745508</v>
      </c>
      <c r="EC121" s="320">
        <f ca="1">EC76/EB76-1</f>
        <v>1.7110554451000404E-2</v>
      </c>
      <c r="ED121" s="1303">
        <f ca="1">ED76/EC76-1</f>
        <v>-2.0530679836355259E-2</v>
      </c>
      <c r="EE121" s="949"/>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row>
    <row r="122" spans="2:232" s="54" customFormat="1">
      <c r="B122" s="693" t="s">
        <v>213</v>
      </c>
      <c r="C122" s="375"/>
      <c r="D122" s="375"/>
      <c r="E122" s="375"/>
      <c r="F122" s="375"/>
      <c r="G122" s="375"/>
      <c r="H122" s="375"/>
      <c r="I122" s="375"/>
      <c r="J122" s="375"/>
      <c r="K122" s="376"/>
      <c r="L122" s="320">
        <f>L33/K33-1</f>
        <v>1.0778886183332124</v>
      </c>
      <c r="M122" s="320">
        <f>M33/L33-1</f>
        <v>-0.28073305712644125</v>
      </c>
      <c r="N122" s="1301">
        <f>N33/M33-1</f>
        <v>-0.10876009081735705</v>
      </c>
      <c r="O122" s="320"/>
      <c r="P122" s="1292">
        <f>P33/N33-1</f>
        <v>-4.5347863520030729E-2</v>
      </c>
      <c r="Q122" s="320">
        <f>Q33/P33-1</f>
        <v>0.93569628385056247</v>
      </c>
      <c r="R122" s="320">
        <f>R33/Q33-1</f>
        <v>-0.28243651193811548</v>
      </c>
      <c r="S122" s="1301">
        <f>S33/R33-1</f>
        <v>-8.431913190429785E-2</v>
      </c>
      <c r="T122" s="320"/>
      <c r="U122" s="1292">
        <f>U33/S33-1</f>
        <v>-0.34454589606605224</v>
      </c>
      <c r="V122" s="320">
        <f>V33/U33-1</f>
        <v>1.6784184709317054</v>
      </c>
      <c r="W122" s="320">
        <f>W33/V33-1</f>
        <v>-0.21260173622445766</v>
      </c>
      <c r="X122" s="1301">
        <f>X33/W33-1</f>
        <v>0.17182669065152378</v>
      </c>
      <c r="Y122" s="320"/>
      <c r="Z122" s="1292">
        <f>Z33/X33-1</f>
        <v>-0.29301711989925971</v>
      </c>
      <c r="AA122" s="320">
        <f>AA33/Z33-1</f>
        <v>0.83545377438507473</v>
      </c>
      <c r="AB122" s="320">
        <f>AB33/AA33-1</f>
        <v>-0.19085027726432802</v>
      </c>
      <c r="AC122" s="1301">
        <f>AC33/AB33-1</f>
        <v>-8.6807538549397711E-2</v>
      </c>
      <c r="AD122" s="320"/>
      <c r="AE122" s="1292">
        <f>AE33/AC33-1</f>
        <v>-9.0681676047531634E-2</v>
      </c>
      <c r="AF122" s="320">
        <f>AF33/AE33-1</f>
        <v>0.64305364511692242</v>
      </c>
      <c r="AG122" s="320">
        <f>AG33/AF33-1</f>
        <v>-0.18961908748430145</v>
      </c>
      <c r="AH122" s="1301">
        <f>AH33/AG33-1</f>
        <v>0.11880165289255995</v>
      </c>
      <c r="AI122" s="320"/>
      <c r="AJ122" s="1292">
        <f>AJ33/AH33-1</f>
        <v>-0.26869806094183102</v>
      </c>
      <c r="AK122" s="320">
        <f>AK33/AJ33-1</f>
        <v>0.87436868686869373</v>
      </c>
      <c r="AL122" s="320">
        <f>AL33/AK33-1</f>
        <v>-0.2812394745705642</v>
      </c>
      <c r="AM122" s="1301">
        <f>AM33/AL33-1</f>
        <v>1.6401124648551368E-2</v>
      </c>
      <c r="AN122" s="320"/>
      <c r="AO122" s="1292">
        <f>AO33/AM33-1</f>
        <v>-0.14292300599354923</v>
      </c>
      <c r="AP122" s="320">
        <f>AP33/AO33-1</f>
        <v>0.75685852608929816</v>
      </c>
      <c r="AQ122" s="320">
        <f>AQ33/AP33-1</f>
        <v>-0.20698101653398615</v>
      </c>
      <c r="AR122" s="1301">
        <f>AR33/AQ33-1</f>
        <v>-4.3629343629343009E-2</v>
      </c>
      <c r="AS122" s="320"/>
      <c r="AT122" s="1292">
        <f>AT33/AR33-1</f>
        <v>-0.17440452159870901</v>
      </c>
      <c r="AU122" s="320">
        <f>AU33/AT33-1</f>
        <v>0.81369193154034547</v>
      </c>
      <c r="AV122" s="320">
        <f>AV33/AU33-1</f>
        <v>-0.2661094634672424</v>
      </c>
      <c r="AW122" s="1301">
        <f>AW33/AV33-1</f>
        <v>1.4695077149153413E-2</v>
      </c>
      <c r="AX122" s="320"/>
      <c r="AY122" s="1292">
        <f>AY33/AW33-1</f>
        <v>-7.7118030412744676E-2</v>
      </c>
      <c r="AZ122" s="320">
        <f>AZ33/AY33-1</f>
        <v>0.70066692991735069</v>
      </c>
      <c r="BA122" s="320">
        <f>BA33/AZ33-1</f>
        <v>-0.20507497196432045</v>
      </c>
      <c r="BB122" s="1301">
        <f>BB33/BA33-1</f>
        <v>-8.0673244341263217E-2</v>
      </c>
      <c r="BC122" s="320"/>
      <c r="BD122" s="1292">
        <f>BD33/BB33-1</f>
        <v>3.7247474747472697E-2</v>
      </c>
      <c r="BE122" s="320">
        <f>BE33/BD33-1</f>
        <v>0.49391357273280545</v>
      </c>
      <c r="BF122" s="320">
        <f>BF33/BE33-1</f>
        <v>-0.16276227337543203</v>
      </c>
      <c r="BG122" s="1301">
        <f>BG33/BF33-1</f>
        <v>-0.19951338199513702</v>
      </c>
      <c r="BH122" s="320"/>
      <c r="BI122" s="1292">
        <f>BI33/BG33-1</f>
        <v>5.0455927051674232E-2</v>
      </c>
      <c r="BJ122" s="320">
        <f>BJ33/BI33-1</f>
        <v>0.51475694444444686</v>
      </c>
      <c r="BK122" s="320">
        <f>BK33/BJ33-1</f>
        <v>-0.10372492836676228</v>
      </c>
      <c r="BL122" s="1301">
        <f>BL33/BK33-1</f>
        <v>-0.12127024722933133</v>
      </c>
      <c r="BM122" s="320"/>
      <c r="BN122" s="1292">
        <f>BN33/BL33-1</f>
        <v>4.7053116662629568E-2</v>
      </c>
      <c r="BO122" s="320">
        <f>BO33/BN33-1</f>
        <v>0.51007644197359303</v>
      </c>
      <c r="BP122" s="320">
        <f>BP33/BO33-1</f>
        <v>-0.13913176867618038</v>
      </c>
      <c r="BQ122" s="1301">
        <f>BQ33/BP33-1</f>
        <v>-0.29347826086956541</v>
      </c>
      <c r="BR122" s="320"/>
      <c r="BS122" s="1302">
        <f>BS33/BQ33-1</f>
        <v>0.14905422446406225</v>
      </c>
      <c r="BT122" s="320">
        <f>BT33/BS33-1</f>
        <v>0.50417032484635849</v>
      </c>
      <c r="BU122" s="320">
        <f>BU33/BT33-1</f>
        <v>-0.16357799503866866</v>
      </c>
      <c r="BV122" s="1303">
        <f>BV33/BU33-1</f>
        <v>-0.22656838799720913</v>
      </c>
      <c r="BW122" s="949"/>
      <c r="BX122" s="1302">
        <f>BX33/BV33-1</f>
        <v>-7.9694404406640329E-2</v>
      </c>
      <c r="BY122" s="320">
        <f>BY33/BX33-1</f>
        <v>0.56862745098039214</v>
      </c>
      <c r="BZ122" s="320">
        <f>BZ33/BY33-1</f>
        <v>-0.18437499999999996</v>
      </c>
      <c r="CA122" s="1303">
        <f>CA33/BZ33-1</f>
        <v>-0.16475095785440608</v>
      </c>
      <c r="CB122" s="949"/>
      <c r="CC122" s="1302">
        <f>CC33/CA33-1</f>
        <v>0.12155963302752304</v>
      </c>
      <c r="CD122" s="320">
        <f>CD33/CC33-1</f>
        <v>0.36809815950920255</v>
      </c>
      <c r="CE122" s="320">
        <f>CE33/CD33-1</f>
        <v>-0.30792227204783262</v>
      </c>
      <c r="CF122" s="1303">
        <f>CF33/CE33-1</f>
        <v>1.5118790496760237E-2</v>
      </c>
      <c r="CG122" s="949"/>
      <c r="CH122" s="320">
        <f>CH41/CF41-1</f>
        <v>0.17679558011049723</v>
      </c>
      <c r="CI122" s="320">
        <f>CI41/CH41-1</f>
        <v>0.25508607198748035</v>
      </c>
      <c r="CJ122" s="320">
        <f>CJ41/CI41-1</f>
        <v>-0.1645885286783042</v>
      </c>
      <c r="CK122" s="320">
        <f>CK41/CJ41-1</f>
        <v>-0.10597014925373138</v>
      </c>
      <c r="CL122" s="949"/>
      <c r="CM122" s="320">
        <f>CM41/CK41-1</f>
        <v>3.3388981636060189E-2</v>
      </c>
      <c r="CN122" s="320">
        <f>CN41/CM41-1</f>
        <v>0.23909531502423254</v>
      </c>
      <c r="CO122" s="320">
        <f>CO41/CN41-1</f>
        <v>-0.18122555410690999</v>
      </c>
      <c r="CP122" s="320">
        <f>CP41/CO41-1</f>
        <v>-0.11942675159235672</v>
      </c>
      <c r="CQ122" s="949"/>
      <c r="CR122" s="320">
        <f>CR41/CP41-1</f>
        <v>0</v>
      </c>
      <c r="CS122" s="320">
        <f>CS41/CR41-1</f>
        <v>0.65461121157323698</v>
      </c>
      <c r="CT122" s="320">
        <f>CT41/CS41-1</f>
        <v>-0.11256830601092893</v>
      </c>
      <c r="CU122" s="320">
        <f>CU41/CT41-1</f>
        <v>-0.1354679802955665</v>
      </c>
      <c r="CV122" s="949"/>
      <c r="CW122" s="320">
        <f>CW41/CU41-1</f>
        <v>-1.9943019943019946E-2</v>
      </c>
      <c r="CX122" s="320">
        <f>CX41/CW41-1</f>
        <v>0.27906976744186052</v>
      </c>
      <c r="CY122" s="320">
        <f>CY41/CX41-1</f>
        <v>3.4090909090909172E-3</v>
      </c>
      <c r="CZ122" s="320">
        <f>CZ41/CY41-1</f>
        <v>-0.19139297848244619</v>
      </c>
      <c r="DA122" s="949"/>
      <c r="DB122" s="320">
        <f>DB41/CZ41-1</f>
        <v>4.9019607843137303E-2</v>
      </c>
      <c r="DC122" s="320">
        <f>DC41/DB41-1</f>
        <v>0.66088117489986642</v>
      </c>
      <c r="DD122" s="320">
        <f>DD41/DC41-1</f>
        <v>-9.7266881028938879E-2</v>
      </c>
      <c r="DE122" s="320">
        <f>DE41/DD41-1</f>
        <v>-0.13713268032056991</v>
      </c>
      <c r="DF122" s="949"/>
      <c r="DG122" s="320">
        <f>DG41/DF41-1</f>
        <v>-0.72288861689106487</v>
      </c>
      <c r="DH122" s="320">
        <f>DH41/DG41-1</f>
        <v>0.25706713780918733</v>
      </c>
      <c r="DI122" s="320">
        <f>DI41/DH41-1</f>
        <v>-9.4869992972593131E-2</v>
      </c>
      <c r="DJ122" s="320">
        <f>DJ41/DI41-1</f>
        <v>-9.4720496894409978E-2</v>
      </c>
      <c r="DK122" s="949"/>
      <c r="DL122" s="320">
        <f>DL41/DK41-1</f>
        <v>-0.76023158315032946</v>
      </c>
      <c r="DM122" s="320">
        <f>DM41/DL41-1</f>
        <v>0.22897585345545379</v>
      </c>
      <c r="DN122" s="320">
        <f>DN41/DM41-1</f>
        <v>-2.3712737127371319E-2</v>
      </c>
      <c r="DO122" s="1303">
        <f>DO41/DN41-1</f>
        <v>-3.8861901457321268E-2</v>
      </c>
      <c r="DP122" s="949"/>
      <c r="DQ122" s="320">
        <f>DQ41/DP41-1</f>
        <v>-0.76467381428311831</v>
      </c>
      <c r="DR122" s="320">
        <f ca="1">DR41/DQ41-1</f>
        <v>0.18470524526474708</v>
      </c>
      <c r="DS122" s="320">
        <f ca="1">DS41/DR41-1</f>
        <v>-1.8415015250646927E-2</v>
      </c>
      <c r="DT122" s="1303">
        <f ca="1">DT41/DS41-1</f>
        <v>-5.1372552486323442E-2</v>
      </c>
      <c r="DU122" s="949"/>
      <c r="DV122" s="1302">
        <f ca="1">DV41/DU41-1</f>
        <v>-0.75681962145236614</v>
      </c>
      <c r="DW122" s="320">
        <f ca="1">DW41/DV41-1</f>
        <v>0.18179472716313083</v>
      </c>
      <c r="DX122" s="320">
        <f ca="1">DX41/DW41-1</f>
        <v>1.1360669834699744E-2</v>
      </c>
      <c r="DY122" s="1303">
        <f ca="1">DY41/DX41-1</f>
        <v>-2.4324680673460275E-2</v>
      </c>
      <c r="DZ122" s="949"/>
      <c r="EA122" s="1302">
        <f ca="1">EA41/DZ41-1</f>
        <v>-0.77276992226421537</v>
      </c>
      <c r="EB122" s="320">
        <f ca="1">EB41/EA41-1</f>
        <v>0.16101918026138784</v>
      </c>
      <c r="EC122" s="320">
        <f ca="1">EC41/EB41-1</f>
        <v>1.9716665069651418E-2</v>
      </c>
      <c r="ED122" s="1303">
        <f ca="1">ED41/EC41-1</f>
        <v>-2.208317343537336E-2</v>
      </c>
      <c r="EE122" s="949"/>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row>
    <row r="123" spans="2:232" s="54" customFormat="1" hidden="1" outlineLevel="1">
      <c r="B123" s="693" t="s">
        <v>324</v>
      </c>
      <c r="C123" s="375"/>
      <c r="D123" s="375"/>
      <c r="E123" s="375"/>
      <c r="F123" s="375"/>
      <c r="G123" s="375"/>
      <c r="H123" s="375"/>
      <c r="I123" s="375"/>
      <c r="J123" s="375"/>
      <c r="K123" s="376"/>
      <c r="L123" s="320">
        <f>L43/K43-1</f>
        <v>1.0724196981004606</v>
      </c>
      <c r="M123" s="320">
        <f>M43/L43-1</f>
        <v>-0.28036353512676426</v>
      </c>
      <c r="N123" s="1301">
        <f>N43/M43-1</f>
        <v>-0.10915242261855751</v>
      </c>
      <c r="O123" s="320"/>
      <c r="P123" s="1292">
        <f>P43/N43-1</f>
        <v>-4.5384321863768728E-2</v>
      </c>
      <c r="Q123" s="320">
        <f>Q43/P43-1</f>
        <v>0.93562830467681679</v>
      </c>
      <c r="R123" s="320">
        <f>R43/Q43-1</f>
        <v>-0.28362085162350426</v>
      </c>
      <c r="S123" s="1301">
        <f>S43/R43-1</f>
        <v>-8.6286453336163582E-2</v>
      </c>
      <c r="T123" s="320"/>
      <c r="U123" s="1292">
        <f>U43/S43-1</f>
        <v>-0.36872350665371445</v>
      </c>
      <c r="V123" s="320">
        <f>V43/U43-1</f>
        <v>1.7671375451251934</v>
      </c>
      <c r="W123" s="320">
        <f>W43/V43-1</f>
        <v>-0.2143328008159241</v>
      </c>
      <c r="X123" s="1301">
        <f>X43/W43-1</f>
        <v>0.16935113129315171</v>
      </c>
      <c r="Y123" s="320"/>
      <c r="Z123" s="1292">
        <f>Z43/X43-1</f>
        <v>-0.29441542464629444</v>
      </c>
      <c r="AA123" s="320">
        <f>AA43/Z43-1</f>
        <v>0.83110779070460516</v>
      </c>
      <c r="AB123" s="320">
        <f>AB43/AA43-1</f>
        <v>-0.19244371901843538</v>
      </c>
      <c r="AC123" s="1301">
        <f>AC43/AB43-1</f>
        <v>-8.7974959337956737E-2</v>
      </c>
      <c r="AD123" s="320"/>
      <c r="AE123" s="1292">
        <f>AE43/AC43-1</f>
        <v>-9.1217883413007295E-2</v>
      </c>
      <c r="AF123" s="320">
        <f>AF43/AE43-1</f>
        <v>0.63999125358688302</v>
      </c>
      <c r="AG123" s="320">
        <f>AG43/AF43-1</f>
        <v>-0.19033391922130438</v>
      </c>
      <c r="AH123" s="1301">
        <f>AH43/AG43-1</f>
        <v>0.11661285967551493</v>
      </c>
      <c r="AI123" s="320"/>
      <c r="AJ123" s="1292">
        <f>AJ43/AH43-1</f>
        <v>-0.27147732186789508</v>
      </c>
      <c r="AK123" s="320">
        <f>AK43/AJ43-1</f>
        <v>0.86836051137897408</v>
      </c>
      <c r="AL123" s="320">
        <f>AL43/AK43-1</f>
        <v>-0.2822155777188825</v>
      </c>
      <c r="AM123" s="1301">
        <f>AM43/AL43-1</f>
        <v>1.7190485778266096E-2</v>
      </c>
      <c r="AN123" s="320"/>
      <c r="AO123" s="1292">
        <f>AO43/AM43-1</f>
        <v>-0.14275656711715246</v>
      </c>
      <c r="AP123" s="320">
        <f>AP43/AO43-1</f>
        <v>0.75362337276542779</v>
      </c>
      <c r="AQ123" s="320">
        <f>AQ43/AP43-1</f>
        <v>-0.20859175245165584</v>
      </c>
      <c r="AR123" s="1301">
        <f>AR43/AQ43-1</f>
        <v>-4.3444305290101237E-2</v>
      </c>
      <c r="AS123" s="320"/>
      <c r="AT123" s="1292">
        <f>AT43/AR43-1</f>
        <v>-0.13132578732475242</v>
      </c>
      <c r="AU123" s="320">
        <f>AU43/AT43-1</f>
        <v>0.72826266609918333</v>
      </c>
      <c r="AV123" s="320">
        <f>AV43/AU43-1</f>
        <v>-0.23409963089412966</v>
      </c>
      <c r="AW123" s="1301">
        <f>AW43/AV43-1</f>
        <v>-2.8372502955161472E-2</v>
      </c>
      <c r="AX123" s="320"/>
      <c r="AY123" s="1292">
        <f>AY43/AW43-1</f>
        <v>-7.7565076513106623E-2</v>
      </c>
      <c r="AZ123" s="320">
        <f>AZ43/AY43-1</f>
        <v>0.66038432010320003</v>
      </c>
      <c r="BA123" s="320">
        <f>BA43/AZ43-1</f>
        <v>-0.18428777872867586</v>
      </c>
      <c r="BB123" s="1301">
        <f>BB43/BA43-1</f>
        <v>-8.1208306959747456E-2</v>
      </c>
      <c r="BC123" s="320"/>
      <c r="BD123" s="1292">
        <f>BD43/BB43-1</f>
        <v>3.875890976993368E-2</v>
      </c>
      <c r="BE123" s="320">
        <f>BE43/BD43-1</f>
        <v>0.49362337973110937</v>
      </c>
      <c r="BF123" s="320">
        <f>BF43/BE43-1</f>
        <v>-0.16235549185438236</v>
      </c>
      <c r="BG123" s="1301">
        <f>BG43/BF43-1</f>
        <v>-0.19623301923231107</v>
      </c>
      <c r="BH123" s="320"/>
      <c r="BI123" s="1292">
        <f>BI43/BG43-1</f>
        <v>5.312753559156902E-2</v>
      </c>
      <c r="BJ123" s="320">
        <f>BJ43/BI43-1</f>
        <v>0.51817257284858598</v>
      </c>
      <c r="BK123" s="320">
        <f>BK43/BJ43-1</f>
        <v>-0.10187584923282988</v>
      </c>
      <c r="BL123" s="1301">
        <f>BL43/BK43-1</f>
        <v>-0.12031961512070832</v>
      </c>
      <c r="BM123" s="320"/>
      <c r="BN123" s="1292">
        <f>BN43/BL43-1</f>
        <v>5.0566024296982093E-2</v>
      </c>
      <c r="BO123" s="320">
        <f>BO43/BN43-1</f>
        <v>0.51937198798256468</v>
      </c>
      <c r="BP123" s="320">
        <f>BP43/BO43-1</f>
        <v>-0.13552693660084625</v>
      </c>
      <c r="BQ123" s="1301">
        <f>BQ43/BP43-1</f>
        <v>-0.29128782443461754</v>
      </c>
      <c r="BR123" s="320"/>
      <c r="BS123" s="1302">
        <f>BS43/BQ43-1</f>
        <v>0.15181886620713358</v>
      </c>
      <c r="BT123" s="320">
        <f>BT43/BS43-1</f>
        <v>0.50794964727059555</v>
      </c>
      <c r="BU123" s="320">
        <f>BU43/BT43-1</f>
        <v>-0.16273652420872775</v>
      </c>
      <c r="BV123" s="1303">
        <f>BV43/BU43-1</f>
        <v>-0.225321420464758</v>
      </c>
      <c r="BW123" s="949"/>
      <c r="BX123" s="1302">
        <f>BX43/BV43-1</f>
        <v>-7.7649693933700137E-2</v>
      </c>
      <c r="BY123" s="320">
        <f>BY43/BX43-1</f>
        <v>0.57068955603274785</v>
      </c>
      <c r="BZ123" s="320">
        <f>BZ43/BY43-1</f>
        <v>-0.18774263595166174</v>
      </c>
      <c r="CA123" s="1303">
        <f>CA43/BZ43-1</f>
        <v>-0.16504956068392529</v>
      </c>
      <c r="CB123" s="949"/>
      <c r="CC123" s="1302">
        <f>CC43/CA43-1</f>
        <v>0.12150896978313752</v>
      </c>
      <c r="CD123" s="320">
        <f>CD43/CC43-1</f>
        <v>0.37307406714128288</v>
      </c>
      <c r="CE123" s="320">
        <f>CE43/CD43-1</f>
        <v>-0.30242511697855878</v>
      </c>
      <c r="CF123" s="1303">
        <f>CF43/CE43-1</f>
        <v>3.3001712194630661E-2</v>
      </c>
      <c r="CG123" s="949"/>
      <c r="CH123" s="320">
        <f>CH43/CF43-1</f>
        <v>0.27459174122849972</v>
      </c>
      <c r="CI123" s="320">
        <f>CI43/CH43-1</f>
        <v>0.28278778983353159</v>
      </c>
      <c r="CJ123" s="320">
        <f>CJ43/CI43-1</f>
        <v>-0.17890060510123318</v>
      </c>
      <c r="CK123" s="320">
        <f>CK43/CJ43-1</f>
        <v>0.33001840473704824</v>
      </c>
      <c r="CL123" s="949"/>
      <c r="CM123" s="320">
        <f>CM43/CK43-1</f>
        <v>-0.2803140140032192</v>
      </c>
      <c r="CN123" s="320">
        <f>CN43/CM43-1</f>
        <v>0.24758081058425807</v>
      </c>
      <c r="CO123" s="320">
        <f>CO43/CN43-1</f>
        <v>-0.20512983228515791</v>
      </c>
      <c r="CP123" s="320">
        <f>CP43/CO43-1</f>
        <v>-0.36474462852874756</v>
      </c>
      <c r="CQ123" s="949"/>
      <c r="CR123" s="320">
        <f>CR43/CP43-1</f>
        <v>0.10121492577141278</v>
      </c>
      <c r="CS123" s="320">
        <f>CS43/CR43-1</f>
        <v>0.8262845196317905</v>
      </c>
      <c r="CT123" s="320">
        <f>CT43/CS43-1</f>
        <v>-0.17942301007994443</v>
      </c>
      <c r="CU123" s="320">
        <f>CU43/CT43-1</f>
        <v>5.4754357206566517E-2</v>
      </c>
      <c r="CV123" s="949"/>
      <c r="CW123" s="320">
        <f>CW43/CU43-1</f>
        <v>5.32178364760163E-2</v>
      </c>
      <c r="CX123" s="320">
        <f>CX43/CW43-1</f>
        <v>8.2415420781565052E-2</v>
      </c>
      <c r="CY123" s="320">
        <f>CY43/CX43-1</f>
        <v>-4.6299849884260613E-2</v>
      </c>
      <c r="CZ123" s="320">
        <f>CZ43/CY43-1</f>
        <v>-1.330922329777549</v>
      </c>
      <c r="DA123" s="949"/>
      <c r="DB123" s="320">
        <f>DB43/CZ43-1</f>
        <v>-4.6007554139458335</v>
      </c>
      <c r="DC123" s="320">
        <f>DC43/DB43-1</f>
        <v>1.1706823529411765</v>
      </c>
      <c r="DD123" s="320">
        <f>DD43/DC43-1</f>
        <v>-0.38805206915481627</v>
      </c>
      <c r="DE123" s="320">
        <f>DE43/DD43-1</f>
        <v>-0.98003253323858985</v>
      </c>
      <c r="DF123" s="949"/>
      <c r="DG123" s="320">
        <f>DG43/DF43-1</f>
        <v>-0.74889756439191912</v>
      </c>
      <c r="DH123" s="320">
        <f>DH43/DG43-1</f>
        <v>-0.15431031913942628</v>
      </c>
      <c r="DI123" s="320">
        <f>DI43/DH43-1</f>
        <v>0.18623948396582723</v>
      </c>
      <c r="DJ123" s="320">
        <f>DJ43/DI43-1</f>
        <v>-6.6869136431487064E-2</v>
      </c>
      <c r="DK123" s="949"/>
      <c r="DL123" s="320">
        <f>DL43/DK43-1</f>
        <v>-0.74675313958654477</v>
      </c>
      <c r="DM123" s="320">
        <f>DM43/DL43-1</f>
        <v>8.2867399050969848E-3</v>
      </c>
      <c r="DN123" s="320">
        <f>DN43/DM43-1</f>
        <v>9.9162916668119161E-2</v>
      </c>
      <c r="DO123" s="1303">
        <f>DO43/DN43-1</f>
        <v>-0.29476265474491503</v>
      </c>
      <c r="DP123" s="949"/>
      <c r="DQ123" s="320">
        <f>DQ43/DP43-1</f>
        <v>-0.78492088599129861</v>
      </c>
      <c r="DR123" s="320">
        <f ca="1">DR43/DQ43-1</f>
        <v>0.56286954477527518</v>
      </c>
      <c r="DS123" s="320">
        <f ca="1">DS43/DR43-1</f>
        <v>-3.4717876558766347E-2</v>
      </c>
      <c r="DT123" s="1303">
        <f ca="1">DT43/DS43-1</f>
        <v>-4.5824330025642235E-3</v>
      </c>
      <c r="DU123" s="949"/>
      <c r="DV123" s="1302">
        <f ca="1">DV43/DU43-1</f>
        <v>-0.75185717425136867</v>
      </c>
      <c r="DW123" s="320">
        <f ca="1">DW43/DV43-1</f>
        <v>0.24840085162059666</v>
      </c>
      <c r="DX123" s="320">
        <f ca="1">DX43/DW43-1</f>
        <v>2.6542922864559948E-2</v>
      </c>
      <c r="DY123" s="1303">
        <f ca="1">DY43/DX43-1</f>
        <v>3.5419357426883069E-2</v>
      </c>
      <c r="DZ123" s="949"/>
      <c r="EA123" s="1302">
        <f ca="1">EA43/DZ43-1</f>
        <v>-0.74034745504741983</v>
      </c>
      <c r="EB123" s="320">
        <f ca="1">EB43/EA43-1</f>
        <v>0.19344517457022548</v>
      </c>
      <c r="EC123" s="320">
        <f ca="1">EC43/EB43-1</f>
        <v>3.4694029977990315E-2</v>
      </c>
      <c r="ED123" s="1303">
        <f ca="1">ED43/EC43-1</f>
        <v>3.495519380218437E-2</v>
      </c>
      <c r="EE123" s="949"/>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row>
    <row r="124" spans="2:232" s="54" customFormat="1" ht="12" collapsed="1" thickBot="1">
      <c r="B124" s="694" t="s">
        <v>380</v>
      </c>
      <c r="C124" s="695"/>
      <c r="D124" s="695"/>
      <c r="E124" s="695"/>
      <c r="F124" s="695"/>
      <c r="G124" s="695"/>
      <c r="H124" s="695"/>
      <c r="I124" s="695"/>
      <c r="J124" s="695"/>
      <c r="K124" s="847"/>
      <c r="L124" s="1288">
        <f>L46/K46-1</f>
        <v>1.0724196981004606</v>
      </c>
      <c r="M124" s="1288">
        <f>M46/L46-1</f>
        <v>-0.28036353512676426</v>
      </c>
      <c r="N124" s="1304">
        <f>N46/M46-1</f>
        <v>-0.10915242261855751</v>
      </c>
      <c r="O124" s="1288"/>
      <c r="P124" s="1293">
        <f>P46/N46-1</f>
        <v>-4.5384321863768728E-2</v>
      </c>
      <c r="Q124" s="1288">
        <f>Q46/P46-1</f>
        <v>0.93562830467681679</v>
      </c>
      <c r="R124" s="1288">
        <f>R46/Q46-1</f>
        <v>-0.28362085162350426</v>
      </c>
      <c r="S124" s="1304">
        <f>S46/R46-1</f>
        <v>-8.6286453336163582E-2</v>
      </c>
      <c r="T124" s="1288"/>
      <c r="U124" s="1293">
        <f>U46/S46-1</f>
        <v>-0.34585906141036216</v>
      </c>
      <c r="V124" s="1288">
        <f>V46/U46-1</f>
        <v>1.6704166992815579</v>
      </c>
      <c r="W124" s="1288">
        <f>W46/V46-1</f>
        <v>-0.2143328008159241</v>
      </c>
      <c r="X124" s="1304">
        <f>X46/W46-1</f>
        <v>0.16935113129315171</v>
      </c>
      <c r="Y124" s="1288"/>
      <c r="Z124" s="1293">
        <f>Z46/X46-1</f>
        <v>-0.29441542464629444</v>
      </c>
      <c r="AA124" s="1288">
        <f>AA46/Z46-1</f>
        <v>0.83110779070460516</v>
      </c>
      <c r="AB124" s="1288">
        <f>AB46/AA46-1</f>
        <v>-0.19244371901843538</v>
      </c>
      <c r="AC124" s="1304">
        <f>AC46/AB46-1</f>
        <v>-8.7974959337956737E-2</v>
      </c>
      <c r="AD124" s="1288"/>
      <c r="AE124" s="1293">
        <f>AE46/AC46-1</f>
        <v>-9.1217883413007295E-2</v>
      </c>
      <c r="AF124" s="1288">
        <f>AF46/AE46-1</f>
        <v>0.63999125358688302</v>
      </c>
      <c r="AG124" s="1288">
        <f>AG46/AF46-1</f>
        <v>-0.19033391922130438</v>
      </c>
      <c r="AH124" s="1304">
        <f>AH46/AG46-1</f>
        <v>0.11661285967551493</v>
      </c>
      <c r="AI124" s="1288"/>
      <c r="AJ124" s="1293">
        <f>AJ46/AH46-1</f>
        <v>-0.27147732186789508</v>
      </c>
      <c r="AK124" s="1288">
        <f>AK46/AJ46-1</f>
        <v>0.86836051137897408</v>
      </c>
      <c r="AL124" s="1288">
        <f>AL46/AK46-1</f>
        <v>-0.2822155777188825</v>
      </c>
      <c r="AM124" s="1304">
        <f>AM46/AL46-1</f>
        <v>1.7190485778266096E-2</v>
      </c>
      <c r="AN124" s="1288"/>
      <c r="AO124" s="1293">
        <f>AO46/AM46-1</f>
        <v>-0.14275656711715246</v>
      </c>
      <c r="AP124" s="1288">
        <f>AP46/AO46-1</f>
        <v>0.75362337276542779</v>
      </c>
      <c r="AQ124" s="1288">
        <f>AQ46/AP46-1</f>
        <v>-0.20859175245165584</v>
      </c>
      <c r="AR124" s="1304">
        <f>AR46/AQ46-1</f>
        <v>-4.3444305290101237E-2</v>
      </c>
      <c r="AS124" s="1288"/>
      <c r="AT124" s="1293">
        <f>AT46/AR46-1</f>
        <v>-0.17336493023690958</v>
      </c>
      <c r="AU124" s="1288">
        <f>AU46/AT46-1</f>
        <v>0.81615475278589011</v>
      </c>
      <c r="AV124" s="1288">
        <f>AV46/AU46-1</f>
        <v>-0.26618063896297817</v>
      </c>
      <c r="AW124" s="1304">
        <f>AW46/AV46-1</f>
        <v>1.4104966607048519E-2</v>
      </c>
      <c r="AX124" s="1288"/>
      <c r="AY124" s="1293">
        <f>AY46/AW46-1</f>
        <v>-7.7565076513106623E-2</v>
      </c>
      <c r="AZ124" s="1288">
        <f>AZ46/AY46-1</f>
        <v>0.70033747100028032</v>
      </c>
      <c r="BA124" s="1288">
        <f>BA46/AZ46-1</f>
        <v>-0.20345472295056222</v>
      </c>
      <c r="BB124" s="1304">
        <f>BB46/BA46-1</f>
        <v>-8.1208306959747456E-2</v>
      </c>
      <c r="BC124" s="1288"/>
      <c r="BD124" s="1293">
        <f>BD46/BB46-1</f>
        <v>3.875890976993368E-2</v>
      </c>
      <c r="BE124" s="1288">
        <f>BE46/BD46-1</f>
        <v>0.49362337973110937</v>
      </c>
      <c r="BF124" s="1288">
        <f>BF46/BE46-1</f>
        <v>-0.16235549185438236</v>
      </c>
      <c r="BG124" s="1304">
        <f>BG46/BF46-1</f>
        <v>-0.19623301923231107</v>
      </c>
      <c r="BH124" s="1288"/>
      <c r="BI124" s="1293">
        <f>BI46/BG46-1</f>
        <v>5.312753559156902E-2</v>
      </c>
      <c r="BJ124" s="1288">
        <f>BJ46/BI46-1</f>
        <v>0.51817257284858598</v>
      </c>
      <c r="BK124" s="1288">
        <f>BK46/BJ46-1</f>
        <v>-0.10187584923282988</v>
      </c>
      <c r="BL124" s="1304">
        <f>BL46/BK46-1</f>
        <v>-0.12031961512070832</v>
      </c>
      <c r="BM124" s="1288"/>
      <c r="BN124" s="1293">
        <f>BN46/BL46-1</f>
        <v>5.0566024296982093E-2</v>
      </c>
      <c r="BO124" s="1288">
        <f>BO46/BN46-1</f>
        <v>0.51937198798256468</v>
      </c>
      <c r="BP124" s="1288">
        <f>BP46/BO46-1</f>
        <v>-0.13552693660084625</v>
      </c>
      <c r="BQ124" s="1304">
        <f>BQ46/BP46-1</f>
        <v>-0.29128782443461754</v>
      </c>
      <c r="BR124" s="1288"/>
      <c r="BS124" s="1305">
        <f>BS46/BQ46-1</f>
        <v>0.15181886620713358</v>
      </c>
      <c r="BT124" s="1288">
        <f>BT46/BS46-1</f>
        <v>0.50794964727059555</v>
      </c>
      <c r="BU124" s="1288">
        <f>BU46/BT46-1</f>
        <v>-0.16273652420872775</v>
      </c>
      <c r="BV124" s="1306">
        <f>BV46/BU46-1</f>
        <v>-0.225321420464758</v>
      </c>
      <c r="BW124" s="1287"/>
      <c r="BX124" s="1305">
        <f>BX46/BV46-1</f>
        <v>-7.7649693933700137E-2</v>
      </c>
      <c r="BY124" s="1288">
        <f>BY46/BX46-1</f>
        <v>0.57068955603274785</v>
      </c>
      <c r="BZ124" s="1288">
        <f>BZ46/BY46-1</f>
        <v>-0.18774263595166174</v>
      </c>
      <c r="CA124" s="1306">
        <f>CA46/BZ46-1</f>
        <v>-0.16504956068392529</v>
      </c>
      <c r="CB124" s="1287"/>
      <c r="CC124" s="1305">
        <f>CC46/CA46-1</f>
        <v>0.22471531669569633</v>
      </c>
      <c r="CD124" s="1288">
        <f>CD46/CC46-1</f>
        <v>0.33442385742816438</v>
      </c>
      <c r="CE124" s="1288">
        <f>CE46/CD46-1</f>
        <v>-0.21919910501706785</v>
      </c>
      <c r="CF124" s="1306">
        <f>CF46/CE46-1</f>
        <v>4.6650965614696283E-3</v>
      </c>
      <c r="CG124" s="1287"/>
      <c r="CH124" s="1288">
        <f>CH46/CF46-1</f>
        <v>0.21546369988936087</v>
      </c>
      <c r="CI124" s="1288">
        <f>CI46/CH46-1</f>
        <v>0.263606591657223</v>
      </c>
      <c r="CJ124" s="1288">
        <f>CJ46/CI46-1</f>
        <v>-0.15933436848131244</v>
      </c>
      <c r="CK124" s="1288">
        <f>CK46/CJ46-1</f>
        <v>-9.4680654048304724E-2</v>
      </c>
      <c r="CL124" s="1287"/>
      <c r="CM124" s="1288">
        <f>CM46/CK46-1</f>
        <v>7.9460767946577748E-2</v>
      </c>
      <c r="CN124" s="1288">
        <f>CN46/CM46-1</f>
        <v>0.23503108510443016</v>
      </c>
      <c r="CO124" s="1288">
        <f>CO46/CN46-1</f>
        <v>-0.17889960886571055</v>
      </c>
      <c r="CP124" s="1288">
        <f>CP46/CO46-1</f>
        <v>-0.125</v>
      </c>
      <c r="CQ124" s="1287"/>
      <c r="CR124" s="1288">
        <f>CR46/CP46-1</f>
        <v>-7.7189047752546425E-2</v>
      </c>
      <c r="CS124" s="1288">
        <f>CS46/CR46-1</f>
        <v>0.65079314500572982</v>
      </c>
      <c r="CT124" s="1288">
        <f>CT46/CS46-1</f>
        <v>-0.11775038889553668</v>
      </c>
      <c r="CU124" s="1288">
        <f>CU46/CT46-1</f>
        <v>-0.13393272025848557</v>
      </c>
      <c r="CV124" s="1287"/>
      <c r="CW124" s="1288">
        <f>CW46/CU46-1</f>
        <v>-2.4224080074314092E-2</v>
      </c>
      <c r="CX124" s="1288">
        <f>CX46/CW46-1</f>
        <v>0.2761498198561263</v>
      </c>
      <c r="CY124" s="1288">
        <f>CY46/CX46-1</f>
        <v>-6.3524089593747224E-4</v>
      </c>
      <c r="CZ124" s="1288">
        <f>CZ46/CY46-1</f>
        <v>-0.19164360572333405</v>
      </c>
      <c r="DA124" s="1287"/>
      <c r="DB124" s="1288">
        <f>DB46/CZ46-1</f>
        <v>6.2077487898925199E-2</v>
      </c>
      <c r="DC124" s="1288">
        <f>DC46/DB46-1</f>
        <v>0.50545406580475283</v>
      </c>
      <c r="DD124" s="1288">
        <f>DD46/DC46-1</f>
        <v>-0.13632744867672542</v>
      </c>
      <c r="DE124" s="1288">
        <f>DE46/DD46-1</f>
        <v>-0.13721094493006458</v>
      </c>
      <c r="DF124" s="1287"/>
      <c r="DG124" s="1288">
        <f>DG46/DF46-1</f>
        <v>-0.73416376601264632</v>
      </c>
      <c r="DH124" s="1288">
        <f>DH46/DG46-1</f>
        <v>0.2688478110962631</v>
      </c>
      <c r="DI124" s="1288">
        <f>DI46/DH46-1</f>
        <v>-9.4703639359832947E-2</v>
      </c>
      <c r="DJ124" s="1288">
        <f>DJ46/DI46-1</f>
        <v>-9.5385532342054158E-2</v>
      </c>
      <c r="DK124" s="1287"/>
      <c r="DL124" s="1288">
        <f>DL46/DK46-1</f>
        <v>-0.75968584978232334</v>
      </c>
      <c r="DM124" s="1288">
        <f>DM46/DL46-1</f>
        <v>0.23214594317417792</v>
      </c>
      <c r="DN124" s="1288">
        <f>DN46/DM46-1</f>
        <v>-2.1097520923481716E-2</v>
      </c>
      <c r="DO124" s="1306">
        <f>DO46/DN46-1</f>
        <v>-1.7906460139401892E-2</v>
      </c>
      <c r="DP124" s="1287"/>
      <c r="DQ124" s="1288">
        <f>DQ46/DP46-1</f>
        <v>-0.74894346773531351</v>
      </c>
      <c r="DR124" s="1288">
        <f ca="1">DR46/DQ46-1</f>
        <v>0.20306614907862763</v>
      </c>
      <c r="DS124" s="1288">
        <f ca="1">DS46/DR46-1</f>
        <v>-1.8415015250647038E-2</v>
      </c>
      <c r="DT124" s="1306">
        <f ca="1">DT46/DS46-1</f>
        <v>-5.1372552486323331E-2</v>
      </c>
      <c r="DU124" s="1287"/>
      <c r="DV124" s="1305">
        <f ca="1">DV46/DU46-1</f>
        <v>-0.75447928807198816</v>
      </c>
      <c r="DW124" s="1288">
        <f ca="1">DW46/DV46-1</f>
        <v>0.19654046324335006</v>
      </c>
      <c r="DX124" s="1288">
        <f ca="1">DX46/DW46-1</f>
        <v>2.4139274360511553E-2</v>
      </c>
      <c r="DY124" s="1306">
        <f ca="1">DY46/DX46-1</f>
        <v>-1.183920803740568E-2</v>
      </c>
      <c r="DZ124" s="1287"/>
      <c r="EA124" s="1305">
        <f ca="1">EA46/DZ46-1</f>
        <v>-0.76561650083836219</v>
      </c>
      <c r="EB124" s="1288">
        <f ca="1">EB46/EA46-1</f>
        <v>0.17626668895146391</v>
      </c>
      <c r="EC124" s="1288">
        <f ca="1">EC46/EB46-1</f>
        <v>3.3286680019263493E-2</v>
      </c>
      <c r="ED124" s="1306">
        <f ca="1">ED46/EC46-1</f>
        <v>-8.8938973448789982E-3</v>
      </c>
      <c r="EE124" s="1287"/>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row>
    <row r="125" spans="2:232" s="54" customFormat="1" ht="12" thickBot="1">
      <c r="B125" s="55"/>
      <c r="C125" s="55"/>
      <c r="E125" s="374"/>
      <c r="F125" s="374"/>
      <c r="G125" s="374"/>
      <c r="H125" s="374"/>
      <c r="I125" s="374"/>
      <c r="J125" s="374"/>
      <c r="K125" s="379"/>
      <c r="L125" s="379"/>
      <c r="M125" s="379"/>
      <c r="N125" s="380"/>
      <c r="O125" s="374"/>
      <c r="P125" s="379"/>
      <c r="Q125" s="379"/>
      <c r="R125" s="379"/>
      <c r="S125" s="380"/>
      <c r="T125" s="374"/>
      <c r="U125" s="379"/>
      <c r="V125" s="379"/>
      <c r="W125" s="379"/>
      <c r="X125" s="380"/>
      <c r="Y125" s="374"/>
      <c r="Z125" s="379"/>
      <c r="AA125" s="379"/>
      <c r="AB125" s="379"/>
      <c r="AC125" s="380"/>
      <c r="AD125" s="374"/>
      <c r="AE125" s="379"/>
      <c r="AF125" s="379"/>
      <c r="AG125" s="379"/>
      <c r="AH125" s="380"/>
      <c r="AI125" s="374"/>
      <c r="AJ125" s="379"/>
      <c r="AK125" s="379"/>
      <c r="AL125" s="379"/>
      <c r="AM125" s="380"/>
      <c r="AN125" s="374"/>
      <c r="AO125" s="379"/>
      <c r="AP125" s="379"/>
      <c r="AQ125" s="379"/>
      <c r="AR125" s="380"/>
      <c r="AS125" s="374"/>
      <c r="AT125" s="379"/>
      <c r="AU125" s="379"/>
      <c r="AV125" s="379"/>
      <c r="AW125" s="380"/>
      <c r="AX125" s="374"/>
      <c r="AY125" s="379"/>
      <c r="AZ125" s="379"/>
      <c r="BA125" s="379"/>
      <c r="BB125" s="380"/>
      <c r="BC125" s="374"/>
      <c r="BD125" s="379"/>
      <c r="BE125" s="379"/>
      <c r="BF125" s="379"/>
      <c r="BG125" s="380"/>
      <c r="BH125" s="374"/>
      <c r="BI125" s="379"/>
      <c r="BJ125" s="379"/>
      <c r="BK125" s="379"/>
      <c r="BL125" s="380"/>
      <c r="BM125" s="374"/>
      <c r="BN125" s="379"/>
      <c r="BO125" s="379"/>
      <c r="BP125" s="379"/>
      <c r="BQ125" s="380"/>
      <c r="BR125" s="374"/>
      <c r="BS125" s="379"/>
      <c r="BT125" s="379"/>
      <c r="BU125" s="379"/>
      <c r="BV125" s="380"/>
      <c r="BW125" s="374"/>
      <c r="BX125" s="381"/>
      <c r="BY125" s="379"/>
      <c r="BZ125" s="379"/>
      <c r="CA125" s="380"/>
      <c r="CB125" s="374"/>
      <c r="CC125" s="381"/>
      <c r="CD125" s="381"/>
      <c r="CE125" s="381"/>
      <c r="CF125" s="381"/>
      <c r="CG125" s="382"/>
      <c r="CH125" s="381"/>
      <c r="CI125" s="381"/>
      <c r="CJ125" s="381"/>
      <c r="CK125" s="381"/>
      <c r="CL125" s="382"/>
      <c r="CM125" s="381"/>
      <c r="CN125" s="381"/>
      <c r="CO125" s="381"/>
      <c r="CP125" s="381"/>
      <c r="CQ125" s="374"/>
      <c r="CR125" s="62"/>
      <c r="CS125" s="62"/>
      <c r="CT125" s="62"/>
      <c r="CU125" s="62"/>
      <c r="CV125" s="374"/>
      <c r="CW125" s="62"/>
      <c r="CX125" s="62"/>
      <c r="CY125" s="62"/>
      <c r="CZ125" s="1601"/>
      <c r="DA125" s="1602"/>
      <c r="DB125" s="1601"/>
      <c r="DC125" s="1601"/>
      <c r="DD125" s="1601"/>
      <c r="DE125" s="1601"/>
      <c r="DF125" s="374"/>
      <c r="DG125" s="1601"/>
      <c r="DH125" s="1601"/>
      <c r="DI125" s="1601"/>
      <c r="DJ125" s="1601"/>
      <c r="DK125" s="374"/>
      <c r="DL125" s="1601"/>
      <c r="DM125" s="1601"/>
      <c r="DN125" s="1601"/>
      <c r="DO125" s="320"/>
      <c r="DP125" s="374"/>
      <c r="DQ125" s="320"/>
      <c r="DR125" s="320"/>
      <c r="DS125" s="320"/>
      <c r="DT125" s="320"/>
      <c r="DU125" s="374"/>
      <c r="DV125" s="320"/>
      <c r="DW125" s="320"/>
      <c r="DX125" s="320"/>
      <c r="DY125" s="320"/>
      <c r="DZ125" s="374"/>
      <c r="EA125" s="320"/>
      <c r="EB125" s="320"/>
      <c r="EC125" s="320"/>
      <c r="ED125" s="320"/>
      <c r="EE125" s="374"/>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row>
    <row r="126" spans="2:232" s="54" customFormat="1" ht="12" thickBot="1">
      <c r="B126" s="683" t="s">
        <v>252</v>
      </c>
      <c r="C126" s="684"/>
      <c r="D126" s="684"/>
      <c r="E126" s="685"/>
      <c r="F126" s="685"/>
      <c r="G126" s="685"/>
      <c r="H126" s="685"/>
      <c r="I126" s="685"/>
      <c r="J126" s="685"/>
      <c r="K126" s="684"/>
      <c r="L126" s="684"/>
      <c r="M126" s="684"/>
      <c r="N126" s="684"/>
      <c r="O126" s="685"/>
      <c r="P126" s="684"/>
      <c r="Q126" s="684"/>
      <c r="R126" s="684"/>
      <c r="S126" s="684"/>
      <c r="T126" s="685"/>
      <c r="U126" s="684"/>
      <c r="V126" s="684"/>
      <c r="W126" s="684"/>
      <c r="X126" s="684"/>
      <c r="Y126" s="685"/>
      <c r="Z126" s="684"/>
      <c r="AA126" s="684"/>
      <c r="AB126" s="684"/>
      <c r="AC126" s="684"/>
      <c r="AD126" s="685"/>
      <c r="AE126" s="684"/>
      <c r="AF126" s="684"/>
      <c r="AG126" s="684"/>
      <c r="AH126" s="684"/>
      <c r="AI126" s="685"/>
      <c r="AJ126" s="684"/>
      <c r="AK126" s="684"/>
      <c r="AL126" s="684"/>
      <c r="AM126" s="684"/>
      <c r="AN126" s="685"/>
      <c r="AO126" s="684"/>
      <c r="AP126" s="684"/>
      <c r="AQ126" s="684"/>
      <c r="AR126" s="684"/>
      <c r="AS126" s="685"/>
      <c r="AT126" s="684"/>
      <c r="AU126" s="684"/>
      <c r="AV126" s="684"/>
      <c r="AW126" s="684"/>
      <c r="AX126" s="685"/>
      <c r="AY126" s="684"/>
      <c r="AZ126" s="684"/>
      <c r="BA126" s="684"/>
      <c r="BB126" s="684"/>
      <c r="BC126" s="685"/>
      <c r="BD126" s="684"/>
      <c r="BE126" s="684"/>
      <c r="BF126" s="684"/>
      <c r="BG126" s="684"/>
      <c r="BH126" s="685"/>
      <c r="BI126" s="684"/>
      <c r="BJ126" s="684"/>
      <c r="BK126" s="684"/>
      <c r="BL126" s="684"/>
      <c r="BM126" s="685"/>
      <c r="BN126" s="684"/>
      <c r="BO126" s="684"/>
      <c r="BP126" s="684"/>
      <c r="BQ126" s="684"/>
      <c r="BR126" s="685"/>
      <c r="BS126" s="684"/>
      <c r="BT126" s="684"/>
      <c r="BU126" s="684"/>
      <c r="BV126" s="684"/>
      <c r="BW126" s="685"/>
      <c r="BX126" s="684"/>
      <c r="BY126" s="684"/>
      <c r="BZ126" s="684"/>
      <c r="CA126" s="684"/>
      <c r="CB126" s="685"/>
      <c r="CC126" s="684"/>
      <c r="CD126" s="684"/>
      <c r="CE126" s="686"/>
      <c r="CF126" s="686"/>
      <c r="CG126" s="685"/>
      <c r="CH126" s="686"/>
      <c r="CI126" s="686"/>
      <c r="CJ126" s="686"/>
      <c r="CK126" s="686"/>
      <c r="CL126" s="687"/>
      <c r="CM126" s="684"/>
      <c r="CN126" s="684"/>
      <c r="CO126" s="684"/>
      <c r="CP126" s="684"/>
      <c r="CQ126" s="685"/>
      <c r="CR126" s="684"/>
      <c r="CS126" s="684"/>
      <c r="CT126" s="684"/>
      <c r="CU126" s="684"/>
      <c r="CV126" s="685"/>
      <c r="CW126" s="684"/>
      <c r="CX126" s="684"/>
      <c r="CY126" s="684"/>
      <c r="CZ126" s="684"/>
      <c r="DA126" s="685"/>
      <c r="DB126" s="684"/>
      <c r="DC126" s="684"/>
      <c r="DD126" s="684"/>
      <c r="DE126" s="684"/>
      <c r="DF126" s="688"/>
      <c r="DG126" s="684"/>
      <c r="DH126" s="684"/>
      <c r="DI126" s="684"/>
      <c r="DJ126" s="684"/>
      <c r="DK126" s="688"/>
      <c r="DL126" s="684"/>
      <c r="DM126" s="684"/>
      <c r="DN126" s="684"/>
      <c r="DO126" s="688"/>
      <c r="DP126" s="688"/>
      <c r="DQ126" s="685"/>
      <c r="DR126" s="685"/>
      <c r="DS126" s="685"/>
      <c r="DT126" s="688"/>
      <c r="DU126" s="688"/>
      <c r="DV126" s="685"/>
      <c r="DW126" s="685"/>
      <c r="DX126" s="685"/>
      <c r="DY126" s="688"/>
      <c r="DZ126" s="688"/>
      <c r="EA126" s="685"/>
      <c r="EB126" s="685"/>
      <c r="EC126" s="685"/>
      <c r="ED126" s="688"/>
      <c r="EE126" s="688"/>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row>
    <row r="127" spans="2:232" s="54" customFormat="1">
      <c r="B127" s="689" t="s">
        <v>298</v>
      </c>
      <c r="C127" s="690"/>
      <c r="D127" s="690"/>
      <c r="E127" s="690"/>
      <c r="F127" s="690"/>
      <c r="G127" s="690"/>
      <c r="H127" s="690"/>
      <c r="I127" s="690"/>
      <c r="J127" s="690"/>
      <c r="K127" s="691"/>
      <c r="L127" s="690"/>
      <c r="M127" s="690"/>
      <c r="N127" s="692"/>
      <c r="O127" s="690">
        <f>O108-J108</f>
        <v>-2.7891014897789557E-3</v>
      </c>
      <c r="P127" s="691"/>
      <c r="Q127" s="690">
        <f t="shared" ref="Q127:S129" si="409">Q96-P96</f>
        <v>8.1051932439168972E-3</v>
      </c>
      <c r="R127" s="690">
        <f t="shared" si="409"/>
        <v>-6.5142622018668495E-3</v>
      </c>
      <c r="S127" s="692">
        <f t="shared" si="409"/>
        <v>2.9450261328445304E-5</v>
      </c>
      <c r="T127" s="690"/>
      <c r="U127" s="691">
        <f>U96-S96</f>
        <v>-2.6750507647751998E-3</v>
      </c>
      <c r="V127" s="690">
        <f t="shared" ref="V127:X129" si="410">V96-U96</f>
        <v>6.4829158105345064E-3</v>
      </c>
      <c r="W127" s="690">
        <f t="shared" si="410"/>
        <v>-5.696948209147068E-3</v>
      </c>
      <c r="X127" s="692">
        <f t="shared" si="410"/>
        <v>1.9372207842615619E-3</v>
      </c>
      <c r="Y127" s="690"/>
      <c r="Z127" s="691">
        <f>Z96-X96</f>
        <v>-4.3516992300568491E-3</v>
      </c>
      <c r="AA127" s="690">
        <f t="shared" ref="AA127:AC129" si="411">AA96-Z96</f>
        <v>9.2426487343058028E-3</v>
      </c>
      <c r="AB127" s="690">
        <f t="shared" si="411"/>
        <v>-5.4202970137142703E-3</v>
      </c>
      <c r="AC127" s="692">
        <f t="shared" si="411"/>
        <v>-1.7251279695497113E-3</v>
      </c>
      <c r="AD127" s="690"/>
      <c r="AE127" s="691">
        <f>AE96-AC96</f>
        <v>-5.7201413926257771E-3</v>
      </c>
      <c r="AF127" s="690">
        <f t="shared" ref="AF127:AH129" si="412">AF96-AE96</f>
        <v>7.7767310374695642E-3</v>
      </c>
      <c r="AG127" s="690">
        <f t="shared" si="412"/>
        <v>-6.1949460589504901E-3</v>
      </c>
      <c r="AH127" s="692">
        <f t="shared" si="412"/>
        <v>4.9951063397683515E-3</v>
      </c>
      <c r="AI127" s="690"/>
      <c r="AJ127" s="691">
        <f>AJ96-AH96</f>
        <v>-8.9326884762168102E-3</v>
      </c>
      <c r="AK127" s="690">
        <f t="shared" ref="AK127:AM129" si="413">AK96-AJ96</f>
        <v>1.0379388788375576E-2</v>
      </c>
      <c r="AL127" s="690">
        <f t="shared" si="413"/>
        <v>-1.3122462067289342E-2</v>
      </c>
      <c r="AM127" s="692">
        <f t="shared" si="413"/>
        <v>2.4357364582157093E-3</v>
      </c>
      <c r="AN127" s="690"/>
      <c r="AO127" s="691">
        <f>AO96-AM96</f>
        <v>-5.9027947335756337E-3</v>
      </c>
      <c r="AP127" s="690">
        <f t="shared" ref="AP127:AR129" si="414">AP96-AO96</f>
        <v>1.2753229983894832E-2</v>
      </c>
      <c r="AQ127" s="690">
        <f t="shared" si="414"/>
        <v>-9.7450299265877671E-3</v>
      </c>
      <c r="AR127" s="692">
        <f t="shared" si="414"/>
        <v>5.7189233653075489E-3</v>
      </c>
      <c r="AS127" s="690"/>
      <c r="AT127" s="691">
        <f>AT96-AR96</f>
        <v>-9.4686953068506829E-4</v>
      </c>
      <c r="AU127" s="690">
        <f t="shared" ref="AU127:AW129" si="415">AU96-AT96</f>
        <v>1.137982039878227E-2</v>
      </c>
      <c r="AV127" s="690">
        <f t="shared" si="415"/>
        <v>-1.0238595419009011E-2</v>
      </c>
      <c r="AW127" s="692">
        <f t="shared" si="415"/>
        <v>2.0918393592620488E-3</v>
      </c>
      <c r="AX127" s="690"/>
      <c r="AY127" s="691">
        <f>AY96-AW96</f>
        <v>-6.1144743905862664E-3</v>
      </c>
      <c r="AZ127" s="690">
        <f t="shared" ref="AZ127:BB129" si="416">AZ96-AY96</f>
        <v>1.28352608614824E-2</v>
      </c>
      <c r="BA127" s="690">
        <f t="shared" si="416"/>
        <v>-7.4604415409461611E-3</v>
      </c>
      <c r="BB127" s="692">
        <f t="shared" si="416"/>
        <v>8.2057301176020059E-3</v>
      </c>
      <c r="BC127" s="690"/>
      <c r="BD127" s="691">
        <f>BD96-BB96</f>
        <v>-3.502549555667589E-3</v>
      </c>
      <c r="BE127" s="690">
        <f t="shared" ref="BE127:BG129" si="417">BE96-BD96</f>
        <v>1.1110004893745529E-2</v>
      </c>
      <c r="BF127" s="690">
        <f t="shared" si="417"/>
        <v>-6.4480170376967627E-3</v>
      </c>
      <c r="BG127" s="692">
        <f t="shared" si="417"/>
        <v>9.8987750696971633E-4</v>
      </c>
      <c r="BH127" s="690"/>
      <c r="BI127" s="691">
        <f>BI96-BG96</f>
        <v>-4.0299965027650875E-3</v>
      </c>
      <c r="BJ127" s="690">
        <f t="shared" ref="BJ127:BL129" si="418">BJ96-BI96</f>
        <v>8.9607948177641839E-3</v>
      </c>
      <c r="BK127" s="690">
        <f t="shared" si="418"/>
        <v>-9.8184303967672748E-3</v>
      </c>
      <c r="BL127" s="692">
        <f t="shared" si="418"/>
        <v>1.7867674389189236E-3</v>
      </c>
      <c r="BM127" s="690"/>
      <c r="BN127" s="691">
        <f>BN96-BL96</f>
        <v>4.9772593724985992E-3</v>
      </c>
      <c r="BO127" s="690">
        <f t="shared" ref="BO127:BQ129" si="419">BO96-BN96</f>
        <v>8.2880968936562827E-3</v>
      </c>
      <c r="BP127" s="690">
        <f t="shared" si="419"/>
        <v>-6.6006741942714053E-3</v>
      </c>
      <c r="BQ127" s="692">
        <f t="shared" si="419"/>
        <v>-3.2450812336901613E-3</v>
      </c>
      <c r="BR127" s="690"/>
      <c r="BS127" s="691">
        <f>BS96-BQ96</f>
        <v>-2.9007242921358367E-4</v>
      </c>
      <c r="BT127" s="690">
        <f t="shared" ref="BT127:BV129" si="420">BT96-BS96</f>
        <v>9.0282276113118343E-3</v>
      </c>
      <c r="BU127" s="690">
        <f t="shared" si="420"/>
        <v>-5.7847743586498801E-3</v>
      </c>
      <c r="BV127" s="692">
        <f t="shared" si="420"/>
        <v>-6.3533543118968749E-3</v>
      </c>
      <c r="BW127" s="690"/>
      <c r="BX127" s="690">
        <f>BX96-BV96</f>
        <v>1.317224956619012E-3</v>
      </c>
      <c r="BY127" s="690">
        <f t="shared" ref="BY127:CA129" si="421">BY96-BX96</f>
        <v>4.9561216449868217E-3</v>
      </c>
      <c r="BZ127" s="690">
        <f t="shared" si="421"/>
        <v>-7.5936003085452231E-3</v>
      </c>
      <c r="CA127" s="1637">
        <f t="shared" si="421"/>
        <v>1.6852891954970972E-3</v>
      </c>
      <c r="CB127" s="696"/>
      <c r="CC127" s="690">
        <f>CC96-CA96</f>
        <v>5.5365755434622077E-4</v>
      </c>
      <c r="CD127" s="690">
        <f t="shared" ref="CD127:CF129" si="422">CD96-CC96</f>
        <v>1.0963212741645745E-2</v>
      </c>
      <c r="CE127" s="690">
        <f t="shared" si="422"/>
        <v>-1.2158567692631517E-2</v>
      </c>
      <c r="CF127" s="690">
        <f t="shared" si="422"/>
        <v>7.9338299848080163E-3</v>
      </c>
      <c r="CG127" s="696"/>
      <c r="CH127" s="690">
        <f>CH96-CF96</f>
        <v>1.0584727031324737E-3</v>
      </c>
      <c r="CI127" s="690">
        <f t="shared" ref="CI127:CK129" si="423">CI96-CH96</f>
        <v>2.6396680063709432E-3</v>
      </c>
      <c r="CJ127" s="690">
        <f t="shared" si="423"/>
        <v>-7.2018071702343867E-3</v>
      </c>
      <c r="CK127" s="690">
        <f t="shared" si="423"/>
        <v>1.5774781966577112E-3</v>
      </c>
      <c r="CL127" s="696"/>
      <c r="CM127" s="690">
        <f>CM96-CK96</f>
        <v>-1.0246398534143886E-3</v>
      </c>
      <c r="CN127" s="690">
        <f t="shared" ref="CN127:CP129" si="424">CN96-CM96</f>
        <v>7.835224328970547E-3</v>
      </c>
      <c r="CO127" s="690">
        <f t="shared" si="424"/>
        <v>-6.491882668505311E-3</v>
      </c>
      <c r="CP127" s="690">
        <f t="shared" si="424"/>
        <v>7.4864087982923211E-4</v>
      </c>
      <c r="CQ127" s="696"/>
      <c r="CR127" s="690">
        <f>CR96-CP96</f>
        <v>1.1271855367796346E-2</v>
      </c>
      <c r="CS127" s="690">
        <f t="shared" ref="CS127:CU129" si="425">CS96-CR96</f>
        <v>6.2242558220463318E-3</v>
      </c>
      <c r="CT127" s="690">
        <f t="shared" si="425"/>
        <v>-1.5539176470445948E-2</v>
      </c>
      <c r="CU127" s="690">
        <f t="shared" si="425"/>
        <v>4.1846483507453347E-3</v>
      </c>
      <c r="CV127" s="696"/>
      <c r="CW127" s="690">
        <f>CW96-CU96</f>
        <v>-8.2526521687990018E-3</v>
      </c>
      <c r="CX127" s="690">
        <f t="shared" ref="CX127:CZ128" si="426">CX96-CW96</f>
        <v>7.1071678081411349E-3</v>
      </c>
      <c r="CY127" s="690">
        <f t="shared" si="426"/>
        <v>-7.7938701761206541E-3</v>
      </c>
      <c r="CZ127" s="690">
        <f t="shared" si="426"/>
        <v>-8.6808607515398428E-4</v>
      </c>
      <c r="DA127" s="696"/>
      <c r="DB127" s="690">
        <f>DB96-CZ96</f>
        <v>-8.6901056706711888E-3</v>
      </c>
      <c r="DC127" s="690">
        <f t="shared" ref="DC127:DQ128" si="427">DC96-DB96</f>
        <v>-1.1855042185784981E-2</v>
      </c>
      <c r="DD127" s="690">
        <f t="shared" si="427"/>
        <v>8.1736526533299214E-4</v>
      </c>
      <c r="DE127" s="690">
        <f t="shared" si="427"/>
        <v>-5.0863908783413958E-3</v>
      </c>
      <c r="DF127" s="696"/>
      <c r="DG127" s="690">
        <f t="shared" si="427"/>
        <v>-1.8804726331471677E-3</v>
      </c>
      <c r="DH127" s="690">
        <f t="shared" si="427"/>
        <v>4.7901750194074832E-3</v>
      </c>
      <c r="DI127" s="690">
        <f t="shared" si="427"/>
        <v>-9.0329698777729117E-3</v>
      </c>
      <c r="DJ127" s="690">
        <f t="shared" si="427"/>
        <v>-4.2925082337173792E-3</v>
      </c>
      <c r="DK127" s="696"/>
      <c r="DL127" s="690">
        <f t="shared" si="427"/>
        <v>-6.8029779797602885E-3</v>
      </c>
      <c r="DM127" s="690">
        <f t="shared" si="427"/>
        <v>7.0996637833634912E-3</v>
      </c>
      <c r="DN127" s="690">
        <f t="shared" si="427"/>
        <v>-1.9541565723215693E-2</v>
      </c>
      <c r="DO127" s="1637">
        <f t="shared" si="427"/>
        <v>6.2239463999013145E-3</v>
      </c>
      <c r="DP127" s="696"/>
      <c r="DQ127" s="690">
        <f t="shared" si="427"/>
        <v>-7.8788406178757486E-3</v>
      </c>
      <c r="DR127" s="690">
        <f t="shared" ref="DR127:DT128" ca="1" si="428">DR96-DQ96</f>
        <v>8.3939323883450712E-3</v>
      </c>
      <c r="DS127" s="690">
        <f t="shared" ca="1" si="428"/>
        <v>-6.9350661313900275E-3</v>
      </c>
      <c r="DT127" s="1637">
        <f t="shared" ca="1" si="428"/>
        <v>9.7041293451752275E-4</v>
      </c>
      <c r="DU127" s="696"/>
      <c r="DV127" s="1636">
        <f t="shared" ref="DV127:DV128" ca="1" si="429">DV96-DU96</f>
        <v>-3.8386195149056057E-3</v>
      </c>
      <c r="DW127" s="690">
        <f t="shared" ref="DW127:DW128" ca="1" si="430">DW96-DV96</f>
        <v>9.8251052601354694E-3</v>
      </c>
      <c r="DX127" s="690">
        <f t="shared" ref="DX127:DX128" ca="1" si="431">DX96-DW96</f>
        <v>-5.4441638202591125E-3</v>
      </c>
      <c r="DY127" s="1637">
        <f t="shared" ref="DY127:DY128" ca="1" si="432">DY96-DX96</f>
        <v>1.2135574012770434E-3</v>
      </c>
      <c r="DZ127" s="696"/>
      <c r="EA127" s="1636">
        <f t="shared" ref="EA127:EA128" ca="1" si="433">EA96-DZ96</f>
        <v>-3.5764865368757282E-3</v>
      </c>
      <c r="EB127" s="690">
        <f t="shared" ref="EB127:EB128" ca="1" si="434">EB96-EA96</f>
        <v>9.1712284741832795E-3</v>
      </c>
      <c r="EC127" s="690">
        <f t="shared" ref="EC127:EC128" ca="1" si="435">EC96-EB96</f>
        <v>-5.2112209450887736E-3</v>
      </c>
      <c r="ED127" s="1637">
        <f t="shared" ref="ED127:ED128" ca="1" si="436">ED96-EC96</f>
        <v>1.0488845410722702E-3</v>
      </c>
      <c r="EE127" s="696"/>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row>
    <row r="128" spans="2:232" s="54" customFormat="1">
      <c r="B128" s="693" t="s">
        <v>100</v>
      </c>
      <c r="C128" s="375"/>
      <c r="D128" s="375"/>
      <c r="E128" s="375"/>
      <c r="F128" s="375"/>
      <c r="G128" s="375"/>
      <c r="H128" s="375"/>
      <c r="I128" s="375"/>
      <c r="J128" s="375"/>
      <c r="K128" s="376"/>
      <c r="L128" s="375"/>
      <c r="M128" s="375"/>
      <c r="N128" s="377"/>
      <c r="O128" s="375">
        <f>O109-J109</f>
        <v>-5.2862866706679945E-3</v>
      </c>
      <c r="P128" s="376"/>
      <c r="Q128" s="375">
        <f t="shared" si="409"/>
        <v>8.7307341074108757E-3</v>
      </c>
      <c r="R128" s="375">
        <f t="shared" si="409"/>
        <v>-7.8078871847524489E-3</v>
      </c>
      <c r="S128" s="377">
        <f t="shared" si="409"/>
        <v>-2.1359490817409177E-3</v>
      </c>
      <c r="T128" s="375"/>
      <c r="U128" s="376">
        <f>U97-S97</f>
        <v>-2.0190601311698142E-5</v>
      </c>
      <c r="V128" s="375">
        <f t="shared" si="410"/>
        <v>7.1416450256298059E-3</v>
      </c>
      <c r="W128" s="375">
        <f t="shared" si="410"/>
        <v>-3.9105454465074851E-3</v>
      </c>
      <c r="X128" s="377">
        <f t="shared" si="410"/>
        <v>1.4041279341960866E-3</v>
      </c>
      <c r="Y128" s="375"/>
      <c r="Z128" s="376">
        <f>Z97-X97</f>
        <v>-4.5643963084771588E-3</v>
      </c>
      <c r="AA128" s="375">
        <f t="shared" si="411"/>
        <v>9.2352595033991514E-3</v>
      </c>
      <c r="AB128" s="375">
        <f t="shared" si="411"/>
        <v>-5.4174468573375822E-3</v>
      </c>
      <c r="AC128" s="377">
        <f t="shared" si="411"/>
        <v>-5.3349083431770694E-3</v>
      </c>
      <c r="AD128" s="375"/>
      <c r="AE128" s="376">
        <f>AE97-AC97</f>
        <v>-1.9176029308634601E-3</v>
      </c>
      <c r="AF128" s="375">
        <f t="shared" si="412"/>
        <v>7.140823584122602E-3</v>
      </c>
      <c r="AG128" s="375">
        <f t="shared" si="412"/>
        <v>-6.7980276955212915E-3</v>
      </c>
      <c r="AH128" s="377">
        <f t="shared" si="412"/>
        <v>9.6820579337725254E-4</v>
      </c>
      <c r="AI128" s="375"/>
      <c r="AJ128" s="376">
        <f>AJ97-AH97</f>
        <v>-4.3946643389385365E-3</v>
      </c>
      <c r="AK128" s="375">
        <f t="shared" si="413"/>
        <v>1.1626835579063799E-2</v>
      </c>
      <c r="AL128" s="375">
        <f t="shared" si="413"/>
        <v>-1.4622796945733207E-2</v>
      </c>
      <c r="AM128" s="377">
        <f t="shared" si="413"/>
        <v>2.1306478575061627E-4</v>
      </c>
      <c r="AN128" s="375"/>
      <c r="AO128" s="376">
        <f>AO97-AM97</f>
        <v>-2.9334526751486623E-3</v>
      </c>
      <c r="AP128" s="375">
        <f t="shared" si="414"/>
        <v>1.2115875803092646E-2</v>
      </c>
      <c r="AQ128" s="375">
        <f t="shared" si="414"/>
        <v>-9.467701243701665E-3</v>
      </c>
      <c r="AR128" s="377">
        <f t="shared" si="414"/>
        <v>1.2957108037208176E-3</v>
      </c>
      <c r="AS128" s="375"/>
      <c r="AT128" s="376">
        <f>AT97-AR97</f>
        <v>3.3339526013401732E-3</v>
      </c>
      <c r="AU128" s="375">
        <f t="shared" si="415"/>
        <v>1.1415396063794159E-2</v>
      </c>
      <c r="AV128" s="375">
        <f t="shared" si="415"/>
        <v>-1.210601000290018E-2</v>
      </c>
      <c r="AW128" s="377">
        <f t="shared" si="415"/>
        <v>-1.353520502248351E-3</v>
      </c>
      <c r="AX128" s="375"/>
      <c r="AY128" s="376">
        <f>AY97-AW97</f>
        <v>-1.4449717528665085E-3</v>
      </c>
      <c r="AZ128" s="375">
        <f t="shared" si="416"/>
        <v>1.2820299886223407E-2</v>
      </c>
      <c r="BA128" s="375">
        <f t="shared" si="416"/>
        <v>-8.4244288854717908E-3</v>
      </c>
      <c r="BB128" s="377">
        <f t="shared" si="416"/>
        <v>1.7348834278632652E-3</v>
      </c>
      <c r="BC128" s="375"/>
      <c r="BD128" s="376">
        <f>BD97-BB97</f>
        <v>3.513157614562501E-3</v>
      </c>
      <c r="BE128" s="375">
        <f t="shared" si="417"/>
        <v>1.1705809693080493E-2</v>
      </c>
      <c r="BF128" s="375">
        <f t="shared" si="417"/>
        <v>-6.6801585039442668E-3</v>
      </c>
      <c r="BG128" s="377">
        <f t="shared" si="417"/>
        <v>-1.4351011581267836E-3</v>
      </c>
      <c r="BH128" s="375"/>
      <c r="BI128" s="376">
        <f>BI97-BG97</f>
        <v>-1.8945449937273762E-3</v>
      </c>
      <c r="BJ128" s="375">
        <f t="shared" si="418"/>
        <v>8.9726500638155349E-3</v>
      </c>
      <c r="BK128" s="375">
        <f t="shared" si="418"/>
        <v>-9.7875213792425475E-3</v>
      </c>
      <c r="BL128" s="377">
        <f t="shared" si="418"/>
        <v>1.9436854664448555E-3</v>
      </c>
      <c r="BM128" s="375"/>
      <c r="BN128" s="376">
        <f>BN97-BL97</f>
        <v>4.9887316226720491E-3</v>
      </c>
      <c r="BO128" s="375">
        <f t="shared" si="419"/>
        <v>7.0937567760025466E-3</v>
      </c>
      <c r="BP128" s="375">
        <f t="shared" si="419"/>
        <v>-7.8178775321875449E-3</v>
      </c>
      <c r="BQ128" s="377">
        <f t="shared" si="419"/>
        <v>-6.053408249765968E-4</v>
      </c>
      <c r="BR128" s="375"/>
      <c r="BS128" s="376">
        <f>BS97-BQ97</f>
        <v>-7.5669962571595084E-4</v>
      </c>
      <c r="BT128" s="375">
        <f t="shared" si="420"/>
        <v>9.0984596587634914E-3</v>
      </c>
      <c r="BU128" s="375">
        <f t="shared" si="420"/>
        <v>-6.7004023748840624E-3</v>
      </c>
      <c r="BV128" s="377">
        <f t="shared" si="420"/>
        <v>-5.7197471186539728E-3</v>
      </c>
      <c r="BW128" s="375"/>
      <c r="BX128" s="375">
        <f>BX97-BV97</f>
        <v>2.8227534361926487E-3</v>
      </c>
      <c r="BY128" s="375">
        <f t="shared" si="421"/>
        <v>4.7189782248314716E-3</v>
      </c>
      <c r="BZ128" s="375">
        <f t="shared" si="421"/>
        <v>-8.5937135790773445E-3</v>
      </c>
      <c r="CA128" s="1639">
        <f t="shared" si="421"/>
        <v>2.767939877812875E-3</v>
      </c>
      <c r="CB128" s="697"/>
      <c r="CC128" s="375">
        <f>CC97-CA97</f>
        <v>-4.2535158986461985E-4</v>
      </c>
      <c r="CD128" s="375">
        <f t="shared" si="422"/>
        <v>1.047493189214227E-2</v>
      </c>
      <c r="CE128" s="375">
        <f t="shared" si="422"/>
        <v>-1.2701445973948455E-2</v>
      </c>
      <c r="CF128" s="375">
        <f t="shared" si="422"/>
        <v>1.0503143698164408E-2</v>
      </c>
      <c r="CG128" s="697"/>
      <c r="CH128" s="375">
        <f>CH97-CF97</f>
        <v>-1.3582676950063544E-4</v>
      </c>
      <c r="CI128" s="375">
        <f t="shared" si="423"/>
        <v>3.2447811067398136E-3</v>
      </c>
      <c r="CJ128" s="375">
        <f t="shared" si="423"/>
        <v>-7.5068260763403449E-3</v>
      </c>
      <c r="CK128" s="375">
        <f t="shared" si="423"/>
        <v>2.1952529552536348E-3</v>
      </c>
      <c r="CL128" s="697"/>
      <c r="CM128" s="375">
        <f>CM97-CK97</f>
        <v>-1.8857125293552657E-3</v>
      </c>
      <c r="CN128" s="375">
        <f t="shared" si="424"/>
        <v>9.2172241574818847E-3</v>
      </c>
      <c r="CO128" s="375">
        <f t="shared" si="424"/>
        <v>-6.9723646335602685E-3</v>
      </c>
      <c r="CP128" s="375">
        <f t="shared" si="424"/>
        <v>5.1002459100751851E-3</v>
      </c>
      <c r="CQ128" s="697"/>
      <c r="CR128" s="375">
        <f>CR97-CP97</f>
        <v>6.7166026575620763E-3</v>
      </c>
      <c r="CS128" s="375">
        <f t="shared" si="425"/>
        <v>6.9092135644395758E-3</v>
      </c>
      <c r="CT128" s="375">
        <f t="shared" si="425"/>
        <v>-1.284766527911585E-2</v>
      </c>
      <c r="CU128" s="375">
        <f t="shared" si="425"/>
        <v>-2.8139797845363468E-3</v>
      </c>
      <c r="CV128" s="697"/>
      <c r="CW128" s="375">
        <f>CW97-CU97</f>
        <v>-4.3695700836979268E-3</v>
      </c>
      <c r="CX128" s="375">
        <f t="shared" si="426"/>
        <v>6.2713689480391466E-3</v>
      </c>
      <c r="CY128" s="375">
        <f t="shared" si="426"/>
        <v>-8.2819542465944473E-3</v>
      </c>
      <c r="CZ128" s="375">
        <f t="shared" si="426"/>
        <v>-3.5585949256313754E-3</v>
      </c>
      <c r="DA128" s="697"/>
      <c r="DB128" s="375">
        <f>DB97-CZ97</f>
        <v>-5.4535875049013249E-3</v>
      </c>
      <c r="DC128" s="375">
        <f t="shared" si="427"/>
        <v>-1.2444574562935962E-2</v>
      </c>
      <c r="DD128" s="375">
        <f t="shared" si="427"/>
        <v>1.1438445468166525E-3</v>
      </c>
      <c r="DE128" s="375">
        <f t="shared" si="427"/>
        <v>-3.6610288394859913E-3</v>
      </c>
      <c r="DF128" s="697"/>
      <c r="DG128" s="375">
        <f t="shared" si="427"/>
        <v>-3.0511825570662676E-3</v>
      </c>
      <c r="DH128" s="375">
        <f t="shared" si="427"/>
        <v>5.4586202569110176E-3</v>
      </c>
      <c r="DI128" s="375">
        <f t="shared" si="427"/>
        <v>-8.1669635537694463E-3</v>
      </c>
      <c r="DJ128" s="375">
        <f t="shared" si="427"/>
        <v>-7.1319951224423361E-3</v>
      </c>
      <c r="DK128" s="697"/>
      <c r="DL128" s="375">
        <f t="shared" si="427"/>
        <v>-6.5915507264174278E-3</v>
      </c>
      <c r="DM128" s="375">
        <f t="shared" si="427"/>
        <v>6.7287104987787671E-3</v>
      </c>
      <c r="DN128" s="375">
        <f t="shared" si="427"/>
        <v>-1.9578694694481535E-2</v>
      </c>
      <c r="DO128" s="1639">
        <f t="shared" si="427"/>
        <v>4.2653263808015152E-3</v>
      </c>
      <c r="DP128" s="697"/>
      <c r="DQ128" s="375">
        <f t="shared" si="427"/>
        <v>-5.9583911972705683E-3</v>
      </c>
      <c r="DR128" s="375">
        <f t="shared" ca="1" si="428"/>
        <v>6.6982077131845785E-3</v>
      </c>
      <c r="DS128" s="375">
        <f t="shared" ca="1" si="428"/>
        <v>-6.9471382610521715E-3</v>
      </c>
      <c r="DT128" s="1639">
        <f t="shared" ca="1" si="428"/>
        <v>-1.6183954325135474E-3</v>
      </c>
      <c r="DU128" s="697"/>
      <c r="DV128" s="1638">
        <f t="shared" ca="1" si="429"/>
        <v>-3.4108509525687392E-3</v>
      </c>
      <c r="DW128" s="375">
        <f t="shared" ca="1" si="430"/>
        <v>9.6290477875154157E-3</v>
      </c>
      <c r="DX128" s="375">
        <f t="shared" ca="1" si="431"/>
        <v>-5.4442898684949337E-3</v>
      </c>
      <c r="DY128" s="1639">
        <f t="shared" ca="1" si="432"/>
        <v>-1.3365401417989031E-3</v>
      </c>
      <c r="DZ128" s="697"/>
      <c r="EA128" s="1638">
        <f t="shared" ca="1" si="433"/>
        <v>-2.8223810427214224E-3</v>
      </c>
      <c r="EB128" s="375">
        <f t="shared" ca="1" si="434"/>
        <v>8.9793783359177204E-3</v>
      </c>
      <c r="EC128" s="375">
        <f t="shared" ca="1" si="435"/>
        <v>-5.2125922526944368E-3</v>
      </c>
      <c r="ED128" s="1639">
        <f t="shared" ca="1" si="436"/>
        <v>-1.4542464294598212E-3</v>
      </c>
      <c r="EE128" s="697"/>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row>
    <row r="129" spans="2:232" s="54" customFormat="1">
      <c r="B129" s="1578" t="s">
        <v>99</v>
      </c>
      <c r="C129" s="375"/>
      <c r="D129" s="375"/>
      <c r="E129" s="375"/>
      <c r="F129" s="375"/>
      <c r="G129" s="375"/>
      <c r="H129" s="375"/>
      <c r="I129" s="375"/>
      <c r="J129" s="375"/>
      <c r="K129" s="376"/>
      <c r="L129" s="375"/>
      <c r="M129" s="375"/>
      <c r="N129" s="377"/>
      <c r="O129" s="375">
        <f>O110-J110</f>
        <v>-1.3825248738924545E-4</v>
      </c>
      <c r="P129" s="376"/>
      <c r="Q129" s="375">
        <f t="shared" si="409"/>
        <v>-1.8941467703659676E-2</v>
      </c>
      <c r="R129" s="375">
        <f t="shared" si="409"/>
        <v>9.7837920734579475E-3</v>
      </c>
      <c r="S129" s="377">
        <f t="shared" si="409"/>
        <v>1.7180342459506559E-3</v>
      </c>
      <c r="T129" s="375"/>
      <c r="U129" s="376">
        <f>U98-S98</f>
        <v>5.494216160243981E-3</v>
      </c>
      <c r="V129" s="375">
        <f t="shared" si="410"/>
        <v>-2.1056058423949225E-2</v>
      </c>
      <c r="W129" s="375">
        <f t="shared" si="410"/>
        <v>8.0330018840596429E-3</v>
      </c>
      <c r="X129" s="377">
        <f t="shared" si="410"/>
        <v>4.638376368555075E-4</v>
      </c>
      <c r="Y129" s="375"/>
      <c r="Z129" s="376">
        <f>Z98-X98</f>
        <v>8.360118031742525E-3</v>
      </c>
      <c r="AA129" s="375">
        <f t="shared" si="411"/>
        <v>-1.9094647354076788E-2</v>
      </c>
      <c r="AB129" s="375">
        <f t="shared" si="411"/>
        <v>8.858351303727835E-3</v>
      </c>
      <c r="AC129" s="377">
        <f t="shared" si="411"/>
        <v>8.4536465852910747E-4</v>
      </c>
      <c r="AD129" s="375"/>
      <c r="AE129" s="376">
        <f>AE98-AC98</f>
        <v>4.0015582578938891E-3</v>
      </c>
      <c r="AF129" s="375">
        <f t="shared" si="412"/>
        <v>-1.4740753807744145E-2</v>
      </c>
      <c r="AG129" s="375">
        <f t="shared" si="412"/>
        <v>5.5633089329910901E-3</v>
      </c>
      <c r="AH129" s="377">
        <f t="shared" si="412"/>
        <v>5.3907245591725828E-3</v>
      </c>
      <c r="AI129" s="375"/>
      <c r="AJ129" s="376">
        <f>AJ98-AH98</f>
        <v>2.7773257253788652E-3</v>
      </c>
      <c r="AK129" s="375">
        <f t="shared" si="413"/>
        <v>-1.4805554470878474E-2</v>
      </c>
      <c r="AL129" s="375">
        <f t="shared" si="413"/>
        <v>3.0717646928673514E-3</v>
      </c>
      <c r="AM129" s="377">
        <f t="shared" si="413"/>
        <v>3.4715412444524529E-3</v>
      </c>
      <c r="AN129" s="375"/>
      <c r="AO129" s="376">
        <f>AO98-AM98</f>
        <v>3.4195024152892661E-3</v>
      </c>
      <c r="AP129" s="375">
        <f t="shared" si="414"/>
        <v>-1.2624340501458109E-2</v>
      </c>
      <c r="AQ129" s="375">
        <f t="shared" si="414"/>
        <v>4.173462935999378E-3</v>
      </c>
      <c r="AR129" s="377">
        <f t="shared" si="414"/>
        <v>7.1422795506712322E-3</v>
      </c>
      <c r="AS129" s="375"/>
      <c r="AT129" s="376">
        <f>AT98-AR98</f>
        <v>6.4835806085300762E-3</v>
      </c>
      <c r="AU129" s="375">
        <f t="shared" si="415"/>
        <v>-1.1732240510472947E-2</v>
      </c>
      <c r="AV129" s="375">
        <f t="shared" si="415"/>
        <v>4.6755991013183174E-3</v>
      </c>
      <c r="AW129" s="377">
        <f t="shared" si="415"/>
        <v>3.8484769950090647E-3</v>
      </c>
      <c r="AX129" s="375"/>
      <c r="AY129" s="376">
        <f>AY98-AW98</f>
        <v>1.0075988781383105E-3</v>
      </c>
      <c r="AZ129" s="375">
        <f t="shared" si="416"/>
        <v>-9.9313813973001541E-3</v>
      </c>
      <c r="BA129" s="375">
        <f t="shared" si="416"/>
        <v>4.8799526442614982E-3</v>
      </c>
      <c r="BB129" s="377">
        <f t="shared" si="416"/>
        <v>1.2095489870956988E-2</v>
      </c>
      <c r="BC129" s="375"/>
      <c r="BD129" s="376">
        <f>BD98-BB98</f>
        <v>-1.7029268518513885E-3</v>
      </c>
      <c r="BE129" s="375">
        <f t="shared" si="417"/>
        <v>-8.3049544063671932E-3</v>
      </c>
      <c r="BF129" s="375">
        <f t="shared" si="417"/>
        <v>4.6741119410681209E-3</v>
      </c>
      <c r="BG129" s="377">
        <f t="shared" si="417"/>
        <v>1.2989590725859729E-2</v>
      </c>
      <c r="BH129" s="375"/>
      <c r="BI129" s="376">
        <f>BI98-BG98</f>
        <v>-6.2639182659509351E-3</v>
      </c>
      <c r="BJ129" s="375">
        <f t="shared" si="418"/>
        <v>-8.8256251006728348E-3</v>
      </c>
      <c r="BK129" s="375">
        <f t="shared" si="418"/>
        <v>-4.4555427836515116E-4</v>
      </c>
      <c r="BL129" s="377">
        <f t="shared" si="418"/>
        <v>8.0409453232109795E-3</v>
      </c>
      <c r="BM129" s="375"/>
      <c r="BN129" s="376">
        <f>BN98-BL98</f>
        <v>3.9710969912195582E-3</v>
      </c>
      <c r="BO129" s="375">
        <f t="shared" si="419"/>
        <v>-1.2081476246665002E-2</v>
      </c>
      <c r="BP129" s="375">
        <f t="shared" si="419"/>
        <v>4.2371213535920271E-3</v>
      </c>
      <c r="BQ129" s="377">
        <f t="shared" si="419"/>
        <v>1.4191654824454419E-2</v>
      </c>
      <c r="BR129" s="375"/>
      <c r="BS129" s="376">
        <f>BS98-BQ98</f>
        <v>-7.2143534854842706E-3</v>
      </c>
      <c r="BT129" s="375">
        <f t="shared" si="420"/>
        <v>-9.7350623052190055E-3</v>
      </c>
      <c r="BU129" s="375">
        <f t="shared" si="420"/>
        <v>3.9517234408050772E-3</v>
      </c>
      <c r="BV129" s="377">
        <f t="shared" si="420"/>
        <v>1.1273466187856185E-2</v>
      </c>
      <c r="BW129" s="375"/>
      <c r="BX129" s="375">
        <f>BX98-BV98</f>
        <v>-1.5149998929542274E-4</v>
      </c>
      <c r="BY129" s="375">
        <f t="shared" si="421"/>
        <v>-1.2804701041301936E-2</v>
      </c>
      <c r="BZ129" s="375">
        <f t="shared" si="421"/>
        <v>2.7353616559590288E-3</v>
      </c>
      <c r="CA129" s="1639">
        <f t="shared" si="421"/>
        <v>9.1704618932173243E-3</v>
      </c>
      <c r="CB129" s="697"/>
      <c r="CC129" s="375">
        <f>CC98-CA98</f>
        <v>-3.4459822082707203E-3</v>
      </c>
      <c r="CD129" s="375">
        <f t="shared" si="422"/>
        <v>-4.2635555620725296E-3</v>
      </c>
      <c r="CE129" s="375">
        <f t="shared" si="422"/>
        <v>3.5721970731095454E-3</v>
      </c>
      <c r="CF129" s="375">
        <f t="shared" si="422"/>
        <v>1.1913796976037644E-2</v>
      </c>
      <c r="CG129" s="697"/>
      <c r="CH129" s="375">
        <f>CH98-CF98</f>
        <v>-8.9760913169297796E-3</v>
      </c>
      <c r="CI129" s="375">
        <f t="shared" si="423"/>
        <v>-8.3414488749795068E-3</v>
      </c>
      <c r="CJ129" s="375">
        <f t="shared" si="423"/>
        <v>6.2680126011796233E-3</v>
      </c>
      <c r="CK129" s="375">
        <f t="shared" si="423"/>
        <v>7.0367305009982895E-3</v>
      </c>
      <c r="CL129" s="697"/>
      <c r="CM129" s="375">
        <f>CM98-CK98</f>
        <v>-4.2851811027835862E-3</v>
      </c>
      <c r="CN129" s="375">
        <f t="shared" si="424"/>
        <v>-1.8432688366121219E-3</v>
      </c>
      <c r="CO129" s="375">
        <f t="shared" si="424"/>
        <v>3.5767128944658444E-3</v>
      </c>
      <c r="CP129" s="375">
        <f t="shared" si="424"/>
        <v>-0.23326949076160433</v>
      </c>
      <c r="CQ129" s="697"/>
      <c r="CR129" s="375">
        <f>CR98-CP98</f>
        <v>0.25398475398475401</v>
      </c>
      <c r="CS129" s="375">
        <f t="shared" si="425"/>
        <v>-1.2819955357629004E-2</v>
      </c>
      <c r="CT129" s="375">
        <f t="shared" si="425"/>
        <v>-2.9733499294785359E-3</v>
      </c>
      <c r="CU129" s="375">
        <f t="shared" si="425"/>
        <v>7.0270435959671196E-4</v>
      </c>
      <c r="CV129" s="697"/>
      <c r="CW129" s="375">
        <f>CW99-CU99</f>
        <v>-7.9617908724763375E-4</v>
      </c>
      <c r="CX129" s="375">
        <f t="shared" ref="CX129:CZ130" si="437">CX99-CW99</f>
        <v>-4.331251196899033E-3</v>
      </c>
      <c r="CY129" s="375">
        <f t="shared" si="437"/>
        <v>-3.5778844960507594E-3</v>
      </c>
      <c r="CZ129" s="375">
        <f t="shared" si="437"/>
        <v>-4.5520877705013119E-4</v>
      </c>
      <c r="DA129" s="697"/>
      <c r="DB129" s="375">
        <f>DB99-CZ99</f>
        <v>-2.5309669844919558E-3</v>
      </c>
      <c r="DC129" s="375">
        <f t="shared" ref="DC129:DQ130" si="438">DC99-DB99</f>
        <v>-2.6183964501485135E-2</v>
      </c>
      <c r="DD129" s="375">
        <f t="shared" si="438"/>
        <v>5.8464991029733016E-3</v>
      </c>
      <c r="DE129" s="375">
        <f t="shared" si="438"/>
        <v>6.2407332631276013E-3</v>
      </c>
      <c r="DF129" s="697"/>
      <c r="DG129" s="375">
        <f t="shared" si="438"/>
        <v>-4.7502923970385025E-3</v>
      </c>
      <c r="DH129" s="375">
        <f t="shared" si="438"/>
        <v>-5.5687794112823652E-3</v>
      </c>
      <c r="DI129" s="375">
        <f t="shared" si="438"/>
        <v>8.4443321272936744E-4</v>
      </c>
      <c r="DJ129" s="375">
        <f t="shared" si="438"/>
        <v>1.5362717373117452E-3</v>
      </c>
      <c r="DK129" s="697"/>
      <c r="DL129" s="375">
        <f t="shared" si="438"/>
        <v>-4.1874869002901938E-3</v>
      </c>
      <c r="DM129" s="375">
        <f t="shared" si="438"/>
        <v>-5.2845760963241006E-4</v>
      </c>
      <c r="DN129" s="375">
        <f t="shared" si="438"/>
        <v>-1.7978152784697443E-2</v>
      </c>
      <c r="DO129" s="1639">
        <f t="shared" si="438"/>
        <v>8.742742134015935E-3</v>
      </c>
      <c r="DP129" s="697"/>
      <c r="DQ129" s="375">
        <f t="shared" si="438"/>
        <v>-2.2805150774771188E-4</v>
      </c>
      <c r="DR129" s="375">
        <f t="shared" ref="DR129:DT130" ca="1" si="439">DR99-DQ99</f>
        <v>2.9718669587346369E-3</v>
      </c>
      <c r="DS129" s="375">
        <f t="shared" ca="1" si="439"/>
        <v>-1.8685253328635243E-3</v>
      </c>
      <c r="DT129" s="1639">
        <f t="shared" ca="1" si="439"/>
        <v>-1.1952957152172594E-4</v>
      </c>
      <c r="DU129" s="697"/>
      <c r="DV129" s="1638">
        <f t="shared" ref="DV129:DV130" ca="1" si="440">DV99-DU99</f>
        <v>2.8036014360771633E-4</v>
      </c>
      <c r="DW129" s="375">
        <f t="shared" ref="DW129:DW130" ca="1" si="441">DW99-DV99</f>
        <v>2.3510821183464203E-3</v>
      </c>
      <c r="DX129" s="375">
        <f t="shared" ref="DX129:DX130" ca="1" si="442">DX99-DW99</f>
        <v>-5.5660051259018573E-3</v>
      </c>
      <c r="DY129" s="1639">
        <f t="shared" ref="DY129:DY130" ca="1" si="443">DY99-DX99</f>
        <v>-1.0810605393697104E-3</v>
      </c>
      <c r="DZ129" s="697"/>
      <c r="EA129" s="1638">
        <f t="shared" ref="EA129:EA130" ca="1" si="444">EA99-DZ99</f>
        <v>2.1758951989319375E-3</v>
      </c>
      <c r="EB129" s="375">
        <f t="shared" ref="EB129:EB130" ca="1" si="445">EB99-EA99</f>
        <v>2.4976536159918572E-3</v>
      </c>
      <c r="EC129" s="375">
        <f t="shared" ref="EC129:EC130" ca="1" si="446">EC99-EB99</f>
        <v>-5.7705319282325418E-3</v>
      </c>
      <c r="ED129" s="1639">
        <f t="shared" ref="ED129:ED130" ca="1" si="447">ED99-EC99</f>
        <v>-1.2681792560349514E-3</v>
      </c>
      <c r="EE129" s="697"/>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row>
    <row r="130" spans="2:232" s="54" customFormat="1">
      <c r="B130" s="693" t="s">
        <v>237</v>
      </c>
      <c r="C130" s="375"/>
      <c r="D130" s="375"/>
      <c r="E130" s="375"/>
      <c r="F130" s="375"/>
      <c r="G130" s="375"/>
      <c r="H130" s="375"/>
      <c r="I130" s="375"/>
      <c r="J130" s="375"/>
      <c r="K130" s="376"/>
      <c r="L130" s="375"/>
      <c r="M130" s="375"/>
      <c r="N130" s="377"/>
      <c r="O130" s="375">
        <f>O111-J111</f>
        <v>-1.579480816967016E-3</v>
      </c>
      <c r="P130" s="376"/>
      <c r="Q130" s="375">
        <f t="shared" ref="Q130:S131" si="448">Q100-P100</f>
        <v>2.5818886366739263E-2</v>
      </c>
      <c r="R130" s="375">
        <f t="shared" si="448"/>
        <v>-1.384889221729485E-2</v>
      </c>
      <c r="S130" s="377">
        <f t="shared" si="448"/>
        <v>-4.6107081837809816E-3</v>
      </c>
      <c r="T130" s="375"/>
      <c r="U130" s="376">
        <f>U100-S100</f>
        <v>-6.5397288075525264E-3</v>
      </c>
      <c r="V130" s="375">
        <f t="shared" ref="V130:X131" si="449">V100-U100</f>
        <v>2.7686286713021584E-2</v>
      </c>
      <c r="W130" s="375">
        <f t="shared" si="449"/>
        <v>-1.0914084059538462E-2</v>
      </c>
      <c r="X130" s="377">
        <f t="shared" si="449"/>
        <v>-8.9840371394162011E-4</v>
      </c>
      <c r="Y130" s="375"/>
      <c r="Z130" s="376">
        <f>Z100-X100</f>
        <v>-1.1816233480802171E-2</v>
      </c>
      <c r="AA130" s="375">
        <f t="shared" ref="AA130:AC131" si="450">AA100-Z100</f>
        <v>2.8068509072300532E-2</v>
      </c>
      <c r="AB130" s="375">
        <f t="shared" si="450"/>
        <v>-1.4452535835703606E-2</v>
      </c>
      <c r="AC130" s="377">
        <f t="shared" si="450"/>
        <v>-5.5595113094455834E-3</v>
      </c>
      <c r="AD130" s="375"/>
      <c r="AE130" s="376">
        <f>AE100-AC100</f>
        <v>-6.9932060828801837E-3</v>
      </c>
      <c r="AF130" s="375">
        <f t="shared" ref="AF130:AH131" si="451">AF100-AE100</f>
        <v>2.0999232327353144E-2</v>
      </c>
      <c r="AG130" s="375">
        <f t="shared" si="451"/>
        <v>-1.1105472862073612E-2</v>
      </c>
      <c r="AH130" s="377">
        <f t="shared" si="451"/>
        <v>-4.91475201457299E-3</v>
      </c>
      <c r="AI130" s="375"/>
      <c r="AJ130" s="376">
        <f>AJ100-AH100</f>
        <v>-7.4822497534051471E-3</v>
      </c>
      <c r="AK130" s="375">
        <f t="shared" ref="AK130:AM131" si="452">AK100-AJ100</f>
        <v>2.6600248190737981E-2</v>
      </c>
      <c r="AL130" s="375">
        <f t="shared" si="452"/>
        <v>-1.7626686207818196E-2</v>
      </c>
      <c r="AM130" s="377">
        <f t="shared" si="452"/>
        <v>-2.2819212670978084E-3</v>
      </c>
      <c r="AN130" s="375"/>
      <c r="AO130" s="376">
        <f>AO100-AM100</f>
        <v>-6.2084906421877167E-3</v>
      </c>
      <c r="AP130" s="375">
        <f t="shared" ref="AP130:AR131" si="453">AP100-AO100</f>
        <v>2.263155244196137E-2</v>
      </c>
      <c r="AQ130" s="375">
        <f t="shared" si="453"/>
        <v>-1.2844931010582539E-2</v>
      </c>
      <c r="AR130" s="377">
        <f t="shared" si="453"/>
        <v>-4.6403207778444172E-3</v>
      </c>
      <c r="AS130" s="375"/>
      <c r="AT130" s="376">
        <f>AT100-AR100</f>
        <v>-3.9716815842194553E-3</v>
      </c>
      <c r="AU130" s="375">
        <f t="shared" ref="AU130:AW131" si="454">AU100-AT100</f>
        <v>2.2214461680989492E-2</v>
      </c>
      <c r="AV130" s="375">
        <f t="shared" si="454"/>
        <v>-1.661471008889838E-2</v>
      </c>
      <c r="AW130" s="377">
        <f t="shared" si="454"/>
        <v>-3.8152356972956658E-3</v>
      </c>
      <c r="AX130" s="375"/>
      <c r="AY130" s="376">
        <f>AY100-AW100</f>
        <v>-3.681465686682317E-3</v>
      </c>
      <c r="AZ130" s="375">
        <f t="shared" ref="AZ130:BB131" si="455">AZ100-AY100</f>
        <v>2.213433468570461E-2</v>
      </c>
      <c r="BA130" s="375">
        <f t="shared" si="455"/>
        <v>-1.2459488022892332E-2</v>
      </c>
      <c r="BB130" s="377">
        <f t="shared" si="455"/>
        <v>-8.7997924066548563E-3</v>
      </c>
      <c r="BC130" s="375"/>
      <c r="BD130" s="376">
        <f>BD100-BB100</f>
        <v>4.2113324440292213E-3</v>
      </c>
      <c r="BE130" s="375">
        <f t="shared" ref="BE130:BG131" si="456">BE100-BD100</f>
        <v>1.9512088616778459E-2</v>
      </c>
      <c r="BF130" s="375">
        <f t="shared" si="456"/>
        <v>-1.0572117139775836E-2</v>
      </c>
      <c r="BG130" s="377">
        <f t="shared" si="456"/>
        <v>-1.3514760138178976E-2</v>
      </c>
      <c r="BH130" s="375"/>
      <c r="BI130" s="376">
        <f>BI100-BG100</f>
        <v>4.1933199061979995E-3</v>
      </c>
      <c r="BJ130" s="375">
        <f t="shared" ref="BJ130:BL131" si="457">BJ100-BI100</f>
        <v>1.6957067618915231E-2</v>
      </c>
      <c r="BK130" s="375">
        <f t="shared" si="457"/>
        <v>-9.4066443277540795E-3</v>
      </c>
      <c r="BL130" s="377">
        <f t="shared" si="457"/>
        <v>-3.958417925061089E-3</v>
      </c>
      <c r="BM130" s="375"/>
      <c r="BN130" s="376">
        <f>BN100-BL100</f>
        <v>1.732891868244657E-4</v>
      </c>
      <c r="BO130" s="375">
        <f>BO100-BN100</f>
        <v>1.797488662839461E-2</v>
      </c>
      <c r="BP130" s="375">
        <f>BP100-BO100</f>
        <v>-1.0508739555720945E-2</v>
      </c>
      <c r="BQ130" s="377">
        <f>BQ100-BP100</f>
        <v>-1.6296033732065951E-2</v>
      </c>
      <c r="BR130" s="375"/>
      <c r="BS130" s="376">
        <f>BS100-BQ100</f>
        <v>8.9216491694576461E-3</v>
      </c>
      <c r="BT130" s="375">
        <f>BT100-BS100</f>
        <v>1.8048493330690835E-2</v>
      </c>
      <c r="BU130" s="375">
        <f>BU100-BT100</f>
        <v>-9.7293266076617507E-3</v>
      </c>
      <c r="BV130" s="377">
        <f>BV100-BU100</f>
        <v>-2.1029866167785981E-2</v>
      </c>
      <c r="BW130" s="375"/>
      <c r="BX130" s="375">
        <f>BX100-BV100</f>
        <v>8.7613882923559608E-3</v>
      </c>
      <c r="BY130" s="375">
        <f>BY100-BX100</f>
        <v>1.6362782285978997E-2</v>
      </c>
      <c r="BZ130" s="375">
        <f>BZ100-BY100</f>
        <v>-9.6710567578978113E-3</v>
      </c>
      <c r="CA130" s="1639">
        <f>CA100-BZ100</f>
        <v>-7.7871539181403465E-3</v>
      </c>
      <c r="CB130" s="697"/>
      <c r="CC130" s="375">
        <f>CC100-CA100</f>
        <v>3.8242260122679089E-3</v>
      </c>
      <c r="CD130" s="375">
        <f>CD100-CC100</f>
        <v>1.3632680444074619E-2</v>
      </c>
      <c r="CE130" s="375">
        <f>CE100-CD100</f>
        <v>-1.5581455867725205E-2</v>
      </c>
      <c r="CF130" s="375">
        <f>CF100-CE100</f>
        <v>-1.1717124343087609E-3</v>
      </c>
      <c r="CG130" s="697"/>
      <c r="CH130" s="375">
        <f>CH100-CF100</f>
        <v>9.0500506368430683E-3</v>
      </c>
      <c r="CI130" s="375">
        <f>CI100-CH100</f>
        <v>9.6822583456620398E-3</v>
      </c>
      <c r="CJ130" s="375">
        <f>CJ100-CI100</f>
        <v>-1.2968537398099292E-2</v>
      </c>
      <c r="CK130" s="375">
        <f>CK100-CJ100</f>
        <v>-3.4547336323598327E-3</v>
      </c>
      <c r="CL130" s="697"/>
      <c r="CM130" s="375">
        <f>CM100-CK100</f>
        <v>1.6259055635766129E-3</v>
      </c>
      <c r="CN130" s="375">
        <f>CN100-CM100</f>
        <v>1.0978117938878915E-2</v>
      </c>
      <c r="CO130" s="375">
        <f>CO100-CN100</f>
        <v>-7.9780471775759004E-3</v>
      </c>
      <c r="CP130" s="375">
        <f>CP100-CO100</f>
        <v>-7.1613064035101759E-3</v>
      </c>
      <c r="CQ130" s="697"/>
      <c r="CR130" s="375">
        <f>CR100-CP100</f>
        <v>4.0226857570030972E-3</v>
      </c>
      <c r="CS130" s="375">
        <f>CS100-CR100</f>
        <v>2.1322766388996883E-2</v>
      </c>
      <c r="CT130" s="375">
        <f>CT100-CS100</f>
        <v>-6.5770571776075509E-3</v>
      </c>
      <c r="CU130" s="375">
        <f>CU100-CT100</f>
        <v>-6.3836933386438449E-3</v>
      </c>
      <c r="CV130" s="697"/>
      <c r="CW130" s="375">
        <f>CW100-CU100</f>
        <v>-1.053185073817034E-3</v>
      </c>
      <c r="CX130" s="375">
        <f t="shared" si="437"/>
        <v>6.9356561693534602E-3</v>
      </c>
      <c r="CY130" s="375">
        <f t="shared" si="437"/>
        <v>-3.8105293320724043E-4</v>
      </c>
      <c r="CZ130" s="375">
        <f t="shared" si="437"/>
        <v>-8.1401478505406522E-3</v>
      </c>
      <c r="DA130" s="697"/>
      <c r="DB130" s="375">
        <f>DB100-CZ100</f>
        <v>1.6250055301277461E-3</v>
      </c>
      <c r="DC130" s="375">
        <f t="shared" si="438"/>
        <v>5.6449410034796893E-3</v>
      </c>
      <c r="DD130" s="375">
        <f t="shared" si="438"/>
        <v>-7.5397761360167098E-3</v>
      </c>
      <c r="DE130" s="375">
        <f t="shared" si="438"/>
        <v>-8.9816850419849326E-3</v>
      </c>
      <c r="DF130" s="697"/>
      <c r="DG130" s="375">
        <f t="shared" si="438"/>
        <v>-2.8593276024113656E-3</v>
      </c>
      <c r="DH130" s="375">
        <f t="shared" si="438"/>
        <v>1.1957262931260149E-2</v>
      </c>
      <c r="DI130" s="375">
        <f t="shared" si="438"/>
        <v>-8.1384562281572176E-3</v>
      </c>
      <c r="DJ130" s="375">
        <f t="shared" si="438"/>
        <v>-6.6606256760528143E-3</v>
      </c>
      <c r="DK130" s="697"/>
      <c r="DL130" s="375">
        <f t="shared" si="438"/>
        <v>-5.3457299934772662E-4</v>
      </c>
      <c r="DM130" s="375">
        <f t="shared" si="438"/>
        <v>7.2878375072976398E-3</v>
      </c>
      <c r="DN130" s="375">
        <f t="shared" si="438"/>
        <v>-4.8273751580399371E-4</v>
      </c>
      <c r="DO130" s="1639">
        <f t="shared" si="438"/>
        <v>-5.9190966293796998E-3</v>
      </c>
      <c r="DP130" s="697"/>
      <c r="DQ130" s="375">
        <f t="shared" si="438"/>
        <v>-6.5423568974009583E-3</v>
      </c>
      <c r="DR130" s="375">
        <f t="shared" ca="1" si="439"/>
        <v>4.1833435145213899E-3</v>
      </c>
      <c r="DS130" s="375">
        <f t="shared" ca="1" si="439"/>
        <v>-4.7872089453596944E-3</v>
      </c>
      <c r="DT130" s="1639">
        <f t="shared" ca="1" si="439"/>
        <v>-1.9772581937196609E-3</v>
      </c>
      <c r="DU130" s="697"/>
      <c r="DV130" s="1638">
        <f t="shared" ca="1" si="440"/>
        <v>-4.0101484420783234E-3</v>
      </c>
      <c r="DW130" s="375">
        <f t="shared" ca="1" si="441"/>
        <v>7.6910885448687183E-3</v>
      </c>
      <c r="DX130" s="375">
        <f t="shared" ca="1" si="442"/>
        <v>2.8926464838972821E-4</v>
      </c>
      <c r="DY130" s="1639">
        <f t="shared" ca="1" si="443"/>
        <v>-5.5125157796599711E-4</v>
      </c>
      <c r="DZ130" s="697"/>
      <c r="EA130" s="1638">
        <f t="shared" ca="1" si="444"/>
        <v>-5.3170645683691675E-3</v>
      </c>
      <c r="EB130" s="375">
        <f t="shared" ca="1" si="445"/>
        <v>6.8955253317430493E-3</v>
      </c>
      <c r="EC130" s="375">
        <f t="shared" ca="1" si="446"/>
        <v>7.1766746248426438E-4</v>
      </c>
      <c r="ED130" s="1639">
        <f t="shared" ca="1" si="447"/>
        <v>-4.7857638963874627E-4</v>
      </c>
      <c r="EE130" s="697"/>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row>
    <row r="131" spans="2:232" s="54" customFormat="1">
      <c r="B131" s="693" t="s">
        <v>376</v>
      </c>
      <c r="C131" s="375"/>
      <c r="D131" s="375"/>
      <c r="E131" s="375"/>
      <c r="F131" s="375"/>
      <c r="G131" s="375"/>
      <c r="H131" s="375"/>
      <c r="I131" s="375"/>
      <c r="J131" s="375"/>
      <c r="K131" s="376"/>
      <c r="L131" s="375"/>
      <c r="M131" s="375"/>
      <c r="N131" s="377"/>
      <c r="O131" s="375">
        <f>O112-J112</f>
        <v>-2.6508490023896825E-3</v>
      </c>
      <c r="P131" s="376"/>
      <c r="Q131" s="375">
        <f t="shared" si="448"/>
        <v>2.7046660947576552E-2</v>
      </c>
      <c r="R131" s="375">
        <f t="shared" si="448"/>
        <v>-1.6298054275324811E-2</v>
      </c>
      <c r="S131" s="377">
        <f t="shared" si="448"/>
        <v>-1.6885839846221551E-3</v>
      </c>
      <c r="T131" s="375"/>
      <c r="U131" s="376">
        <f>U101-S101</f>
        <v>-8.1692669250191877E-3</v>
      </c>
      <c r="V131" s="375">
        <f t="shared" si="449"/>
        <v>2.7538974234483711E-2</v>
      </c>
      <c r="W131" s="375">
        <f t="shared" si="449"/>
        <v>-1.3729950093206732E-2</v>
      </c>
      <c r="X131" s="377">
        <f t="shared" si="449"/>
        <v>1.4733831474060821E-3</v>
      </c>
      <c r="Y131" s="375"/>
      <c r="Z131" s="376">
        <f>Z101-X101</f>
        <v>-1.2711817261799381E-2</v>
      </c>
      <c r="AA131" s="375">
        <f t="shared" si="450"/>
        <v>2.8337296088382605E-2</v>
      </c>
      <c r="AB131" s="375">
        <f t="shared" si="450"/>
        <v>-1.4278648317442112E-2</v>
      </c>
      <c r="AC131" s="377">
        <f t="shared" si="450"/>
        <v>-2.5704926280788257E-3</v>
      </c>
      <c r="AD131" s="375"/>
      <c r="AE131" s="376">
        <f>AE101-AC101</f>
        <v>-9.7216996505196246E-3</v>
      </c>
      <c r="AF131" s="375">
        <f t="shared" si="451"/>
        <v>2.2517484845213681E-2</v>
      </c>
      <c r="AG131" s="375">
        <f t="shared" si="451"/>
        <v>-1.1758254991941601E-2</v>
      </c>
      <c r="AH131" s="377">
        <f t="shared" si="451"/>
        <v>-3.9561821940424513E-4</v>
      </c>
      <c r="AI131" s="375"/>
      <c r="AJ131" s="376">
        <f>AJ101-AH101</f>
        <v>-1.1710014201595655E-2</v>
      </c>
      <c r="AK131" s="375">
        <f t="shared" si="452"/>
        <v>2.5184943259254078E-2</v>
      </c>
      <c r="AL131" s="375">
        <f t="shared" si="452"/>
        <v>-1.6194226760156721E-2</v>
      </c>
      <c r="AM131" s="377">
        <f t="shared" si="452"/>
        <v>-1.0358047862367575E-3</v>
      </c>
      <c r="AN131" s="375"/>
      <c r="AO131" s="376">
        <f>AO101-AM101</f>
        <v>-9.322297148864872E-3</v>
      </c>
      <c r="AP131" s="375">
        <f t="shared" si="453"/>
        <v>2.5377570485352913E-2</v>
      </c>
      <c r="AQ131" s="375">
        <f t="shared" si="453"/>
        <v>-1.3918492862587152E-2</v>
      </c>
      <c r="AR131" s="377">
        <f t="shared" si="453"/>
        <v>-1.4233561853636487E-3</v>
      </c>
      <c r="AS131" s="375"/>
      <c r="AT131" s="376">
        <f>AT101-AR101</f>
        <v>-7.4304501392151376E-3</v>
      </c>
      <c r="AU131" s="375">
        <f t="shared" si="454"/>
        <v>2.3112060909255196E-2</v>
      </c>
      <c r="AV131" s="375">
        <f t="shared" si="454"/>
        <v>-1.4914194520327315E-2</v>
      </c>
      <c r="AW131" s="377">
        <f t="shared" si="454"/>
        <v>-1.756637635747002E-3</v>
      </c>
      <c r="AX131" s="375"/>
      <c r="AY131" s="376">
        <f>AY101-AW101</f>
        <v>-7.1220732687246255E-3</v>
      </c>
      <c r="AZ131" s="375">
        <f t="shared" si="455"/>
        <v>2.2766642258782575E-2</v>
      </c>
      <c r="BA131" s="375">
        <f t="shared" si="455"/>
        <v>-1.2340394185207673E-2</v>
      </c>
      <c r="BB131" s="377">
        <f t="shared" si="455"/>
        <v>-3.8897597533549752E-3</v>
      </c>
      <c r="BC131" s="375"/>
      <c r="BD131" s="376">
        <f>BD101-BB101</f>
        <v>-1.7996227038161935E-3</v>
      </c>
      <c r="BE131" s="375">
        <f t="shared" si="456"/>
        <v>1.9414959300112722E-2</v>
      </c>
      <c r="BF131" s="375">
        <f t="shared" si="456"/>
        <v>-1.1122128978764897E-2</v>
      </c>
      <c r="BG131" s="377">
        <f t="shared" si="456"/>
        <v>-1.1999713218890005E-2</v>
      </c>
      <c r="BH131" s="375"/>
      <c r="BI131" s="376">
        <f>BI101-BG101</f>
        <v>2.2339217631858338E-3</v>
      </c>
      <c r="BJ131" s="375">
        <f t="shared" si="457"/>
        <v>1.7786419918437053E-2</v>
      </c>
      <c r="BK131" s="375">
        <f t="shared" si="457"/>
        <v>-9.3728761184021445E-3</v>
      </c>
      <c r="BL131" s="377">
        <f t="shared" si="457"/>
        <v>-6.2541778842920628E-3</v>
      </c>
      <c r="BM131" s="375"/>
      <c r="BN131" s="376">
        <f>BN101-BL101</f>
        <v>1.006162381279041E-3</v>
      </c>
      <c r="BO131" s="375">
        <f>BO102-BM102</f>
        <v>0</v>
      </c>
      <c r="BP131" s="375">
        <f>BP102-BO102</f>
        <v>0</v>
      </c>
      <c r="BQ131" s="375">
        <f>BQ102-BP102</f>
        <v>0</v>
      </c>
      <c r="BR131" s="375">
        <f>BR102-BQ102</f>
        <v>0</v>
      </c>
      <c r="BS131" s="375">
        <f>BS102-BQ102</f>
        <v>5.3807055938522495E-2</v>
      </c>
      <c r="BT131" s="375">
        <f t="shared" ref="BT131:BV132" si="458">BT102-BS102</f>
        <v>1.883352196398249E-2</v>
      </c>
      <c r="BU131" s="375">
        <f t="shared" si="458"/>
        <v>-1.0652125815689119E-2</v>
      </c>
      <c r="BV131" s="375">
        <f t="shared" si="458"/>
        <v>-1.6993213306510144E-2</v>
      </c>
      <c r="BW131" s="375"/>
      <c r="BX131" s="375">
        <f>BX102-BV102</f>
        <v>5.3158604369285059E-3</v>
      </c>
      <c r="BY131" s="375">
        <f>BY102-BX102</f>
        <v>1.7306503210686858E-2</v>
      </c>
      <c r="BZ131" s="375">
        <f>BZ102-BY102</f>
        <v>-1.1109274235447303E-2</v>
      </c>
      <c r="CA131" s="1639">
        <f>CA102-BZ102</f>
        <v>-6.1994700125081736E-3</v>
      </c>
      <c r="CB131" s="697"/>
      <c r="CC131" s="375">
        <f>CC102-CA102</f>
        <v>2.8566270314741363E-3</v>
      </c>
      <c r="CD131" s="375">
        <f>CD102-CC102</f>
        <v>1.4592211851019783E-2</v>
      </c>
      <c r="CE131" s="375">
        <f>CE102-CD102</f>
        <v>-1.5487216220550118E-2</v>
      </c>
      <c r="CF131" s="375">
        <f>CF102-CE102</f>
        <v>-1.292413266331463E-3</v>
      </c>
      <c r="CG131" s="697"/>
      <c r="CH131" s="375">
        <f>CH102-CF102</f>
        <v>8.6967479225770333E-3</v>
      </c>
      <c r="CI131" s="375">
        <f>CI102-CH102</f>
        <v>1.1074292706363453E-2</v>
      </c>
      <c r="CJ131" s="375">
        <f>CJ102-CI102</f>
        <v>-1.3321641000773404E-2</v>
      </c>
      <c r="CK131" s="375">
        <f>CK102-CJ102</f>
        <v>-4.0518340986078344E-3</v>
      </c>
      <c r="CL131" s="697"/>
      <c r="CM131" s="375">
        <f>CM102-CK102</f>
        <v>1.9749204003978588E-3</v>
      </c>
      <c r="CN131" s="375">
        <f>CN102-CM102</f>
        <v>1.1026584449534374E-2</v>
      </c>
      <c r="CO131" s="375">
        <f>CO102-CN102</f>
        <v>-9.1441501227125105E-3</v>
      </c>
      <c r="CP131" s="375">
        <f>CP102-CO102</f>
        <v>-8.149639856020012E-3</v>
      </c>
      <c r="CQ131" s="697"/>
      <c r="CR131" s="375">
        <f>CR102-CP102</f>
        <v>4.2777053847164528E-3</v>
      </c>
      <c r="CS131" s="375">
        <f>CS102-CR102</f>
        <v>2.1610791975998175E-2</v>
      </c>
      <c r="CT131" s="375">
        <f>CT102-CS102</f>
        <v>-6.7689293757125929E-3</v>
      </c>
      <c r="CU131" s="375">
        <f>CU102-CT102</f>
        <v>-6.7236227223890499E-3</v>
      </c>
      <c r="CV131" s="697"/>
      <c r="CW131" s="375">
        <f>CW102-CU102</f>
        <v>-1.3014330174429892E-3</v>
      </c>
      <c r="CX131" s="375">
        <f>CX102-CW102</f>
        <v>8.0700357234051098E-3</v>
      </c>
      <c r="CY131" s="375">
        <f>CY102-CX102</f>
        <v>-9.833219538806226E-4</v>
      </c>
      <c r="CZ131" s="375">
        <f>CZ102-CY102</f>
        <v>-7.3390872932300594E-3</v>
      </c>
      <c r="DA131" s="697"/>
      <c r="DB131" s="375">
        <f>DB102-CZ102</f>
        <v>1.6987334106163821E-3</v>
      </c>
      <c r="DC131" s="375">
        <f>DC102-DB102</f>
        <v>7.6189966905887974E-3</v>
      </c>
      <c r="DD131" s="375">
        <f>DD102-DC102</f>
        <v>-8.5035050434933979E-3</v>
      </c>
      <c r="DE131" s="375">
        <f>DE102-DD102</f>
        <v>-9.9017621026135927E-3</v>
      </c>
      <c r="DF131" s="697"/>
      <c r="DG131" s="375">
        <f>DG102-DF102</f>
        <v>-1.1526747004554291E-3</v>
      </c>
      <c r="DH131" s="375">
        <f>DH102-DG102</f>
        <v>1.1027399668193362E-2</v>
      </c>
      <c r="DI131" s="375">
        <f>DI102-DH102</f>
        <v>-8.7401919390528854E-3</v>
      </c>
      <c r="DJ131" s="375">
        <f>DJ102-DI102</f>
        <v>-7.1934177690550355E-3</v>
      </c>
      <c r="DK131" s="697"/>
      <c r="DL131" s="375">
        <f>DL102-DK102</f>
        <v>-8.6329127534342381E-4</v>
      </c>
      <c r="DM131" s="375">
        <f>DM102-DL102</f>
        <v>7.9050289242137001E-3</v>
      </c>
      <c r="DN131" s="375">
        <f>DN102-DM102</f>
        <v>-2.6588799624553683E-4</v>
      </c>
      <c r="DO131" s="1639">
        <f>DO102-DN102</f>
        <v>-5.7087847360125718E-3</v>
      </c>
      <c r="DP131" s="697"/>
      <c r="DQ131" s="375">
        <f>DQ102-DP102</f>
        <v>-6.1185184056716524E-3</v>
      </c>
      <c r="DR131" s="375">
        <f ca="1">DR102-DQ102</f>
        <v>3.4916185804982416E-3</v>
      </c>
      <c r="DS131" s="375">
        <f ca="1">DS102-DR102</f>
        <v>-4.5291666784029738E-3</v>
      </c>
      <c r="DT131" s="1639">
        <f ca="1">DT102-DS102</f>
        <v>-1.8224933442531482E-3</v>
      </c>
      <c r="DU131" s="697"/>
      <c r="DV131" s="1638">
        <f ca="1">DV102-DU102</f>
        <v>-3.8630212836862285E-3</v>
      </c>
      <c r="DW131" s="375">
        <f ca="1">DW102-DV102</f>
        <v>7.152672335431591E-3</v>
      </c>
      <c r="DX131" s="375">
        <f ca="1">DX102-DW102</f>
        <v>5.6802970965746935E-4</v>
      </c>
      <c r="DY131" s="1639">
        <f ca="1">DY102-DX102</f>
        <v>-3.9654758990300548E-4</v>
      </c>
      <c r="DZ131" s="697"/>
      <c r="EA131" s="1638">
        <f ca="1">EA102-DZ102</f>
        <v>-5.1340980860000093E-3</v>
      </c>
      <c r="EB131" s="375">
        <f ca="1">EB102-EA102</f>
        <v>6.3598091515597588E-3</v>
      </c>
      <c r="EC131" s="375">
        <f ca="1">EC102-EB102</f>
        <v>9.9427237994720308E-4</v>
      </c>
      <c r="ED131" s="1639">
        <f ca="1">ED102-EC102</f>
        <v>-3.2699151030823187E-4</v>
      </c>
      <c r="EE131" s="697"/>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row>
    <row r="132" spans="2:232" s="54" customFormat="1" ht="12" thickBot="1">
      <c r="B132" s="694" t="s">
        <v>101</v>
      </c>
      <c r="C132" s="695"/>
      <c r="D132" s="695"/>
      <c r="E132" s="695"/>
      <c r="F132" s="695"/>
      <c r="G132" s="695"/>
      <c r="H132" s="695"/>
      <c r="I132" s="695"/>
      <c r="J132" s="695"/>
      <c r="K132" s="847"/>
      <c r="L132" s="695"/>
      <c r="M132" s="695"/>
      <c r="N132" s="848"/>
      <c r="O132" s="695">
        <f>O114-J114</f>
        <v>0</v>
      </c>
      <c r="P132" s="847"/>
      <c r="Q132" s="695">
        <f>Q103-P103</f>
        <v>3.5531591526573592E-3</v>
      </c>
      <c r="R132" s="695">
        <f>R103-Q103</f>
        <v>5.0521520694426503E-3</v>
      </c>
      <c r="S132" s="848">
        <f>S103-R103</f>
        <v>1.6001594949728803E-2</v>
      </c>
      <c r="T132" s="695"/>
      <c r="U132" s="847">
        <f>U103-S103</f>
        <v>-2.2649889078592056E-2</v>
      </c>
      <c r="V132" s="695">
        <f>V103-U103</f>
        <v>2.630952015060195E-3</v>
      </c>
      <c r="W132" s="695">
        <f>W103-V103</f>
        <v>-1.5252577254468047E-2</v>
      </c>
      <c r="X132" s="848">
        <f>X103-W103</f>
        <v>7.7906952542759478E-3</v>
      </c>
      <c r="Y132" s="695"/>
      <c r="Z132" s="847">
        <f>Z103-X103</f>
        <v>-8.5529447111356016E-3</v>
      </c>
      <c r="AA132" s="695">
        <f>AA103-Z103</f>
        <v>1.8535405100983282E-2</v>
      </c>
      <c r="AB132" s="695">
        <f>AB103-AA103</f>
        <v>-6.5842257069912424E-3</v>
      </c>
      <c r="AC132" s="848">
        <f>AC103-AB103</f>
        <v>2.3255204637503302E-2</v>
      </c>
      <c r="AD132" s="695"/>
      <c r="AE132" s="847">
        <f>AE103-AC103</f>
        <v>-2.8610972447894734E-2</v>
      </c>
      <c r="AF132" s="695">
        <f>AF103-AE103</f>
        <v>2.6239157962913151E-2</v>
      </c>
      <c r="AG132" s="695">
        <f>AG103-AF103</f>
        <v>-5.8256237267305111E-3</v>
      </c>
      <c r="AH132" s="848">
        <f>AH103-AG103</f>
        <v>-1.3391906538295861E-2</v>
      </c>
      <c r="AI132" s="695"/>
      <c r="AJ132" s="847">
        <f>AJ103-AH103</f>
        <v>1.3283422922281907E-2</v>
      </c>
      <c r="AK132" s="695">
        <f>AK103-AJ103</f>
        <v>-3.8926674934440797E-3</v>
      </c>
      <c r="AL132" s="695">
        <f>AL103-AK103</f>
        <v>1.1439281562692361E-3</v>
      </c>
      <c r="AM132" s="848">
        <f>AM103-AL103</f>
        <v>-2.0661085221664433E-2</v>
      </c>
      <c r="AN132" s="695"/>
      <c r="AO132" s="847">
        <f>AO103-AM103</f>
        <v>1.5953081363169141E-2</v>
      </c>
      <c r="AP132" s="695">
        <f>AP103-AO103</f>
        <v>-2.0600132662845771E-4</v>
      </c>
      <c r="AQ132" s="695">
        <f>AQ103-AP103</f>
        <v>-2.6577025719343172E-5</v>
      </c>
      <c r="AR132" s="848">
        <f>AR103-AQ103</f>
        <v>2.3434480092759946E-4</v>
      </c>
      <c r="AS132" s="695"/>
      <c r="AT132" s="847">
        <f>AT103-AR103</f>
        <v>1.7520829591243792E-2</v>
      </c>
      <c r="AU132" s="695">
        <f>AU103-AT103</f>
        <v>-1.7683357571865399E-2</v>
      </c>
      <c r="AV132" s="695">
        <f>AV103-AU103</f>
        <v>9.8437245608918866E-3</v>
      </c>
      <c r="AW132" s="848">
        <f>AW103-AV103</f>
        <v>-8.9714244470402438E-3</v>
      </c>
      <c r="AX132" s="695"/>
      <c r="AY132" s="847">
        <f>AY103-AW103</f>
        <v>-3.4092676490627971E-3</v>
      </c>
      <c r="AZ132" s="695">
        <f>AZ103-AY103</f>
        <v>1.5140051618117711E-4</v>
      </c>
      <c r="BA132" s="695">
        <f>BA103-AZ103</f>
        <v>-1.5811699629791898E-4</v>
      </c>
      <c r="BB132" s="848">
        <f>BB103-BA103</f>
        <v>9.2680737367456523E-5</v>
      </c>
      <c r="BC132" s="695"/>
      <c r="BD132" s="847">
        <f>BD103-BB103</f>
        <v>-1.7825911652373627E-2</v>
      </c>
      <c r="BE132" s="695">
        <f>BE103-BD103</f>
        <v>1.5292623552755791E-2</v>
      </c>
      <c r="BF132" s="695">
        <f>BF103-BE103</f>
        <v>2.7712372891230963E-5</v>
      </c>
      <c r="BG132" s="848">
        <f>BG103-BF103</f>
        <v>-2.1306305424798999E-2</v>
      </c>
      <c r="BH132" s="695"/>
      <c r="BI132" s="847">
        <f>BI103-BG103</f>
        <v>1.8820032246438356E-2</v>
      </c>
      <c r="BJ132" s="695">
        <f>BJ103-BI103</f>
        <v>-7.252676173929995E-5</v>
      </c>
      <c r="BK132" s="695">
        <f>BK103-BJ103</f>
        <v>-1.8743469870073637E-2</v>
      </c>
      <c r="BL132" s="848">
        <f>BL103-BK103</f>
        <v>1.58387584535431E-2</v>
      </c>
      <c r="BM132" s="695"/>
      <c r="BN132" s="847">
        <f>BN103-BL103</f>
        <v>4.1695485969245327E-4</v>
      </c>
      <c r="BO132" s="695">
        <f>BO103-BN103</f>
        <v>4.4693833381126424E-5</v>
      </c>
      <c r="BP132" s="695">
        <f>BP103-BO103</f>
        <v>-1.5554172807062561E-2</v>
      </c>
      <c r="BQ132" s="848">
        <f>BQ103-BP103</f>
        <v>-2.0696233471809711E-3</v>
      </c>
      <c r="BR132" s="695"/>
      <c r="BS132" s="847">
        <f>BS103-BQ103</f>
        <v>2.454018737064767E-2</v>
      </c>
      <c r="BT132" s="695">
        <f t="shared" si="458"/>
        <v>-5.9883079420895435E-3</v>
      </c>
      <c r="BU132" s="695">
        <f t="shared" si="458"/>
        <v>3.8718220075998344E-3</v>
      </c>
      <c r="BV132" s="848">
        <f t="shared" si="458"/>
        <v>-2.3171265878227376E-3</v>
      </c>
      <c r="BW132" s="695"/>
      <c r="BX132" s="695">
        <f>BX105-BV105</f>
        <v>2.7296447447648357E-2</v>
      </c>
      <c r="BY132" s="695">
        <f>BY105-BX105</f>
        <v>1.1550290033383509E-2</v>
      </c>
      <c r="BZ132" s="695">
        <f>BZ105-BY105</f>
        <v>-6.6443932490762858E-3</v>
      </c>
      <c r="CA132" s="1641">
        <f>CA105-BZ105</f>
        <v>-4.4369490845315197E-3</v>
      </c>
      <c r="CB132" s="698"/>
      <c r="CC132" s="695">
        <f>CC105-CA105</f>
        <v>4.8672130168389525E-3</v>
      </c>
      <c r="CD132" s="695">
        <f>CD105-CC105</f>
        <v>9.1640598760030709E-3</v>
      </c>
      <c r="CE132" s="695">
        <f>CE105-CD105</f>
        <v>-9.8180646330912474E-3</v>
      </c>
      <c r="CF132" s="695">
        <f>CF105-CE105</f>
        <v>2.0871135275402769E-4</v>
      </c>
      <c r="CG132" s="698"/>
      <c r="CH132" s="695">
        <f>CH105-CF105</f>
        <v>4.6553974171929038E-3</v>
      </c>
      <c r="CI132" s="695">
        <f>CI105-CH105</f>
        <v>6.5039530482592714E-3</v>
      </c>
      <c r="CJ132" s="695">
        <f>CJ105-CI105</f>
        <v>-6.8761410296377459E-3</v>
      </c>
      <c r="CK132" s="695">
        <f>CK105-CJ105</f>
        <v>-3.1316251029620823E-3</v>
      </c>
      <c r="CL132" s="698"/>
      <c r="CM132" s="695">
        <f>CM105-CK105</f>
        <v>7.5263585241898412E-4</v>
      </c>
      <c r="CN132" s="695">
        <f>CN105-CM105</f>
        <v>7.0322653872216603E-3</v>
      </c>
      <c r="CO132" s="695">
        <f>CO105-CN105</f>
        <v>-5.7475047037602936E-3</v>
      </c>
      <c r="CP132" s="695">
        <f>CP105-CO105</f>
        <v>-2.9859717254225315E-3</v>
      </c>
      <c r="CQ132" s="698"/>
      <c r="CR132" s="695">
        <f>CR105-CP105</f>
        <v>-4.5454196745709635E-4</v>
      </c>
      <c r="CS132" s="695">
        <f>CS105-CR105</f>
        <v>1.7133773488683127E-2</v>
      </c>
      <c r="CT132" s="695">
        <f>CT105-CS105</f>
        <v>-4.7294691469572797E-3</v>
      </c>
      <c r="CU132" s="695">
        <f>CU105-CT105</f>
        <v>-5.2118325569793858E-3</v>
      </c>
      <c r="CV132" s="698"/>
      <c r="CW132" s="695">
        <f>CW105-CU105</f>
        <v>-1.5921088135503816E-3</v>
      </c>
      <c r="CX132" s="695">
        <f>CX105-CW105</f>
        <v>7.3503636367608302E-3</v>
      </c>
      <c r="CY132" s="695">
        <f>CY105-CX105</f>
        <v>6.2660933678277547E-4</v>
      </c>
      <c r="CZ132" s="695">
        <f>CZ105-CY105</f>
        <v>-8.0465701552763017E-3</v>
      </c>
      <c r="DA132" s="698"/>
      <c r="DB132" s="695">
        <f>DB105-CZ105</f>
        <v>8.3763556206162965E-4</v>
      </c>
      <c r="DC132" s="695">
        <f>DC105-DB105</f>
        <v>8.5102524181083217E-3</v>
      </c>
      <c r="DD132" s="695">
        <f>DD105-DC105</f>
        <v>-7.814609346672434E-3</v>
      </c>
      <c r="DE132" s="695">
        <f>DE105-DD105</f>
        <v>-5.026051728632748E-3</v>
      </c>
      <c r="DF132" s="698"/>
      <c r="DG132" s="695">
        <f>DG105-DF105</f>
        <v>-4.9985088817533496E-4</v>
      </c>
      <c r="DH132" s="695">
        <f>DH105-DG105</f>
        <v>8.1540676511951266E-3</v>
      </c>
      <c r="DI132" s="695">
        <f>DI105-DH105</f>
        <v>-3.4802051294694838E-3</v>
      </c>
      <c r="DJ132" s="695">
        <f>DJ105-DI105</f>
        <v>-2.9459998476532787E-3</v>
      </c>
      <c r="DK132" s="698"/>
      <c r="DL132" s="695">
        <f>DL105-DK105</f>
        <v>-5.4504174948707962E-4</v>
      </c>
      <c r="DM132" s="695">
        <f>DM105-DL105</f>
        <v>7.9867814187782812E-3</v>
      </c>
      <c r="DN132" s="695">
        <f>DN105-DM105</f>
        <v>-2.2805112993107141E-3</v>
      </c>
      <c r="DO132" s="1641">
        <f>DO105-DN105</f>
        <v>-1.9066370166715904E-3</v>
      </c>
      <c r="DP132" s="698"/>
      <c r="DQ132" s="695">
        <f>DQ105-DP105</f>
        <v>-4.4236487671053121E-3</v>
      </c>
      <c r="DR132" s="695">
        <f ca="1">DR105-DQ105</f>
        <v>3.5780710689776174E-3</v>
      </c>
      <c r="DS132" s="695">
        <f ca="1">DS105-DR105</f>
        <v>-1.2126878760217868E-3</v>
      </c>
      <c r="DT132" s="1641">
        <f ca="1">DT105-DS105</f>
        <v>-1.5939589057087228E-3</v>
      </c>
      <c r="DU132" s="698"/>
      <c r="DV132" s="1640">
        <f ca="1">DV105-DU105</f>
        <v>-1.742559339600977E-3</v>
      </c>
      <c r="DW132" s="695">
        <f ca="1">DW105-DV105</f>
        <v>6.1037240287974484E-3</v>
      </c>
      <c r="DX132" s="695">
        <f ca="1">DX105-DW105</f>
        <v>5.4335214140775051E-4</v>
      </c>
      <c r="DY132" s="1641">
        <f ca="1">DY105-DX105</f>
        <v>-3.9553507394975845E-4</v>
      </c>
      <c r="DZ132" s="698"/>
      <c r="EA132" s="1640">
        <f ca="1">EA105-DZ105</f>
        <v>-4.187285048338249E-3</v>
      </c>
      <c r="EB132" s="695">
        <f ca="1">EB105-EA105</f>
        <v>5.3561101664838726E-3</v>
      </c>
      <c r="EC132" s="695">
        <f ca="1">EC105-EB105</f>
        <v>8.9951921902780424E-4</v>
      </c>
      <c r="ED132" s="1641">
        <f ca="1">ED105-EC105</f>
        <v>-3.3252424953512244E-4</v>
      </c>
      <c r="EE132" s="698"/>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row>
    <row r="133" spans="2:232" s="54" customFormat="1" ht="12" thickBot="1">
      <c r="H133" s="59"/>
      <c r="CJ133" s="161"/>
      <c r="CK133" s="161"/>
      <c r="CO133" s="161"/>
      <c r="CP133" s="161"/>
      <c r="CR133" s="131"/>
      <c r="CS133" s="131"/>
      <c r="CT133" s="131"/>
      <c r="CU133" s="131"/>
      <c r="CV133" s="131"/>
      <c r="CW133" s="131"/>
      <c r="CX133" s="131"/>
      <c r="CY133" s="131"/>
      <c r="CZ133" s="131"/>
      <c r="DA133" s="372"/>
      <c r="DB133" s="131"/>
      <c r="DC133" s="131"/>
      <c r="DD133" s="131"/>
      <c r="DE133" s="131"/>
      <c r="DG133" s="131"/>
      <c r="DH133" s="131"/>
      <c r="DI133" s="131"/>
      <c r="DJ133" s="131"/>
      <c r="DL133" s="131"/>
      <c r="DM133" s="131"/>
      <c r="DN133" s="131"/>
      <c r="DO133" s="64"/>
      <c r="DQ133" s="64"/>
      <c r="DR133" s="64"/>
      <c r="DS133" s="64"/>
      <c r="DT133" s="64"/>
      <c r="DV133" s="64"/>
      <c r="DW133" s="64"/>
      <c r="DX133" s="64"/>
      <c r="DY133" s="64"/>
      <c r="EA133" s="64"/>
      <c r="EB133" s="64"/>
      <c r="EC133" s="64"/>
      <c r="ED133" s="64"/>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row>
    <row r="134" spans="2:232" s="54" customFormat="1">
      <c r="B134" s="668" t="s">
        <v>460</v>
      </c>
      <c r="C134" s="669"/>
      <c r="D134" s="670">
        <v>38.799999999999997</v>
      </c>
      <c r="E134" s="670">
        <v>38.799999999999997</v>
      </c>
      <c r="F134" s="670">
        <v>40.287999999999997</v>
      </c>
      <c r="G134" s="670">
        <v>34.912999999999997</v>
      </c>
      <c r="H134" s="670">
        <v>28.120999999999999</v>
      </c>
      <c r="I134" s="670">
        <v>5.1039999999999957</v>
      </c>
      <c r="J134" s="477">
        <v>21.478999999999999</v>
      </c>
      <c r="K134" s="477">
        <v>8.5640000000000001</v>
      </c>
      <c r="L134" s="477">
        <v>5.4660000000000002</v>
      </c>
      <c r="M134" s="477">
        <v>3.5609999999999999</v>
      </c>
      <c r="N134" s="477">
        <v>-4.8390000000000004</v>
      </c>
      <c r="O134" s="477">
        <f>SUM(K134:N134)</f>
        <v>12.752000000000001</v>
      </c>
      <c r="P134" s="477">
        <v>5.9249999999999998</v>
      </c>
      <c r="Q134" s="477">
        <v>9.2430000000000003</v>
      </c>
      <c r="R134" s="477">
        <v>4.3289999999999997</v>
      </c>
      <c r="S134" s="477">
        <v>-2.9510000000000001</v>
      </c>
      <c r="T134" s="477">
        <f>SUM(P134:S134)</f>
        <v>16.545999999999999</v>
      </c>
      <c r="U134" s="477">
        <v>6.1390000000000002</v>
      </c>
      <c r="V134" s="477">
        <v>9.907</v>
      </c>
      <c r="W134" s="477">
        <v>16.353000000000002</v>
      </c>
      <c r="X134" s="477">
        <v>14.108000000000001</v>
      </c>
      <c r="Y134" s="477">
        <f>SUM(U134:X134)</f>
        <v>46.507000000000005</v>
      </c>
      <c r="Z134" s="477">
        <v>13.9</v>
      </c>
      <c r="AA134" s="477">
        <v>16.2</v>
      </c>
      <c r="AB134" s="477">
        <v>15.8</v>
      </c>
      <c r="AC134" s="477">
        <v>-0.7</v>
      </c>
      <c r="AD134" s="477">
        <f>SUM(Z134:AC134)</f>
        <v>45.2</v>
      </c>
      <c r="AE134" s="477">
        <v>17.600000000000001</v>
      </c>
      <c r="AF134" s="477">
        <v>16.899999999999999</v>
      </c>
      <c r="AG134" s="477">
        <v>13</v>
      </c>
      <c r="AH134" s="477">
        <v>-8.6999999999999993</v>
      </c>
      <c r="AI134" s="477">
        <f>SUM(AE134:AH134)</f>
        <v>38.799999999999997</v>
      </c>
      <c r="AJ134" s="477">
        <v>16.399999999999999</v>
      </c>
      <c r="AK134" s="477">
        <v>26.8</v>
      </c>
      <c r="AL134" s="477">
        <v>16.8</v>
      </c>
      <c r="AM134" s="477">
        <v>2.8</v>
      </c>
      <c r="AN134" s="477">
        <f>SUM(AJ134:AM134)</f>
        <v>62.8</v>
      </c>
      <c r="AO134" s="477">
        <v>22.4</v>
      </c>
      <c r="AP134" s="477">
        <v>20.8</v>
      </c>
      <c r="AQ134" s="477">
        <v>22.6</v>
      </c>
      <c r="AR134" s="477">
        <v>-9.9</v>
      </c>
      <c r="AS134" s="477">
        <f>SUM(AO134:AR134)</f>
        <v>55.900000000000013</v>
      </c>
      <c r="AT134" s="477">
        <v>21.8</v>
      </c>
      <c r="AU134" s="477">
        <v>24.9</v>
      </c>
      <c r="AV134" s="477">
        <v>9</v>
      </c>
      <c r="AW134" s="477">
        <v>-19.5</v>
      </c>
      <c r="AX134" s="477">
        <f>SUM(AT134:AW134)</f>
        <v>36.200000000000003</v>
      </c>
      <c r="AY134" s="477">
        <v>20.100000000000001</v>
      </c>
      <c r="AZ134" s="477">
        <v>22.4</v>
      </c>
      <c r="BA134" s="477">
        <v>12.7</v>
      </c>
      <c r="BB134" s="477">
        <v>-48.5</v>
      </c>
      <c r="BC134" s="477">
        <f>SUM(AY134:BB134)</f>
        <v>6.7000000000000028</v>
      </c>
      <c r="BD134" s="477">
        <v>18.5</v>
      </c>
      <c r="BE134" s="477">
        <v>27.1</v>
      </c>
      <c r="BF134" s="477">
        <v>24.2</v>
      </c>
      <c r="BG134" s="477">
        <v>-2</v>
      </c>
      <c r="BH134" s="477">
        <f>SUM(BD134:BG134)</f>
        <v>67.8</v>
      </c>
      <c r="BI134" s="477">
        <v>21.2</v>
      </c>
      <c r="BJ134" s="477">
        <v>23.8</v>
      </c>
      <c r="BK134" s="477">
        <v>24.2</v>
      </c>
      <c r="BL134" s="477">
        <v>26.1</v>
      </c>
      <c r="BM134" s="477">
        <f>SUM(BI134:BL134)</f>
        <v>95.300000000000011</v>
      </c>
      <c r="BN134" s="477">
        <v>27.4</v>
      </c>
      <c r="BO134" s="477">
        <v>13.4</v>
      </c>
      <c r="BP134" s="477">
        <v>-3.5</v>
      </c>
      <c r="BQ134" s="477">
        <v>32</v>
      </c>
      <c r="BR134" s="477">
        <f>SUM(BN134:BQ134)</f>
        <v>69.3</v>
      </c>
      <c r="BS134" s="477">
        <f>57.5-BT134</f>
        <v>26.9</v>
      </c>
      <c r="BT134" s="477">
        <v>30.6</v>
      </c>
      <c r="BU134" s="477">
        <v>16.100000000000001</v>
      </c>
      <c r="BV134" s="477">
        <v>24.9</v>
      </c>
      <c r="BW134" s="477">
        <f>SUM(BS134:BV134)</f>
        <v>98.5</v>
      </c>
      <c r="BX134" s="477">
        <f>48</f>
        <v>48</v>
      </c>
      <c r="BY134" s="477">
        <v>49</v>
      </c>
      <c r="BZ134" s="477">
        <v>32</v>
      </c>
      <c r="CA134" s="477">
        <v>48</v>
      </c>
      <c r="CB134" s="477">
        <v>172</v>
      </c>
      <c r="CC134" s="477">
        <v>34</v>
      </c>
      <c r="CD134" s="477">
        <v>27</v>
      </c>
      <c r="CE134" s="477">
        <v>18</v>
      </c>
      <c r="CF134" s="477">
        <v>61</v>
      </c>
      <c r="CG134" s="844">
        <f>SUM(CC134:CF134)</f>
        <v>140</v>
      </c>
      <c r="CH134" s="678">
        <v>42</v>
      </c>
      <c r="CI134" s="678">
        <v>56</v>
      </c>
      <c r="CJ134" s="678">
        <v>50</v>
      </c>
      <c r="CK134" s="678">
        <v>60</v>
      </c>
      <c r="CL134" s="844">
        <f>SUM(CH134:CK134)</f>
        <v>208</v>
      </c>
      <c r="CM134" s="678">
        <v>45</v>
      </c>
      <c r="CN134" s="477">
        <v>72</v>
      </c>
      <c r="CO134" s="477">
        <v>60</v>
      </c>
      <c r="CP134" s="724">
        <v>132</v>
      </c>
      <c r="CQ134" s="844">
        <f>SUM(CM134:CP134)</f>
        <v>309</v>
      </c>
      <c r="CR134" s="724">
        <v>55</v>
      </c>
      <c r="CS134" s="724">
        <v>72</v>
      </c>
      <c r="CT134" s="724">
        <v>120</v>
      </c>
      <c r="CU134" s="849">
        <v>-8</v>
      </c>
      <c r="CV134" s="844">
        <f>SUM(CR134:CU134)</f>
        <v>239</v>
      </c>
      <c r="CW134" s="849">
        <f>58+5</f>
        <v>63</v>
      </c>
      <c r="CX134" s="849">
        <v>51</v>
      </c>
      <c r="CY134" s="849">
        <v>41</v>
      </c>
      <c r="CZ134" s="849">
        <v>-18</v>
      </c>
      <c r="DA134" s="844">
        <f>SUM(CW134:CZ134)</f>
        <v>137</v>
      </c>
      <c r="DB134" s="849">
        <v>52</v>
      </c>
      <c r="DC134" s="1703">
        <v>55</v>
      </c>
      <c r="DD134" s="1703">
        <v>69</v>
      </c>
      <c r="DE134" s="1703">
        <v>109</v>
      </c>
      <c r="DF134" s="845">
        <f>SUM(DB134:DE134)</f>
        <v>285</v>
      </c>
      <c r="DG134" s="2148">
        <v>46</v>
      </c>
      <c r="DH134" s="1703">
        <v>68</v>
      </c>
      <c r="DI134" s="1703">
        <v>92</v>
      </c>
      <c r="DJ134" s="1703">
        <v>8</v>
      </c>
      <c r="DK134" s="1270">
        <f>SUM(DG134:DJ134)</f>
        <v>214</v>
      </c>
      <c r="DL134" s="1703">
        <v>58</v>
      </c>
      <c r="DM134" s="1703">
        <v>49</v>
      </c>
      <c r="DN134" s="1703">
        <v>49</v>
      </c>
      <c r="DO134" s="2287">
        <v>-38</v>
      </c>
      <c r="DP134" s="1270">
        <f>SUM(DL134:DO134)</f>
        <v>118</v>
      </c>
      <c r="DQ134" s="2396">
        <v>54</v>
      </c>
      <c r="DR134" s="849">
        <f t="shared" ref="DR134" si="459">DM134</f>
        <v>49</v>
      </c>
      <c r="DS134" s="849">
        <f t="shared" ref="DS134" si="460">DN134</f>
        <v>49</v>
      </c>
      <c r="DT134" s="1829">
        <f t="shared" ref="DT134" si="461">DO134</f>
        <v>-38</v>
      </c>
      <c r="DU134" s="1270">
        <f>SUM(DQ134:DT134)</f>
        <v>114</v>
      </c>
      <c r="DV134" s="1828">
        <f>DQ134</f>
        <v>54</v>
      </c>
      <c r="DW134" s="849">
        <f t="shared" ref="DW134" si="462">DR134</f>
        <v>49</v>
      </c>
      <c r="DX134" s="849">
        <f t="shared" ref="DX134" si="463">DS134</f>
        <v>49</v>
      </c>
      <c r="DY134" s="1829">
        <f t="shared" ref="DY134" si="464">DT134</f>
        <v>-38</v>
      </c>
      <c r="DZ134" s="1270">
        <f>SUM(DV134:DY134)</f>
        <v>114</v>
      </c>
      <c r="EA134" s="1828">
        <f>DV134</f>
        <v>54</v>
      </c>
      <c r="EB134" s="849">
        <f t="shared" ref="EB134" si="465">DW134</f>
        <v>49</v>
      </c>
      <c r="EC134" s="849">
        <f t="shared" ref="EC134" si="466">DX134</f>
        <v>49</v>
      </c>
      <c r="ED134" s="1829">
        <f t="shared" ref="ED134" si="467">DY134</f>
        <v>-38</v>
      </c>
      <c r="EE134" s="1270">
        <f>SUM(EA134:ED134)</f>
        <v>114</v>
      </c>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row>
    <row r="135" spans="2:232" s="54" customFormat="1">
      <c r="B135" s="553" t="s">
        <v>331</v>
      </c>
      <c r="C135" s="162"/>
      <c r="D135" s="64">
        <f t="shared" ref="D135:AI135" si="468">D9-D10+D134</f>
        <v>1609.1870000000001</v>
      </c>
      <c r="E135" s="64">
        <f t="shared" si="468"/>
        <v>1768.702</v>
      </c>
      <c r="F135" s="64">
        <f t="shared" si="468"/>
        <v>1984.4339999999997</v>
      </c>
      <c r="G135" s="64">
        <f t="shared" si="468"/>
        <v>2167.0489999999995</v>
      </c>
      <c r="H135" s="64">
        <f t="shared" si="468"/>
        <v>2392.08</v>
      </c>
      <c r="I135" s="64">
        <f t="shared" si="468"/>
        <v>2630.7409999999986</v>
      </c>
      <c r="J135" s="64">
        <f t="shared" si="468"/>
        <v>2955.7099999999996</v>
      </c>
      <c r="K135" s="64">
        <f t="shared" si="468"/>
        <v>747.54599999999971</v>
      </c>
      <c r="L135" s="64">
        <f t="shared" si="468"/>
        <v>900.21799999999996</v>
      </c>
      <c r="M135" s="64">
        <f t="shared" si="468"/>
        <v>830.34599999999989</v>
      </c>
      <c r="N135" s="64">
        <f t="shared" si="468"/>
        <v>802.41899999999976</v>
      </c>
      <c r="O135" s="64">
        <f t="shared" si="468"/>
        <v>3280.5289999999982</v>
      </c>
      <c r="P135" s="64">
        <f t="shared" si="468"/>
        <v>841.86599999999976</v>
      </c>
      <c r="Q135" s="64">
        <f t="shared" si="468"/>
        <v>1024.5589999999997</v>
      </c>
      <c r="R135" s="64">
        <f t="shared" si="468"/>
        <v>941.29600000000005</v>
      </c>
      <c r="S135" s="64">
        <f t="shared" si="468"/>
        <v>906.54399999999987</v>
      </c>
      <c r="T135" s="64">
        <f t="shared" si="468"/>
        <v>3714.2650000000008</v>
      </c>
      <c r="U135" s="64">
        <f t="shared" si="468"/>
        <v>956.42799999999977</v>
      </c>
      <c r="V135" s="64">
        <f t="shared" si="468"/>
        <v>1152.5989999999999</v>
      </c>
      <c r="W135" s="64">
        <f t="shared" si="468"/>
        <v>1079.3920000000003</v>
      </c>
      <c r="X135" s="64">
        <f t="shared" si="468"/>
        <v>1071.7369999999999</v>
      </c>
      <c r="Y135" s="64">
        <f t="shared" si="468"/>
        <v>4260.155999999999</v>
      </c>
      <c r="Z135" s="64">
        <f t="shared" si="468"/>
        <v>1102.5</v>
      </c>
      <c r="AA135" s="64">
        <f t="shared" si="468"/>
        <v>1331.0000000000002</v>
      </c>
      <c r="AB135" s="64">
        <f t="shared" si="468"/>
        <v>1272.2999999999995</v>
      </c>
      <c r="AC135" s="64">
        <f t="shared" si="468"/>
        <v>1244.8</v>
      </c>
      <c r="AD135" s="64">
        <f t="shared" si="468"/>
        <v>4905.3999999999987</v>
      </c>
      <c r="AE135" s="64">
        <f t="shared" si="468"/>
        <v>1307.3999999999996</v>
      </c>
      <c r="AF135" s="64">
        <f t="shared" si="468"/>
        <v>1560.4</v>
      </c>
      <c r="AG135" s="64">
        <f t="shared" si="468"/>
        <v>1464.0000000000005</v>
      </c>
      <c r="AH135" s="64">
        <f t="shared" si="468"/>
        <v>1465.6000000000001</v>
      </c>
      <c r="AI135" s="64">
        <f t="shared" si="468"/>
        <v>5797.4000000000005</v>
      </c>
      <c r="AJ135" s="64">
        <f t="shared" ref="AJ135:BO135" si="469">AJ9-AJ10+AJ134</f>
        <v>1504.4999999999995</v>
      </c>
      <c r="AK135" s="64">
        <f t="shared" si="469"/>
        <v>1797.6000000000001</v>
      </c>
      <c r="AL135" s="64">
        <f t="shared" si="469"/>
        <v>1668.3999999999994</v>
      </c>
      <c r="AM135" s="64">
        <f t="shared" si="469"/>
        <v>1666.4000000000003</v>
      </c>
      <c r="AN135" s="64">
        <f t="shared" si="469"/>
        <v>6636.8999999999987</v>
      </c>
      <c r="AO135" s="64">
        <f t="shared" si="469"/>
        <v>1720.2999999999997</v>
      </c>
      <c r="AP135" s="64">
        <f t="shared" si="469"/>
        <v>2054.6999999999998</v>
      </c>
      <c r="AQ135" s="64">
        <f t="shared" si="469"/>
        <v>1959.7999999999997</v>
      </c>
      <c r="AR135" s="64">
        <f t="shared" si="469"/>
        <v>1926.1</v>
      </c>
      <c r="AS135" s="64">
        <f t="shared" si="469"/>
        <v>7660.9</v>
      </c>
      <c r="AT135" s="64">
        <f t="shared" si="469"/>
        <v>2017.4999999999998</v>
      </c>
      <c r="AU135" s="64">
        <f t="shared" si="469"/>
        <v>2373.0000000000005</v>
      </c>
      <c r="AV135" s="64">
        <f t="shared" si="469"/>
        <v>2239</v>
      </c>
      <c r="AW135" s="64">
        <f t="shared" si="469"/>
        <v>2205.8999999999996</v>
      </c>
      <c r="AX135" s="64">
        <f t="shared" si="469"/>
        <v>8835.4000000000015</v>
      </c>
      <c r="AY135" s="64">
        <f t="shared" si="469"/>
        <v>2320.1999999999994</v>
      </c>
      <c r="AZ135" s="64">
        <f t="shared" si="469"/>
        <v>2728.0000000000005</v>
      </c>
      <c r="BA135" s="64">
        <f t="shared" si="469"/>
        <v>2590.5</v>
      </c>
      <c r="BB135" s="64">
        <f t="shared" si="469"/>
        <v>2565.8000000000011</v>
      </c>
      <c r="BC135" s="64">
        <f t="shared" si="469"/>
        <v>10204.499999999996</v>
      </c>
      <c r="BD135" s="64">
        <f t="shared" si="469"/>
        <v>2726.4000000000005</v>
      </c>
      <c r="BE135" s="64">
        <f t="shared" si="469"/>
        <v>3157.7000000000003</v>
      </c>
      <c r="BF135" s="64">
        <f t="shared" si="469"/>
        <v>3040.4000000000005</v>
      </c>
      <c r="BG135" s="64">
        <f t="shared" si="469"/>
        <v>2931.0999999999995</v>
      </c>
      <c r="BH135" s="64">
        <f t="shared" si="469"/>
        <v>11855.599999999999</v>
      </c>
      <c r="BI135" s="64">
        <f t="shared" si="469"/>
        <v>3023.7</v>
      </c>
      <c r="BJ135" s="64">
        <f t="shared" si="469"/>
        <v>3483.1000000000013</v>
      </c>
      <c r="BK135" s="64">
        <f t="shared" si="469"/>
        <v>3367.4000000000005</v>
      </c>
      <c r="BL135" s="64">
        <f t="shared" si="469"/>
        <v>3389.6999999999985</v>
      </c>
      <c r="BM135" s="64">
        <f t="shared" si="469"/>
        <v>13263.900000000005</v>
      </c>
      <c r="BN135" s="64">
        <f t="shared" si="469"/>
        <v>3603.0000000000005</v>
      </c>
      <c r="BO135" s="64">
        <f t="shared" si="469"/>
        <v>4049.2000000000012</v>
      </c>
      <c r="BP135" s="64">
        <f t="shared" ref="BP135:CU135" si="470">BP9-BP10+BP134</f>
        <v>3873.6999999999989</v>
      </c>
      <c r="BQ135" s="64">
        <f t="shared" si="470"/>
        <v>3787.2999999999993</v>
      </c>
      <c r="BR135" s="64">
        <f t="shared" si="470"/>
        <v>15313.199999999993</v>
      </c>
      <c r="BS135" s="64">
        <f t="shared" si="470"/>
        <v>3947.7999999999997</v>
      </c>
      <c r="BT135" s="64">
        <f t="shared" si="470"/>
        <v>4472.2000000000007</v>
      </c>
      <c r="BU135" s="64">
        <f t="shared" si="470"/>
        <v>4261.8000000000011</v>
      </c>
      <c r="BV135" s="64">
        <f t="shared" si="470"/>
        <v>4059.5000000000005</v>
      </c>
      <c r="BW135" s="64">
        <f t="shared" si="470"/>
        <v>16741.299999999996</v>
      </c>
      <c r="BX135" s="64">
        <f t="shared" si="470"/>
        <v>4199</v>
      </c>
      <c r="BY135" s="64">
        <f t="shared" si="470"/>
        <v>4706</v>
      </c>
      <c r="BZ135" s="64">
        <f t="shared" si="470"/>
        <v>4491</v>
      </c>
      <c r="CA135" s="64">
        <f t="shared" si="470"/>
        <v>4394</v>
      </c>
      <c r="CB135" s="64">
        <f t="shared" si="470"/>
        <v>17785</v>
      </c>
      <c r="CC135" s="64">
        <f t="shared" si="470"/>
        <v>4572</v>
      </c>
      <c r="CD135" s="64">
        <f t="shared" si="470"/>
        <v>4924</v>
      </c>
      <c r="CE135" s="64">
        <f t="shared" si="470"/>
        <v>4767</v>
      </c>
      <c r="CF135" s="64">
        <f t="shared" si="470"/>
        <v>4853</v>
      </c>
      <c r="CG135" s="619">
        <f t="shared" si="470"/>
        <v>19116</v>
      </c>
      <c r="CH135" s="64">
        <f t="shared" si="470"/>
        <v>4987</v>
      </c>
      <c r="CI135" s="64">
        <f t="shared" si="470"/>
        <v>5380</v>
      </c>
      <c r="CJ135" s="62">
        <f t="shared" si="470"/>
        <v>5204</v>
      </c>
      <c r="CK135" s="62">
        <f t="shared" si="470"/>
        <v>5129</v>
      </c>
      <c r="CL135" s="619">
        <f t="shared" si="470"/>
        <v>20700</v>
      </c>
      <c r="CM135" s="64">
        <f t="shared" si="470"/>
        <v>5149</v>
      </c>
      <c r="CN135" s="64">
        <f t="shared" si="470"/>
        <v>5461</v>
      </c>
      <c r="CO135" s="62">
        <f t="shared" si="470"/>
        <v>5074</v>
      </c>
      <c r="CP135" s="62">
        <f t="shared" si="470"/>
        <v>4967</v>
      </c>
      <c r="CQ135" s="619">
        <f t="shared" si="470"/>
        <v>20651</v>
      </c>
      <c r="CR135" s="64">
        <f t="shared" si="470"/>
        <v>5154</v>
      </c>
      <c r="CS135" s="64">
        <f t="shared" si="470"/>
        <v>5679</v>
      </c>
      <c r="CT135" s="62">
        <f t="shared" si="470"/>
        <v>5342</v>
      </c>
      <c r="CU135" s="62">
        <f t="shared" si="470"/>
        <v>5183</v>
      </c>
      <c r="CV135" s="619">
        <f t="shared" ref="CV135:DF135" si="471">CV9-CV10+CV134</f>
        <v>21358</v>
      </c>
      <c r="CW135" s="64">
        <f t="shared" si="471"/>
        <v>5215</v>
      </c>
      <c r="CX135" s="64">
        <f t="shared" si="471"/>
        <v>5701</v>
      </c>
      <c r="CY135" s="62">
        <f t="shared" si="471"/>
        <v>5481</v>
      </c>
      <c r="CZ135" s="62">
        <f t="shared" si="471"/>
        <v>5309</v>
      </c>
      <c r="DA135" s="619">
        <f t="shared" si="471"/>
        <v>21706</v>
      </c>
      <c r="DB135" s="64">
        <f t="shared" si="471"/>
        <v>5348</v>
      </c>
      <c r="DC135" s="64">
        <f t="shared" si="471"/>
        <v>6937</v>
      </c>
      <c r="DD135" s="64">
        <f t="shared" si="471"/>
        <v>7550</v>
      </c>
      <c r="DE135" s="64">
        <f>DE9-DE10+DE134</f>
        <v>7374</v>
      </c>
      <c r="DF135" s="619">
        <f t="shared" si="471"/>
        <v>27209</v>
      </c>
      <c r="DG135" s="64">
        <f>DG9-DG10+DG134</f>
        <v>7548</v>
      </c>
      <c r="DH135" s="64">
        <f>DH9-DH10+DH134</f>
        <v>8012</v>
      </c>
      <c r="DI135" s="64">
        <f>DI9-DI10+DI134</f>
        <v>7589</v>
      </c>
      <c r="DJ135" s="64">
        <f>DJ9-DJ10+DJ134</f>
        <v>7163</v>
      </c>
      <c r="DK135" s="802">
        <f t="shared" ref="DK135:DU135" si="472">DK9-DK10+DK134</f>
        <v>30312</v>
      </c>
      <c r="DL135" s="64">
        <f>DL9-DL10+DL134</f>
        <v>7174</v>
      </c>
      <c r="DM135" s="64">
        <f>DM9-DM10+DM134</f>
        <v>7610</v>
      </c>
      <c r="DN135" s="64">
        <f>DN9-DN10+DN134</f>
        <v>7194</v>
      </c>
      <c r="DO135" s="550">
        <f>DO9-DO10+DO134</f>
        <v>7302</v>
      </c>
      <c r="DP135" s="802">
        <f t="shared" si="472"/>
        <v>29280</v>
      </c>
      <c r="DQ135" s="62">
        <f>DQ9-DQ10+DQ134</f>
        <v>7395</v>
      </c>
      <c r="DR135" s="62">
        <f t="shared" ca="1" si="472"/>
        <v>8346.8390253425896</v>
      </c>
      <c r="DS135" s="62">
        <f t="shared" ca="1" si="472"/>
        <v>8181.3036935442324</v>
      </c>
      <c r="DT135" s="550">
        <f t="shared" si="472"/>
        <v>7995.4841696022559</v>
      </c>
      <c r="DU135" s="802">
        <f t="shared" ca="1" si="472"/>
        <v>31918.626888489089</v>
      </c>
      <c r="DV135" s="549">
        <f t="shared" ref="DV135:DZ135" si="473">DV9-DV10+DV134</f>
        <v>7980.57772079188</v>
      </c>
      <c r="DW135" s="62">
        <f t="shared" ca="1" si="473"/>
        <v>8568.1062221134598</v>
      </c>
      <c r="DX135" s="62">
        <f t="shared" ca="1" si="473"/>
        <v>8381.776412285737</v>
      </c>
      <c r="DY135" s="550">
        <f t="shared" si="473"/>
        <v>8199.6084434622862</v>
      </c>
      <c r="DZ135" s="802">
        <f t="shared" ca="1" si="473"/>
        <v>33130.068798653345</v>
      </c>
      <c r="EA135" s="549">
        <f t="shared" ref="EA135:EE135" si="474">EA9-EA10+EA134</f>
        <v>8170.7739832998304</v>
      </c>
      <c r="EB135" s="62">
        <f t="shared" ca="1" si="474"/>
        <v>8742.9773569173849</v>
      </c>
      <c r="EC135" s="62">
        <f t="shared" ca="1" si="474"/>
        <v>8569.1310341027784</v>
      </c>
      <c r="ED135" s="550">
        <f t="shared" si="474"/>
        <v>8387.1024660429139</v>
      </c>
      <c r="EE135" s="802">
        <f t="shared" ca="1" si="474"/>
        <v>33869.984840362915</v>
      </c>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row>
    <row r="136" spans="2:232" s="54" customFormat="1">
      <c r="B136" s="679" t="s">
        <v>198</v>
      </c>
      <c r="C136" s="371"/>
      <c r="D136" s="311">
        <f t="shared" ref="D136:AI136" si="475">D135/D9</f>
        <v>0.29909799627630029</v>
      </c>
      <c r="E136" s="311">
        <f t="shared" si="475"/>
        <v>0.29246858285431948</v>
      </c>
      <c r="F136" s="311">
        <f t="shared" si="475"/>
        <v>0.29473058545287983</v>
      </c>
      <c r="G136" s="311">
        <f t="shared" si="475"/>
        <v>0.28990773329787267</v>
      </c>
      <c r="H136" s="311">
        <f t="shared" si="475"/>
        <v>0.28838169271498909</v>
      </c>
      <c r="I136" s="311">
        <f t="shared" si="475"/>
        <v>0.28486705653224065</v>
      </c>
      <c r="J136" s="311">
        <f t="shared" si="475"/>
        <v>0.28433696042826345</v>
      </c>
      <c r="K136" s="311">
        <f t="shared" si="475"/>
        <v>0.2776125821506279</v>
      </c>
      <c r="L136" s="311">
        <f t="shared" si="475"/>
        <v>0.2831685429379297</v>
      </c>
      <c r="M136" s="311">
        <f t="shared" si="475"/>
        <v>0.27781584536588821</v>
      </c>
      <c r="N136" s="311">
        <f t="shared" si="475"/>
        <v>0.27501614276372333</v>
      </c>
      <c r="O136" s="311">
        <f t="shared" si="475"/>
        <v>0.27852057765361826</v>
      </c>
      <c r="P136" s="311">
        <f t="shared" si="475"/>
        <v>0.27566201339301932</v>
      </c>
      <c r="Q136" s="311">
        <f t="shared" si="475"/>
        <v>0.2843927475004302</v>
      </c>
      <c r="R136" s="311">
        <f t="shared" si="475"/>
        <v>0.27658486031567775</v>
      </c>
      <c r="S136" s="311">
        <f t="shared" si="475"/>
        <v>0.27444891123393683</v>
      </c>
      <c r="T136" s="311">
        <f t="shared" si="475"/>
        <v>0.2779509546604837</v>
      </c>
      <c r="U136" s="311">
        <f t="shared" si="475"/>
        <v>0.27442872063262513</v>
      </c>
      <c r="V136" s="311">
        <f t="shared" si="475"/>
        <v>0.28157036565825494</v>
      </c>
      <c r="W136" s="311">
        <f t="shared" si="475"/>
        <v>0.27765982021174745</v>
      </c>
      <c r="X136" s="311">
        <f t="shared" si="475"/>
        <v>0.27906394814594354</v>
      </c>
      <c r="Y136" s="311">
        <f t="shared" si="475"/>
        <v>0.27832223569502224</v>
      </c>
      <c r="Z136" s="311">
        <f t="shared" si="475"/>
        <v>0.27449955183746638</v>
      </c>
      <c r="AA136" s="311">
        <f t="shared" si="475"/>
        <v>0.28373481134086553</v>
      </c>
      <c r="AB136" s="311">
        <f t="shared" si="475"/>
        <v>0.27831736448352795</v>
      </c>
      <c r="AC136" s="311">
        <f t="shared" si="475"/>
        <v>0.27298245614035088</v>
      </c>
      <c r="AD136" s="311">
        <f t="shared" si="475"/>
        <v>0.27498486445276582</v>
      </c>
      <c r="AE136" s="311">
        <f t="shared" si="475"/>
        <v>0.27106485320948742</v>
      </c>
      <c r="AF136" s="311">
        <f t="shared" si="475"/>
        <v>0.27820567679361002</v>
      </c>
      <c r="AG136" s="311">
        <f t="shared" si="475"/>
        <v>0.27140764909808873</v>
      </c>
      <c r="AH136" s="311">
        <f t="shared" si="475"/>
        <v>0.27237585489146598</v>
      </c>
      <c r="AI136" s="311">
        <f t="shared" si="475"/>
        <v>0.27337328888239204</v>
      </c>
      <c r="AJ136" s="311">
        <f t="shared" ref="AJ136:BO136" si="476">AJ135/AJ9</f>
        <v>0.26798119055252745</v>
      </c>
      <c r="AK136" s="311">
        <f t="shared" si="476"/>
        <v>0.27960802613159125</v>
      </c>
      <c r="AL136" s="311">
        <f t="shared" si="476"/>
        <v>0.26498522918585804</v>
      </c>
      <c r="AM136" s="311">
        <f t="shared" si="476"/>
        <v>0.26519829397160866</v>
      </c>
      <c r="AN136" s="311">
        <f t="shared" si="476"/>
        <v>0.26954067335418103</v>
      </c>
      <c r="AO136" s="311">
        <f t="shared" si="476"/>
        <v>0.26226484129645999</v>
      </c>
      <c r="AP136" s="311">
        <f t="shared" si="476"/>
        <v>0.27438071709955264</v>
      </c>
      <c r="AQ136" s="311">
        <f t="shared" si="476"/>
        <v>0.26491301585585098</v>
      </c>
      <c r="AR136" s="311">
        <f t="shared" si="476"/>
        <v>0.26620872665957179</v>
      </c>
      <c r="AS136" s="311">
        <f t="shared" si="476"/>
        <v>0.2671062128021589</v>
      </c>
      <c r="AT136" s="311">
        <f t="shared" si="476"/>
        <v>0.26954267926091197</v>
      </c>
      <c r="AU136" s="311">
        <f t="shared" si="476"/>
        <v>0.28095807532470612</v>
      </c>
      <c r="AV136" s="311">
        <f t="shared" si="476"/>
        <v>0.26885206532180594</v>
      </c>
      <c r="AW136" s="311">
        <f t="shared" si="476"/>
        <v>0.26749854481955759</v>
      </c>
      <c r="AX136" s="311">
        <f t="shared" si="476"/>
        <v>0.27181329871344456</v>
      </c>
      <c r="AY136" s="311">
        <f t="shared" si="476"/>
        <v>0.26605357306669108</v>
      </c>
      <c r="AZ136" s="311">
        <f t="shared" si="476"/>
        <v>0.27887387295291449</v>
      </c>
      <c r="BA136" s="311">
        <f t="shared" si="476"/>
        <v>0.2704494440674427</v>
      </c>
      <c r="BB136" s="311">
        <f t="shared" si="476"/>
        <v>0.27218432749530597</v>
      </c>
      <c r="BC136" s="311">
        <f t="shared" si="476"/>
        <v>0.2720605094352701</v>
      </c>
      <c r="BD136" s="311">
        <f t="shared" si="476"/>
        <v>0.27569748510986847</v>
      </c>
      <c r="BE136" s="311">
        <f t="shared" si="476"/>
        <v>0.28740329480294896</v>
      </c>
      <c r="BF136" s="311">
        <f t="shared" si="476"/>
        <v>0.28072313629900469</v>
      </c>
      <c r="BG136" s="311">
        <f t="shared" si="476"/>
        <v>0.27928803514087791</v>
      </c>
      <c r="BH136" s="311">
        <f t="shared" si="476"/>
        <v>0.28092773733697296</v>
      </c>
      <c r="BI136" s="311">
        <f t="shared" si="476"/>
        <v>0.27739349014715053</v>
      </c>
      <c r="BJ136" s="311">
        <f t="shared" si="476"/>
        <v>0.28636614021096607</v>
      </c>
      <c r="BK136" s="311">
        <f t="shared" si="476"/>
        <v>0.27657861883172352</v>
      </c>
      <c r="BL136" s="311">
        <f t="shared" si="476"/>
        <v>0.27852230429816838</v>
      </c>
      <c r="BM136" s="311">
        <f t="shared" si="476"/>
        <v>0.27977599190027219</v>
      </c>
      <c r="BN136" s="311">
        <f t="shared" si="476"/>
        <v>0.28351103592084043</v>
      </c>
      <c r="BO136" s="311">
        <f t="shared" si="476"/>
        <v>0.29060479269684297</v>
      </c>
      <c r="BP136" s="311">
        <f t="shared" ref="BP136:CU136" si="477">BP135/BP9</f>
        <v>0.28278691516465543</v>
      </c>
      <c r="BQ136" s="311">
        <f t="shared" si="477"/>
        <v>0.28218157433967883</v>
      </c>
      <c r="BR136" s="311">
        <f t="shared" si="477"/>
        <v>0.28483315352851446</v>
      </c>
      <c r="BS136" s="311">
        <f t="shared" si="477"/>
        <v>0.28142487471396288</v>
      </c>
      <c r="BT136" s="311">
        <f t="shared" si="477"/>
        <v>0.29052333437272637</v>
      </c>
      <c r="BU136" s="311">
        <f t="shared" si="477"/>
        <v>0.28382293199784231</v>
      </c>
      <c r="BV136" s="311">
        <f t="shared" si="477"/>
        <v>0.27810318487918834</v>
      </c>
      <c r="BW136" s="311">
        <f t="shared" si="477"/>
        <v>0.28358598306408306</v>
      </c>
      <c r="BX136" s="311">
        <f t="shared" si="477"/>
        <v>0.28092593831538099</v>
      </c>
      <c r="BY136" s="311">
        <f t="shared" si="477"/>
        <v>0.28564491654021246</v>
      </c>
      <c r="BZ136" s="311">
        <f t="shared" si="477"/>
        <v>0.27705120296113511</v>
      </c>
      <c r="CA136" s="311">
        <f t="shared" si="477"/>
        <v>0.27981914283894799</v>
      </c>
      <c r="CB136" s="311">
        <f t="shared" si="477"/>
        <v>0.28080839977895317</v>
      </c>
      <c r="CC136" s="311">
        <f t="shared" si="477"/>
        <v>0.27939379124908337</v>
      </c>
      <c r="CD136" s="311">
        <f t="shared" si="477"/>
        <v>0.28986872314122564</v>
      </c>
      <c r="CE136" s="311">
        <f t="shared" si="477"/>
        <v>0.27716727716727718</v>
      </c>
      <c r="CF136" s="311">
        <f t="shared" si="477"/>
        <v>0.28767042086544159</v>
      </c>
      <c r="CG136" s="941">
        <f t="shared" si="477"/>
        <v>0.28353604271729455</v>
      </c>
      <c r="CH136" s="311">
        <f t="shared" si="477"/>
        <v>0.28753459409594095</v>
      </c>
      <c r="CI136" s="311">
        <f t="shared" si="477"/>
        <v>0.29077937520268077</v>
      </c>
      <c r="CJ136" s="209">
        <f t="shared" si="477"/>
        <v>0.28327254912634042</v>
      </c>
      <c r="CK136" s="209">
        <f t="shared" si="477"/>
        <v>0.28546780208159406</v>
      </c>
      <c r="CL136" s="941">
        <f t="shared" si="477"/>
        <v>0.28676715061509478</v>
      </c>
      <c r="CM136" s="311">
        <f t="shared" si="477"/>
        <v>0.28358208955223879</v>
      </c>
      <c r="CN136" s="311">
        <f t="shared" si="477"/>
        <v>0.29279931370972068</v>
      </c>
      <c r="CO136" s="209">
        <f t="shared" si="477"/>
        <v>0.28582694907616041</v>
      </c>
      <c r="CP136" s="209">
        <f t="shared" si="477"/>
        <v>0.29092719498623559</v>
      </c>
      <c r="CQ136" s="941">
        <f t="shared" si="477"/>
        <v>0.28828891711920485</v>
      </c>
      <c r="CR136" s="311">
        <f t="shared" si="477"/>
        <v>0.29764379764379767</v>
      </c>
      <c r="CS136" s="311">
        <f t="shared" si="477"/>
        <v>0.30455301120823725</v>
      </c>
      <c r="CT136" s="209">
        <f t="shared" si="477"/>
        <v>0.2917053459291214</v>
      </c>
      <c r="CU136" s="209">
        <f t="shared" si="477"/>
        <v>0.28889136614458505</v>
      </c>
      <c r="CV136" s="941">
        <f t="shared" ref="CV136:DF136" si="478">CV135/CV9</f>
        <v>0.2957475386681806</v>
      </c>
      <c r="CW136" s="311">
        <f t="shared" si="478"/>
        <v>0.28452179606088712</v>
      </c>
      <c r="CX136" s="311">
        <f t="shared" si="478"/>
        <v>0.29079316500892627</v>
      </c>
      <c r="CY136" s="209">
        <f t="shared" si="478"/>
        <v>0.28251121076233182</v>
      </c>
      <c r="CZ136" s="209">
        <f t="shared" si="478"/>
        <v>0.2785852967413549</v>
      </c>
      <c r="DA136" s="941">
        <f t="shared" si="478"/>
        <v>0.28413970049219811</v>
      </c>
      <c r="DB136" s="311">
        <f t="shared" si="478"/>
        <v>0.27349902833179912</v>
      </c>
      <c r="DC136" s="311">
        <f t="shared" si="478"/>
        <v>0.26105445376886316</v>
      </c>
      <c r="DD136" s="311">
        <f t="shared" si="478"/>
        <v>0.26219829831567981</v>
      </c>
      <c r="DE136" s="311">
        <f>DE135/DE9</f>
        <v>0.25853726947619382</v>
      </c>
      <c r="DF136" s="941">
        <f t="shared" si="478"/>
        <v>0.26303120528981866</v>
      </c>
      <c r="DG136" s="311">
        <f>DG135/DG9</f>
        <v>0.25998002273275239</v>
      </c>
      <c r="DH136" s="311">
        <f>DH135/DH9</f>
        <v>0.26543864298966341</v>
      </c>
      <c r="DI136" s="311">
        <f>DI135/DI9</f>
        <v>0.25727167943589396</v>
      </c>
      <c r="DJ136" s="311">
        <f>DJ135/DJ9</f>
        <v>0.25013968431345163</v>
      </c>
      <c r="DK136" s="810">
        <f t="shared" ref="DK136:DU136" si="479">DK135/DK9</f>
        <v>0.25830201702584554</v>
      </c>
      <c r="DL136" s="311">
        <f>DL135/DL9</f>
        <v>0.25171046629942812</v>
      </c>
      <c r="DM136" s="311">
        <f>DM135/DM9</f>
        <v>0.25843917679820688</v>
      </c>
      <c r="DN136" s="311">
        <f>DN135/DN9</f>
        <v>0.23886048210372535</v>
      </c>
      <c r="DO136" s="1743">
        <f>DO135/DO9</f>
        <v>0.24219708779727353</v>
      </c>
      <c r="DP136" s="810">
        <f t="shared" si="479"/>
        <v>0.24768639924205255</v>
      </c>
      <c r="DQ136" s="209">
        <f>DQ135/DQ9</f>
        <v>0.24056603773584906</v>
      </c>
      <c r="DR136" s="209">
        <f t="shared" ca="1" si="479"/>
        <v>0.24866307433647677</v>
      </c>
      <c r="DS136" s="209">
        <f t="shared" ca="1" si="479"/>
        <v>0.24171593607542452</v>
      </c>
      <c r="DT136" s="1743">
        <f t="shared" si="479"/>
        <v>0.240097540642911</v>
      </c>
      <c r="DU136" s="810">
        <f t="shared" ca="1" si="479"/>
        <v>0.24281100295624211</v>
      </c>
      <c r="DV136" s="1742">
        <f t="shared" ref="DV136:DZ136" si="480">DV135/DV9</f>
        <v>0.23972726109779544</v>
      </c>
      <c r="DW136" s="209">
        <f t="shared" ca="1" si="480"/>
        <v>0.24935630888531091</v>
      </c>
      <c r="DX136" s="209">
        <f t="shared" ca="1" si="480"/>
        <v>0.24391201901681597</v>
      </c>
      <c r="DY136" s="1743">
        <f t="shared" si="480"/>
        <v>0.24257547887501707</v>
      </c>
      <c r="DZ136" s="810">
        <f t="shared" ca="1" si="480"/>
        <v>0.24393102219614227</v>
      </c>
      <c r="EA136" s="1742">
        <f t="shared" ref="EA136:EE136" si="481">EA135/EA9</f>
        <v>0.24110864115342104</v>
      </c>
      <c r="EB136" s="209">
        <f t="shared" ca="1" si="481"/>
        <v>0.25008801948933873</v>
      </c>
      <c r="EC136" s="209">
        <f t="shared" ca="1" si="481"/>
        <v>0.24487542723664435</v>
      </c>
      <c r="ED136" s="1743">
        <f t="shared" si="481"/>
        <v>0.24342118080718447</v>
      </c>
      <c r="EE136" s="810">
        <f t="shared" ca="1" si="481"/>
        <v>0.24490777623623053</v>
      </c>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row>
    <row r="137" spans="2:232" s="54" customFormat="1">
      <c r="B137" s="850" t="s">
        <v>203</v>
      </c>
      <c r="C137" s="371"/>
      <c r="D137" s="311"/>
      <c r="E137" s="311">
        <f t="shared" ref="E137:J137" si="482">E136-E96</f>
        <v>6.4158806937220092E-3</v>
      </c>
      <c r="F137" s="311">
        <f t="shared" si="482"/>
        <v>5.983623454710818E-3</v>
      </c>
      <c r="G137" s="311">
        <f t="shared" si="482"/>
        <v>4.6706598201649574E-3</v>
      </c>
      <c r="H137" s="311">
        <f t="shared" si="482"/>
        <v>3.3901799190822479E-3</v>
      </c>
      <c r="I137" s="311">
        <f t="shared" si="482"/>
        <v>5.5268133827712784E-4</v>
      </c>
      <c r="J137" s="311">
        <f t="shared" si="482"/>
        <v>2.0662627839126979E-3</v>
      </c>
      <c r="K137" s="311"/>
      <c r="L137" s="311"/>
      <c r="M137" s="311"/>
      <c r="N137" s="311"/>
      <c r="O137" s="311">
        <f>O136-O96</f>
        <v>1.0826590486592291E-3</v>
      </c>
      <c r="P137" s="311"/>
      <c r="Q137" s="311"/>
      <c r="R137" s="311"/>
      <c r="S137" s="311"/>
      <c r="T137" s="311">
        <f>T136-T96</f>
        <v>1.2381928849482526E-3</v>
      </c>
      <c r="U137" s="311"/>
      <c r="V137" s="311"/>
      <c r="W137" s="311"/>
      <c r="X137" s="311"/>
      <c r="Y137" s="311">
        <f>Y136-Y96</f>
        <v>3.0383704764493369E-3</v>
      </c>
      <c r="Z137" s="311"/>
      <c r="AA137" s="311"/>
      <c r="AB137" s="311"/>
      <c r="AC137" s="311"/>
      <c r="AD137" s="311">
        <f>AD136-AD96</f>
        <v>2.5338027221561976E-3</v>
      </c>
      <c r="AE137" s="311"/>
      <c r="AF137" s="311"/>
      <c r="AG137" s="311"/>
      <c r="AH137" s="311"/>
      <c r="AI137" s="311">
        <f>AI136-AI96</f>
        <v>1.8295931984401159E-3</v>
      </c>
      <c r="AJ137" s="311"/>
      <c r="AK137" s="311"/>
      <c r="AL137" s="311"/>
      <c r="AM137" s="311"/>
      <c r="AN137" s="311">
        <f>AN136-AN96</f>
        <v>2.5504609511432519E-3</v>
      </c>
      <c r="AO137" s="311"/>
      <c r="AP137" s="311"/>
      <c r="AQ137" s="311"/>
      <c r="AR137" s="311"/>
      <c r="AS137" s="311">
        <f>AS136-AS96</f>
        <v>1.9490186917516805E-3</v>
      </c>
      <c r="AT137" s="311"/>
      <c r="AU137" s="311"/>
      <c r="AV137" s="311"/>
      <c r="AW137" s="311"/>
      <c r="AX137" s="311">
        <f>AX136-AX96</f>
        <v>1.1136611147686271E-3</v>
      </c>
      <c r="AY137" s="311"/>
      <c r="AZ137" s="311"/>
      <c r="BA137" s="311"/>
      <c r="BB137" s="311"/>
      <c r="BC137" s="311">
        <f>BC136-BC96</f>
        <v>1.7862760676334855E-4</v>
      </c>
      <c r="BD137" s="311"/>
      <c r="BE137" s="311"/>
      <c r="BF137" s="311"/>
      <c r="BG137" s="311"/>
      <c r="BH137" s="311">
        <f>BH136-BH96</f>
        <v>1.6065741583257132E-3</v>
      </c>
      <c r="BI137" s="311"/>
      <c r="BJ137" s="311"/>
      <c r="BK137" s="311"/>
      <c r="BL137" s="311"/>
      <c r="BM137" s="311">
        <f>BM136-BM96</f>
        <v>2.0101668459575062E-3</v>
      </c>
      <c r="BN137" s="311"/>
      <c r="BO137" s="311"/>
      <c r="BP137" s="311"/>
      <c r="BQ137" s="311"/>
      <c r="BR137" s="311">
        <f t="shared" ref="BR137:DF137" si="483">BR136-BR96</f>
        <v>1.2890145455898283E-3</v>
      </c>
      <c r="BS137" s="311">
        <f t="shared" si="483"/>
        <v>1.9176070545128265E-3</v>
      </c>
      <c r="BT137" s="311">
        <f t="shared" si="483"/>
        <v>1.9878391019644837E-3</v>
      </c>
      <c r="BU137" s="311">
        <f t="shared" si="483"/>
        <v>1.0722110857303013E-3</v>
      </c>
      <c r="BV137" s="311">
        <f t="shared" si="483"/>
        <v>1.7058182789732035E-3</v>
      </c>
      <c r="BW137" s="311">
        <f t="shared" si="483"/>
        <v>1.6685215205397563E-3</v>
      </c>
      <c r="BX137" s="311">
        <f t="shared" si="483"/>
        <v>3.2113467585468403E-3</v>
      </c>
      <c r="BY137" s="311">
        <f t="shared" si="483"/>
        <v>2.9742033383914901E-3</v>
      </c>
      <c r="BZ137" s="311">
        <f t="shared" si="483"/>
        <v>1.9740900678593687E-3</v>
      </c>
      <c r="CA137" s="311">
        <f t="shared" si="483"/>
        <v>3.0567407501751465E-3</v>
      </c>
      <c r="CB137" s="311">
        <f t="shared" si="483"/>
        <v>2.7157180074208198E-3</v>
      </c>
      <c r="CC137" s="311">
        <f t="shared" si="483"/>
        <v>2.0777316059643058E-3</v>
      </c>
      <c r="CD137" s="311">
        <f t="shared" si="483"/>
        <v>1.5894507564608307E-3</v>
      </c>
      <c r="CE137" s="311">
        <f t="shared" si="483"/>
        <v>1.0465724751438921E-3</v>
      </c>
      <c r="CF137" s="311">
        <f t="shared" si="483"/>
        <v>3.6158861885002835E-3</v>
      </c>
      <c r="CG137" s="941">
        <f t="shared" si="483"/>
        <v>2.0765351527736176E-3</v>
      </c>
      <c r="CH137" s="311">
        <f t="shared" si="483"/>
        <v>2.4215867158671744E-3</v>
      </c>
      <c r="CI137" s="311">
        <f t="shared" si="483"/>
        <v>3.0266998162360448E-3</v>
      </c>
      <c r="CJ137" s="311">
        <f t="shared" si="483"/>
        <v>2.7216809101300865E-3</v>
      </c>
      <c r="CK137" s="311">
        <f t="shared" si="483"/>
        <v>3.3394556687260102E-3</v>
      </c>
      <c r="CL137" s="941">
        <f t="shared" si="483"/>
        <v>2.8815249916879226E-3</v>
      </c>
      <c r="CM137" s="311">
        <f t="shared" si="483"/>
        <v>2.4783829927851331E-3</v>
      </c>
      <c r="CN137" s="311">
        <f t="shared" si="483"/>
        <v>3.8603828212964708E-3</v>
      </c>
      <c r="CO137" s="311">
        <f t="shared" si="483"/>
        <v>3.3799008562415134E-3</v>
      </c>
      <c r="CP137" s="311">
        <f t="shared" si="483"/>
        <v>7.7315058864874664E-3</v>
      </c>
      <c r="CQ137" s="941">
        <f t="shared" si="483"/>
        <v>4.3136543213323497E-3</v>
      </c>
      <c r="CR137" s="311">
        <f t="shared" si="483"/>
        <v>3.1762531762531965E-3</v>
      </c>
      <c r="CS137" s="311">
        <f t="shared" si="483"/>
        <v>3.8612109186464405E-3</v>
      </c>
      <c r="CT137" s="311">
        <f t="shared" si="483"/>
        <v>6.5527221099765387E-3</v>
      </c>
      <c r="CU137" s="311">
        <f t="shared" si="483"/>
        <v>-4.4590602530514278E-4</v>
      </c>
      <c r="CV137" s="941">
        <f t="shared" si="483"/>
        <v>3.3094700693742096E-3</v>
      </c>
      <c r="CW137" s="311">
        <f t="shared" si="483"/>
        <v>3.4371760597959322E-3</v>
      </c>
      <c r="CX137" s="311">
        <f t="shared" si="483"/>
        <v>2.6013771996939439E-3</v>
      </c>
      <c r="CY137" s="311">
        <f t="shared" si="483"/>
        <v>2.1132931292201507E-3</v>
      </c>
      <c r="CZ137" s="311">
        <f t="shared" si="483"/>
        <v>-9.4453481660278227E-4</v>
      </c>
      <c r="DA137" s="941">
        <f t="shared" si="483"/>
        <v>1.7933815059168468E-3</v>
      </c>
      <c r="DB137" s="311">
        <f t="shared" si="483"/>
        <v>2.6593024445126234E-3</v>
      </c>
      <c r="DC137" s="311">
        <f t="shared" si="483"/>
        <v>2.0697700673616426E-3</v>
      </c>
      <c r="DD137" s="311">
        <f t="shared" si="483"/>
        <v>2.3962493488453029E-3</v>
      </c>
      <c r="DE137" s="311">
        <f>DE136-DE96</f>
        <v>3.8216113877007074E-3</v>
      </c>
      <c r="DF137" s="941">
        <f t="shared" si="483"/>
        <v>2.7551138780402828E-3</v>
      </c>
      <c r="DG137" s="311">
        <f>DG136-DG96</f>
        <v>1.584403954121183E-3</v>
      </c>
      <c r="DH137" s="311">
        <f>DH136-DH96</f>
        <v>2.2528491916247173E-3</v>
      </c>
      <c r="DI137" s="311">
        <f>DI136-DI96</f>
        <v>3.1188555156281828E-3</v>
      </c>
      <c r="DJ137" s="311">
        <f>DJ136-DJ96</f>
        <v>2.7936862690322584E-4</v>
      </c>
      <c r="DK137" s="941">
        <f t="shared" ref="DK137:DU137" si="484">DK136-DK96</f>
        <v>1.8235890618741868E-3</v>
      </c>
      <c r="DL137" s="311">
        <f>DL136-DL96</f>
        <v>2.0350163152170475E-3</v>
      </c>
      <c r="DM137" s="311">
        <f>DM136-DM96</f>
        <v>1.6640630306323234E-3</v>
      </c>
      <c r="DN137" s="311">
        <f>DN136-DN96</f>
        <v>1.6269340593664805E-3</v>
      </c>
      <c r="DO137" s="1744">
        <f>DO136-DO96</f>
        <v>-1.2604066469866504E-3</v>
      </c>
      <c r="DP137" s="941">
        <f t="shared" si="484"/>
        <v>9.9818972372137105E-4</v>
      </c>
      <c r="DQ137" s="311">
        <f>DQ136-DQ96</f>
        <v>1.7566688353936322E-3</v>
      </c>
      <c r="DR137" s="311">
        <f t="shared" ca="1" si="484"/>
        <v>1.4597730476762771E-3</v>
      </c>
      <c r="DS137" s="311">
        <f t="shared" ca="1" si="484"/>
        <v>1.4477009180140499E-3</v>
      </c>
      <c r="DT137" s="1744">
        <f t="shared" si="484"/>
        <v>-1.1411074490169926E-3</v>
      </c>
      <c r="DU137" s="941">
        <f t="shared" ca="1" si="484"/>
        <v>8.672194588356108E-4</v>
      </c>
      <c r="DV137" s="881">
        <f t="shared" ref="DV137:DZ137" si="485">DV136-DV96</f>
        <v>1.6220971152945407E-3</v>
      </c>
      <c r="DW137" s="311">
        <f t="shared" ca="1" si="485"/>
        <v>1.4260396426745425E-3</v>
      </c>
      <c r="DX137" s="311">
        <f t="shared" ca="1" si="485"/>
        <v>1.4259135944387213E-3</v>
      </c>
      <c r="DY137" s="1744">
        <f t="shared" si="485"/>
        <v>-1.1241839486372251E-3</v>
      </c>
      <c r="DZ137" s="941">
        <f t="shared" ca="1" si="485"/>
        <v>8.3936247459559521E-4</v>
      </c>
      <c r="EA137" s="881">
        <f t="shared" ref="EA137:EE137" si="486">EA136-EA96</f>
        <v>1.5934679687500952E-3</v>
      </c>
      <c r="EB137" s="311">
        <f t="shared" ca="1" si="486"/>
        <v>1.4016178304845084E-3</v>
      </c>
      <c r="EC137" s="311">
        <f t="shared" ca="1" si="486"/>
        <v>1.4002465228789007E-3</v>
      </c>
      <c r="ED137" s="1744">
        <f t="shared" si="486"/>
        <v>-1.1028844476532462E-3</v>
      </c>
      <c r="EE137" s="941">
        <f t="shared" ca="1" si="486"/>
        <v>8.2431352191389418E-4</v>
      </c>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row>
    <row r="138" spans="2:232" s="54" customFormat="1" ht="12" thickBot="1">
      <c r="B138" s="851" t="s">
        <v>151</v>
      </c>
      <c r="C138" s="852"/>
      <c r="D138" s="853"/>
      <c r="E138" s="853"/>
      <c r="F138" s="853"/>
      <c r="G138" s="853"/>
      <c r="H138" s="853"/>
      <c r="I138" s="853"/>
      <c r="J138" s="853"/>
      <c r="K138" s="853"/>
      <c r="L138" s="853"/>
      <c r="M138" s="853"/>
      <c r="N138" s="853"/>
      <c r="O138" s="853"/>
      <c r="P138" s="853"/>
      <c r="Q138" s="853"/>
      <c r="R138" s="853"/>
      <c r="S138" s="853"/>
      <c r="T138" s="853"/>
      <c r="U138" s="853"/>
      <c r="V138" s="853"/>
      <c r="W138" s="853"/>
      <c r="X138" s="853"/>
      <c r="Y138" s="853"/>
      <c r="Z138" s="853"/>
      <c r="AA138" s="853"/>
      <c r="AB138" s="853"/>
      <c r="AC138" s="853"/>
      <c r="AD138" s="853"/>
      <c r="AE138" s="853"/>
      <c r="AF138" s="853"/>
      <c r="AG138" s="853"/>
      <c r="AH138" s="853"/>
      <c r="AI138" s="853"/>
      <c r="AJ138" s="853"/>
      <c r="AK138" s="853"/>
      <c r="AL138" s="853"/>
      <c r="AM138" s="853"/>
      <c r="AN138" s="853"/>
      <c r="AO138" s="853"/>
      <c r="AP138" s="853"/>
      <c r="AQ138" s="853"/>
      <c r="AR138" s="853"/>
      <c r="AS138" s="853"/>
      <c r="AT138" s="853"/>
      <c r="AU138" s="853"/>
      <c r="AV138" s="853"/>
      <c r="AW138" s="853"/>
      <c r="AX138" s="853"/>
      <c r="AY138" s="853"/>
      <c r="AZ138" s="853"/>
      <c r="BA138" s="853"/>
      <c r="BB138" s="853"/>
      <c r="BC138" s="853"/>
      <c r="BD138" s="853"/>
      <c r="BE138" s="853"/>
      <c r="BF138" s="853"/>
      <c r="BG138" s="853"/>
      <c r="BH138" s="853"/>
      <c r="BI138" s="853"/>
      <c r="BJ138" s="853"/>
      <c r="BK138" s="853"/>
      <c r="BL138" s="853"/>
      <c r="BM138" s="853"/>
      <c r="BN138" s="853"/>
      <c r="BO138" s="853"/>
      <c r="BP138" s="853"/>
      <c r="BQ138" s="853"/>
      <c r="BR138" s="853">
        <f t="shared" ref="BR138:DQ138" si="487">BR136-BM136</f>
        <v>5.0571616282422682E-3</v>
      </c>
      <c r="BS138" s="853">
        <f t="shared" si="487"/>
        <v>-2.0861612068775459E-3</v>
      </c>
      <c r="BT138" s="853">
        <f t="shared" si="487"/>
        <v>-8.1458324116601144E-5</v>
      </c>
      <c r="BU138" s="853">
        <f t="shared" si="487"/>
        <v>1.0360168331868813E-3</v>
      </c>
      <c r="BV138" s="853">
        <f t="shared" si="487"/>
        <v>-4.0783894604904947E-3</v>
      </c>
      <c r="BW138" s="853">
        <f t="shared" si="487"/>
        <v>-1.2471704644314019E-3</v>
      </c>
      <c r="BX138" s="853">
        <f t="shared" si="487"/>
        <v>-4.9893639858189509E-4</v>
      </c>
      <c r="BY138" s="853">
        <f t="shared" si="487"/>
        <v>-4.8784178325139149E-3</v>
      </c>
      <c r="BZ138" s="853">
        <f t="shared" si="487"/>
        <v>-6.7717290367071969E-3</v>
      </c>
      <c r="CA138" s="853">
        <f t="shared" si="487"/>
        <v>1.7159579597596508E-3</v>
      </c>
      <c r="CB138" s="853">
        <f t="shared" si="487"/>
        <v>-2.7775832851298921E-3</v>
      </c>
      <c r="CC138" s="853">
        <f t="shared" si="487"/>
        <v>-1.5321470662976178E-3</v>
      </c>
      <c r="CD138" s="853">
        <f t="shared" si="487"/>
        <v>4.2238066010131803E-3</v>
      </c>
      <c r="CE138" s="853">
        <f t="shared" si="487"/>
        <v>1.1607420614206942E-4</v>
      </c>
      <c r="CF138" s="853">
        <f t="shared" si="487"/>
        <v>7.8512780264936022E-3</v>
      </c>
      <c r="CG138" s="942">
        <f t="shared" si="487"/>
        <v>2.7276429383413792E-3</v>
      </c>
      <c r="CH138" s="853">
        <f t="shared" si="487"/>
        <v>8.1408028468575866E-3</v>
      </c>
      <c r="CI138" s="853">
        <f t="shared" si="487"/>
        <v>9.1065206145513056E-4</v>
      </c>
      <c r="CJ138" s="853">
        <f t="shared" si="487"/>
        <v>6.1052719590632409E-3</v>
      </c>
      <c r="CK138" s="853">
        <f t="shared" si="487"/>
        <v>-2.202618783847532E-3</v>
      </c>
      <c r="CL138" s="942">
        <f t="shared" si="487"/>
        <v>3.2311078978002339E-3</v>
      </c>
      <c r="CM138" s="853">
        <f t="shared" si="487"/>
        <v>-3.9525045437021622E-3</v>
      </c>
      <c r="CN138" s="853">
        <f t="shared" si="487"/>
        <v>2.019938507039909E-3</v>
      </c>
      <c r="CO138" s="853">
        <f t="shared" si="487"/>
        <v>2.5543999498199854E-3</v>
      </c>
      <c r="CP138" s="853">
        <f t="shared" si="487"/>
        <v>5.4593929046415357E-3</v>
      </c>
      <c r="CQ138" s="942">
        <f t="shared" si="487"/>
        <v>1.521766504110067E-3</v>
      </c>
      <c r="CR138" s="853">
        <f t="shared" si="487"/>
        <v>1.4061708091558878E-2</v>
      </c>
      <c r="CS138" s="853">
        <f t="shared" si="487"/>
        <v>1.1753697498516569E-2</v>
      </c>
      <c r="CT138" s="853">
        <f t="shared" si="487"/>
        <v>5.8783968529609876E-3</v>
      </c>
      <c r="CU138" s="853">
        <f t="shared" si="487"/>
        <v>-2.0358288416505443E-3</v>
      </c>
      <c r="CV138" s="942">
        <f t="shared" si="487"/>
        <v>7.4586215489757524E-3</v>
      </c>
      <c r="CW138" s="853">
        <f t="shared" si="487"/>
        <v>-1.3122001582910547E-2</v>
      </c>
      <c r="CX138" s="853">
        <f t="shared" si="487"/>
        <v>-1.3759846199310977E-2</v>
      </c>
      <c r="CY138" s="853">
        <f t="shared" si="487"/>
        <v>-9.1941351667895743E-3</v>
      </c>
      <c r="CZ138" s="853">
        <f t="shared" si="487"/>
        <v>-1.0306069403230145E-2</v>
      </c>
      <c r="DA138" s="942">
        <f t="shared" si="487"/>
        <v>-1.1607838175982488E-2</v>
      </c>
      <c r="DB138" s="853">
        <f t="shared" si="487"/>
        <v>-1.1022767729088001E-2</v>
      </c>
      <c r="DC138" s="853">
        <f t="shared" si="487"/>
        <v>-2.9738711240063109E-2</v>
      </c>
      <c r="DD138" s="853">
        <f t="shared" si="487"/>
        <v>-2.0312912446652009E-2</v>
      </c>
      <c r="DE138" s="853">
        <f t="shared" si="487"/>
        <v>-2.0048027265161084E-2</v>
      </c>
      <c r="DF138" s="942">
        <f t="shared" si="487"/>
        <v>-2.1108495202379451E-2</v>
      </c>
      <c r="DG138" s="853">
        <f t="shared" si="487"/>
        <v>-1.3519005599046729E-2</v>
      </c>
      <c r="DH138" s="853">
        <f t="shared" si="487"/>
        <v>4.3841892208002498E-3</v>
      </c>
      <c r="DI138" s="853">
        <f t="shared" si="487"/>
        <v>-4.926618879785849E-3</v>
      </c>
      <c r="DJ138" s="853">
        <f t="shared" si="487"/>
        <v>-8.3975851627421938E-3</v>
      </c>
      <c r="DK138" s="942">
        <f t="shared" ref="DK138:DU138" si="488">DK136-DF136</f>
        <v>-4.7291882639731164E-3</v>
      </c>
      <c r="DL138" s="853">
        <f t="shared" si="487"/>
        <v>-8.2695564333242766E-3</v>
      </c>
      <c r="DM138" s="853">
        <f t="shared" si="487"/>
        <v>-6.999466191456527E-3</v>
      </c>
      <c r="DN138" s="853">
        <f t="shared" si="487"/>
        <v>-1.8411197332168616E-2</v>
      </c>
      <c r="DO138" s="1774">
        <f t="shared" si="487"/>
        <v>-7.9425965161780965E-3</v>
      </c>
      <c r="DP138" s="942">
        <f t="shared" si="488"/>
        <v>-1.0615617783792997E-2</v>
      </c>
      <c r="DQ138" s="853">
        <f t="shared" si="487"/>
        <v>-1.1144428563579056E-2</v>
      </c>
      <c r="DR138" s="853">
        <f t="shared" ca="1" si="488"/>
        <v>-9.7761024617301073E-3</v>
      </c>
      <c r="DS138" s="853">
        <f t="shared" ca="1" si="488"/>
        <v>2.8554539716991734E-3</v>
      </c>
      <c r="DT138" s="1774">
        <f t="shared" si="488"/>
        <v>-2.0995471543625299E-3</v>
      </c>
      <c r="DU138" s="942">
        <f t="shared" ca="1" si="488"/>
        <v>-4.8753962858104349E-3</v>
      </c>
      <c r="DV138" s="1773">
        <f t="shared" ref="DV138" si="489">DV136-DQ136</f>
        <v>-8.3877663805362324E-4</v>
      </c>
      <c r="DW138" s="853">
        <f t="shared" ref="DW138" ca="1" si="490">DW136-DR136</f>
        <v>6.9323454883413183E-4</v>
      </c>
      <c r="DX138" s="853">
        <f t="shared" ref="DX138" ca="1" si="491">DX136-DS136</f>
        <v>2.1960829413914529E-3</v>
      </c>
      <c r="DY138" s="1774">
        <f t="shared" ref="DY138" si="492">DY136-DT136</f>
        <v>2.4779382321060694E-3</v>
      </c>
      <c r="DZ138" s="942">
        <f t="shared" ref="DZ138" ca="1" si="493">DZ136-DU136</f>
        <v>1.1200192399001552E-3</v>
      </c>
      <c r="EA138" s="1773">
        <f t="shared" ref="EA138" si="494">EA136-DV136</f>
        <v>1.3813800556256028E-3</v>
      </c>
      <c r="EB138" s="853">
        <f t="shared" ref="EB138" ca="1" si="495">EB136-DW136</f>
        <v>7.3171060402782429E-4</v>
      </c>
      <c r="EC138" s="853">
        <f t="shared" ref="EC138" ca="1" si="496">EC136-DX136</f>
        <v>9.6340821982837666E-4</v>
      </c>
      <c r="ED138" s="1774">
        <f t="shared" ref="ED138" si="497">ED136-DY136</f>
        <v>8.4570193216740308E-4</v>
      </c>
      <c r="EE138" s="942">
        <f t="shared" ref="EE138" ca="1" si="498">EE136-DZ136</f>
        <v>9.7675404008826239E-4</v>
      </c>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row>
    <row r="139" spans="2:232" s="54" customFormat="1" ht="12" thickBot="1">
      <c r="B139" s="387"/>
      <c r="C139" s="385"/>
      <c r="D139" s="372"/>
      <c r="E139" s="372"/>
      <c r="F139" s="372"/>
      <c r="G139" s="372"/>
      <c r="H139" s="372"/>
      <c r="I139" s="372"/>
      <c r="J139" s="372"/>
      <c r="K139" s="372"/>
      <c r="L139" s="372"/>
      <c r="M139" s="372"/>
      <c r="N139" s="372"/>
      <c r="O139" s="372"/>
      <c r="P139" s="372"/>
      <c r="Q139" s="372"/>
      <c r="R139" s="372"/>
      <c r="S139" s="372"/>
      <c r="T139" s="372"/>
      <c r="U139" s="372"/>
      <c r="V139" s="372"/>
      <c r="W139" s="372"/>
      <c r="X139" s="372"/>
      <c r="Y139" s="372"/>
      <c r="Z139" s="372"/>
      <c r="AA139" s="372"/>
      <c r="AB139" s="372"/>
      <c r="AC139" s="372"/>
      <c r="AD139" s="372"/>
      <c r="AE139" s="372"/>
      <c r="AF139" s="372"/>
      <c r="AG139" s="372"/>
      <c r="AH139" s="372"/>
      <c r="AI139" s="372"/>
      <c r="AJ139" s="372"/>
      <c r="AK139" s="372"/>
      <c r="AL139" s="372"/>
      <c r="AM139" s="372"/>
      <c r="AN139" s="372"/>
      <c r="AO139" s="372"/>
      <c r="AP139" s="372"/>
      <c r="AQ139" s="372"/>
      <c r="AR139" s="372"/>
      <c r="AS139" s="372"/>
      <c r="AT139" s="372"/>
      <c r="AU139" s="372"/>
      <c r="AV139" s="372"/>
      <c r="AW139" s="372"/>
      <c r="AX139" s="372"/>
      <c r="AY139" s="372"/>
      <c r="AZ139" s="372"/>
      <c r="BA139" s="372"/>
      <c r="BB139" s="372"/>
      <c r="BC139" s="372"/>
      <c r="BD139" s="372"/>
      <c r="BE139" s="372"/>
      <c r="BF139" s="372"/>
      <c r="BG139" s="372"/>
      <c r="BH139" s="372"/>
      <c r="BI139" s="372"/>
      <c r="BJ139" s="372"/>
      <c r="BK139" s="372"/>
      <c r="BL139" s="372"/>
      <c r="BM139" s="372"/>
      <c r="BN139" s="372"/>
      <c r="BO139" s="372"/>
      <c r="BP139" s="372"/>
      <c r="BQ139" s="372"/>
      <c r="BR139" s="372"/>
      <c r="BS139" s="372"/>
      <c r="BT139" s="372"/>
      <c r="BU139" s="372"/>
      <c r="BV139" s="372"/>
      <c r="BW139" s="372"/>
      <c r="BX139" s="372"/>
      <c r="BY139" s="372"/>
      <c r="BZ139" s="372"/>
      <c r="CA139" s="372"/>
      <c r="CB139" s="372"/>
      <c r="CC139" s="372"/>
      <c r="CD139" s="372"/>
      <c r="CE139" s="372"/>
      <c r="CF139" s="372"/>
      <c r="CG139" s="372"/>
      <c r="CH139" s="372"/>
      <c r="CI139" s="372"/>
      <c r="CJ139" s="386"/>
      <c r="CK139" s="386"/>
      <c r="CL139" s="372"/>
      <c r="CM139" s="372"/>
      <c r="CN139" s="372"/>
      <c r="CO139" s="386"/>
      <c r="CP139" s="386"/>
      <c r="CQ139" s="372"/>
      <c r="CR139" s="372"/>
      <c r="CS139" s="372"/>
      <c r="CT139" s="386"/>
      <c r="CU139" s="386"/>
      <c r="CV139" s="372"/>
      <c r="CW139" s="372"/>
      <c r="CX139" s="372"/>
      <c r="CY139" s="386"/>
      <c r="CZ139" s="386"/>
      <c r="DA139" s="372"/>
      <c r="DB139" s="372"/>
      <c r="DC139" s="372"/>
      <c r="DD139" s="372"/>
      <c r="DE139" s="372"/>
      <c r="DF139" s="372"/>
      <c r="DG139" s="372"/>
      <c r="DH139" s="372"/>
      <c r="DI139" s="372"/>
      <c r="DJ139" s="372"/>
      <c r="DK139" s="372"/>
      <c r="DL139" s="372"/>
      <c r="DM139" s="372"/>
      <c r="DN139" s="372"/>
      <c r="DO139" s="311"/>
      <c r="DP139" s="372"/>
      <c r="DQ139" s="311"/>
      <c r="DR139" s="311"/>
      <c r="DS139" s="311"/>
      <c r="DT139" s="311"/>
      <c r="DU139" s="372"/>
      <c r="DV139" s="311"/>
      <c r="DW139" s="311"/>
      <c r="DX139" s="311"/>
      <c r="DY139" s="311"/>
      <c r="DZ139" s="372"/>
      <c r="EA139" s="311"/>
      <c r="EB139" s="311"/>
      <c r="EC139" s="311"/>
      <c r="ED139" s="311"/>
      <c r="EE139" s="372"/>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row>
    <row r="140" spans="2:232" s="63" customFormat="1" ht="12" thickBot="1">
      <c r="B140" s="683" t="s">
        <v>82</v>
      </c>
      <c r="C140" s="684"/>
      <c r="D140" s="684"/>
      <c r="E140" s="685"/>
      <c r="F140" s="685"/>
      <c r="G140" s="685"/>
      <c r="H140" s="685"/>
      <c r="I140" s="685"/>
      <c r="J140" s="685"/>
      <c r="K140" s="684"/>
      <c r="L140" s="684"/>
      <c r="M140" s="684"/>
      <c r="N140" s="684"/>
      <c r="O140" s="685"/>
      <c r="P140" s="684"/>
      <c r="Q140" s="684"/>
      <c r="R140" s="684"/>
      <c r="S140" s="684"/>
      <c r="T140" s="685"/>
      <c r="U140" s="684"/>
      <c r="V140" s="684"/>
      <c r="W140" s="684"/>
      <c r="X140" s="684"/>
      <c r="Y140" s="685"/>
      <c r="Z140" s="684"/>
      <c r="AA140" s="684"/>
      <c r="AB140" s="684"/>
      <c r="AC140" s="684"/>
      <c r="AD140" s="685"/>
      <c r="AE140" s="684"/>
      <c r="AF140" s="684"/>
      <c r="AG140" s="684"/>
      <c r="AH140" s="684"/>
      <c r="AI140" s="685"/>
      <c r="AJ140" s="684"/>
      <c r="AK140" s="684"/>
      <c r="AL140" s="684"/>
      <c r="AM140" s="684"/>
      <c r="AN140" s="685"/>
      <c r="AO140" s="684"/>
      <c r="AP140" s="684"/>
      <c r="AQ140" s="684"/>
      <c r="AR140" s="684"/>
      <c r="AS140" s="685"/>
      <c r="AT140" s="684"/>
      <c r="AU140" s="684"/>
      <c r="AV140" s="684"/>
      <c r="AW140" s="684"/>
      <c r="AX140" s="685"/>
      <c r="AY140" s="684"/>
      <c r="AZ140" s="684"/>
      <c r="BA140" s="684"/>
      <c r="BB140" s="684"/>
      <c r="BC140" s="685"/>
      <c r="BD140" s="684"/>
      <c r="BE140" s="684"/>
      <c r="BF140" s="684"/>
      <c r="BG140" s="684"/>
      <c r="BH140" s="685"/>
      <c r="BI140" s="684"/>
      <c r="BJ140" s="684"/>
      <c r="BK140" s="684"/>
      <c r="BL140" s="684"/>
      <c r="BM140" s="685"/>
      <c r="BN140" s="684"/>
      <c r="BO140" s="684"/>
      <c r="BP140" s="684"/>
      <c r="BQ140" s="684"/>
      <c r="BR140" s="685"/>
      <c r="BS140" s="684"/>
      <c r="BT140" s="684"/>
      <c r="BU140" s="684"/>
      <c r="BV140" s="684"/>
      <c r="BW140" s="685"/>
      <c r="BX140" s="684"/>
      <c r="BY140" s="684"/>
      <c r="BZ140" s="684"/>
      <c r="CA140" s="684"/>
      <c r="CB140" s="685"/>
      <c r="CC140" s="684"/>
      <c r="CD140" s="684"/>
      <c r="CE140" s="686"/>
      <c r="CF140" s="686"/>
      <c r="CG140" s="685"/>
      <c r="CH140" s="686"/>
      <c r="CI140" s="686"/>
      <c r="CJ140" s="686"/>
      <c r="CK140" s="686"/>
      <c r="CL140" s="687"/>
      <c r="CM140" s="684"/>
      <c r="CN140" s="684"/>
      <c r="CO140" s="684"/>
      <c r="CP140" s="684"/>
      <c r="CQ140" s="685"/>
      <c r="CR140" s="684"/>
      <c r="CS140" s="684"/>
      <c r="CT140" s="684"/>
      <c r="CU140" s="684"/>
      <c r="CV140" s="685"/>
      <c r="CW140" s="684"/>
      <c r="CX140" s="684"/>
      <c r="CY140" s="684"/>
      <c r="CZ140" s="684"/>
      <c r="DA140" s="685"/>
      <c r="DB140" s="684"/>
      <c r="DC140" s="684"/>
      <c r="DD140" s="684"/>
      <c r="DE140" s="684"/>
      <c r="DF140" s="685"/>
      <c r="DG140" s="684"/>
      <c r="DH140" s="684"/>
      <c r="DI140" s="684"/>
      <c r="DJ140" s="684"/>
      <c r="DK140" s="685"/>
      <c r="DL140" s="684"/>
      <c r="DM140" s="684"/>
      <c r="DN140" s="684"/>
      <c r="DO140" s="685"/>
      <c r="DP140" s="688"/>
      <c r="DQ140" s="685"/>
      <c r="DR140" s="685"/>
      <c r="DS140" s="685"/>
      <c r="DT140" s="685"/>
      <c r="DU140" s="688"/>
      <c r="DV140" s="685"/>
      <c r="DW140" s="685"/>
      <c r="DX140" s="685"/>
      <c r="DY140" s="685"/>
      <c r="DZ140" s="688"/>
      <c r="EA140" s="685"/>
      <c r="EB140" s="685"/>
      <c r="EC140" s="685"/>
      <c r="ED140" s="685"/>
      <c r="EE140" s="688"/>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row>
    <row r="141" spans="2:232" s="63" customFormat="1">
      <c r="B141" s="856" t="s">
        <v>400</v>
      </c>
      <c r="C141" s="857"/>
      <c r="D141" s="670">
        <f t="shared" ref="D141:AI141" si="499">D23</f>
        <v>18.841000000000001</v>
      </c>
      <c r="E141" s="670">
        <f t="shared" si="499"/>
        <v>18.812999999999999</v>
      </c>
      <c r="F141" s="670">
        <f t="shared" si="499"/>
        <v>18.157</v>
      </c>
      <c r="G141" s="670">
        <f t="shared" si="499"/>
        <v>15.67</v>
      </c>
      <c r="H141" s="670">
        <f t="shared" si="499"/>
        <v>6.4539999999999997</v>
      </c>
      <c r="I141" s="670">
        <f t="shared" si="499"/>
        <v>2.5860000000000003</v>
      </c>
      <c r="J141" s="670">
        <f t="shared" si="499"/>
        <v>1.19</v>
      </c>
      <c r="K141" s="670">
        <f t="shared" si="499"/>
        <v>0.89</v>
      </c>
      <c r="L141" s="670">
        <f t="shared" si="499"/>
        <v>0.64500000000000002</v>
      </c>
      <c r="M141" s="670">
        <f t="shared" si="499"/>
        <v>0.38500000000000001</v>
      </c>
      <c r="N141" s="670">
        <f t="shared" si="499"/>
        <v>0.39500000000000002</v>
      </c>
      <c r="O141" s="670">
        <f t="shared" si="499"/>
        <v>2.3150000000000004</v>
      </c>
      <c r="P141" s="670">
        <f t="shared" si="499"/>
        <v>0.66</v>
      </c>
      <c r="Q141" s="670">
        <f t="shared" si="499"/>
        <v>0.621</v>
      </c>
      <c r="R141" s="670">
        <f t="shared" si="499"/>
        <v>0.34599999999999997</v>
      </c>
      <c r="S141" s="670">
        <f t="shared" si="499"/>
        <v>0</v>
      </c>
      <c r="T141" s="670">
        <f t="shared" si="499"/>
        <v>1.6270000000000002</v>
      </c>
      <c r="U141" s="670">
        <f t="shared" si="499"/>
        <v>0.69099999999999995</v>
      </c>
      <c r="V141" s="670">
        <f t="shared" si="499"/>
        <v>0.35799999999999998</v>
      </c>
      <c r="W141" s="670">
        <f t="shared" si="499"/>
        <v>0</v>
      </c>
      <c r="X141" s="670">
        <f t="shared" si="499"/>
        <v>0</v>
      </c>
      <c r="Y141" s="670">
        <f t="shared" si="499"/>
        <v>1</v>
      </c>
      <c r="Z141" s="670">
        <f t="shared" si="499"/>
        <v>0</v>
      </c>
      <c r="AA141" s="670">
        <f t="shared" si="499"/>
        <v>0</v>
      </c>
      <c r="AB141" s="670">
        <f t="shared" si="499"/>
        <v>0</v>
      </c>
      <c r="AC141" s="670">
        <f t="shared" si="499"/>
        <v>0</v>
      </c>
      <c r="AD141" s="670">
        <f t="shared" si="499"/>
        <v>0.4</v>
      </c>
      <c r="AE141" s="670">
        <f t="shared" si="499"/>
        <v>0</v>
      </c>
      <c r="AF141" s="670">
        <f t="shared" si="499"/>
        <v>0</v>
      </c>
      <c r="AG141" s="670">
        <f t="shared" si="499"/>
        <v>0</v>
      </c>
      <c r="AH141" s="670">
        <f t="shared" si="499"/>
        <v>0</v>
      </c>
      <c r="AI141" s="670">
        <f t="shared" si="499"/>
        <v>0.4</v>
      </c>
      <c r="AJ141" s="670">
        <f t="shared" ref="AJ141:BO141" si="500">AJ23</f>
        <v>0</v>
      </c>
      <c r="AK141" s="670">
        <f t="shared" si="500"/>
        <v>1</v>
      </c>
      <c r="AL141" s="670">
        <f t="shared" si="500"/>
        <v>0</v>
      </c>
      <c r="AM141" s="670">
        <f t="shared" si="500"/>
        <v>0</v>
      </c>
      <c r="AN141" s="670">
        <f t="shared" si="500"/>
        <v>3.1</v>
      </c>
      <c r="AO141" s="670">
        <f t="shared" si="500"/>
        <v>0</v>
      </c>
      <c r="AP141" s="670">
        <f t="shared" si="500"/>
        <v>0</v>
      </c>
      <c r="AQ141" s="670">
        <f t="shared" si="500"/>
        <v>0</v>
      </c>
      <c r="AR141" s="670">
        <f t="shared" si="500"/>
        <v>0</v>
      </c>
      <c r="AS141" s="670">
        <f t="shared" si="500"/>
        <v>0</v>
      </c>
      <c r="AT141" s="670">
        <f t="shared" si="500"/>
        <v>0</v>
      </c>
      <c r="AU141" s="670">
        <f t="shared" si="500"/>
        <v>0</v>
      </c>
      <c r="AV141" s="670">
        <f t="shared" si="500"/>
        <v>0</v>
      </c>
      <c r="AW141" s="670">
        <f t="shared" si="500"/>
        <v>0</v>
      </c>
      <c r="AX141" s="670">
        <f t="shared" si="500"/>
        <v>0</v>
      </c>
      <c r="AY141" s="670">
        <f t="shared" si="500"/>
        <v>0</v>
      </c>
      <c r="AZ141" s="670">
        <f t="shared" si="500"/>
        <v>0</v>
      </c>
      <c r="BA141" s="670">
        <f t="shared" si="500"/>
        <v>0</v>
      </c>
      <c r="BB141" s="670">
        <f t="shared" si="500"/>
        <v>0</v>
      </c>
      <c r="BC141" s="670">
        <f t="shared" si="500"/>
        <v>0</v>
      </c>
      <c r="BD141" s="670">
        <f t="shared" si="500"/>
        <v>0</v>
      </c>
      <c r="BE141" s="670">
        <f t="shared" si="500"/>
        <v>0</v>
      </c>
      <c r="BF141" s="670">
        <f t="shared" si="500"/>
        <v>0</v>
      </c>
      <c r="BG141" s="670">
        <f t="shared" si="500"/>
        <v>0</v>
      </c>
      <c r="BH141" s="670">
        <f t="shared" si="500"/>
        <v>0</v>
      </c>
      <c r="BI141" s="670">
        <f t="shared" si="500"/>
        <v>0</v>
      </c>
      <c r="BJ141" s="670">
        <f t="shared" si="500"/>
        <v>0</v>
      </c>
      <c r="BK141" s="670">
        <f t="shared" si="500"/>
        <v>0</v>
      </c>
      <c r="BL141" s="670">
        <f t="shared" si="500"/>
        <v>0</v>
      </c>
      <c r="BM141" s="670">
        <f t="shared" si="500"/>
        <v>0</v>
      </c>
      <c r="BN141" s="670">
        <f t="shared" si="500"/>
        <v>0</v>
      </c>
      <c r="BO141" s="670">
        <f t="shared" si="500"/>
        <v>0</v>
      </c>
      <c r="BP141" s="670">
        <f t="shared" ref="BP141:CT141" si="501">BP23</f>
        <v>0</v>
      </c>
      <c r="BQ141" s="670">
        <f t="shared" si="501"/>
        <v>0</v>
      </c>
      <c r="BR141" s="670">
        <f t="shared" si="501"/>
        <v>0</v>
      </c>
      <c r="BS141" s="670">
        <f t="shared" si="501"/>
        <v>-0.4</v>
      </c>
      <c r="BT141" s="670">
        <f t="shared" si="501"/>
        <v>2.5</v>
      </c>
      <c r="BU141" s="670">
        <f t="shared" si="501"/>
        <v>1.5</v>
      </c>
      <c r="BV141" s="670">
        <f t="shared" si="501"/>
        <v>7.2</v>
      </c>
      <c r="BW141" s="670">
        <f t="shared" si="501"/>
        <v>10.8</v>
      </c>
      <c r="BX141" s="670">
        <f t="shared" si="501"/>
        <v>15</v>
      </c>
      <c r="BY141" s="670">
        <f t="shared" si="501"/>
        <v>20</v>
      </c>
      <c r="BZ141" s="670">
        <f t="shared" si="501"/>
        <v>25</v>
      </c>
      <c r="CA141" s="670">
        <f t="shared" si="501"/>
        <v>23</v>
      </c>
      <c r="CB141" s="670">
        <f t="shared" si="501"/>
        <v>83</v>
      </c>
      <c r="CC141" s="670">
        <f t="shared" si="501"/>
        <v>29.2</v>
      </c>
      <c r="CD141" s="670">
        <f t="shared" si="501"/>
        <v>29.2</v>
      </c>
      <c r="CE141" s="670">
        <f t="shared" si="501"/>
        <v>31.5</v>
      </c>
      <c r="CF141" s="670">
        <f t="shared" si="501"/>
        <v>25.5</v>
      </c>
      <c r="CG141" s="943">
        <f t="shared" si="501"/>
        <v>115.4</v>
      </c>
      <c r="CH141" s="670">
        <f t="shared" si="501"/>
        <v>29.2</v>
      </c>
      <c r="CI141" s="670">
        <f t="shared" si="501"/>
        <v>29.2</v>
      </c>
      <c r="CJ141" s="670">
        <f t="shared" si="501"/>
        <v>31.5</v>
      </c>
      <c r="CK141" s="670">
        <f t="shared" si="501"/>
        <v>25.5</v>
      </c>
      <c r="CL141" s="943">
        <f t="shared" si="501"/>
        <v>115.4</v>
      </c>
      <c r="CM141" s="670">
        <f t="shared" si="501"/>
        <v>26</v>
      </c>
      <c r="CN141" s="670">
        <f t="shared" si="501"/>
        <v>26</v>
      </c>
      <c r="CO141" s="670">
        <f t="shared" si="501"/>
        <v>26</v>
      </c>
      <c r="CP141" s="670">
        <f t="shared" si="501"/>
        <v>39</v>
      </c>
      <c r="CQ141" s="943">
        <f t="shared" si="501"/>
        <v>117</v>
      </c>
      <c r="CR141" s="670">
        <f t="shared" si="501"/>
        <v>39</v>
      </c>
      <c r="CS141" s="670">
        <f t="shared" si="501"/>
        <v>25</v>
      </c>
      <c r="CT141" s="670">
        <f t="shared" si="501"/>
        <v>52</v>
      </c>
      <c r="CU141" s="878">
        <f>CU142*2.7%/4 +16</f>
        <v>58.970500000000008</v>
      </c>
      <c r="CV141" s="943">
        <f t="shared" ref="CV141:DE141" si="502">CV23</f>
        <v>174.74212500054492</v>
      </c>
      <c r="CW141" s="670">
        <f t="shared" si="502"/>
        <v>43.6325</v>
      </c>
      <c r="CX141" s="670">
        <f t="shared" si="502"/>
        <v>38.21125</v>
      </c>
      <c r="CY141" s="670">
        <f t="shared" si="502"/>
        <v>37.221249999999998</v>
      </c>
      <c r="CZ141" s="670">
        <f t="shared" si="502"/>
        <v>45.657499999999999</v>
      </c>
      <c r="DA141" s="943">
        <f t="shared" si="502"/>
        <v>164.7225</v>
      </c>
      <c r="DB141" s="670">
        <f t="shared" si="502"/>
        <v>56.653750000000002</v>
      </c>
      <c r="DC141" s="670">
        <f t="shared" si="502"/>
        <v>150.36891574873817</v>
      </c>
      <c r="DD141" s="670">
        <f t="shared" si="502"/>
        <v>151</v>
      </c>
      <c r="DE141" s="670">
        <f t="shared" si="502"/>
        <v>255</v>
      </c>
      <c r="DF141" s="943">
        <f>DF23</f>
        <v>613.02266574873818</v>
      </c>
      <c r="DG141" s="670">
        <f t="shared" ref="DG141" si="503">DG23</f>
        <v>138</v>
      </c>
      <c r="DH141" s="670">
        <f t="shared" ref="DH141:DI141" si="504">DH23</f>
        <v>140</v>
      </c>
      <c r="DI141" s="670">
        <f t="shared" si="504"/>
        <v>147</v>
      </c>
      <c r="DJ141" s="670">
        <f t="shared" ref="DJ141:DL141" si="505">DJ23</f>
        <v>171</v>
      </c>
      <c r="DK141" s="943">
        <f>DK23</f>
        <v>596</v>
      </c>
      <c r="DL141" s="670">
        <f t="shared" si="505"/>
        <v>173</v>
      </c>
      <c r="DM141" s="670">
        <f t="shared" ref="DM141:DN141" si="506">DM23</f>
        <v>173</v>
      </c>
      <c r="DN141" s="670">
        <f t="shared" si="506"/>
        <v>156</v>
      </c>
      <c r="DO141" s="1776">
        <f t="shared" ref="DO141:DQ141" si="507">DO23</f>
        <v>194</v>
      </c>
      <c r="DP141" s="943">
        <f>DP23</f>
        <v>696</v>
      </c>
      <c r="DQ141" s="670">
        <f t="shared" si="507"/>
        <v>150</v>
      </c>
      <c r="DR141" s="670">
        <f>Debt!DR20</f>
        <v>132.72174999999999</v>
      </c>
      <c r="DS141" s="670">
        <f>Debt!DS20</f>
        <v>132.72174999999999</v>
      </c>
      <c r="DT141" s="670">
        <f>Debt!DT20</f>
        <v>132.72174999999999</v>
      </c>
      <c r="DU141" s="943">
        <f>DU23</f>
        <v>548.16525000000001</v>
      </c>
      <c r="DV141" s="1775">
        <f>Debt!DV20</f>
        <v>126.889375</v>
      </c>
      <c r="DW141" s="670">
        <f>Debt!DW20</f>
        <v>121.057</v>
      </c>
      <c r="DX141" s="670">
        <f>Debt!DX20</f>
        <v>121.057</v>
      </c>
      <c r="DY141" s="670">
        <f>Debt!DY20</f>
        <v>121.057</v>
      </c>
      <c r="DZ141" s="943">
        <f>DZ23</f>
        <v>490.06037500000002</v>
      </c>
      <c r="EA141" s="1775">
        <f>Debt!EA20</f>
        <v>119.416375</v>
      </c>
      <c r="EB141" s="670">
        <f>Debt!EB20</f>
        <v>117.77575</v>
      </c>
      <c r="EC141" s="670">
        <f>Debt!EC20</f>
        <v>117.77575</v>
      </c>
      <c r="ED141" s="670">
        <f>Debt!ED20</f>
        <v>117.77575</v>
      </c>
      <c r="EE141" s="943">
        <f>EE23</f>
        <v>472.74362500000001</v>
      </c>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row>
    <row r="142" spans="2:232" s="63" customFormat="1">
      <c r="B142" s="858" t="s">
        <v>128</v>
      </c>
      <c r="C142" s="337"/>
      <c r="D142" s="401"/>
      <c r="E142" s="401"/>
      <c r="F142" s="401"/>
      <c r="G142" s="401">
        <f>Model!F227+Model!F219</f>
        <v>0</v>
      </c>
      <c r="H142" s="401">
        <f>Model!G227+Model!G219</f>
        <v>0</v>
      </c>
      <c r="I142" s="401">
        <f>Model!H227+Model!H219</f>
        <v>0</v>
      </c>
      <c r="J142" s="401">
        <f>Model!I227+Model!I219</f>
        <v>0</v>
      </c>
      <c r="K142" s="859"/>
      <c r="L142" s="859"/>
      <c r="M142" s="859"/>
      <c r="N142" s="859"/>
      <c r="O142" s="401">
        <f>Model!J227+Model!J219</f>
        <v>2</v>
      </c>
      <c r="P142" s="859"/>
      <c r="Q142" s="859"/>
      <c r="R142" s="859"/>
      <c r="S142" s="859"/>
      <c r="T142" s="401">
        <f>Model!O227+Model!O219</f>
        <v>4</v>
      </c>
      <c r="U142" s="859"/>
      <c r="V142" s="859"/>
      <c r="W142" s="859"/>
      <c r="X142" s="859"/>
      <c r="Y142" s="401">
        <f>Model!T227+Model!T219</f>
        <v>3</v>
      </c>
      <c r="Z142" s="859"/>
      <c r="AA142" s="859"/>
      <c r="AB142" s="859"/>
      <c r="AC142" s="859"/>
      <c r="AD142" s="401">
        <f>Model!Y227+Model!Y219</f>
        <v>13.6</v>
      </c>
      <c r="AE142" s="859"/>
      <c r="AF142" s="859"/>
      <c r="AG142" s="859"/>
      <c r="AH142" s="859"/>
      <c r="AI142" s="401">
        <f>Model!AD227+Model!AD219</f>
        <v>18</v>
      </c>
      <c r="AJ142" s="859"/>
      <c r="AK142" s="859"/>
      <c r="AL142" s="859"/>
      <c r="AM142" s="859"/>
      <c r="AN142" s="401">
        <f>Model!AI227+Model!AI219</f>
        <v>18.2</v>
      </c>
      <c r="AO142" s="859"/>
      <c r="AP142" s="859"/>
      <c r="AQ142" s="859"/>
      <c r="AR142" s="859"/>
      <c r="AS142" s="401">
        <f>Model!AN227+Model!AN219</f>
        <v>461.5</v>
      </c>
      <c r="AT142" s="859"/>
      <c r="AU142" s="859"/>
      <c r="AV142" s="859"/>
      <c r="AW142" s="859"/>
      <c r="AX142" s="401">
        <f>Model!AS227+Model!AS219</f>
        <v>11.2</v>
      </c>
      <c r="AY142" s="859"/>
      <c r="AZ142" s="859"/>
      <c r="BA142" s="859"/>
      <c r="BB142" s="859"/>
      <c r="BC142" s="401">
        <f>Model!AX227+Model!AX219</f>
        <v>9.4</v>
      </c>
      <c r="BD142" s="859"/>
      <c r="BE142" s="859"/>
      <c r="BF142" s="859"/>
      <c r="BG142" s="859"/>
      <c r="BH142" s="401">
        <f>Model!BC227+Model!BC219</f>
        <v>12.4</v>
      </c>
      <c r="BI142" s="859"/>
      <c r="BJ142" s="859"/>
      <c r="BK142" s="859"/>
      <c r="BL142" s="859"/>
      <c r="BM142" s="401">
        <f>Model!BH227+Model!BH219</f>
        <v>12</v>
      </c>
      <c r="BN142" s="859"/>
      <c r="BO142" s="859"/>
      <c r="BP142" s="859"/>
      <c r="BQ142" s="859"/>
      <c r="BR142" s="401">
        <f>Model!BM227+Model!BM219</f>
        <v>3.2</v>
      </c>
      <c r="BS142" s="164"/>
      <c r="BT142" s="164">
        <f>Model!BS227+Model!BS219</f>
        <v>1196</v>
      </c>
      <c r="BU142" s="164">
        <f>Model!BT227+Model!BT219</f>
        <v>727.8</v>
      </c>
      <c r="BV142" s="164">
        <f>Model!BU227+Model!BU219</f>
        <v>1136.3</v>
      </c>
      <c r="BW142" s="401">
        <f>Model!BR227+Model!BR219</f>
        <v>900.5</v>
      </c>
      <c r="BX142" s="164">
        <f>Model!BV227+Model!BV219</f>
        <v>1420</v>
      </c>
      <c r="BY142" s="164">
        <f>Model!BX227+Model!BX219</f>
        <v>2417</v>
      </c>
      <c r="BZ142" s="164">
        <f>Model!BY227+Model!BY219</f>
        <v>2344</v>
      </c>
      <c r="CA142" s="164">
        <f>Model!BZ227+Model!BZ219</f>
        <v>2348</v>
      </c>
      <c r="CB142" s="401">
        <f>Model!BW227+Model!BW219</f>
        <v>1420</v>
      </c>
      <c r="CC142" s="164">
        <f>Model!CA227+Model!CA219</f>
        <v>2351</v>
      </c>
      <c r="CD142" s="164">
        <f>Model!CC227+Model!CC219</f>
        <v>2379</v>
      </c>
      <c r="CE142" s="164">
        <f>Model!CD227+Model!CD219</f>
        <v>2355</v>
      </c>
      <c r="CF142" s="164">
        <f>Model!CE227+Model!CE219</f>
        <v>2368</v>
      </c>
      <c r="CG142" s="944">
        <f>Model!CB227+Model!CB219</f>
        <v>2351</v>
      </c>
      <c r="CH142" s="164">
        <f>Model!CF227+Model!CF219</f>
        <v>2401</v>
      </c>
      <c r="CI142" s="164">
        <f>Model!CH227+Model!CH219</f>
        <v>2402</v>
      </c>
      <c r="CJ142" s="164">
        <f>Model!CI227+Model!CI219</f>
        <v>2393</v>
      </c>
      <c r="CK142" s="164">
        <f>Model!CJ227+Model!CJ219</f>
        <v>2395</v>
      </c>
      <c r="CL142" s="944">
        <f>Model!CG227+Model!CG219</f>
        <v>2401</v>
      </c>
      <c r="CM142" s="164">
        <f>Model!CK227+Model!CK219</f>
        <v>2409</v>
      </c>
      <c r="CN142" s="164">
        <f>Model!CM227+Model!CM219</f>
        <v>2401</v>
      </c>
      <c r="CO142" s="164">
        <f>Model!CN227+Model!CN219</f>
        <v>2393</v>
      </c>
      <c r="CP142" s="164">
        <f>Model!CO227+Model!CO219</f>
        <v>2400</v>
      </c>
      <c r="CQ142" s="944">
        <f>Model!CL227+Model!CL219</f>
        <v>2409</v>
      </c>
      <c r="CR142" s="164">
        <f>Model!CP227+Model!CP219</f>
        <v>5392</v>
      </c>
      <c r="CS142" s="164">
        <f>Model!CR227+Model!CR219</f>
        <v>6385</v>
      </c>
      <c r="CT142" s="164">
        <f>Model!CS227+Model!CS219</f>
        <v>6357</v>
      </c>
      <c r="CU142" s="164">
        <f>Model!CT227+Model!CT219</f>
        <v>6366</v>
      </c>
      <c r="CV142" s="944">
        <f>Model!CQ227+Model!CQ219</f>
        <v>5392</v>
      </c>
      <c r="CW142" s="164">
        <f>Model!CU227+Model!CU219</f>
        <v>5047</v>
      </c>
      <c r="CX142" s="164">
        <f>Model!CW227+Model!CW219</f>
        <v>5072</v>
      </c>
      <c r="CY142" s="164">
        <f>Model!CX227+Model!CX219</f>
        <v>5066</v>
      </c>
      <c r="CZ142" s="164">
        <f>Model!CY227+Model!CY219</f>
        <v>4527</v>
      </c>
      <c r="DA142" s="944">
        <f>Model!CV227+Model!CV219</f>
        <v>5047</v>
      </c>
      <c r="DB142" s="164">
        <f>Model!CZ227+Model!CZ219</f>
        <v>4510</v>
      </c>
      <c r="DC142" s="164">
        <f>Model!DB227+Model!DB219</f>
        <v>14530</v>
      </c>
      <c r="DD142" s="164">
        <f>Model!DC227+Model!DC219</f>
        <v>17062</v>
      </c>
      <c r="DE142" s="164">
        <f>Model!DD227+Model!DD219</f>
        <v>16247</v>
      </c>
      <c r="DF142" s="944">
        <f>Model!DA227+Model!DA219</f>
        <v>4510</v>
      </c>
      <c r="DG142" s="164">
        <f>Model!DF227+Model!DF219</f>
        <v>14383</v>
      </c>
      <c r="DH142" s="164">
        <f>Model!DG227+Model!DG219</f>
        <v>14277</v>
      </c>
      <c r="DI142" s="164">
        <f>Model!DH227+Model!DH219</f>
        <v>14026</v>
      </c>
      <c r="DJ142" s="164">
        <f>Model!DI227+Model!DI219</f>
        <v>13525</v>
      </c>
      <c r="DK142" s="825">
        <f>Model!DF227+Model!DF219</f>
        <v>14383</v>
      </c>
      <c r="DL142" s="164">
        <f>Model!DK227+Model!DK219</f>
        <v>19028</v>
      </c>
      <c r="DM142" s="164">
        <f>Model!DL227+Model!DL219</f>
        <v>18872</v>
      </c>
      <c r="DN142" s="164">
        <f>Model!DM227+Model!DM219</f>
        <v>18911</v>
      </c>
      <c r="DO142" s="1257">
        <f>Model!DN227+Model!DN219</f>
        <v>19210</v>
      </c>
      <c r="DP142" s="825">
        <f>Model!DK227+Model!DK219</f>
        <v>19028</v>
      </c>
      <c r="DQ142" s="164">
        <f>Model!DP227+Model!DP219</f>
        <v>12935</v>
      </c>
      <c r="DR142" s="164">
        <f>Model!DQ227+Model!DQ219</f>
        <v>14005</v>
      </c>
      <c r="DS142" s="164">
        <f>Model!DR227+Model!DR219</f>
        <v>14937</v>
      </c>
      <c r="DT142" s="1257">
        <f>Model!DS227+Model!DS219</f>
        <v>14937</v>
      </c>
      <c r="DU142" s="825">
        <f>Model!DP227+Model!DP219</f>
        <v>12935</v>
      </c>
      <c r="DV142" s="1741">
        <f>Model!DU227+Model!DU219</f>
        <v>14937</v>
      </c>
      <c r="DW142" s="164">
        <f>Model!DV227+Model!DV219</f>
        <v>13445</v>
      </c>
      <c r="DX142" s="164">
        <f>Model!DW227+Model!DW219</f>
        <v>13445</v>
      </c>
      <c r="DY142" s="1257">
        <f>Model!DX227+Model!DX219</f>
        <v>13445</v>
      </c>
      <c r="DZ142" s="825">
        <f>Model!DU227+Model!DU219</f>
        <v>14937</v>
      </c>
      <c r="EA142" s="1741">
        <f>Model!DZ227+Model!DZ219</f>
        <v>13445</v>
      </c>
      <c r="EB142" s="164">
        <f>Model!EA227+Model!EA219</f>
        <v>13195</v>
      </c>
      <c r="EC142" s="164">
        <f>Model!EB227+Model!EB219</f>
        <v>13195</v>
      </c>
      <c r="ED142" s="1257">
        <f>Model!EC227+Model!EC219</f>
        <v>13195</v>
      </c>
      <c r="EE142" s="825">
        <f>Model!DZ227+Model!DZ219</f>
        <v>13445</v>
      </c>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row>
    <row r="143" spans="2:232" s="63" customFormat="1">
      <c r="B143" s="858" t="s">
        <v>129</v>
      </c>
      <c r="C143" s="337"/>
      <c r="D143" s="860" t="str">
        <f t="shared" ref="D143:J143" si="508">IF(ISERROR(D141/D142),"",D141/D142)</f>
        <v/>
      </c>
      <c r="E143" s="860" t="str">
        <f t="shared" si="508"/>
        <v/>
      </c>
      <c r="F143" s="860" t="str">
        <f t="shared" si="508"/>
        <v/>
      </c>
      <c r="G143" s="860" t="str">
        <f t="shared" si="508"/>
        <v/>
      </c>
      <c r="H143" s="860" t="str">
        <f t="shared" si="508"/>
        <v/>
      </c>
      <c r="I143" s="860" t="str">
        <f t="shared" si="508"/>
        <v/>
      </c>
      <c r="J143" s="860" t="str">
        <f t="shared" si="508"/>
        <v/>
      </c>
      <c r="K143" s="859"/>
      <c r="L143" s="859"/>
      <c r="M143" s="859"/>
      <c r="N143" s="859"/>
      <c r="O143" s="860">
        <f>IF(ISERROR(O141/O142),"",O141/O142)</f>
        <v>1.1575000000000002</v>
      </c>
      <c r="P143" s="859"/>
      <c r="Q143" s="859"/>
      <c r="R143" s="859"/>
      <c r="S143" s="859"/>
      <c r="T143" s="860">
        <f>IF(ISERROR(T141/T142),"",T141/T142)</f>
        <v>0.40675000000000006</v>
      </c>
      <c r="U143" s="859"/>
      <c r="V143" s="859"/>
      <c r="W143" s="859"/>
      <c r="X143" s="859"/>
      <c r="Y143" s="860">
        <f>IF(ISERROR(Y141/Y142),"",Y141/Y142)</f>
        <v>0.33333333333333331</v>
      </c>
      <c r="Z143" s="859"/>
      <c r="AA143" s="859"/>
      <c r="AB143" s="859"/>
      <c r="AC143" s="859"/>
      <c r="AD143" s="860">
        <f>IF(ISERROR(AD141/AD142),"",AD141/AD142)</f>
        <v>2.9411764705882356E-2</v>
      </c>
      <c r="AE143" s="859"/>
      <c r="AF143" s="859"/>
      <c r="AG143" s="859"/>
      <c r="AH143" s="859"/>
      <c r="AI143" s="860">
        <f>IF(ISERROR(AI141/AI142),"",AI141/AI142)</f>
        <v>2.2222222222222223E-2</v>
      </c>
      <c r="AJ143" s="859"/>
      <c r="AK143" s="859"/>
      <c r="AL143" s="859"/>
      <c r="AM143" s="859"/>
      <c r="AN143" s="860">
        <f>IF(ISERROR(AN141/AN142),"",AN141/AN142)</f>
        <v>0.17032967032967034</v>
      </c>
      <c r="AO143" s="859"/>
      <c r="AP143" s="859"/>
      <c r="AQ143" s="859"/>
      <c r="AR143" s="859"/>
      <c r="AS143" s="860">
        <f>IF(ISERROR(AS141/AS142),"",AS141/AS142)</f>
        <v>0</v>
      </c>
      <c r="AT143" s="859"/>
      <c r="AU143" s="859"/>
      <c r="AV143" s="859"/>
      <c r="AW143" s="859"/>
      <c r="AX143" s="860">
        <f>IF(ISERROR(AX141/AX142),"",AX141/AX142)</f>
        <v>0</v>
      </c>
      <c r="AY143" s="859"/>
      <c r="AZ143" s="859"/>
      <c r="BA143" s="859"/>
      <c r="BB143" s="859"/>
      <c r="BC143" s="860">
        <f>IF(ISERROR(BC141/BC142),"",BC141/BC142)</f>
        <v>0</v>
      </c>
      <c r="BD143" s="859"/>
      <c r="BE143" s="859"/>
      <c r="BF143" s="859"/>
      <c r="BG143" s="859"/>
      <c r="BH143" s="860">
        <f>IF(ISERROR(BH141/BH142),"",BH141/BH142)</f>
        <v>0</v>
      </c>
      <c r="BI143" s="859"/>
      <c r="BJ143" s="859"/>
      <c r="BK143" s="859"/>
      <c r="BL143" s="859"/>
      <c r="BM143" s="860">
        <f>IF(ISERROR(BM141/BM142),"",BM141/BM142)</f>
        <v>0</v>
      </c>
      <c r="BN143" s="859"/>
      <c r="BO143" s="859"/>
      <c r="BP143" s="859"/>
      <c r="BQ143" s="859"/>
      <c r="BR143" s="860">
        <f>IF(ISERROR(BR141/BR142),"",BR141/BR142)</f>
        <v>0</v>
      </c>
      <c r="BS143" s="859"/>
      <c r="BT143" s="861">
        <f>BT141/BT142*4</f>
        <v>8.3612040133779261E-3</v>
      </c>
      <c r="BU143" s="861">
        <f>BU141/BU142*4</f>
        <v>8.2440230832646344E-3</v>
      </c>
      <c r="BV143" s="861">
        <f>BV141/BV142*4</f>
        <v>2.5345419343483236E-2</v>
      </c>
      <c r="BW143" s="860">
        <f>IF(ISERROR(BW141/BW142),"",BW141/BW142)</f>
        <v>1.1993337034980567E-2</v>
      </c>
      <c r="BX143" s="861">
        <f>BX141/BX142*4</f>
        <v>4.2253521126760563E-2</v>
      </c>
      <c r="BY143" s="861">
        <f>BY141/BY142*4</f>
        <v>3.3098882912701695E-2</v>
      </c>
      <c r="BZ143" s="861">
        <f>BZ141/BZ142*4</f>
        <v>4.2662116040955635E-2</v>
      </c>
      <c r="CA143" s="861">
        <f>CA141/CA142*4</f>
        <v>3.9182282793867124E-2</v>
      </c>
      <c r="CB143" s="860">
        <f>IF(ISERROR(CB141/CB142),"",CB141/CB142)</f>
        <v>5.8450704225352111E-2</v>
      </c>
      <c r="CC143" s="861">
        <f>CC141/CC142*4</f>
        <v>4.9680986814121648E-2</v>
      </c>
      <c r="CD143" s="861">
        <f>CD141/CD142*4</f>
        <v>4.9096258932324506E-2</v>
      </c>
      <c r="CE143" s="861">
        <f>CE141/CE142*4</f>
        <v>5.3503184713375798E-2</v>
      </c>
      <c r="CF143" s="861">
        <f>CF141/CF142*4</f>
        <v>4.3074324324324322E-2</v>
      </c>
      <c r="CG143" s="945">
        <f>IF(ISERROR(CG141/CG142),"",CG141/CG142)</f>
        <v>4.9085495533815401E-2</v>
      </c>
      <c r="CH143" s="861">
        <f>CH141/CH142*4</f>
        <v>4.864639733444398E-2</v>
      </c>
      <c r="CI143" s="861">
        <f>CI141/CI142*4</f>
        <v>4.8626144879267273E-2</v>
      </c>
      <c r="CJ143" s="861">
        <f>CJ141/CJ142*4</f>
        <v>5.2653572921019638E-2</v>
      </c>
      <c r="CK143" s="861">
        <f>CK141/CK142*4</f>
        <v>4.2588726513569937E-2</v>
      </c>
      <c r="CL143" s="945">
        <f>IF(ISERROR(CL141/CL142),"",CL141/CL142)</f>
        <v>4.8063306955435238E-2</v>
      </c>
      <c r="CM143" s="861">
        <f>CM141/CM142*4</f>
        <v>4.3171440431714406E-2</v>
      </c>
      <c r="CN143" s="861">
        <f>CN141/CN142*4</f>
        <v>4.3315285297792584E-2</v>
      </c>
      <c r="CO143" s="861">
        <f>CO141/CO142*4</f>
        <v>4.3460091934809861E-2</v>
      </c>
      <c r="CP143" s="861">
        <f>CP141/CP142*4</f>
        <v>6.5000000000000002E-2</v>
      </c>
      <c r="CQ143" s="945">
        <f>IF(ISERROR(CQ141/CQ142),"",CQ141/CQ142)</f>
        <v>4.8567870485678705E-2</v>
      </c>
      <c r="CR143" s="861">
        <f>CR141/CR142*4</f>
        <v>2.8931750741839762E-2</v>
      </c>
      <c r="CS143" s="861">
        <f>CS141/CS142*4</f>
        <v>1.5661707126076743E-2</v>
      </c>
      <c r="CT143" s="861">
        <f>CT141/CT142*4</f>
        <v>3.2719836400817999E-2</v>
      </c>
      <c r="CU143" s="861">
        <f>CU141/CU142*4</f>
        <v>3.705340873389884E-2</v>
      </c>
      <c r="CV143" s="945">
        <f>IF(ISERROR(CV141/CV142),"",CV141/CV142)</f>
        <v>3.2407664132148538E-2</v>
      </c>
      <c r="CW143" s="1515">
        <f>CW141/CW142*4</f>
        <v>3.4580939171785216E-2</v>
      </c>
      <c r="CX143" s="1515">
        <f>CX141/CX142*4</f>
        <v>3.0135055205047317E-2</v>
      </c>
      <c r="CY143" s="1515">
        <f>CY141/CY142*4</f>
        <v>2.9389064350572442E-2</v>
      </c>
      <c r="CZ143" s="861">
        <f>CZ141/CZ142*4</f>
        <v>4.0342390103821513E-2</v>
      </c>
      <c r="DA143" s="945">
        <f>IF(ISERROR(DA141/DA142),"",DA141/DA142)</f>
        <v>3.263770556766396E-2</v>
      </c>
      <c r="DB143" s="861">
        <f>DB141/DB142*4</f>
        <v>5.0247228381374721E-2</v>
      </c>
      <c r="DC143" s="861">
        <f>DC141/DC142*4</f>
        <v>4.1395434480038039E-2</v>
      </c>
      <c r="DD143" s="861">
        <f>DD141/DD142*4</f>
        <v>3.5400304770835778E-2</v>
      </c>
      <c r="DE143" s="861">
        <f>DE141/DE142*4</f>
        <v>6.2780821074659932E-2</v>
      </c>
      <c r="DF143" s="945">
        <f>SUMPRODUCT(DB142:DE142,DB143:DE143)/SUM(DB142:DE142)</f>
        <v>4.6841213069876264E-2</v>
      </c>
      <c r="DG143" s="861">
        <f>DG141/DG142*4</f>
        <v>3.8378641451713831E-2</v>
      </c>
      <c r="DH143" s="861">
        <f>DH141/DH142*4</f>
        <v>3.9223926595223085E-2</v>
      </c>
      <c r="DI143" s="861">
        <f>DI141/DI142*4</f>
        <v>4.1922144588621132E-2</v>
      </c>
      <c r="DJ143" s="861">
        <f>DJ141/DJ142*4</f>
        <v>5.0573012939001849E-2</v>
      </c>
      <c r="DK143" s="2121">
        <f>SUMPRODUCT(DG142:DJ142,DG143:DJ143)/SUM(DG142:DJ142)</f>
        <v>4.2411627617370266E-2</v>
      </c>
      <c r="DL143" s="861">
        <f>DL141/DL142*4</f>
        <v>3.6367458482236707E-2</v>
      </c>
      <c r="DM143" s="861">
        <f>DM141/DM142*4</f>
        <v>3.6668079694785929E-2</v>
      </c>
      <c r="DN143" s="861">
        <f>DN141/DN142*4</f>
        <v>3.2996668605573473E-2</v>
      </c>
      <c r="DO143" s="2123">
        <f>DO141/DO142*4</f>
        <v>4.0395627277459656E-2</v>
      </c>
      <c r="DP143" s="2121">
        <f>SUMPRODUCT(DL142:DO142,DL143:DO143)/SUM(DL142:DO142)</f>
        <v>3.6621459859775586E-2</v>
      </c>
      <c r="DQ143" s="1515">
        <f>DQ141/DQ142*4</f>
        <v>4.6385775028991112E-2</v>
      </c>
      <c r="DR143" s="1515">
        <f t="shared" ref="DR143" si="509">DR141/DR142*4</f>
        <v>3.7906961799357368E-2</v>
      </c>
      <c r="DS143" s="1515">
        <f t="shared" ref="DS143" si="510">DS141/DS142*4</f>
        <v>3.5541741982995242E-2</v>
      </c>
      <c r="DT143" s="2123">
        <f t="shared" ref="DT143" si="511">DT141/DT142*4</f>
        <v>3.5541741982995242E-2</v>
      </c>
      <c r="DU143" s="2121">
        <f>SUMPRODUCT(DQ142:DT142,DQ143:DT143)/SUM(DQ142:DT142)</f>
        <v>3.8593674094413347E-2</v>
      </c>
      <c r="DV143" s="2122">
        <f t="shared" ref="DV143:DY143" si="512">DV141/DV142*4</f>
        <v>3.3979882171788177E-2</v>
      </c>
      <c r="DW143" s="1515">
        <f t="shared" si="512"/>
        <v>3.6015470435105987E-2</v>
      </c>
      <c r="DX143" s="1515">
        <f t="shared" si="512"/>
        <v>3.6015470435105987E-2</v>
      </c>
      <c r="DY143" s="2123">
        <f t="shared" si="512"/>
        <v>3.6015470435105987E-2</v>
      </c>
      <c r="DZ143" s="2121">
        <f>SUMPRODUCT(DV142:DY142,DV143:DY143)/SUM(DV142:DY142)</f>
        <v>3.5465362208713276E-2</v>
      </c>
      <c r="EA143" s="2122">
        <f t="shared" ref="EA143:ED143" si="513">EA141/EA142*4</f>
        <v>3.5527370769802905E-2</v>
      </c>
      <c r="EB143" s="1515">
        <f t="shared" si="513"/>
        <v>3.5703145130731341E-2</v>
      </c>
      <c r="EC143" s="1515">
        <f t="shared" si="513"/>
        <v>3.5703145130731341E-2</v>
      </c>
      <c r="ED143" s="2123">
        <f t="shared" si="513"/>
        <v>3.5703145130731341E-2</v>
      </c>
      <c r="EE143" s="2121">
        <f>SUMPRODUCT(EA142:ED142,EA143:ED143)/SUM(EA142:ED142)</f>
        <v>3.565858004902886E-2</v>
      </c>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row>
    <row r="144" spans="2:232" s="63" customFormat="1">
      <c r="B144" s="858"/>
      <c r="C144" s="337"/>
      <c r="D144" s="336"/>
      <c r="E144" s="859"/>
      <c r="F144" s="859"/>
      <c r="G144" s="859"/>
      <c r="H144" s="859"/>
      <c r="I144" s="859"/>
      <c r="J144" s="859"/>
      <c r="K144" s="859"/>
      <c r="L144" s="859"/>
      <c r="M144" s="859"/>
      <c r="N144" s="859"/>
      <c r="O144" s="859"/>
      <c r="P144" s="859"/>
      <c r="Q144" s="859"/>
      <c r="R144" s="859"/>
      <c r="S144" s="859"/>
      <c r="T144" s="859"/>
      <c r="U144" s="859"/>
      <c r="V144" s="859"/>
      <c r="W144" s="859"/>
      <c r="X144" s="859"/>
      <c r="Y144" s="859"/>
      <c r="Z144" s="859"/>
      <c r="AA144" s="859"/>
      <c r="AB144" s="859"/>
      <c r="AC144" s="859"/>
      <c r="AD144" s="859"/>
      <c r="AE144" s="859"/>
      <c r="AF144" s="859"/>
      <c r="AG144" s="859"/>
      <c r="AH144" s="859"/>
      <c r="AI144" s="859"/>
      <c r="AJ144" s="859"/>
      <c r="AK144" s="859"/>
      <c r="AL144" s="859"/>
      <c r="AM144" s="859"/>
      <c r="AN144" s="859"/>
      <c r="AO144" s="859"/>
      <c r="AP144" s="859"/>
      <c r="AQ144" s="859"/>
      <c r="AR144" s="859"/>
      <c r="AS144" s="859"/>
      <c r="AT144" s="859"/>
      <c r="AU144" s="859"/>
      <c r="AV144" s="859"/>
      <c r="AW144" s="859"/>
      <c r="AX144" s="859"/>
      <c r="AY144" s="859"/>
      <c r="AZ144" s="859"/>
      <c r="BA144" s="859"/>
      <c r="BB144" s="859"/>
      <c r="BC144" s="859"/>
      <c r="BD144" s="859"/>
      <c r="BE144" s="859"/>
      <c r="BF144" s="859"/>
      <c r="BG144" s="859"/>
      <c r="BH144" s="859"/>
      <c r="BI144" s="859"/>
      <c r="BJ144" s="859"/>
      <c r="BK144" s="859"/>
      <c r="BL144" s="859"/>
      <c r="BM144" s="859"/>
      <c r="BN144" s="859"/>
      <c r="BO144" s="859"/>
      <c r="BP144" s="859"/>
      <c r="BQ144" s="859"/>
      <c r="BR144" s="859"/>
      <c r="BS144" s="859"/>
      <c r="BT144" s="859"/>
      <c r="BU144" s="859"/>
      <c r="BV144" s="859"/>
      <c r="BW144" s="859"/>
      <c r="BX144" s="859"/>
      <c r="BY144" s="859"/>
      <c r="BZ144" s="859"/>
      <c r="CA144" s="859"/>
      <c r="CB144" s="859"/>
      <c r="CC144" s="859"/>
      <c r="CD144" s="859"/>
      <c r="CE144" s="859"/>
      <c r="CF144" s="859"/>
      <c r="CG144" s="946"/>
      <c r="CH144" s="859"/>
      <c r="CI144" s="859"/>
      <c r="CJ144" s="859"/>
      <c r="CK144" s="859"/>
      <c r="CL144" s="946"/>
      <c r="CM144" s="859"/>
      <c r="CN144" s="859"/>
      <c r="CO144" s="859"/>
      <c r="CP144" s="859"/>
      <c r="CQ144" s="946"/>
      <c r="CR144" s="859"/>
      <c r="CS144" s="859"/>
      <c r="CT144" s="122"/>
      <c r="CU144" s="859"/>
      <c r="CV144" s="946"/>
      <c r="CW144" s="859"/>
      <c r="CX144" s="859"/>
      <c r="CY144" s="859"/>
      <c r="CZ144" s="311"/>
      <c r="DA144" s="946"/>
      <c r="DB144" s="859"/>
      <c r="DC144" s="859"/>
      <c r="DD144" s="859"/>
      <c r="DE144" s="859"/>
      <c r="DF144" s="946"/>
      <c r="DG144" s="859"/>
      <c r="DH144" s="859"/>
      <c r="DI144" s="859"/>
      <c r="DJ144" s="859"/>
      <c r="DK144" s="946"/>
      <c r="DL144" s="859"/>
      <c r="DM144" s="859"/>
      <c r="DN144" s="859"/>
      <c r="DO144" s="1780"/>
      <c r="DP144" s="946"/>
      <c r="DQ144" s="859"/>
      <c r="DR144" s="859"/>
      <c r="DS144" s="859"/>
      <c r="DT144" s="1780"/>
      <c r="DU144" s="946"/>
      <c r="DV144" s="1779"/>
      <c r="DW144" s="859"/>
      <c r="DX144" s="859"/>
      <c r="DY144" s="1780"/>
      <c r="DZ144" s="946"/>
      <c r="EA144" s="1779"/>
      <c r="EB144" s="859"/>
      <c r="EC144" s="859"/>
      <c r="ED144" s="1780"/>
      <c r="EE144" s="946"/>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row>
    <row r="145" spans="2:232" s="63" customFormat="1">
      <c r="B145" s="858" t="s">
        <v>401</v>
      </c>
      <c r="C145" s="337"/>
      <c r="D145" s="164">
        <f t="shared" ref="D145:AI145" si="514">-D24</f>
        <v>15.323</v>
      </c>
      <c r="E145" s="164">
        <f t="shared" si="514"/>
        <v>15.555999999999999</v>
      </c>
      <c r="F145" s="164">
        <f t="shared" si="514"/>
        <v>13.086</v>
      </c>
      <c r="G145" s="164">
        <f t="shared" si="514"/>
        <v>10.222</v>
      </c>
      <c r="H145" s="164">
        <f t="shared" si="514"/>
        <v>6.7430000000000003</v>
      </c>
      <c r="I145" s="164">
        <f t="shared" si="514"/>
        <v>5.3629999999999995</v>
      </c>
      <c r="J145" s="164">
        <f t="shared" si="514"/>
        <v>4.91</v>
      </c>
      <c r="K145" s="164">
        <f t="shared" si="514"/>
        <v>1.0429999999999999</v>
      </c>
      <c r="L145" s="164">
        <f t="shared" si="514"/>
        <v>1.2410000000000001</v>
      </c>
      <c r="M145" s="164">
        <f t="shared" si="514"/>
        <v>1.5740000000000001</v>
      </c>
      <c r="N145" s="164">
        <f t="shared" si="514"/>
        <v>1.2410000000000001</v>
      </c>
      <c r="O145" s="164">
        <f t="shared" si="514"/>
        <v>5.0990000000000002</v>
      </c>
      <c r="P145" s="164">
        <f t="shared" si="514"/>
        <v>0.79100000000000004</v>
      </c>
      <c r="Q145" s="164">
        <f t="shared" si="514"/>
        <v>1.8260000000000001</v>
      </c>
      <c r="R145" s="164">
        <f t="shared" si="514"/>
        <v>1.641</v>
      </c>
      <c r="S145" s="164">
        <f t="shared" si="514"/>
        <v>1.282</v>
      </c>
      <c r="T145" s="164">
        <f t="shared" si="514"/>
        <v>5.54</v>
      </c>
      <c r="U145" s="164">
        <f t="shared" si="514"/>
        <v>0.61399999999999999</v>
      </c>
      <c r="V145" s="164">
        <f t="shared" si="514"/>
        <v>0.86</v>
      </c>
      <c r="W145" s="164">
        <f t="shared" si="514"/>
        <v>1.573</v>
      </c>
      <c r="X145" s="164">
        <f t="shared" si="514"/>
        <v>2.5430000000000001</v>
      </c>
      <c r="Y145" s="164">
        <f t="shared" si="514"/>
        <v>5.59</v>
      </c>
      <c r="Z145" s="164">
        <f t="shared" si="514"/>
        <v>1.1000000000000001</v>
      </c>
      <c r="AA145" s="164">
        <f t="shared" si="514"/>
        <v>1</v>
      </c>
      <c r="AB145" s="164">
        <f t="shared" si="514"/>
        <v>5.9</v>
      </c>
      <c r="AC145" s="164">
        <f t="shared" si="514"/>
        <v>3.9</v>
      </c>
      <c r="AD145" s="164">
        <f t="shared" si="514"/>
        <v>12.3</v>
      </c>
      <c r="AE145" s="164">
        <f t="shared" si="514"/>
        <v>1.1000000000000001</v>
      </c>
      <c r="AF145" s="164">
        <f t="shared" si="514"/>
        <v>1.1000000000000001</v>
      </c>
      <c r="AG145" s="164">
        <f t="shared" si="514"/>
        <v>2.1</v>
      </c>
      <c r="AH145" s="164">
        <f t="shared" si="514"/>
        <v>1.4</v>
      </c>
      <c r="AI145" s="164">
        <f t="shared" si="514"/>
        <v>6.1</v>
      </c>
      <c r="AJ145" s="164">
        <f t="shared" ref="AJ145:BO145" si="515">-AJ24</f>
        <v>0</v>
      </c>
      <c r="AK145" s="164">
        <f t="shared" si="515"/>
        <v>1.8</v>
      </c>
      <c r="AL145" s="164">
        <f t="shared" si="515"/>
        <v>0</v>
      </c>
      <c r="AM145" s="164">
        <f t="shared" si="515"/>
        <v>0</v>
      </c>
      <c r="AN145" s="164">
        <f t="shared" si="515"/>
        <v>5.4</v>
      </c>
      <c r="AO145" s="164">
        <f t="shared" si="515"/>
        <v>1.2</v>
      </c>
      <c r="AP145" s="164">
        <f t="shared" si="515"/>
        <v>1.2</v>
      </c>
      <c r="AQ145" s="164">
        <f t="shared" si="515"/>
        <v>1.9</v>
      </c>
      <c r="AR145" s="164">
        <f t="shared" si="515"/>
        <v>0</v>
      </c>
      <c r="AS145" s="164">
        <f t="shared" si="515"/>
        <v>4.3</v>
      </c>
      <c r="AT145" s="164">
        <f t="shared" si="515"/>
        <v>2.6</v>
      </c>
      <c r="AU145" s="164">
        <f t="shared" si="515"/>
        <v>2.6</v>
      </c>
      <c r="AV145" s="164">
        <f t="shared" si="515"/>
        <v>3</v>
      </c>
      <c r="AW145" s="164">
        <f t="shared" si="515"/>
        <v>0</v>
      </c>
      <c r="AX145" s="164">
        <f t="shared" si="515"/>
        <v>8.1999999999999993</v>
      </c>
      <c r="AY145" s="164">
        <f t="shared" si="515"/>
        <v>2.8</v>
      </c>
      <c r="AZ145" s="164">
        <f t="shared" si="515"/>
        <v>0.39999999999999858</v>
      </c>
      <c r="BA145" s="164">
        <f t="shared" si="515"/>
        <v>6.6</v>
      </c>
      <c r="BB145" s="164">
        <f t="shared" si="515"/>
        <v>7.5</v>
      </c>
      <c r="BC145" s="164">
        <f t="shared" si="515"/>
        <v>17.299999999999997</v>
      </c>
      <c r="BD145" s="164">
        <f t="shared" si="515"/>
        <v>5.0999999999999996</v>
      </c>
      <c r="BE145" s="164">
        <f t="shared" si="515"/>
        <v>6.7</v>
      </c>
      <c r="BF145" s="164">
        <f t="shared" si="515"/>
        <v>10.9</v>
      </c>
      <c r="BG145" s="164">
        <f t="shared" si="515"/>
        <v>8.9</v>
      </c>
      <c r="BH145" s="164">
        <f t="shared" si="515"/>
        <v>31.6</v>
      </c>
      <c r="BI145" s="164">
        <f t="shared" si="515"/>
        <v>6.8</v>
      </c>
      <c r="BJ145" s="164">
        <f t="shared" si="515"/>
        <v>10</v>
      </c>
      <c r="BK145" s="164">
        <f t="shared" si="515"/>
        <v>15.6</v>
      </c>
      <c r="BL145" s="164">
        <f t="shared" si="515"/>
        <v>20.2</v>
      </c>
      <c r="BM145" s="164">
        <f t="shared" si="515"/>
        <v>52.599999999999994</v>
      </c>
      <c r="BN145" s="164">
        <f t="shared" si="515"/>
        <v>10.6</v>
      </c>
      <c r="BO145" s="164">
        <f t="shared" si="515"/>
        <v>10.199999999999999</v>
      </c>
      <c r="BP145" s="164">
        <f t="shared" ref="BP145:CT145" si="516">-BP24</f>
        <v>11.2</v>
      </c>
      <c r="BQ145" s="164">
        <f t="shared" si="516"/>
        <v>6.4</v>
      </c>
      <c r="BR145" s="164">
        <f t="shared" si="516"/>
        <v>38.4</v>
      </c>
      <c r="BS145" s="164">
        <f t="shared" si="516"/>
        <v>0</v>
      </c>
      <c r="BT145" s="164">
        <f t="shared" si="516"/>
        <v>0</v>
      </c>
      <c r="BU145" s="164">
        <f t="shared" si="516"/>
        <v>0</v>
      </c>
      <c r="BV145" s="164">
        <f t="shared" si="516"/>
        <v>0</v>
      </c>
      <c r="BW145" s="164">
        <f t="shared" si="516"/>
        <v>0</v>
      </c>
      <c r="BX145" s="164">
        <f t="shared" si="516"/>
        <v>0</v>
      </c>
      <c r="BY145" s="164">
        <f t="shared" si="516"/>
        <v>0</v>
      </c>
      <c r="BZ145" s="164">
        <f t="shared" si="516"/>
        <v>0</v>
      </c>
      <c r="CA145" s="164">
        <f t="shared" si="516"/>
        <v>0</v>
      </c>
      <c r="CB145" s="164">
        <f t="shared" si="516"/>
        <v>0</v>
      </c>
      <c r="CC145" s="164">
        <f t="shared" si="516"/>
        <v>7.5</v>
      </c>
      <c r="CD145" s="164">
        <f t="shared" si="516"/>
        <v>7.5</v>
      </c>
      <c r="CE145" s="164">
        <f t="shared" si="516"/>
        <v>7.5</v>
      </c>
      <c r="CF145" s="164">
        <f t="shared" si="516"/>
        <v>7.5</v>
      </c>
      <c r="CG145" s="825">
        <f t="shared" si="516"/>
        <v>30</v>
      </c>
      <c r="CH145" s="164">
        <f t="shared" si="516"/>
        <v>9.1999999999999993</v>
      </c>
      <c r="CI145" s="164">
        <f t="shared" si="516"/>
        <v>11.2</v>
      </c>
      <c r="CJ145" s="164">
        <f t="shared" si="516"/>
        <v>13.5</v>
      </c>
      <c r="CK145" s="164">
        <f t="shared" si="516"/>
        <v>10.5</v>
      </c>
      <c r="CL145" s="825">
        <f t="shared" si="516"/>
        <v>44.4</v>
      </c>
      <c r="CM145" s="164">
        <f t="shared" si="516"/>
        <v>9</v>
      </c>
      <c r="CN145" s="164">
        <f t="shared" si="516"/>
        <v>9</v>
      </c>
      <c r="CO145" s="164">
        <f t="shared" si="516"/>
        <v>9</v>
      </c>
      <c r="CP145" s="164">
        <f t="shared" si="516"/>
        <v>2</v>
      </c>
      <c r="CQ145" s="825">
        <f t="shared" si="516"/>
        <v>29</v>
      </c>
      <c r="CR145" s="164">
        <f t="shared" si="516"/>
        <v>2</v>
      </c>
      <c r="CS145" s="164">
        <f t="shared" si="516"/>
        <v>2</v>
      </c>
      <c r="CT145" s="164">
        <f t="shared" si="516"/>
        <v>2</v>
      </c>
      <c r="CU145" s="164">
        <f>CU146*CU147/4</f>
        <v>3.7421250005449118</v>
      </c>
      <c r="CV145" s="825">
        <f>-CV24</f>
        <v>9.7421250005449114</v>
      </c>
      <c r="CW145" s="164">
        <f>CW146*CW147/4</f>
        <v>2.6324999999999998</v>
      </c>
      <c r="CX145" s="96">
        <f>CX146*CX147/4</f>
        <v>1.2112499999999999</v>
      </c>
      <c r="CY145" s="164">
        <f>CY146*CY147/4</f>
        <v>2.2212499999999999</v>
      </c>
      <c r="CZ145" s="164">
        <f>CZ146*CZ147/4</f>
        <v>2.6575000000000002</v>
      </c>
      <c r="DA145" s="825">
        <f>-DA24</f>
        <v>8.7225000000000001</v>
      </c>
      <c r="DB145" s="96">
        <f>DB146*DB147/4</f>
        <v>1.6537500000000001</v>
      </c>
      <c r="DC145" s="164">
        <v>6.3689157487381776</v>
      </c>
      <c r="DD145" s="164">
        <v>8.8033736231072659</v>
      </c>
      <c r="DE145" s="164">
        <v>8.8033736231072659</v>
      </c>
      <c r="DF145" s="825">
        <f>SUM(DB145:DE145)</f>
        <v>25.629412994952709</v>
      </c>
      <c r="DG145" s="164">
        <v>8.8033736231072659</v>
      </c>
      <c r="DH145" s="164">
        <v>8.8033736231072659</v>
      </c>
      <c r="DI145" s="164">
        <v>8.8033736231072659</v>
      </c>
      <c r="DJ145" s="164">
        <v>8.8033736231072659</v>
      </c>
      <c r="DK145" s="825">
        <f>SUM(DG145:DJ145)</f>
        <v>35.213494492429064</v>
      </c>
      <c r="DL145" s="164">
        <v>8.8033736231072659</v>
      </c>
      <c r="DM145" s="164">
        <v>8.8033736231072659</v>
      </c>
      <c r="DN145" s="164">
        <v>8.8033736231072659</v>
      </c>
      <c r="DO145" s="1257">
        <v>8.8033736231072659</v>
      </c>
      <c r="DP145" s="825">
        <f>SUM(DL145:DO145)</f>
        <v>35.213494492429064</v>
      </c>
      <c r="DQ145" s="164">
        <v>8.8033736231072659</v>
      </c>
      <c r="DR145" s="164">
        <v>8.8033736231072659</v>
      </c>
      <c r="DS145" s="164">
        <v>8.8033736231072659</v>
      </c>
      <c r="DT145" s="1257">
        <v>8.8033736231072659</v>
      </c>
      <c r="DU145" s="825">
        <f>SUM(DQ145:DT145)</f>
        <v>35.213494492429064</v>
      </c>
      <c r="DV145" s="1741">
        <v>8.8033736231072659</v>
      </c>
      <c r="DW145" s="164">
        <v>8.8033736231072659</v>
      </c>
      <c r="DX145" s="164">
        <v>8.8033736231072659</v>
      </c>
      <c r="DY145" s="1257">
        <v>8.8033736231072659</v>
      </c>
      <c r="DZ145" s="825">
        <f>SUM(DV145:DY145)</f>
        <v>35.213494492429064</v>
      </c>
      <c r="EA145" s="1741">
        <v>8.8033736231072659</v>
      </c>
      <c r="EB145" s="164">
        <v>8.8033736231072659</v>
      </c>
      <c r="EC145" s="164">
        <v>8.8033736231072659</v>
      </c>
      <c r="ED145" s="1257">
        <v>8.8033736231072659</v>
      </c>
      <c r="EE145" s="825">
        <f>SUM(EA145:ED145)</f>
        <v>35.213494492429064</v>
      </c>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row>
    <row r="146" spans="2:232" s="63" customFormat="1">
      <c r="B146" s="858" t="s">
        <v>130</v>
      </c>
      <c r="C146" s="337"/>
      <c r="D146" s="164"/>
      <c r="E146" s="164"/>
      <c r="F146" s="164"/>
      <c r="G146" s="164">
        <f>Model!F201+Model!F202</f>
        <v>135.137</v>
      </c>
      <c r="H146" s="164">
        <f>Model!G201+Model!G202</f>
        <v>225.584</v>
      </c>
      <c r="I146" s="164">
        <f>Model!H201+Model!H202</f>
        <v>121.292</v>
      </c>
      <c r="J146" s="164">
        <f>Model!I201+Model!I202</f>
        <v>108.425</v>
      </c>
      <c r="K146" s="859"/>
      <c r="L146" s="859"/>
      <c r="M146" s="859"/>
      <c r="N146" s="859"/>
      <c r="O146" s="164">
        <f>Model!J201+Model!J202</f>
        <v>22.245000000000001</v>
      </c>
      <c r="P146" s="859"/>
      <c r="Q146" s="859"/>
      <c r="R146" s="859"/>
      <c r="S146" s="859"/>
      <c r="T146" s="164">
        <f>Model!O201+Model!O202</f>
        <v>8.8190000000000008</v>
      </c>
      <c r="U146" s="859"/>
      <c r="V146" s="859"/>
      <c r="W146" s="859"/>
      <c r="X146" s="859"/>
      <c r="Y146" s="164">
        <f>Model!T201+Model!T202</f>
        <v>72.878</v>
      </c>
      <c r="Z146" s="859"/>
      <c r="AA146" s="859"/>
      <c r="AB146" s="859"/>
      <c r="AC146" s="859"/>
      <c r="AD146" s="164">
        <f>Model!Y201+Model!Y202</f>
        <v>144.38499999999999</v>
      </c>
      <c r="AE146" s="859"/>
      <c r="AF146" s="859"/>
      <c r="AG146" s="859"/>
      <c r="AH146" s="859"/>
      <c r="AI146" s="164">
        <f>Model!AD201+Model!AD202</f>
        <v>141.80000000000001</v>
      </c>
      <c r="AJ146" s="859"/>
      <c r="AK146" s="859"/>
      <c r="AL146" s="859"/>
      <c r="AM146" s="859"/>
      <c r="AN146" s="164">
        <f>Model!AI201+Model!AI202</f>
        <v>12.8</v>
      </c>
      <c r="AO146" s="859"/>
      <c r="AP146" s="859"/>
      <c r="AQ146" s="859"/>
      <c r="AR146" s="859"/>
      <c r="AS146" s="164">
        <f>Model!AN201+Model!AN202</f>
        <v>16.899999999999999</v>
      </c>
      <c r="AT146" s="859"/>
      <c r="AU146" s="859"/>
      <c r="AV146" s="859"/>
      <c r="AW146" s="859"/>
      <c r="AX146" s="164">
        <f>Model!AS201+Model!AS202</f>
        <v>688.30000000000007</v>
      </c>
      <c r="AY146" s="859"/>
      <c r="AZ146" s="859"/>
      <c r="BA146" s="859"/>
      <c r="BB146" s="859"/>
      <c r="BC146" s="164">
        <f>Model!AX201+Model!AX202</f>
        <v>1268.0000000000014</v>
      </c>
      <c r="BD146" s="859"/>
      <c r="BE146" s="859"/>
      <c r="BF146" s="859"/>
      <c r="BG146" s="859"/>
      <c r="BH146" s="164">
        <f>Model!BC201+Model!BC202</f>
        <v>1695.5000004359295</v>
      </c>
      <c r="BI146" s="859"/>
      <c r="BJ146" s="859"/>
      <c r="BK146" s="859"/>
      <c r="BL146" s="859"/>
      <c r="BM146" s="164">
        <f>Model!BH201+Model!BH202</f>
        <v>1071.6000004359294</v>
      </c>
      <c r="BN146" s="859"/>
      <c r="BO146" s="859"/>
      <c r="BP146" s="859"/>
      <c r="BQ146" s="859"/>
      <c r="BR146" s="164">
        <f>Model!BM201+Model!BM202</f>
        <v>1335.0000004359354</v>
      </c>
      <c r="BS146" s="859"/>
      <c r="BT146" s="164">
        <f>Model!BS201+Model!BS202</f>
        <v>295</v>
      </c>
      <c r="BU146" s="164">
        <f>Model!BT201+Model!BT202</f>
        <v>255.3</v>
      </c>
      <c r="BV146" s="164">
        <f>Model!BU201+Model!BU202</f>
        <v>471.8</v>
      </c>
      <c r="BW146" s="164">
        <f>Model!BR201+Model!BR202</f>
        <v>254.80000043592872</v>
      </c>
      <c r="BX146" s="164">
        <f>Model!BV201+Model!BV202</f>
        <v>442.70000043592916</v>
      </c>
      <c r="BY146" s="164">
        <f>Model!BX201+Model!BX202</f>
        <v>885.70000043592916</v>
      </c>
      <c r="BZ146" s="164">
        <f>Model!BY201+Model!BY202</f>
        <v>1558.7000004359293</v>
      </c>
      <c r="CA146" s="164">
        <f>Model!BZ201+Model!BZ202</f>
        <v>2399.7000004359293</v>
      </c>
      <c r="CB146" s="164">
        <f>Model!BW201+Model!BW202</f>
        <v>442.70000043592916</v>
      </c>
      <c r="CC146" s="164">
        <f>Model!CA201+Model!CA202</f>
        <v>2586.7000004359293</v>
      </c>
      <c r="CD146" s="164">
        <f>Model!CC201+Model!CC202</f>
        <v>3151.7000004359293</v>
      </c>
      <c r="CE146" s="164">
        <f>Model!CD201+Model!CD202</f>
        <v>3100.7000004359293</v>
      </c>
      <c r="CF146" s="164">
        <f>Model!CE201+Model!CE202</f>
        <v>2311.7000004359293</v>
      </c>
      <c r="CG146" s="825">
        <f>Model!CB201+Model!CB202</f>
        <v>2586.7000004359293</v>
      </c>
      <c r="CH146" s="164">
        <f>Model!CF201+Model!CF202</f>
        <v>1879.7000004359293</v>
      </c>
      <c r="CI146" s="164">
        <f>Model!CH201+Model!CH202</f>
        <v>2061.7000004359293</v>
      </c>
      <c r="CJ146" s="164">
        <f>Model!CI201+Model!CI202</f>
        <v>2242.7000004359293</v>
      </c>
      <c r="CK146" s="164">
        <f>Model!CJ201+Model!CJ202</f>
        <v>2651.7000004359293</v>
      </c>
      <c r="CL146" s="825">
        <f>Model!CG201+Model!CG202</f>
        <v>1880</v>
      </c>
      <c r="CM146" s="164">
        <f>Model!CK201+Model!CK202</f>
        <v>1555.7000004359293</v>
      </c>
      <c r="CN146" s="164">
        <f>Model!CM201+Model!CM202</f>
        <v>1093.7000004359293</v>
      </c>
      <c r="CO146" s="164">
        <f>Model!CN201+Model!CN202</f>
        <v>1083.7000004359293</v>
      </c>
      <c r="CP146" s="164">
        <f>Model!CO201+Model!CO202</f>
        <v>1994.7000004359293</v>
      </c>
      <c r="CQ146" s="825">
        <f>Model!CL201+Model!CL202</f>
        <v>1556</v>
      </c>
      <c r="CR146" s="164">
        <f>Model!CP201+Model!CP202</f>
        <v>1296.7000004359293</v>
      </c>
      <c r="CS146" s="164">
        <f>Model!CR201+Model!CR202</f>
        <v>1828.7000004359293</v>
      </c>
      <c r="CT146" s="164">
        <f>Model!CS201+Model!CS202</f>
        <v>2430.7000004359293</v>
      </c>
      <c r="CU146" s="164">
        <f>Model!CT201+Model!CT202</f>
        <v>2993.7000004359293</v>
      </c>
      <c r="CV146" s="825">
        <f>Model!CQ201+Model!CQ202</f>
        <v>1296.7000004359293</v>
      </c>
      <c r="CW146" s="164">
        <f>Model!CU201+Model!CU202</f>
        <v>2106</v>
      </c>
      <c r="CX146" s="164">
        <f>Model!CW201+Model!CW202</f>
        <v>969</v>
      </c>
      <c r="CY146" s="164">
        <f>Model!CX201+Model!CX202</f>
        <v>1777</v>
      </c>
      <c r="CZ146" s="164">
        <f>Model!CY201+Model!CY202</f>
        <v>2126</v>
      </c>
      <c r="DA146" s="825">
        <f>Model!CV201+Model!CV202</f>
        <v>2106</v>
      </c>
      <c r="DB146" s="164">
        <f>Model!CZ201+Model!CZ202</f>
        <v>2646</v>
      </c>
      <c r="DC146" s="164">
        <f>Model!DB201+Model!DB202</f>
        <v>12861</v>
      </c>
      <c r="DD146" s="164">
        <f>Model!DC201+Model!DC202</f>
        <v>3005</v>
      </c>
      <c r="DE146" s="164">
        <f>Model!DD201+Model!DD202</f>
        <v>4449</v>
      </c>
      <c r="DF146" s="825">
        <f>Model!DA201+Model!DA202</f>
        <v>2646</v>
      </c>
      <c r="DG146" s="164">
        <f>Model!DF201+Model!DF202</f>
        <v>3000</v>
      </c>
      <c r="DH146" s="164">
        <f>Model!DG201+Model!DG202</f>
        <v>2570</v>
      </c>
      <c r="DI146" s="164">
        <f>Model!DH201+Model!DH202</f>
        <v>3586</v>
      </c>
      <c r="DJ146" s="164">
        <f>Model!DI201+Model!DI202</f>
        <v>3291</v>
      </c>
      <c r="DK146" s="825">
        <f>Model!DF201+Model!DF202</f>
        <v>3000</v>
      </c>
      <c r="DL146" s="164">
        <f>Model!DK201+Model!DK202</f>
        <v>9807</v>
      </c>
      <c r="DM146" s="164">
        <f>Model!DL201+Model!DL202</f>
        <v>9598</v>
      </c>
      <c r="DN146" s="164">
        <f>Model!DM201+Model!DM202</f>
        <v>11822</v>
      </c>
      <c r="DO146" s="1257">
        <f>Model!DN201+Model!DN202</f>
        <v>12253</v>
      </c>
      <c r="DP146" s="825">
        <f>Model!DK201+Model!DK202</f>
        <v>9807</v>
      </c>
      <c r="DQ146" s="164">
        <f>Model!DP201+Model!DP202</f>
        <v>3301</v>
      </c>
      <c r="DR146" s="164">
        <f>Model!DQ201+Model!DQ202</f>
        <v>1830</v>
      </c>
      <c r="DS146" s="164">
        <f ca="1">Model!DR201+Model!DR202</f>
        <v>2463.3248030146187</v>
      </c>
      <c r="DT146" s="1257">
        <f ca="1">Model!DS201+Model!DS202</f>
        <v>3836.7679769455222</v>
      </c>
      <c r="DU146" s="825">
        <f>Model!DP201+Model!DP202</f>
        <v>3301</v>
      </c>
      <c r="DV146" s="1741">
        <f ca="1">Model!DU201+Model!DU202</f>
        <v>5346.3095262757643</v>
      </c>
      <c r="DW146" s="164">
        <f ca="1">Model!DV201+Model!DV202</f>
        <v>3410.7956759759836</v>
      </c>
      <c r="DX146" s="164">
        <f ca="1">Model!DW201+Model!DW202</f>
        <v>2329.1936827231234</v>
      </c>
      <c r="DY146" s="1257">
        <f ca="1">Model!DX201+Model!DX202</f>
        <v>3002.6205224417772</v>
      </c>
      <c r="DZ146" s="825">
        <f ca="1">Model!DU201+Model!DU202</f>
        <v>5346.3095262757643</v>
      </c>
      <c r="EA146" s="1741">
        <f ca="1">Model!DZ201+Model!DZ202</f>
        <v>3668.3544707709812</v>
      </c>
      <c r="EB146" s="164">
        <f ca="1">Model!EA201+Model!EA202</f>
        <v>3324.7018414845115</v>
      </c>
      <c r="EC146" s="164">
        <f ca="1">Model!EB201+Model!EB202</f>
        <v>2418.1386572314022</v>
      </c>
      <c r="ED146" s="1257">
        <f ca="1">Model!EC201+Model!EC202</f>
        <v>3293.8229958614047</v>
      </c>
      <c r="EE146" s="825">
        <f ca="1">Model!DZ201+Model!DZ202</f>
        <v>3668.3544707709812</v>
      </c>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row>
    <row r="147" spans="2:232" s="63" customFormat="1" ht="12" thickBot="1">
      <c r="B147" s="854" t="s">
        <v>129</v>
      </c>
      <c r="C147" s="596"/>
      <c r="D147" s="862" t="str">
        <f>IF(ISERROR(D145/D146),"",D145/D146)</f>
        <v/>
      </c>
      <c r="E147" s="862" t="str">
        <f>IF(ISERROR(E145/E146),"",E145/E146)</f>
        <v/>
      </c>
      <c r="F147" s="862" t="str">
        <f>IF(ISERROR(F145/F146),"",F145/F146)</f>
        <v/>
      </c>
      <c r="G147" s="862">
        <f>IF(ISERROR(G145/G146),"",G145/G146)</f>
        <v>7.5641756143765213E-2</v>
      </c>
      <c r="H147" s="862">
        <f>H145/H146</f>
        <v>2.9891304347826088E-2</v>
      </c>
      <c r="I147" s="862">
        <f>I145/I146</f>
        <v>4.4215611911750149E-2</v>
      </c>
      <c r="J147" s="862">
        <f>J145/J146</f>
        <v>4.5284759050034588E-2</v>
      </c>
      <c r="K147" s="855"/>
      <c r="L147" s="855"/>
      <c r="M147" s="855"/>
      <c r="N147" s="855"/>
      <c r="O147" s="862">
        <f>O145/O146</f>
        <v>0.22922004944931446</v>
      </c>
      <c r="P147" s="855"/>
      <c r="Q147" s="855"/>
      <c r="R147" s="855"/>
      <c r="S147" s="855"/>
      <c r="T147" s="862">
        <f>T145/T146</f>
        <v>0.62818913709037305</v>
      </c>
      <c r="U147" s="855"/>
      <c r="V147" s="855"/>
      <c r="W147" s="855"/>
      <c r="X147" s="855"/>
      <c r="Y147" s="862">
        <f>Y145/Y146</f>
        <v>7.6703531930074911E-2</v>
      </c>
      <c r="Z147" s="855"/>
      <c r="AA147" s="855"/>
      <c r="AB147" s="855"/>
      <c r="AC147" s="855"/>
      <c r="AD147" s="862">
        <f>AD145/AD146</f>
        <v>8.5188904664611986E-2</v>
      </c>
      <c r="AE147" s="855"/>
      <c r="AF147" s="855"/>
      <c r="AG147" s="855"/>
      <c r="AH147" s="855"/>
      <c r="AI147" s="862">
        <f>AI145/AI146</f>
        <v>4.3018335684062055E-2</v>
      </c>
      <c r="AJ147" s="855"/>
      <c r="AK147" s="855"/>
      <c r="AL147" s="855"/>
      <c r="AM147" s="855"/>
      <c r="AN147" s="862">
        <f>AN145/AN146</f>
        <v>0.421875</v>
      </c>
      <c r="AO147" s="855"/>
      <c r="AP147" s="855"/>
      <c r="AQ147" s="855"/>
      <c r="AR147" s="855"/>
      <c r="AS147" s="862">
        <f>AS145/AS146</f>
        <v>0.25443786982248523</v>
      </c>
      <c r="AT147" s="855"/>
      <c r="AU147" s="855"/>
      <c r="AV147" s="855"/>
      <c r="AW147" s="855"/>
      <c r="AX147" s="862">
        <f>AX145/AX146</f>
        <v>1.1913409850355947E-2</v>
      </c>
      <c r="AY147" s="855"/>
      <c r="AZ147" s="855"/>
      <c r="BA147" s="855"/>
      <c r="BB147" s="855"/>
      <c r="BC147" s="862">
        <f>BC145/BC146</f>
        <v>1.3643533123028375E-2</v>
      </c>
      <c r="BD147" s="855"/>
      <c r="BE147" s="855"/>
      <c r="BF147" s="855"/>
      <c r="BG147" s="855"/>
      <c r="BH147" s="862">
        <f>BH145/BH146</f>
        <v>1.8637570033544874E-2</v>
      </c>
      <c r="BI147" s="855"/>
      <c r="BJ147" s="855"/>
      <c r="BK147" s="855"/>
      <c r="BL147" s="855"/>
      <c r="BM147" s="862">
        <f>BM145/BM146</f>
        <v>4.9085479636620188E-2</v>
      </c>
      <c r="BN147" s="855"/>
      <c r="BO147" s="855"/>
      <c r="BP147" s="855"/>
      <c r="BQ147" s="855"/>
      <c r="BR147" s="862">
        <f>BR145/BR146</f>
        <v>2.8764044934427517E-2</v>
      </c>
      <c r="BS147" s="855"/>
      <c r="BT147" s="863">
        <f>BT145/BT146*4</f>
        <v>0</v>
      </c>
      <c r="BU147" s="863">
        <f>BU145/BU146*4</f>
        <v>0</v>
      </c>
      <c r="BV147" s="863">
        <f>BV145/BV146*4</f>
        <v>0</v>
      </c>
      <c r="BW147" s="862">
        <f>BW145/BW146</f>
        <v>0</v>
      </c>
      <c r="BX147" s="863">
        <f>BX145/BX146*4</f>
        <v>0</v>
      </c>
      <c r="BY147" s="863">
        <f>BY145/BY146*4</f>
        <v>0</v>
      </c>
      <c r="BZ147" s="863">
        <f>BZ145/BZ146*4</f>
        <v>0</v>
      </c>
      <c r="CA147" s="863">
        <f>CA145/CA146*4</f>
        <v>0</v>
      </c>
      <c r="CB147" s="862">
        <f>CB145/CB146</f>
        <v>0</v>
      </c>
      <c r="CC147" s="863">
        <f>CC145/CC146*4</f>
        <v>1.1597788686335557E-2</v>
      </c>
      <c r="CD147" s="863">
        <f>CD145/CD146*4</f>
        <v>9.5186724611639843E-3</v>
      </c>
      <c r="CE147" s="863">
        <f>CE145/CE146*4</f>
        <v>9.6752346230793949E-3</v>
      </c>
      <c r="CF147" s="863">
        <f>CF145/CF146*4</f>
        <v>1.2977462471057121E-2</v>
      </c>
      <c r="CG147" s="947">
        <f>CG145/CG146</f>
        <v>1.1597788686335557E-2</v>
      </c>
      <c r="CH147" s="863">
        <f>CH145/CH146*4</f>
        <v>1.9577592164422807E-2</v>
      </c>
      <c r="CI147" s="863">
        <f>CI145/CI146*4</f>
        <v>2.172964058326983E-2</v>
      </c>
      <c r="CJ147" s="863">
        <f>CJ145/CJ146*4</f>
        <v>2.4078120118385716E-2</v>
      </c>
      <c r="CK147" s="863">
        <f>CK145/CK146*4</f>
        <v>1.5838895800088758E-2</v>
      </c>
      <c r="CL147" s="947">
        <f>CL145/CL146</f>
        <v>2.3617021276595745E-2</v>
      </c>
      <c r="CM147" s="863">
        <f>CM145/CM146*4</f>
        <v>2.3140708356310529E-2</v>
      </c>
      <c r="CN147" s="863">
        <f>CN145/CN146*4</f>
        <v>3.2915790423014575E-2</v>
      </c>
      <c r="CO147" s="863">
        <f>CO145/CO146*4</f>
        <v>3.3219525685631295E-2</v>
      </c>
      <c r="CP147" s="863">
        <f>CP145/CP146*4</f>
        <v>4.0106281637597883E-3</v>
      </c>
      <c r="CQ147" s="947">
        <f>CQ145/CQ146</f>
        <v>1.8637532133676093E-2</v>
      </c>
      <c r="CR147" s="1460">
        <f>CR145/CR146*4</f>
        <v>6.1695072085374654E-3</v>
      </c>
      <c r="CS147" s="1460">
        <f>CS145/CS146*4</f>
        <v>4.3746924033974642E-3</v>
      </c>
      <c r="CT147" s="1460">
        <f>CT145/CT146*4</f>
        <v>3.2912329775641814E-3</v>
      </c>
      <c r="CU147" s="864">
        <v>5.0000000000000001E-3</v>
      </c>
      <c r="CV147" s="947">
        <f>CV145/CV146</f>
        <v>7.5130138021668614E-3</v>
      </c>
      <c r="CW147" s="864">
        <f>CU147</f>
        <v>5.0000000000000001E-3</v>
      </c>
      <c r="CX147" s="864">
        <f>CW147</f>
        <v>5.0000000000000001E-3</v>
      </c>
      <c r="CY147" s="864">
        <v>5.0000000000000001E-3</v>
      </c>
      <c r="CZ147" s="864">
        <v>5.0000000000000001E-3</v>
      </c>
      <c r="DA147" s="947">
        <f>DA145/DA146</f>
        <v>4.1417378917378922E-3</v>
      </c>
      <c r="DB147" s="864">
        <v>2.5000000000000001E-3</v>
      </c>
      <c r="DC147" s="1572">
        <f>(4*DC145)/(DC146-9000)</f>
        <v>6.5982033138960658E-3</v>
      </c>
      <c r="DD147" s="1572">
        <f>(4*DD145)/DD146</f>
        <v>1.1718300995816659E-2</v>
      </c>
      <c r="DE147" s="1572">
        <f>(4*DE145)/DE146</f>
        <v>7.9149234642456878E-3</v>
      </c>
      <c r="DF147" s="947">
        <f>DF145/DF146</f>
        <v>9.6860971258324671E-3</v>
      </c>
      <c r="DG147" s="1572">
        <f>(4*DG145)/DG146</f>
        <v>1.1737831497476354E-2</v>
      </c>
      <c r="DH147" s="1572">
        <f>(4*DH145)/DH146</f>
        <v>1.3701748829738935E-2</v>
      </c>
      <c r="DI147" s="1572">
        <f>(4*DI145)/DI146</f>
        <v>9.8197140246595264E-3</v>
      </c>
      <c r="DJ147" s="1572">
        <f>(4*DJ145)/DJ146</f>
        <v>1.0699937554673068E-2</v>
      </c>
      <c r="DK147" s="1528">
        <f>DK145/DK146</f>
        <v>1.1737831497476354E-2</v>
      </c>
      <c r="DL147" s="1572">
        <f>(4*DL145)/DL146</f>
        <v>3.5906489744497875E-3</v>
      </c>
      <c r="DM147" s="1572">
        <f>(4*DM145)/DM146</f>
        <v>3.6688366839371812E-3</v>
      </c>
      <c r="DN147" s="1572">
        <f>(4*DN145)/DN146</f>
        <v>2.9786410499432468E-3</v>
      </c>
      <c r="DO147" s="1831">
        <f>(4*DO145)/DO146</f>
        <v>2.8738671747677354E-3</v>
      </c>
      <c r="DP147" s="1648">
        <f>DP145/DP146</f>
        <v>3.5906489744497875E-3</v>
      </c>
      <c r="DQ147" s="1572">
        <f>(4*DQ145)/DQ146</f>
        <v>1.066752332397124E-2</v>
      </c>
      <c r="DR147" s="1572">
        <f>(4*DR145)/DR146</f>
        <v>1.9242346717174352E-2</v>
      </c>
      <c r="DS147" s="1572">
        <f ca="1">(4*DS145)/DS146</f>
        <v>1.4295108160050498E-2</v>
      </c>
      <c r="DT147" s="1831">
        <f ca="1">(4*DT145)/DT146</f>
        <v>9.1779056497606551E-3</v>
      </c>
      <c r="DU147" s="1648">
        <f>DU145/DU146</f>
        <v>1.066752332397124E-2</v>
      </c>
      <c r="DV147" s="1830">
        <f ca="1">(4*DV145)/DV146</f>
        <v>6.5865050123573299E-3</v>
      </c>
      <c r="DW147" s="1572">
        <f ca="1">(4*DW145)/DW146</f>
        <v>1.0324128982705152E-2</v>
      </c>
      <c r="DX147" s="1572">
        <f ca="1">(4*DX145)/DX146</f>
        <v>1.5118319594298407E-2</v>
      </c>
      <c r="DY147" s="1831">
        <f ca="1">(4*DY145)/DY146</f>
        <v>1.1727587362186183E-2</v>
      </c>
      <c r="DZ147" s="1648">
        <f ca="1">DZ145/DZ146</f>
        <v>6.5865050123573299E-3</v>
      </c>
      <c r="EA147" s="1830">
        <f ca="1">(4*EA145)/EA146</f>
        <v>9.5992616779556235E-3</v>
      </c>
      <c r="EB147" s="1572">
        <f ca="1">(4*EB145)/EB146</f>
        <v>1.0591474415253398E-2</v>
      </c>
      <c r="EC147" s="1572">
        <f ca="1">(4*EC145)/EC146</f>
        <v>1.4562231320823441E-2</v>
      </c>
      <c r="ED147" s="1831">
        <f ca="1">(4*ED145)/ED146</f>
        <v>1.0690767092425373E-2</v>
      </c>
      <c r="EE147" s="1648">
        <f ca="1">EE145/EE146</f>
        <v>9.5992616779556235E-3</v>
      </c>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row>
    <row r="148" spans="2:232" s="54" customFormat="1">
      <c r="B148" s="383"/>
      <c r="C148" s="383"/>
      <c r="D148" s="388"/>
      <c r="E148" s="389"/>
      <c r="F148" s="389"/>
      <c r="G148" s="389"/>
      <c r="H148" s="389"/>
      <c r="I148" s="389"/>
      <c r="AN148" s="390"/>
      <c r="CD148" s="58"/>
      <c r="CJ148" s="161"/>
      <c r="CK148" s="161"/>
      <c r="CO148" s="161"/>
      <c r="CP148" s="161"/>
      <c r="CR148" s="62"/>
      <c r="CS148" s="62"/>
      <c r="CT148" s="62"/>
      <c r="CU148" s="62"/>
      <c r="CW148" s="62"/>
      <c r="CX148" s="62"/>
      <c r="CY148" s="62"/>
      <c r="CZ148" s="62"/>
      <c r="DB148" s="62"/>
      <c r="DC148" s="62"/>
      <c r="DD148" s="62"/>
      <c r="DE148" s="62"/>
      <c r="DG148" s="62"/>
      <c r="DH148" s="62"/>
      <c r="DI148" s="62"/>
      <c r="DJ148" s="62"/>
      <c r="DL148" s="64"/>
      <c r="DM148" s="64"/>
      <c r="DN148" s="64"/>
      <c r="DO148" s="64"/>
      <c r="DQ148" s="64"/>
      <c r="DR148" s="64"/>
      <c r="DS148" s="64"/>
      <c r="DT148" s="64"/>
      <c r="DV148" s="64"/>
      <c r="DW148" s="64"/>
      <c r="DX148" s="64"/>
      <c r="DY148" s="64"/>
      <c r="EA148" s="64"/>
      <c r="EB148" s="64"/>
      <c r="EC148" s="64"/>
      <c r="ED148" s="64"/>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row>
    <row r="149" spans="2:232" s="68" customFormat="1" ht="12" hidden="1" customHeight="1" outlineLevel="1" thickBot="1">
      <c r="B149" s="683" t="s">
        <v>383</v>
      </c>
      <c r="C149" s="684"/>
      <c r="D149" s="684"/>
      <c r="E149" s="685"/>
      <c r="F149" s="685"/>
      <c r="G149" s="685"/>
      <c r="H149" s="685"/>
      <c r="I149" s="685"/>
      <c r="J149" s="685"/>
      <c r="K149" s="684"/>
      <c r="L149" s="684"/>
      <c r="M149" s="684"/>
      <c r="N149" s="684"/>
      <c r="O149" s="685"/>
      <c r="P149" s="684"/>
      <c r="Q149" s="684"/>
      <c r="R149" s="684"/>
      <c r="S149" s="684"/>
      <c r="T149" s="685"/>
      <c r="U149" s="684"/>
      <c r="V149" s="684"/>
      <c r="W149" s="684"/>
      <c r="X149" s="684"/>
      <c r="Y149" s="685"/>
      <c r="Z149" s="684"/>
      <c r="AA149" s="684"/>
      <c r="AB149" s="684"/>
      <c r="AC149" s="684"/>
      <c r="AD149" s="685"/>
      <c r="AE149" s="684"/>
      <c r="AF149" s="684"/>
      <c r="AG149" s="684"/>
      <c r="AH149" s="684"/>
      <c r="AI149" s="685"/>
      <c r="AJ149" s="684"/>
      <c r="AK149" s="684"/>
      <c r="AL149" s="684"/>
      <c r="AM149" s="684"/>
      <c r="AN149" s="685"/>
      <c r="AO149" s="684"/>
      <c r="AP149" s="684"/>
      <c r="AQ149" s="684"/>
      <c r="AR149" s="684"/>
      <c r="AS149" s="685"/>
      <c r="AT149" s="684"/>
      <c r="AU149" s="684"/>
      <c r="AV149" s="684"/>
      <c r="AW149" s="684"/>
      <c r="AX149" s="685"/>
      <c r="AY149" s="684"/>
      <c r="AZ149" s="684"/>
      <c r="BA149" s="684"/>
      <c r="BB149" s="684"/>
      <c r="BC149" s="685"/>
      <c r="BD149" s="684"/>
      <c r="BE149" s="684"/>
      <c r="BF149" s="684"/>
      <c r="BG149" s="684"/>
      <c r="BH149" s="685"/>
      <c r="BI149" s="684"/>
      <c r="BJ149" s="684"/>
      <c r="BK149" s="684"/>
      <c r="BL149" s="684"/>
      <c r="BM149" s="685"/>
      <c r="BN149" s="684"/>
      <c r="BO149" s="684"/>
      <c r="BP149" s="684" t="e">
        <f>+#REF!/#REF!</f>
        <v>#REF!</v>
      </c>
      <c r="BQ149" s="684"/>
      <c r="BR149" s="685"/>
      <c r="BS149" s="684"/>
      <c r="BT149" s="684"/>
      <c r="BU149" s="684"/>
      <c r="BV149" s="684"/>
      <c r="BW149" s="685"/>
      <c r="BX149" s="684"/>
      <c r="BY149" s="684"/>
      <c r="BZ149" s="684"/>
      <c r="CA149" s="684"/>
      <c r="CB149" s="685"/>
      <c r="CC149" s="684"/>
      <c r="CD149" s="684"/>
      <c r="CE149" s="686"/>
      <c r="CF149" s="686"/>
      <c r="CG149" s="685"/>
      <c r="CH149" s="686"/>
      <c r="CI149" s="686"/>
      <c r="CJ149" s="686"/>
      <c r="CK149" s="686"/>
      <c r="CL149" s="687"/>
      <c r="CM149" s="684"/>
      <c r="CN149" s="684"/>
      <c r="CO149" s="684"/>
      <c r="CP149" s="684"/>
      <c r="CQ149" s="685"/>
      <c r="CR149" s="684"/>
      <c r="CS149" s="684"/>
      <c r="CT149" s="684"/>
      <c r="CU149" s="684"/>
      <c r="CV149" s="685"/>
      <c r="CW149" s="684"/>
      <c r="CX149" s="684"/>
      <c r="CY149" s="684"/>
      <c r="CZ149" s="684"/>
      <c r="DA149" s="685"/>
      <c r="DB149" s="684"/>
      <c r="DC149" s="684"/>
      <c r="DD149" s="684"/>
      <c r="DE149" s="684"/>
      <c r="DF149" s="685"/>
      <c r="DG149" s="684"/>
      <c r="DH149" s="684"/>
      <c r="DI149" s="684"/>
      <c r="DJ149" s="684"/>
      <c r="DK149" s="685"/>
      <c r="DL149" s="685"/>
      <c r="DM149" s="685"/>
      <c r="DN149" s="685"/>
      <c r="DO149" s="685"/>
      <c r="DP149" s="685"/>
      <c r="DQ149" s="685"/>
      <c r="DR149" s="685"/>
      <c r="DS149" s="685"/>
      <c r="DT149" s="685"/>
      <c r="DU149" s="685"/>
      <c r="DV149" s="685"/>
      <c r="DW149" s="685"/>
      <c r="DX149" s="685"/>
      <c r="DY149" s="685"/>
      <c r="DZ149" s="685"/>
      <c r="EA149" s="685"/>
      <c r="EB149" s="685"/>
      <c r="EC149" s="685"/>
      <c r="ED149" s="685"/>
      <c r="EE149" s="685"/>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row>
    <row r="150" spans="2:232" s="178" customFormat="1" ht="11.25" hidden="1" customHeight="1" outlineLevel="1">
      <c r="B150" s="865" t="s">
        <v>10</v>
      </c>
      <c r="C150" s="866"/>
      <c r="D150" s="477"/>
      <c r="E150" s="477"/>
      <c r="F150" s="477"/>
      <c r="G150" s="477"/>
      <c r="H150" s="595"/>
      <c r="I150" s="477"/>
      <c r="J150" s="477"/>
      <c r="K150" s="867"/>
      <c r="L150" s="867"/>
      <c r="M150" s="867"/>
      <c r="N150" s="867"/>
      <c r="O150" s="477"/>
      <c r="P150" s="867"/>
      <c r="Q150" s="867"/>
      <c r="R150" s="867"/>
      <c r="S150" s="867"/>
      <c r="T150" s="477"/>
      <c r="U150" s="867"/>
      <c r="V150" s="867"/>
      <c r="W150" s="867"/>
      <c r="X150" s="867"/>
      <c r="Y150" s="477"/>
      <c r="Z150" s="867"/>
      <c r="AA150" s="867"/>
      <c r="AB150" s="867"/>
      <c r="AC150" s="867"/>
      <c r="AD150" s="477"/>
      <c r="AE150" s="867"/>
      <c r="AF150" s="867"/>
      <c r="AG150" s="867"/>
      <c r="AH150" s="867"/>
      <c r="AI150" s="477"/>
      <c r="AJ150" s="867"/>
      <c r="AK150" s="867"/>
      <c r="AL150" s="867"/>
      <c r="AM150" s="867"/>
      <c r="AN150" s="477"/>
      <c r="AO150" s="867"/>
      <c r="AP150" s="867"/>
      <c r="AQ150" s="867"/>
      <c r="AR150" s="867"/>
      <c r="AS150" s="477"/>
      <c r="AT150" s="867"/>
      <c r="AU150" s="867"/>
      <c r="AV150" s="867"/>
      <c r="AW150" s="867"/>
      <c r="AX150" s="477"/>
      <c r="AY150" s="867"/>
      <c r="AZ150" s="867"/>
      <c r="BA150" s="867"/>
      <c r="BB150" s="867"/>
      <c r="BC150" s="477"/>
      <c r="BD150" s="867"/>
      <c r="BE150" s="867"/>
      <c r="BF150" s="867"/>
      <c r="BG150" s="867"/>
      <c r="BH150" s="477"/>
      <c r="BI150" s="867"/>
      <c r="BJ150" s="867"/>
      <c r="BK150" s="867"/>
      <c r="BL150" s="867"/>
      <c r="BM150" s="477"/>
      <c r="BN150" s="867"/>
      <c r="BO150" s="867"/>
      <c r="BP150" s="867"/>
      <c r="BQ150" s="867"/>
      <c r="BR150" s="477"/>
      <c r="BS150" s="867"/>
      <c r="BT150" s="867"/>
      <c r="BU150" s="867"/>
      <c r="BV150" s="867"/>
      <c r="BW150" s="477"/>
      <c r="BX150" s="868"/>
      <c r="BY150" s="867"/>
      <c r="BZ150" s="867"/>
      <c r="CA150" s="867"/>
      <c r="CB150" s="477"/>
      <c r="CC150" s="868"/>
      <c r="CD150" s="867"/>
      <c r="CE150" s="869"/>
      <c r="CF150" s="869"/>
      <c r="CG150" s="477"/>
      <c r="CH150" s="868"/>
      <c r="CI150" s="867"/>
      <c r="CJ150" s="869"/>
      <c r="CK150" s="869"/>
      <c r="CL150" s="477"/>
      <c r="CM150" s="870"/>
      <c r="CN150" s="867"/>
      <c r="CO150" s="869"/>
      <c r="CP150" s="869"/>
      <c r="CQ150" s="477"/>
      <c r="CR150" s="870"/>
      <c r="CS150" s="867"/>
      <c r="CT150" s="869"/>
      <c r="CU150" s="869"/>
      <c r="CV150" s="844"/>
      <c r="CW150" s="870"/>
      <c r="CX150" s="867"/>
      <c r="CY150" s="869"/>
      <c r="CZ150" s="869"/>
      <c r="DA150" s="844"/>
      <c r="DB150" s="870"/>
      <c r="DC150" s="867"/>
      <c r="DD150" s="867"/>
      <c r="DE150" s="869"/>
      <c r="DF150" s="844"/>
      <c r="DG150" s="869"/>
      <c r="DH150" s="869"/>
      <c r="DI150" s="869"/>
      <c r="DJ150" s="869"/>
      <c r="DK150" s="844"/>
      <c r="DL150" s="676"/>
      <c r="DM150" s="477"/>
      <c r="DN150" s="477"/>
      <c r="DO150" s="664"/>
      <c r="DP150" s="844"/>
      <c r="DQ150" s="676"/>
      <c r="DR150" s="477"/>
      <c r="DS150" s="477"/>
      <c r="DT150" s="664"/>
      <c r="DU150" s="844"/>
      <c r="DV150" s="676"/>
      <c r="DW150" s="477"/>
      <c r="DX150" s="477"/>
      <c r="DY150" s="664"/>
      <c r="DZ150" s="844"/>
      <c r="EA150" s="676"/>
      <c r="EB150" s="477"/>
      <c r="EC150" s="477"/>
      <c r="ED150" s="664"/>
      <c r="EE150" s="844"/>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row>
    <row r="151" spans="2:232" s="54" customFormat="1" ht="11.25" hidden="1" customHeight="1" outlineLevel="1">
      <c r="B151" s="538" t="s">
        <v>23</v>
      </c>
      <c r="C151" s="64"/>
      <c r="D151" s="96">
        <v>1484</v>
      </c>
      <c r="E151" s="96">
        <v>1564</v>
      </c>
      <c r="F151" s="96">
        <v>1646</v>
      </c>
      <c r="G151" s="96">
        <v>1736</v>
      </c>
      <c r="H151" s="354">
        <v>1836</v>
      </c>
      <c r="I151" s="96">
        <v>1968</v>
      </c>
      <c r="J151" s="96">
        <v>2085</v>
      </c>
      <c r="K151" s="96">
        <v>2110</v>
      </c>
      <c r="L151" s="96">
        <v>2131</v>
      </c>
      <c r="M151" s="96">
        <v>2149</v>
      </c>
      <c r="N151" s="96">
        <v>2193</v>
      </c>
      <c r="O151" s="96">
        <f>N151</f>
        <v>2193</v>
      </c>
      <c r="P151" s="96">
        <f>2228</f>
        <v>2228</v>
      </c>
      <c r="Q151" s="96">
        <v>2256</v>
      </c>
      <c r="R151" s="96">
        <v>2289</v>
      </c>
      <c r="S151" s="96">
        <v>2358</v>
      </c>
      <c r="T151" s="96">
        <f>S151</f>
        <v>2358</v>
      </c>
      <c r="U151" s="96">
        <v>2390</v>
      </c>
      <c r="V151" s="96">
        <v>2432</v>
      </c>
      <c r="W151" s="96">
        <v>2470</v>
      </c>
      <c r="X151" s="96">
        <v>2549</v>
      </c>
      <c r="Y151" s="96">
        <f>X151</f>
        <v>2549</v>
      </c>
      <c r="Z151" s="96">
        <v>2626</v>
      </c>
      <c r="AA151" s="96">
        <v>2667</v>
      </c>
      <c r="AB151" s="96">
        <v>2738</v>
      </c>
      <c r="AC151" s="96">
        <v>2821</v>
      </c>
      <c r="AD151" s="96">
        <f>AC151</f>
        <v>2821</v>
      </c>
      <c r="AE151" s="96">
        <v>2894</v>
      </c>
      <c r="AF151" s="96">
        <v>2967</v>
      </c>
      <c r="AG151" s="96">
        <v>3051</v>
      </c>
      <c r="AH151" s="96">
        <v>3165</v>
      </c>
      <c r="AI151" s="96">
        <f>AH151</f>
        <v>3165</v>
      </c>
      <c r="AJ151" s="96">
        <v>3259</v>
      </c>
      <c r="AK151" s="96">
        <v>3343</v>
      </c>
      <c r="AL151" s="96">
        <v>3424</v>
      </c>
      <c r="AM151" s="96">
        <v>3520</v>
      </c>
      <c r="AN151" s="96">
        <f>AM151</f>
        <v>3520</v>
      </c>
      <c r="AO151" s="96">
        <f>+AO166</f>
        <v>3623</v>
      </c>
      <c r="AP151" s="96">
        <f>+AP166</f>
        <v>3678</v>
      </c>
      <c r="AQ151" s="96">
        <f>+AQ166</f>
        <v>3766</v>
      </c>
      <c r="AR151" s="96">
        <f>'US Retail'!AR12</f>
        <v>3883</v>
      </c>
      <c r="AS151" s="96">
        <f>AR151</f>
        <v>3883</v>
      </c>
      <c r="AT151" s="96">
        <f>'US Retail'!AT12</f>
        <v>3954</v>
      </c>
      <c r="AU151" s="96">
        <f>'US Retail'!AU12</f>
        <v>3998</v>
      </c>
      <c r="AV151" s="96">
        <f>'US Retail'!AV12</f>
        <v>4050</v>
      </c>
      <c r="AW151" s="96">
        <f>'US Retail'!AW12</f>
        <v>4227</v>
      </c>
      <c r="AX151" s="96">
        <f>'US Retail'!AX12</f>
        <v>4227</v>
      </c>
      <c r="AY151" s="96">
        <f>'US Retail'!AY12</f>
        <v>4291</v>
      </c>
      <c r="AZ151" s="96">
        <f>'US Retail'!AZ12</f>
        <v>4336</v>
      </c>
      <c r="BA151" s="96">
        <f>'US Retail'!BA12</f>
        <v>4414</v>
      </c>
      <c r="BB151" s="96">
        <f>AW151+485-95</f>
        <v>4617</v>
      </c>
      <c r="BC151" s="96">
        <f>'US Retail'!BC12</f>
        <v>4582</v>
      </c>
      <c r="BD151" s="96">
        <f>+'US Retail'!BD12</f>
        <v>4680</v>
      </c>
      <c r="BE151" s="96">
        <f>+'US Retail'!BE12</f>
        <v>4738</v>
      </c>
      <c r="BF151" s="96">
        <f>+'US Retail'!BF12</f>
        <v>4805</v>
      </c>
      <c r="BG151" s="96">
        <f>+'US Retail'!BG12</f>
        <v>4953</v>
      </c>
      <c r="BH151" s="96">
        <f>'US Retail'!BH12</f>
        <v>4953</v>
      </c>
      <c r="BI151" s="96">
        <f>+'US Retail'!BI12</f>
        <v>5068</v>
      </c>
      <c r="BJ151" s="96">
        <f>+'US Retail'!BJ12</f>
        <v>5156</v>
      </c>
      <c r="BK151" s="96">
        <f>+'US Retail'!BK12</f>
        <v>5251</v>
      </c>
      <c r="BL151" s="96">
        <f>+'US Retail'!BL12</f>
        <v>5461</v>
      </c>
      <c r="BM151" s="96">
        <f>'US Retail'!BM12</f>
        <v>5461</v>
      </c>
      <c r="BN151" s="96">
        <f>+'US Retail'!BN12</f>
        <v>5580</v>
      </c>
      <c r="BO151" s="96">
        <f>+'US Retail'!BO12</f>
        <v>5641</v>
      </c>
      <c r="BP151" s="96">
        <f>+'US Retail'!BP12</f>
        <v>5751</v>
      </c>
      <c r="BQ151" s="96">
        <f>+'US Retail'!BQ12</f>
        <v>5997</v>
      </c>
      <c r="BR151" s="96">
        <f>'US Retail'!BR12</f>
        <v>5997</v>
      </c>
      <c r="BS151" s="96">
        <f>+'US Retail'!BS12</f>
        <v>6032</v>
      </c>
      <c r="BT151" s="96">
        <f>+'US Retail'!BT12</f>
        <v>6129</v>
      </c>
      <c r="BU151" s="96">
        <f>+'US Retail'!BU12</f>
        <v>6252</v>
      </c>
      <c r="BV151" s="96">
        <f>+'US Retail'!BV12</f>
        <v>6443</v>
      </c>
      <c r="BW151" s="96">
        <f>'US Retail'!BW12</f>
        <v>6443</v>
      </c>
      <c r="BX151" s="96">
        <f>BV151+75</f>
        <v>6518</v>
      </c>
      <c r="BY151" s="96">
        <f>BX151+100</f>
        <v>6618</v>
      </c>
      <c r="BZ151" s="96">
        <f>BY151+100</f>
        <v>6718</v>
      </c>
      <c r="CA151" s="96">
        <f>BV151+500-100</f>
        <v>6843</v>
      </c>
      <c r="CB151" s="96">
        <f>'US Retail'!CB12</f>
        <v>6996</v>
      </c>
      <c r="CC151" s="96">
        <f>CA151+75</f>
        <v>6918</v>
      </c>
      <c r="CD151" s="96">
        <f>CC151+100</f>
        <v>7018</v>
      </c>
      <c r="CE151" s="96">
        <f>CD151+100</f>
        <v>7118</v>
      </c>
      <c r="CF151" s="96">
        <f>CA151+500-100</f>
        <v>7243</v>
      </c>
      <c r="CG151" s="96">
        <f>'US Retail'!CG12</f>
        <v>7563</v>
      </c>
      <c r="CH151" s="96">
        <f>CF151+75</f>
        <v>7318</v>
      </c>
      <c r="CI151" s="96">
        <f>CH151+100</f>
        <v>7418</v>
      </c>
      <c r="CJ151" s="871">
        <f>CI151+100</f>
        <v>7518</v>
      </c>
      <c r="CK151" s="871">
        <f>CF151+500-100</f>
        <v>7643</v>
      </c>
      <c r="CL151" s="96">
        <f>'US Retail'!CL12</f>
        <v>7761</v>
      </c>
      <c r="CM151" s="96">
        <f>CK151+75</f>
        <v>7718</v>
      </c>
      <c r="CN151" s="96">
        <f>CM151+100</f>
        <v>7818</v>
      </c>
      <c r="CO151" s="871">
        <f>CN151+100</f>
        <v>7918</v>
      </c>
      <c r="CP151" s="871">
        <f>CK151+500-100</f>
        <v>8043</v>
      </c>
      <c r="CQ151" s="96">
        <f>'US Retail'!CQ12</f>
        <v>7930</v>
      </c>
      <c r="CR151" s="96">
        <f>CP151+75</f>
        <v>8118</v>
      </c>
      <c r="CS151" s="96">
        <f>CR151+100</f>
        <v>8218</v>
      </c>
      <c r="CT151" s="871">
        <f>CS151+100</f>
        <v>8318</v>
      </c>
      <c r="CU151" s="871">
        <f>CP151+500-100</f>
        <v>8443</v>
      </c>
      <c r="CV151" s="948">
        <f>'US Retail'!CV12</f>
        <v>8116</v>
      </c>
      <c r="CW151" s="96">
        <f>CU151+75</f>
        <v>8518</v>
      </c>
      <c r="CX151" s="96">
        <f>CW151+100</f>
        <v>8618</v>
      </c>
      <c r="CY151" s="871">
        <f>CX151+100</f>
        <v>8718</v>
      </c>
      <c r="CZ151" s="871">
        <f>CU151+500-100</f>
        <v>8843</v>
      </c>
      <c r="DA151" s="948">
        <f>'US Retail'!DA12</f>
        <v>8207</v>
      </c>
      <c r="DB151" s="96">
        <f>CZ151+75</f>
        <v>8918</v>
      </c>
      <c r="DC151" s="96">
        <f>DB151+100</f>
        <v>9018</v>
      </c>
      <c r="DD151" s="96"/>
      <c r="DE151" s="871">
        <f>CZ151+500-100</f>
        <v>9243</v>
      </c>
      <c r="DF151" s="948">
        <f>'US Retail'!DF12</f>
        <v>8173</v>
      </c>
      <c r="DG151" s="871">
        <f>DB151+500-100</f>
        <v>9318</v>
      </c>
      <c r="DH151" s="871">
        <f>DC151+500-100</f>
        <v>9418</v>
      </c>
      <c r="DI151" s="871">
        <f>DD151+500-100</f>
        <v>400</v>
      </c>
      <c r="DJ151" s="871">
        <f>DE151+500-100</f>
        <v>9643</v>
      </c>
      <c r="DK151" s="948">
        <f>'US Retail'!DK12</f>
        <v>8175</v>
      </c>
      <c r="DL151" s="1781">
        <f>DG151+500-100</f>
        <v>9718</v>
      </c>
      <c r="DM151" s="96">
        <f>DH151+500-100</f>
        <v>9818</v>
      </c>
      <c r="DN151" s="96">
        <f>DI151+500-100</f>
        <v>800</v>
      </c>
      <c r="DO151" s="1782">
        <f>DJ151+500-100</f>
        <v>10043</v>
      </c>
      <c r="DP151" s="948">
        <f>'US Retail'!DP12</f>
        <v>8109</v>
      </c>
      <c r="DQ151" s="1781">
        <f>DL151+500-100</f>
        <v>10118</v>
      </c>
      <c r="DR151" s="96">
        <f>DM151+500-100</f>
        <v>10218</v>
      </c>
      <c r="DS151" s="96">
        <f>DN151+500-100</f>
        <v>1200</v>
      </c>
      <c r="DT151" s="1782">
        <f>DO151+500-100</f>
        <v>10443</v>
      </c>
      <c r="DU151" s="948">
        <f>'US Retail'!DU12</f>
        <v>10000</v>
      </c>
      <c r="DV151" s="1781">
        <f>DQ151+500-100</f>
        <v>10518</v>
      </c>
      <c r="DW151" s="96">
        <f>DR151+500-100</f>
        <v>10618</v>
      </c>
      <c r="DX151" s="96">
        <f>DS151+500-100</f>
        <v>1600</v>
      </c>
      <c r="DY151" s="1782">
        <f>DT151+500-100</f>
        <v>10843</v>
      </c>
      <c r="DZ151" s="948">
        <f>'US Retail'!DZ12</f>
        <v>9600</v>
      </c>
      <c r="EA151" s="1781">
        <f>DV151+500-100</f>
        <v>10918</v>
      </c>
      <c r="EB151" s="96">
        <f>DW151+500-100</f>
        <v>11018</v>
      </c>
      <c r="EC151" s="96">
        <f>DX151+500-100</f>
        <v>2000</v>
      </c>
      <c r="ED151" s="1782">
        <f>DY151+500-100</f>
        <v>11243</v>
      </c>
      <c r="EE151" s="948">
        <f>'US Retail'!EE12</f>
        <v>9533</v>
      </c>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row>
    <row r="152" spans="2:232" s="54" customFormat="1" ht="11.25" hidden="1" customHeight="1" outlineLevel="1">
      <c r="B152" s="553" t="s">
        <v>21</v>
      </c>
      <c r="C152" s="162"/>
      <c r="D152" s="96">
        <v>1450</v>
      </c>
      <c r="E152" s="96">
        <v>1524</v>
      </c>
      <c r="F152" s="96">
        <v>1605</v>
      </c>
      <c r="G152" s="96">
        <v>1691</v>
      </c>
      <c r="H152" s="354">
        <f>(G151+H151)/2</f>
        <v>1786</v>
      </c>
      <c r="I152" s="96">
        <f>(H151+I151)/2</f>
        <v>1902</v>
      </c>
      <c r="J152" s="96">
        <f>(I151+J151)/2</f>
        <v>2026.5</v>
      </c>
      <c r="K152" s="96">
        <v>2097.5</v>
      </c>
      <c r="L152" s="96">
        <v>2120.5</v>
      </c>
      <c r="M152" s="96">
        <v>2140</v>
      </c>
      <c r="N152" s="96">
        <v>2171</v>
      </c>
      <c r="O152" s="96">
        <f>(J151+O151)/2</f>
        <v>2139</v>
      </c>
      <c r="P152" s="96">
        <f>(N151+P151)/2</f>
        <v>2210.5</v>
      </c>
      <c r="Q152" s="96">
        <f>(P151+Q151)/2</f>
        <v>2242</v>
      </c>
      <c r="R152" s="96">
        <f>(Q151+R151)/2</f>
        <v>2272.5</v>
      </c>
      <c r="S152" s="96">
        <f>(R151+S151)/2</f>
        <v>2323.5</v>
      </c>
      <c r="T152" s="96">
        <f>(O151+T151)/2</f>
        <v>2275.5</v>
      </c>
      <c r="U152" s="96">
        <f>(S151+U151)/2</f>
        <v>2374</v>
      </c>
      <c r="V152" s="96">
        <f>(U151+V151)/2</f>
        <v>2411</v>
      </c>
      <c r="W152" s="96">
        <f>(V151+W151)/2</f>
        <v>2451</v>
      </c>
      <c r="X152" s="96">
        <f>(W151+X151)/2</f>
        <v>2509.5</v>
      </c>
      <c r="Y152" s="96">
        <f>(T151+Y151)/2</f>
        <v>2453.5</v>
      </c>
      <c r="Z152" s="96">
        <f>(X151+Z151)/2</f>
        <v>2587.5</v>
      </c>
      <c r="AA152" s="96">
        <f>(Z151+AA151)/2</f>
        <v>2646.5</v>
      </c>
      <c r="AB152" s="96">
        <f>(AA151+AB151)/2</f>
        <v>2702.5</v>
      </c>
      <c r="AC152" s="96">
        <f>(AB151+AC151)/2</f>
        <v>2779.5</v>
      </c>
      <c r="AD152" s="96">
        <f>(Y151+AD151)/2</f>
        <v>2685</v>
      </c>
      <c r="AE152" s="96">
        <f>(AC151+AE151)/2</f>
        <v>2857.5</v>
      </c>
      <c r="AF152" s="96">
        <f>(AE151+AF151)/2</f>
        <v>2930.5</v>
      </c>
      <c r="AG152" s="96">
        <f>(AF151+AG151)/2</f>
        <v>3009</v>
      </c>
      <c r="AH152" s="96">
        <f>(AG151+AH151)/2</f>
        <v>3108</v>
      </c>
      <c r="AI152" s="96">
        <f>(AD151+AI151)/2</f>
        <v>2993</v>
      </c>
      <c r="AJ152" s="96">
        <f>(AH151+AJ151)/2</f>
        <v>3212</v>
      </c>
      <c r="AK152" s="96">
        <f>(AJ151+AK151)/2</f>
        <v>3301</v>
      </c>
      <c r="AL152" s="96">
        <f>(AK151+AL151)/2</f>
        <v>3383.5</v>
      </c>
      <c r="AM152" s="96">
        <f>(AL151+AM151)/2</f>
        <v>3472</v>
      </c>
      <c r="AN152" s="96">
        <f>(AI151+AN151)/2</f>
        <v>3342.5</v>
      </c>
      <c r="AO152" s="96">
        <f>(AM151+AO151)/2</f>
        <v>3571.5</v>
      </c>
      <c r="AP152" s="96">
        <f>(AO151+AP151)/2</f>
        <v>3650.5</v>
      </c>
      <c r="AQ152" s="96">
        <f>(AP151+AQ151)/2</f>
        <v>3722</v>
      </c>
      <c r="AR152" s="96">
        <f>(AQ151+AR151)/2</f>
        <v>3824.5</v>
      </c>
      <c r="AS152" s="96">
        <f>(AN151+AS151)/2</f>
        <v>3701.5</v>
      </c>
      <c r="AT152" s="96">
        <f>(AR151+AT151)/2</f>
        <v>3918.5</v>
      </c>
      <c r="AU152" s="96">
        <f>(AT151+AU151)/2</f>
        <v>3976</v>
      </c>
      <c r="AV152" s="96">
        <f>(AU151+AV151)/2</f>
        <v>4024</v>
      </c>
      <c r="AW152" s="96">
        <f>(AV151+AW151)/2</f>
        <v>4138.5</v>
      </c>
      <c r="AX152" s="96">
        <f>(AS151+AX151)/2</f>
        <v>4055</v>
      </c>
      <c r="AY152" s="96">
        <f>(AW151+AY151)/2</f>
        <v>4259</v>
      </c>
      <c r="AZ152" s="96">
        <f>(AY151+AZ151)/2</f>
        <v>4313.5</v>
      </c>
      <c r="BA152" s="96">
        <f>(AZ151+BA151)/2</f>
        <v>4375</v>
      </c>
      <c r="BB152" s="96">
        <f>(BA151+BB151)/2</f>
        <v>4515.5</v>
      </c>
      <c r="BC152" s="96">
        <f>(AX151+BC151)/2</f>
        <v>4404.5</v>
      </c>
      <c r="BD152" s="96">
        <f>(BB151+BD151)/2</f>
        <v>4648.5</v>
      </c>
      <c r="BE152" s="96">
        <f>(BD151+BE151)/2</f>
        <v>4709</v>
      </c>
      <c r="BF152" s="96">
        <f>(BE151+BF151)/2</f>
        <v>4771.5</v>
      </c>
      <c r="BG152" s="96">
        <f>(BF151+BG151)/2</f>
        <v>4879</v>
      </c>
      <c r="BH152" s="96">
        <f>(BC151+BH151)/2</f>
        <v>4767.5</v>
      </c>
      <c r="BI152" s="96">
        <f>(BG151+BI151)/2</f>
        <v>5010.5</v>
      </c>
      <c r="BJ152" s="96">
        <f>(BI151+BJ151)/2</f>
        <v>5112</v>
      </c>
      <c r="BK152" s="96">
        <f>(BJ151+BK151)/2</f>
        <v>5203.5</v>
      </c>
      <c r="BL152" s="96">
        <f>(BK151+BL151)/2</f>
        <v>5356</v>
      </c>
      <c r="BM152" s="96">
        <f>(BH151+BM151)/2</f>
        <v>5207</v>
      </c>
      <c r="BN152" s="96">
        <f>(BL151+BN151)/2</f>
        <v>5520.5</v>
      </c>
      <c r="BO152" s="96">
        <f>(BN151+BO151)/2</f>
        <v>5610.5</v>
      </c>
      <c r="BP152" s="96">
        <f>(BO151+BP151)/2</f>
        <v>5696</v>
      </c>
      <c r="BQ152" s="96">
        <f>(BP151+BQ151)/2</f>
        <v>5874</v>
      </c>
      <c r="BR152" s="96">
        <f>(BM151+BR151)/2</f>
        <v>5729</v>
      </c>
      <c r="BS152" s="96">
        <f>(BQ151+BS151)/2</f>
        <v>6014.5</v>
      </c>
      <c r="BT152" s="96">
        <f>(BS151+BT151)/2</f>
        <v>6080.5</v>
      </c>
      <c r="BU152" s="96">
        <f>(BT151+BU151)/2</f>
        <v>6190.5</v>
      </c>
      <c r="BV152" s="96">
        <f>(BU151+BV151)/2</f>
        <v>6347.5</v>
      </c>
      <c r="BW152" s="96">
        <f>(BR151+BW151)/2</f>
        <v>6220</v>
      </c>
      <c r="BX152" s="96">
        <f>(BV151+BX151)/2</f>
        <v>6480.5</v>
      </c>
      <c r="BY152" s="96">
        <f>(BX151+BY151)/2</f>
        <v>6568</v>
      </c>
      <c r="BZ152" s="96">
        <f>(BY151+BZ151)/2</f>
        <v>6668</v>
      </c>
      <c r="CA152" s="96">
        <f>(BZ151+CA151)/2</f>
        <v>6780.5</v>
      </c>
      <c r="CB152" s="96">
        <f>(BW151+CB151)/2</f>
        <v>6719.5</v>
      </c>
      <c r="CC152" s="96">
        <f>(CA151+CC151)/2</f>
        <v>6880.5</v>
      </c>
      <c r="CD152" s="96">
        <f>(CC151+CD151)/2</f>
        <v>6968</v>
      </c>
      <c r="CE152" s="96">
        <f>(CD151+CE151)/2</f>
        <v>7068</v>
      </c>
      <c r="CF152" s="96">
        <f>(CE151+CF151)/2</f>
        <v>7180.5</v>
      </c>
      <c r="CG152" s="96">
        <f>(CB151+CG151)/2</f>
        <v>7279.5</v>
      </c>
      <c r="CH152" s="96">
        <f>(CF151+CH151)/2</f>
        <v>7280.5</v>
      </c>
      <c r="CI152" s="96">
        <f>(CH151+CI151)/2</f>
        <v>7368</v>
      </c>
      <c r="CJ152" s="871">
        <f>(CI151+CJ151)/2</f>
        <v>7468</v>
      </c>
      <c r="CK152" s="871">
        <f>(CJ151+CK151)/2</f>
        <v>7580.5</v>
      </c>
      <c r="CL152" s="96">
        <f>(CG151+CL151)/2</f>
        <v>7662</v>
      </c>
      <c r="CM152" s="96">
        <f>(CK151+CM151)/2</f>
        <v>7680.5</v>
      </c>
      <c r="CN152" s="96">
        <f>(CM151+CN151)/2</f>
        <v>7768</v>
      </c>
      <c r="CO152" s="871">
        <f>(CN151+CO151)/2</f>
        <v>7868</v>
      </c>
      <c r="CP152" s="871">
        <f>(CO151+CP151)/2</f>
        <v>7980.5</v>
      </c>
      <c r="CQ152" s="96">
        <f>(CL151+CQ151)/2</f>
        <v>7845.5</v>
      </c>
      <c r="CR152" s="96">
        <f>(CP151+CR151)/2</f>
        <v>8080.5</v>
      </c>
      <c r="CS152" s="96">
        <f>(CR151+CS151)/2</f>
        <v>8168</v>
      </c>
      <c r="CT152" s="871">
        <f>(CS151+CT151)/2</f>
        <v>8268</v>
      </c>
      <c r="CU152" s="871">
        <f>(CT151+CU151)/2</f>
        <v>8380.5</v>
      </c>
      <c r="CV152" s="948">
        <f>(CQ151+CV151)/2</f>
        <v>8023</v>
      </c>
      <c r="CW152" s="96">
        <f>(CU151+CW151)/2</f>
        <v>8480.5</v>
      </c>
      <c r="CX152" s="96">
        <f>(CW151+CX151)/2</f>
        <v>8568</v>
      </c>
      <c r="CY152" s="871">
        <f>(CX151+CY151)/2</f>
        <v>8668</v>
      </c>
      <c r="CZ152" s="871">
        <f>(CY151+CZ151)/2</f>
        <v>8780.5</v>
      </c>
      <c r="DA152" s="948">
        <f>(CV151+DA151)/2</f>
        <v>8161.5</v>
      </c>
      <c r="DB152" s="96">
        <f>(CZ151+DB151)/2</f>
        <v>8880.5</v>
      </c>
      <c r="DC152" s="96">
        <f>(DB151+DC151)/2</f>
        <v>8968</v>
      </c>
      <c r="DD152" s="96"/>
      <c r="DE152" s="871">
        <f>(DD151+DE151)/2</f>
        <v>4621.5</v>
      </c>
      <c r="DF152" s="948">
        <f>(DA151+DF151)/2</f>
        <v>8190</v>
      </c>
      <c r="DG152" s="871">
        <f>(DF151+DG151)/2</f>
        <v>8745.5</v>
      </c>
      <c r="DH152" s="871">
        <f>(DG151+DH151)/2</f>
        <v>9368</v>
      </c>
      <c r="DI152" s="871">
        <f>(DH151+DI151)/2</f>
        <v>4909</v>
      </c>
      <c r="DJ152" s="871">
        <f>(DI151+DJ151)/2</f>
        <v>5021.5</v>
      </c>
      <c r="DK152" s="948">
        <f>(DF151+DK151)/2</f>
        <v>8174</v>
      </c>
      <c r="DL152" s="1781">
        <f>(DK151+DL151)/2</f>
        <v>8946.5</v>
      </c>
      <c r="DM152" s="96">
        <f>(DL151+DM151)/2</f>
        <v>9768</v>
      </c>
      <c r="DN152" s="96">
        <f>(DM151+DN151)/2</f>
        <v>5309</v>
      </c>
      <c r="DO152" s="1782">
        <f>(DN151+DO151)/2</f>
        <v>5421.5</v>
      </c>
      <c r="DP152" s="948">
        <f>(DK151+DP151)/2</f>
        <v>8142</v>
      </c>
      <c r="DQ152" s="1781">
        <f>(DP151+DQ151)/2</f>
        <v>9113.5</v>
      </c>
      <c r="DR152" s="96">
        <f>(DQ151+DR151)/2</f>
        <v>10168</v>
      </c>
      <c r="DS152" s="96">
        <f>(DR151+DS151)/2</f>
        <v>5709</v>
      </c>
      <c r="DT152" s="1782">
        <f>(DS151+DT151)/2</f>
        <v>5821.5</v>
      </c>
      <c r="DU152" s="948">
        <f>(DP151+DU151)/2</f>
        <v>9054.5</v>
      </c>
      <c r="DV152" s="1781">
        <f>(DU151+DV151)/2</f>
        <v>10259</v>
      </c>
      <c r="DW152" s="96">
        <f>(DV151+DW151)/2</f>
        <v>10568</v>
      </c>
      <c r="DX152" s="96">
        <f>(DW151+DX151)/2</f>
        <v>6109</v>
      </c>
      <c r="DY152" s="1782">
        <f>(DX151+DY151)/2</f>
        <v>6221.5</v>
      </c>
      <c r="DZ152" s="948">
        <f>(DU151+DZ151)/2</f>
        <v>9800</v>
      </c>
      <c r="EA152" s="1781">
        <f>(DZ151+EA151)/2</f>
        <v>10259</v>
      </c>
      <c r="EB152" s="96">
        <f>(EA151+EB151)/2</f>
        <v>10968</v>
      </c>
      <c r="EC152" s="96">
        <f>(EB151+EC151)/2</f>
        <v>6509</v>
      </c>
      <c r="ED152" s="1782">
        <f>(EC151+ED151)/2</f>
        <v>6621.5</v>
      </c>
      <c r="EE152" s="948">
        <f>(DZ151+EE151)/2</f>
        <v>9566.5</v>
      </c>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row>
    <row r="153" spans="2:232" s="54" customFormat="1" ht="11.25" hidden="1" customHeight="1" outlineLevel="1">
      <c r="B153" s="553" t="s">
        <v>20</v>
      </c>
      <c r="C153" s="162"/>
      <c r="D153" s="872" t="s">
        <v>136</v>
      </c>
      <c r="E153" s="320">
        <v>5.1034482758620658E-2</v>
      </c>
      <c r="F153" s="320">
        <v>5.3149606299212504E-2</v>
      </c>
      <c r="G153" s="320">
        <v>5.3582554517134007E-2</v>
      </c>
      <c r="H153" s="281">
        <f>(H152/G152)-1</f>
        <v>5.6179775280898792E-2</v>
      </c>
      <c r="I153" s="320">
        <f>(I152/H152)-1</f>
        <v>6.4949608062709885E-2</v>
      </c>
      <c r="J153" s="320">
        <f>(J152/I152)-1</f>
        <v>6.5457413249211394E-2</v>
      </c>
      <c r="K153" s="320">
        <v>1.5984499878905378E-2</v>
      </c>
      <c r="L153" s="320">
        <v>1.096543504171632E-2</v>
      </c>
      <c r="M153" s="320">
        <v>9.1959443527469542E-3</v>
      </c>
      <c r="N153" s="320">
        <v>1.4485981308411278E-2</v>
      </c>
      <c r="O153" s="320">
        <f>(O152/J152)-1</f>
        <v>5.551443375277576E-2</v>
      </c>
      <c r="P153" s="320">
        <f>(P152/N152)-1</f>
        <v>1.8194380469829463E-2</v>
      </c>
      <c r="Q153" s="320">
        <f>(Q152/P152)-1</f>
        <v>1.4250169644876687E-2</v>
      </c>
      <c r="R153" s="320">
        <f>(R152/Q152)-1</f>
        <v>1.3603925066904443E-2</v>
      </c>
      <c r="S153" s="320">
        <f>(S152/R152)-1</f>
        <v>2.2442244224422536E-2</v>
      </c>
      <c r="T153" s="320">
        <f>(T152/O152)-1</f>
        <v>6.3814866760168343E-2</v>
      </c>
      <c r="U153" s="320">
        <f>(U152/S152)-1</f>
        <v>2.1734452334839727E-2</v>
      </c>
      <c r="V153" s="320">
        <f>(V152/U152)-1</f>
        <v>1.5585509688289756E-2</v>
      </c>
      <c r="W153" s="320">
        <f>(W152/V152)-1</f>
        <v>1.6590626296142608E-2</v>
      </c>
      <c r="X153" s="320">
        <f>(X152/W152)-1</f>
        <v>2.38678090575275E-2</v>
      </c>
      <c r="Y153" s="320">
        <f>(Y152/T152)-1</f>
        <v>7.8224566029444054E-2</v>
      </c>
      <c r="Z153" s="320">
        <f>(Z152/X152)-1</f>
        <v>3.1081888822474646E-2</v>
      </c>
      <c r="AA153" s="320">
        <f>(AA152/Z152)-1</f>
        <v>2.280193236714978E-2</v>
      </c>
      <c r="AB153" s="320">
        <f>(AB152/AA152)-1</f>
        <v>2.1160022671452783E-2</v>
      </c>
      <c r="AC153" s="320">
        <f>(AC152/AB152)-1</f>
        <v>2.8492136910268195E-2</v>
      </c>
      <c r="AD153" s="320">
        <f>(AD152/Y152)-1</f>
        <v>9.4355003056857623E-2</v>
      </c>
      <c r="AE153" s="320">
        <f>(AE152/AC152)-1</f>
        <v>2.8062601187264002E-2</v>
      </c>
      <c r="AF153" s="320">
        <f>(AF152/AE152)-1</f>
        <v>2.5546806649168863E-2</v>
      </c>
      <c r="AG153" s="320">
        <f>(AG152/AF152)-1</f>
        <v>2.678723767275204E-2</v>
      </c>
      <c r="AH153" s="320">
        <f>(AH152/AG152)-1</f>
        <v>3.2901296111665035E-2</v>
      </c>
      <c r="AI153" s="320">
        <f>(AI152/AD152)-1</f>
        <v>0.11471135940409694</v>
      </c>
      <c r="AJ153" s="320">
        <f>(AJ152/AH152)-1</f>
        <v>3.3462033462033469E-2</v>
      </c>
      <c r="AK153" s="320">
        <f>(AK152/AJ152)-1</f>
        <v>2.7708592777085927E-2</v>
      </c>
      <c r="AL153" s="320">
        <f>(AL152/AK152)-1</f>
        <v>2.4992426537412848E-2</v>
      </c>
      <c r="AM153" s="320">
        <f>(AM152/AL152)-1</f>
        <v>2.6156346977981304E-2</v>
      </c>
      <c r="AN153" s="320">
        <f>(AN152/AI152)-1</f>
        <v>0.11677246909455397</v>
      </c>
      <c r="AO153" s="320">
        <f>(AO152/AM152)-1</f>
        <v>2.8657834101382562E-2</v>
      </c>
      <c r="AP153" s="320">
        <f>(AP152/AO152)-1</f>
        <v>2.2119557608847762E-2</v>
      </c>
      <c r="AQ153" s="320">
        <f>(AQ152/AP152)-1</f>
        <v>1.9586358033146123E-2</v>
      </c>
      <c r="AR153" s="320">
        <f>(AR152/AQ152)-1</f>
        <v>2.7538957549704479E-2</v>
      </c>
      <c r="AS153" s="320">
        <f>(AS152/AN152)-1</f>
        <v>0.10740463724756921</v>
      </c>
      <c r="AT153" s="320">
        <f>(AT152/AR152)-1</f>
        <v>2.4578376258334478E-2</v>
      </c>
      <c r="AU153" s="320">
        <f>(AU152/AT152)-1</f>
        <v>1.4673982391221196E-2</v>
      </c>
      <c r="AV153" s="320">
        <f>(AV152/AU152)-1</f>
        <v>1.2072434607645954E-2</v>
      </c>
      <c r="AW153" s="320">
        <f>(AW152/AV152)-1</f>
        <v>2.8454274353876707E-2</v>
      </c>
      <c r="AX153" s="320">
        <f>(AX152/AS152)-1</f>
        <v>9.5501823585033119E-2</v>
      </c>
      <c r="AY153" s="320">
        <f>(AY152/AW152)-1</f>
        <v>2.9116829769240127E-2</v>
      </c>
      <c r="AZ153" s="320">
        <f>(AZ152/AY152)-1</f>
        <v>1.2796431087109594E-2</v>
      </c>
      <c r="BA153" s="320">
        <f>(BA152/AZ152)-1</f>
        <v>1.4257563463544676E-2</v>
      </c>
      <c r="BB153" s="320">
        <f>(BB152/BA152)-1</f>
        <v>3.2114285714285762E-2</v>
      </c>
      <c r="BC153" s="320">
        <f>(BC152/AX152)-1</f>
        <v>8.6189889025893862E-2</v>
      </c>
      <c r="BD153" s="320">
        <f>(BD152/BB152)-1</f>
        <v>2.9454102535710236E-2</v>
      </c>
      <c r="BE153" s="320">
        <f>(BE152/BD152)-1</f>
        <v>1.3014951059481472E-2</v>
      </c>
      <c r="BF153" s="320">
        <f>(BF152/BE152)-1</f>
        <v>1.3272456997239335E-2</v>
      </c>
      <c r="BG153" s="320">
        <f>(BG152/BF152)-1</f>
        <v>2.2529602850256625E-2</v>
      </c>
      <c r="BH153" s="320">
        <f>(BH152/BC152)-1</f>
        <v>8.2415711204449904E-2</v>
      </c>
      <c r="BI153" s="320">
        <f>(BI152/BG152)-1</f>
        <v>2.6952244312359097E-2</v>
      </c>
      <c r="BJ153" s="320">
        <f>(BJ152/BI152)-1</f>
        <v>2.0257459335395689E-2</v>
      </c>
      <c r="BK153" s="320">
        <f>(BK152/BJ152)-1</f>
        <v>1.7899061032863761E-2</v>
      </c>
      <c r="BL153" s="320">
        <f>(BL152/BK152)-1</f>
        <v>2.930719707888918E-2</v>
      </c>
      <c r="BM153" s="320">
        <f>(BM152/BH152)-1</f>
        <v>9.2186680650236053E-2</v>
      </c>
      <c r="BN153" s="320">
        <f>(BN152/BL152)-1</f>
        <v>3.0713218820014987E-2</v>
      </c>
      <c r="BO153" s="320">
        <f>(BO152/BN152)-1</f>
        <v>1.6302871116746775E-2</v>
      </c>
      <c r="BP153" s="320">
        <f>(BP152/BO152)-1</f>
        <v>1.5239283486320199E-2</v>
      </c>
      <c r="BQ153" s="320">
        <f>(BQ152/BP152)-1</f>
        <v>3.125E-2</v>
      </c>
      <c r="BR153" s="320">
        <f>(BR152/BM152)-1</f>
        <v>0.10024966391396206</v>
      </c>
      <c r="BS153" s="320">
        <f>(BS152/BQ152)-1</f>
        <v>2.3918964930200959E-2</v>
      </c>
      <c r="BT153" s="320">
        <f>(BT152/BS152)-1</f>
        <v>1.0973480754842502E-2</v>
      </c>
      <c r="BU153" s="320">
        <f>(BU152/BT152)-1</f>
        <v>1.8090617547898979E-2</v>
      </c>
      <c r="BV153" s="320">
        <f>(BV152/BU152)-1</f>
        <v>2.5361440917534894E-2</v>
      </c>
      <c r="BW153" s="320">
        <f>(BW152/BR152)-1</f>
        <v>8.5704311398149713E-2</v>
      </c>
      <c r="BX153" s="320">
        <f>(BX152/BV152)-1</f>
        <v>2.0953131153997662E-2</v>
      </c>
      <c r="BY153" s="320">
        <f>(BY152/BX152)-1</f>
        <v>1.3502044595324447E-2</v>
      </c>
      <c r="BZ153" s="320">
        <f>(BZ152/BY152)-1</f>
        <v>1.5225334957368997E-2</v>
      </c>
      <c r="CA153" s="320">
        <f>(CA152/BZ152)-1</f>
        <v>1.6871625674865109E-2</v>
      </c>
      <c r="CB153" s="320">
        <f>(CB152/BW152)-1</f>
        <v>8.0305466237942102E-2</v>
      </c>
      <c r="CC153" s="320">
        <f>(CC152/CA152)-1</f>
        <v>1.474817491335445E-2</v>
      </c>
      <c r="CD153" s="320">
        <f>(CD152/CC152)-1</f>
        <v>1.2717099048034308E-2</v>
      </c>
      <c r="CE153" s="320">
        <f>(CE152/CD152)-1</f>
        <v>1.4351320321469574E-2</v>
      </c>
      <c r="CF153" s="320">
        <f>(CF152/CE152)-1</f>
        <v>1.5916808149405881E-2</v>
      </c>
      <c r="CG153" s="320">
        <f>(CG152/CB152)-1</f>
        <v>8.3339534191532172E-2</v>
      </c>
      <c r="CH153" s="320">
        <f>(CH152/CF152)-1</f>
        <v>1.3926606782257434E-2</v>
      </c>
      <c r="CI153" s="320">
        <f>(CI152/CH152)-1</f>
        <v>1.2018405329304205E-2</v>
      </c>
      <c r="CJ153" s="373">
        <f>(CJ152/CI152)-1</f>
        <v>1.357220412595006E-2</v>
      </c>
      <c r="CK153" s="373">
        <f>(CK152/CJ152)-1</f>
        <v>1.5064274236743502E-2</v>
      </c>
      <c r="CL153" s="320">
        <f>(CL152/CG152)-1</f>
        <v>5.2544817638574104E-2</v>
      </c>
      <c r="CM153" s="320">
        <f>(CM152/CK152)-1</f>
        <v>1.3191741969527104E-2</v>
      </c>
      <c r="CN153" s="320">
        <f>(CN152/CM152)-1</f>
        <v>1.1392487468263823E-2</v>
      </c>
      <c r="CO153" s="373">
        <f>(CO152/CN152)-1</f>
        <v>1.2873326467559121E-2</v>
      </c>
      <c r="CP153" s="373">
        <f>(CP152/CO152)-1</f>
        <v>1.4298423995932952E-2</v>
      </c>
      <c r="CQ153" s="320">
        <f>(CQ152/CL152)-1</f>
        <v>2.3949360480292281E-2</v>
      </c>
      <c r="CR153" s="320">
        <f>(CR152/CP152)-1</f>
        <v>1.2530543199047672E-2</v>
      </c>
      <c r="CS153" s="320">
        <f>(CS152/CR152)-1</f>
        <v>1.0828537838005081E-2</v>
      </c>
      <c r="CT153" s="373">
        <f>(CT152/CS152)-1</f>
        <v>1.2242899118511286E-2</v>
      </c>
      <c r="CU153" s="373">
        <f>(CU152/CT152)-1</f>
        <v>1.3606676342525326E-2</v>
      </c>
      <c r="CV153" s="949">
        <f>(CV152/CQ152)-1</f>
        <v>2.2624434389140191E-2</v>
      </c>
      <c r="CW153" s="320">
        <f>(CW152/CU152)-1</f>
        <v>1.1932462263588128E-2</v>
      </c>
      <c r="CX153" s="320">
        <f>(CX152/CW152)-1</f>
        <v>1.0317787866281458E-2</v>
      </c>
      <c r="CY153" s="373">
        <f>(CY152/CX152)-1</f>
        <v>1.1671335200746924E-2</v>
      </c>
      <c r="CZ153" s="373">
        <f>(CZ152/CY152)-1</f>
        <v>1.2978772496538893E-2</v>
      </c>
      <c r="DA153" s="949">
        <f>(DA152/CV152)-1</f>
        <v>1.726286925090359E-2</v>
      </c>
      <c r="DB153" s="320">
        <f>(DB152/CZ152)-1</f>
        <v>1.1388873071009664E-2</v>
      </c>
      <c r="DC153" s="320">
        <f>(DC152/DB152)-1</f>
        <v>9.8530488148189654E-3</v>
      </c>
      <c r="DD153" s="320"/>
      <c r="DE153" s="373" t="e">
        <f>(DE152/DD152)-1</f>
        <v>#DIV/0!</v>
      </c>
      <c r="DF153" s="949">
        <f>(DF152/DA152)-1</f>
        <v>3.4920051461129198E-3</v>
      </c>
      <c r="DG153" s="373">
        <f>(DG152/DF152)-1</f>
        <v>6.7826617826617808E-2</v>
      </c>
      <c r="DH153" s="373">
        <f>(DH152/DG152)-1</f>
        <v>7.117946372420092E-2</v>
      </c>
      <c r="DI153" s="373">
        <f>(DI152/DH152)-1</f>
        <v>-0.4759820666097353</v>
      </c>
      <c r="DJ153" s="373">
        <f>(DJ152/DI152)-1</f>
        <v>2.2917091057241823E-2</v>
      </c>
      <c r="DK153" s="949">
        <f>(DK152/DF152)-1</f>
        <v>-1.9536019536019467E-3</v>
      </c>
      <c r="DL153" s="1302">
        <f>(DL152/DK152)-1</f>
        <v>9.4506973330070965E-2</v>
      </c>
      <c r="DM153" s="320">
        <f>(DM152/DL152)-1</f>
        <v>9.182361817470519E-2</v>
      </c>
      <c r="DN153" s="320">
        <f>(DN152/DM152)-1</f>
        <v>-0.45649058149058153</v>
      </c>
      <c r="DO153" s="1303">
        <f>(DO152/DN152)-1</f>
        <v>2.1190431343002469E-2</v>
      </c>
      <c r="DP153" s="949">
        <f>(DP152/DK152)-1</f>
        <v>-3.9148519696599049E-3</v>
      </c>
      <c r="DQ153" s="1302">
        <f>(DQ152/DP152)-1</f>
        <v>0.11931957749938582</v>
      </c>
      <c r="DR153" s="320">
        <f>(DR152/DQ152)-1</f>
        <v>0.11570746694464251</v>
      </c>
      <c r="DS153" s="320">
        <f>(DS152/DR152)-1</f>
        <v>-0.43853265145554676</v>
      </c>
      <c r="DT153" s="1303">
        <f>(DT152/DS152)-1</f>
        <v>1.9705727798213335E-2</v>
      </c>
      <c r="DU153" s="949">
        <f>(DU152/DP152)-1</f>
        <v>0.11207320068779181</v>
      </c>
      <c r="DV153" s="1302">
        <f>(DV152/DU152)-1</f>
        <v>0.13302777624385675</v>
      </c>
      <c r="DW153" s="320">
        <f>(DW152/DV152)-1</f>
        <v>3.0119894726581498E-2</v>
      </c>
      <c r="DX153" s="320">
        <f>(DX152/DW152)-1</f>
        <v>-0.42193414080242242</v>
      </c>
      <c r="DY153" s="1303">
        <f>(DY152/DX152)-1</f>
        <v>1.8415452610901939E-2</v>
      </c>
      <c r="DZ153" s="949">
        <f>(DZ152/DU152)-1</f>
        <v>8.2334750676459123E-2</v>
      </c>
      <c r="EA153" s="1302">
        <f>(EA152/DZ152)-1</f>
        <v>4.6836734693877613E-2</v>
      </c>
      <c r="EB153" s="320">
        <f>(EB152/EA152)-1</f>
        <v>6.9110049712447497E-2</v>
      </c>
      <c r="EC153" s="320">
        <f>(EC152/EB152)-1</f>
        <v>-0.40654631655725748</v>
      </c>
      <c r="ED153" s="1303">
        <f>(ED152/EC152)-1</f>
        <v>1.7283760946381843E-2</v>
      </c>
      <c r="EE153" s="949">
        <f>(EE152/DZ152)-1</f>
        <v>-2.3826530612244934E-2</v>
      </c>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row>
    <row r="154" spans="2:232" s="54" customFormat="1" ht="11.25" hidden="1" customHeight="1" outlineLevel="1">
      <c r="B154" s="553"/>
      <c r="C154" s="162"/>
      <c r="D154" s="872"/>
      <c r="E154" s="320"/>
      <c r="F154" s="320"/>
      <c r="G154" s="320"/>
      <c r="H154" s="281"/>
      <c r="I154" s="320"/>
      <c r="J154" s="320"/>
      <c r="K154" s="320"/>
      <c r="L154" s="320"/>
      <c r="M154" s="320"/>
      <c r="N154" s="320"/>
      <c r="O154" s="320"/>
      <c r="P154" s="320"/>
      <c r="Q154" s="320"/>
      <c r="R154" s="320"/>
      <c r="S154" s="320"/>
      <c r="T154" s="320"/>
      <c r="U154" s="320"/>
      <c r="V154" s="320"/>
      <c r="W154" s="320"/>
      <c r="X154" s="320"/>
      <c r="Y154" s="320"/>
      <c r="Z154" s="320"/>
      <c r="AA154" s="320"/>
      <c r="AB154" s="320"/>
      <c r="AC154" s="320"/>
      <c r="AD154" s="320"/>
      <c r="AE154" s="320"/>
      <c r="AF154" s="320"/>
      <c r="AG154" s="320"/>
      <c r="AH154" s="320"/>
      <c r="AI154" s="320"/>
      <c r="AJ154" s="320"/>
      <c r="AK154" s="320"/>
      <c r="AL154" s="320"/>
      <c r="AM154" s="320"/>
      <c r="AN154" s="320"/>
      <c r="AO154" s="320"/>
      <c r="AP154" s="320"/>
      <c r="AQ154" s="320"/>
      <c r="AR154" s="320"/>
      <c r="AS154" s="320"/>
      <c r="AT154" s="320"/>
      <c r="AU154" s="320"/>
      <c r="AV154" s="320"/>
      <c r="AW154" s="320"/>
      <c r="AX154" s="320"/>
      <c r="AY154" s="320"/>
      <c r="AZ154" s="320"/>
      <c r="BA154" s="320"/>
      <c r="BB154" s="320"/>
      <c r="BC154" s="320"/>
      <c r="BD154" s="320"/>
      <c r="BE154" s="320"/>
      <c r="BF154" s="320"/>
      <c r="BG154" s="320"/>
      <c r="BH154" s="320"/>
      <c r="BI154" s="320"/>
      <c r="BJ154" s="320"/>
      <c r="BK154" s="320"/>
      <c r="BL154" s="320"/>
      <c r="BM154" s="320"/>
      <c r="BN154" s="320"/>
      <c r="BO154" s="320"/>
      <c r="BP154" s="320"/>
      <c r="BQ154" s="320"/>
      <c r="BR154" s="320"/>
      <c r="BS154" s="320"/>
      <c r="BT154" s="320"/>
      <c r="BU154" s="320"/>
      <c r="BV154" s="320"/>
      <c r="BW154" s="320"/>
      <c r="BX154" s="320"/>
      <c r="BY154" s="320"/>
      <c r="BZ154" s="320"/>
      <c r="CA154" s="320"/>
      <c r="CB154" s="320"/>
      <c r="CC154" s="320"/>
      <c r="CD154" s="320"/>
      <c r="CE154" s="320"/>
      <c r="CF154" s="320"/>
      <c r="CG154" s="320"/>
      <c r="CH154" s="320"/>
      <c r="CI154" s="320"/>
      <c r="CJ154" s="373"/>
      <c r="CK154" s="373"/>
      <c r="CL154" s="320"/>
      <c r="CM154" s="320"/>
      <c r="CN154" s="320"/>
      <c r="CO154" s="373"/>
      <c r="CP154" s="373"/>
      <c r="CQ154" s="873"/>
      <c r="CR154" s="373"/>
      <c r="CS154" s="373"/>
      <c r="CT154" s="373"/>
      <c r="CU154" s="373"/>
      <c r="CV154" s="950"/>
      <c r="CW154" s="373"/>
      <c r="CX154" s="373"/>
      <c r="CY154" s="373"/>
      <c r="CZ154" s="373"/>
      <c r="DA154" s="950"/>
      <c r="DB154" s="373"/>
      <c r="DC154" s="373"/>
      <c r="DD154" s="373"/>
      <c r="DE154" s="373"/>
      <c r="DF154" s="950"/>
      <c r="DG154" s="373"/>
      <c r="DH154" s="373"/>
      <c r="DI154" s="373"/>
      <c r="DJ154" s="373"/>
      <c r="DK154" s="950"/>
      <c r="DL154" s="1783"/>
      <c r="DM154" s="873"/>
      <c r="DN154" s="873"/>
      <c r="DO154" s="1784"/>
      <c r="DP154" s="950"/>
      <c r="DQ154" s="1783"/>
      <c r="DR154" s="873"/>
      <c r="DS154" s="873"/>
      <c r="DT154" s="1784"/>
      <c r="DU154" s="950"/>
      <c r="DV154" s="1783"/>
      <c r="DW154" s="873"/>
      <c r="DX154" s="873"/>
      <c r="DY154" s="1784"/>
      <c r="DZ154" s="950"/>
      <c r="EA154" s="1783"/>
      <c r="EB154" s="873"/>
      <c r="EC154" s="873"/>
      <c r="ED154" s="1784"/>
      <c r="EE154" s="950"/>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row>
    <row r="155" spans="2:232" s="54" customFormat="1" ht="11.25" hidden="1" customHeight="1" outlineLevel="1">
      <c r="B155" s="553" t="s">
        <v>12</v>
      </c>
      <c r="C155" s="162"/>
      <c r="D155" s="96">
        <v>52</v>
      </c>
      <c r="E155" s="96">
        <v>52</v>
      </c>
      <c r="F155" s="96">
        <v>52</v>
      </c>
      <c r="G155" s="96">
        <v>52</v>
      </c>
      <c r="H155" s="354">
        <v>52</v>
      </c>
      <c r="I155" s="96">
        <v>52</v>
      </c>
      <c r="J155" s="96">
        <v>52</v>
      </c>
      <c r="K155" s="96">
        <v>13</v>
      </c>
      <c r="L155" s="96">
        <v>13</v>
      </c>
      <c r="M155" s="96">
        <v>13</v>
      </c>
      <c r="N155" s="96">
        <v>13</v>
      </c>
      <c r="O155" s="96">
        <v>52</v>
      </c>
      <c r="P155" s="96">
        <v>13</v>
      </c>
      <c r="Q155" s="96">
        <v>13</v>
      </c>
      <c r="R155" s="96">
        <v>13</v>
      </c>
      <c r="S155" s="96">
        <v>13</v>
      </c>
      <c r="T155" s="96">
        <v>52</v>
      </c>
      <c r="U155" s="96">
        <v>13</v>
      </c>
      <c r="V155" s="96">
        <v>13</v>
      </c>
      <c r="W155" s="96">
        <v>13</v>
      </c>
      <c r="X155" s="96">
        <v>13</v>
      </c>
      <c r="Y155" s="96">
        <v>52</v>
      </c>
      <c r="Z155" s="96">
        <v>13</v>
      </c>
      <c r="AA155" s="96">
        <v>13</v>
      </c>
      <c r="AB155" s="96">
        <v>13</v>
      </c>
      <c r="AC155" s="96">
        <v>13</v>
      </c>
      <c r="AD155" s="96">
        <v>52</v>
      </c>
      <c r="AE155" s="96">
        <v>13</v>
      </c>
      <c r="AF155" s="96">
        <v>13</v>
      </c>
      <c r="AG155" s="96">
        <v>13</v>
      </c>
      <c r="AH155" s="96">
        <v>13</v>
      </c>
      <c r="AI155" s="96">
        <v>52</v>
      </c>
      <c r="AJ155" s="96">
        <v>13</v>
      </c>
      <c r="AK155" s="96">
        <v>13</v>
      </c>
      <c r="AL155" s="96">
        <v>13</v>
      </c>
      <c r="AM155" s="96">
        <v>13</v>
      </c>
      <c r="AN155" s="96">
        <v>52</v>
      </c>
      <c r="AO155" s="96">
        <v>13</v>
      </c>
      <c r="AP155" s="96">
        <v>13</v>
      </c>
      <c r="AQ155" s="96">
        <v>13</v>
      </c>
      <c r="AR155" s="96">
        <v>13</v>
      </c>
      <c r="AS155" s="96">
        <v>52</v>
      </c>
      <c r="AT155" s="96">
        <v>13</v>
      </c>
      <c r="AU155" s="96">
        <v>13</v>
      </c>
      <c r="AV155" s="96">
        <v>13</v>
      </c>
      <c r="AW155" s="96">
        <v>13</v>
      </c>
      <c r="AX155" s="96">
        <v>52</v>
      </c>
      <c r="AY155" s="96">
        <v>13</v>
      </c>
      <c r="AZ155" s="96">
        <v>13</v>
      </c>
      <c r="BA155" s="96">
        <v>13</v>
      </c>
      <c r="BB155" s="96">
        <v>13</v>
      </c>
      <c r="BC155" s="96">
        <v>52</v>
      </c>
      <c r="BD155" s="96">
        <v>13</v>
      </c>
      <c r="BE155" s="96">
        <v>13</v>
      </c>
      <c r="BF155" s="96">
        <v>13</v>
      </c>
      <c r="BG155" s="96">
        <v>13</v>
      </c>
      <c r="BH155" s="96">
        <v>52</v>
      </c>
      <c r="BI155" s="96">
        <v>13</v>
      </c>
      <c r="BJ155" s="96">
        <v>13</v>
      </c>
      <c r="BK155" s="96">
        <v>13</v>
      </c>
      <c r="BL155" s="96">
        <v>13</v>
      </c>
      <c r="BM155" s="96">
        <v>52</v>
      </c>
      <c r="BN155" s="96">
        <v>13</v>
      </c>
      <c r="BO155" s="96">
        <v>13</v>
      </c>
      <c r="BP155" s="96">
        <v>13</v>
      </c>
      <c r="BQ155" s="96">
        <v>13</v>
      </c>
      <c r="BR155" s="96">
        <v>52</v>
      </c>
      <c r="BS155" s="96">
        <v>13</v>
      </c>
      <c r="BT155" s="96">
        <v>13</v>
      </c>
      <c r="BU155" s="96">
        <v>13</v>
      </c>
      <c r="BV155" s="96">
        <v>13</v>
      </c>
      <c r="BW155" s="96">
        <v>52</v>
      </c>
      <c r="BX155" s="96">
        <v>13</v>
      </c>
      <c r="BY155" s="96">
        <v>13</v>
      </c>
      <c r="BZ155" s="96">
        <v>13</v>
      </c>
      <c r="CA155" s="96">
        <v>13</v>
      </c>
      <c r="CB155" s="96">
        <v>52</v>
      </c>
      <c r="CC155" s="96">
        <v>13</v>
      </c>
      <c r="CD155" s="96">
        <v>13</v>
      </c>
      <c r="CE155" s="96">
        <v>13</v>
      </c>
      <c r="CF155" s="96">
        <v>13</v>
      </c>
      <c r="CG155" s="96">
        <v>52</v>
      </c>
      <c r="CH155" s="96">
        <v>13</v>
      </c>
      <c r="CI155" s="96">
        <v>13</v>
      </c>
      <c r="CJ155" s="871">
        <v>13</v>
      </c>
      <c r="CK155" s="871">
        <v>13</v>
      </c>
      <c r="CL155" s="96">
        <v>52</v>
      </c>
      <c r="CM155" s="96">
        <v>13</v>
      </c>
      <c r="CN155" s="96">
        <v>13</v>
      </c>
      <c r="CO155" s="871">
        <v>13</v>
      </c>
      <c r="CP155" s="871">
        <v>13</v>
      </c>
      <c r="CQ155" s="96">
        <v>52</v>
      </c>
      <c r="CR155" s="96">
        <v>13</v>
      </c>
      <c r="CS155" s="96">
        <v>13</v>
      </c>
      <c r="CT155" s="871">
        <v>13</v>
      </c>
      <c r="CU155" s="871">
        <v>13</v>
      </c>
      <c r="CV155" s="948">
        <v>52</v>
      </c>
      <c r="CW155" s="96">
        <v>13</v>
      </c>
      <c r="CX155" s="96">
        <v>13</v>
      </c>
      <c r="CY155" s="871">
        <v>13</v>
      </c>
      <c r="CZ155" s="871">
        <v>13</v>
      </c>
      <c r="DA155" s="948">
        <v>52</v>
      </c>
      <c r="DB155" s="96">
        <v>13</v>
      </c>
      <c r="DC155" s="1704">
        <v>13</v>
      </c>
      <c r="DD155" s="1704"/>
      <c r="DE155" s="871">
        <v>13</v>
      </c>
      <c r="DF155" s="948">
        <v>52</v>
      </c>
      <c r="DG155" s="871">
        <v>13</v>
      </c>
      <c r="DH155" s="871">
        <v>13</v>
      </c>
      <c r="DI155" s="871">
        <v>13</v>
      </c>
      <c r="DJ155" s="871">
        <v>13</v>
      </c>
      <c r="DK155" s="948">
        <v>52</v>
      </c>
      <c r="DL155" s="1781">
        <v>13</v>
      </c>
      <c r="DM155" s="96">
        <v>13</v>
      </c>
      <c r="DN155" s="96">
        <v>13</v>
      </c>
      <c r="DO155" s="1782">
        <v>13</v>
      </c>
      <c r="DP155" s="948">
        <v>52</v>
      </c>
      <c r="DQ155" s="1781">
        <v>13</v>
      </c>
      <c r="DR155" s="96">
        <v>13</v>
      </c>
      <c r="DS155" s="96">
        <v>13</v>
      </c>
      <c r="DT155" s="1782">
        <v>13</v>
      </c>
      <c r="DU155" s="948">
        <v>52</v>
      </c>
      <c r="DV155" s="1781">
        <v>13</v>
      </c>
      <c r="DW155" s="96">
        <v>13</v>
      </c>
      <c r="DX155" s="96">
        <v>13</v>
      </c>
      <c r="DY155" s="1782">
        <v>13</v>
      </c>
      <c r="DZ155" s="948">
        <v>52</v>
      </c>
      <c r="EA155" s="1781">
        <v>13</v>
      </c>
      <c r="EB155" s="96">
        <v>13</v>
      </c>
      <c r="EC155" s="96">
        <v>13</v>
      </c>
      <c r="ED155" s="1782">
        <v>13</v>
      </c>
      <c r="EE155" s="948">
        <v>52</v>
      </c>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row>
    <row r="156" spans="2:232" s="54" customFormat="1" ht="11.25" hidden="1" customHeight="1" outlineLevel="1">
      <c r="B156" s="553"/>
      <c r="C156" s="162"/>
      <c r="D156" s="872"/>
      <c r="E156" s="872"/>
      <c r="F156" s="320"/>
      <c r="G156" s="320"/>
      <c r="H156" s="338"/>
      <c r="I156" s="320"/>
      <c r="J156" s="320"/>
      <c r="K156" s="64"/>
      <c r="L156" s="64"/>
      <c r="M156" s="64"/>
      <c r="N156" s="64"/>
      <c r="O156" s="320"/>
      <c r="P156" s="64"/>
      <c r="Q156" s="64"/>
      <c r="R156" s="64"/>
      <c r="S156" s="64"/>
      <c r="T156" s="320"/>
      <c r="U156" s="64"/>
      <c r="V156" s="64"/>
      <c r="W156" s="64"/>
      <c r="X156" s="64"/>
      <c r="Y156" s="320"/>
      <c r="Z156" s="64"/>
      <c r="AA156" s="64"/>
      <c r="AB156" s="64"/>
      <c r="AC156" s="64"/>
      <c r="AD156" s="320"/>
      <c r="AE156" s="64"/>
      <c r="AF156" s="64"/>
      <c r="AG156" s="64"/>
      <c r="AH156" s="64"/>
      <c r="AI156" s="320"/>
      <c r="AJ156" s="64"/>
      <c r="AK156" s="64"/>
      <c r="AL156" s="64"/>
      <c r="AM156" s="64"/>
      <c r="AN156" s="320"/>
      <c r="AO156" s="64"/>
      <c r="AP156" s="64"/>
      <c r="AQ156" s="64"/>
      <c r="AR156" s="64"/>
      <c r="AS156" s="320"/>
      <c r="AT156" s="64"/>
      <c r="AU156" s="64"/>
      <c r="AV156" s="64"/>
      <c r="AW156" s="64"/>
      <c r="AX156" s="320"/>
      <c r="AY156" s="64"/>
      <c r="AZ156" s="64"/>
      <c r="BA156" s="64"/>
      <c r="BB156" s="64"/>
      <c r="BC156" s="320"/>
      <c r="BD156" s="64"/>
      <c r="BE156" s="64"/>
      <c r="BF156" s="64"/>
      <c r="BG156" s="64"/>
      <c r="BH156" s="320"/>
      <c r="BI156" s="64"/>
      <c r="BJ156" s="64"/>
      <c r="BK156" s="64"/>
      <c r="BL156" s="64"/>
      <c r="BM156" s="320"/>
      <c r="BN156" s="64"/>
      <c r="BO156" s="64"/>
      <c r="BP156" s="64"/>
      <c r="BQ156" s="64"/>
      <c r="BR156" s="320"/>
      <c r="BS156" s="64"/>
      <c r="BT156" s="64"/>
      <c r="BU156" s="64"/>
      <c r="BV156" s="64"/>
      <c r="BW156" s="320"/>
      <c r="BX156" s="64"/>
      <c r="BY156" s="64"/>
      <c r="BZ156" s="64"/>
      <c r="CA156" s="64"/>
      <c r="CB156" s="320"/>
      <c r="CC156" s="64"/>
      <c r="CD156" s="64"/>
      <c r="CE156" s="64"/>
      <c r="CF156" s="64"/>
      <c r="CG156" s="320"/>
      <c r="CH156" s="64"/>
      <c r="CI156" s="64"/>
      <c r="CJ156" s="62"/>
      <c r="CK156" s="62"/>
      <c r="CL156" s="320"/>
      <c r="CM156" s="64"/>
      <c r="CN156" s="64"/>
      <c r="CO156" s="62"/>
      <c r="CP156" s="62"/>
      <c r="CQ156" s="320"/>
      <c r="CR156" s="62"/>
      <c r="CS156" s="62"/>
      <c r="CT156" s="62"/>
      <c r="CU156" s="62"/>
      <c r="CV156" s="949"/>
      <c r="CW156" s="62"/>
      <c r="CX156" s="62"/>
      <c r="CY156" s="62"/>
      <c r="CZ156" s="62"/>
      <c r="DA156" s="949"/>
      <c r="DB156" s="62"/>
      <c r="DC156" s="62"/>
      <c r="DD156" s="62"/>
      <c r="DE156" s="62"/>
      <c r="DF156" s="949"/>
      <c r="DG156" s="62"/>
      <c r="DH156" s="62"/>
      <c r="DI156" s="62"/>
      <c r="DJ156" s="62"/>
      <c r="DK156" s="949"/>
      <c r="DL156" s="1302"/>
      <c r="DM156" s="320"/>
      <c r="DN156" s="320"/>
      <c r="DO156" s="1303"/>
      <c r="DP156" s="949"/>
      <c r="DQ156" s="1302"/>
      <c r="DR156" s="320"/>
      <c r="DS156" s="320"/>
      <c r="DT156" s="1303"/>
      <c r="DU156" s="949"/>
      <c r="DV156" s="1302"/>
      <c r="DW156" s="320"/>
      <c r="DX156" s="320"/>
      <c r="DY156" s="1303"/>
      <c r="DZ156" s="949"/>
      <c r="EA156" s="1302"/>
      <c r="EB156" s="320"/>
      <c r="EC156" s="320"/>
      <c r="ED156" s="1303"/>
      <c r="EE156" s="949"/>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row>
    <row r="157" spans="2:232" s="54" customFormat="1" ht="11.25" hidden="1" customHeight="1" outlineLevel="1">
      <c r="B157" s="553" t="s">
        <v>395</v>
      </c>
      <c r="C157" s="64"/>
      <c r="D157" s="64"/>
      <c r="E157" s="64"/>
      <c r="F157" s="64"/>
      <c r="G157" s="64"/>
      <c r="H157" s="77"/>
      <c r="I157" s="64"/>
      <c r="J157" s="64"/>
      <c r="K157" s="64"/>
      <c r="L157" s="64"/>
      <c r="M157" s="64"/>
      <c r="N157" s="64"/>
      <c r="O157" s="64"/>
      <c r="P157" s="64"/>
      <c r="Q157" s="64"/>
      <c r="R157" s="64"/>
      <c r="S157" s="64"/>
      <c r="T157" s="64"/>
      <c r="U157" s="64"/>
      <c r="V157" s="64"/>
      <c r="W157" s="64"/>
      <c r="X157" s="64"/>
      <c r="Y157" s="64"/>
      <c r="Z157" s="64"/>
      <c r="AA157" s="64"/>
      <c r="AB157" s="64"/>
      <c r="AC157" s="64"/>
      <c r="AD157" s="64"/>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4"/>
      <c r="BG157" s="64"/>
      <c r="BH157" s="64"/>
      <c r="BI157" s="64"/>
      <c r="BJ157" s="64"/>
      <c r="BK157" s="64"/>
      <c r="BL157" s="64"/>
      <c r="BM157" s="64"/>
      <c r="BN157" s="64"/>
      <c r="BO157" s="64"/>
      <c r="BP157" s="64"/>
      <c r="BQ157" s="64"/>
      <c r="BR157" s="170"/>
      <c r="BS157" s="64"/>
      <c r="BT157" s="64"/>
      <c r="BU157" s="64"/>
      <c r="BV157" s="64"/>
      <c r="BW157" s="80"/>
      <c r="BX157" s="64"/>
      <c r="BY157" s="64"/>
      <c r="BZ157" s="64"/>
      <c r="CA157" s="64"/>
      <c r="CB157" s="80"/>
      <c r="CC157" s="64"/>
      <c r="CD157" s="64"/>
      <c r="CE157" s="64"/>
      <c r="CF157" s="64"/>
      <c r="CG157" s="64"/>
      <c r="CH157" s="64"/>
      <c r="CI157" s="64"/>
      <c r="CJ157" s="62"/>
      <c r="CK157" s="62"/>
      <c r="CL157" s="64"/>
      <c r="CM157" s="64"/>
      <c r="CN157" s="64"/>
      <c r="CO157" s="62"/>
      <c r="CP157" s="62"/>
      <c r="CQ157" s="64"/>
      <c r="CR157" s="62"/>
      <c r="CS157" s="62"/>
      <c r="CT157" s="62"/>
      <c r="CU157" s="62"/>
      <c r="CV157" s="619"/>
      <c r="CW157" s="62"/>
      <c r="CX157" s="62"/>
      <c r="CY157" s="62"/>
      <c r="CZ157" s="62"/>
      <c r="DA157" s="619"/>
      <c r="DB157" s="62"/>
      <c r="DC157" s="62"/>
      <c r="DD157" s="62"/>
      <c r="DE157" s="62"/>
      <c r="DF157" s="619"/>
      <c r="DG157" s="62"/>
      <c r="DH157" s="62"/>
      <c r="DI157" s="62"/>
      <c r="DJ157" s="62"/>
      <c r="DK157" s="619"/>
      <c r="DL157" s="538"/>
      <c r="DM157" s="64"/>
      <c r="DN157" s="64"/>
      <c r="DO157" s="539"/>
      <c r="DP157" s="619"/>
      <c r="DQ157" s="538"/>
      <c r="DR157" s="64"/>
      <c r="DS157" s="64"/>
      <c r="DT157" s="539"/>
      <c r="DU157" s="619"/>
      <c r="DV157" s="538"/>
      <c r="DW157" s="64"/>
      <c r="DX157" s="64"/>
      <c r="DY157" s="539"/>
      <c r="DZ157" s="619"/>
      <c r="EA157" s="538"/>
      <c r="EB157" s="64"/>
      <c r="EC157" s="64"/>
      <c r="ED157" s="539"/>
      <c r="EE157" s="619"/>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row>
    <row r="158" spans="2:232" s="54" customFormat="1" ht="11.25" hidden="1" customHeight="1" outlineLevel="1">
      <c r="B158" s="561" t="s">
        <v>396</v>
      </c>
      <c r="C158" s="64"/>
      <c r="D158" s="64"/>
      <c r="E158" s="64"/>
      <c r="F158" s="64"/>
      <c r="G158" s="64"/>
      <c r="H158" s="77"/>
      <c r="I158" s="64"/>
      <c r="J158" s="64"/>
      <c r="K158" s="64"/>
      <c r="L158" s="64"/>
      <c r="M158" s="64"/>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96">
        <f>'US Retail'!BC32*1000000/BC152</f>
        <v>100351.91281643773</v>
      </c>
      <c r="BD158" s="64"/>
      <c r="BE158" s="64"/>
      <c r="BF158" s="64"/>
      <c r="BG158" s="64"/>
      <c r="BH158" s="96">
        <f>'US Retail'!BH32*1000000/BH152</f>
        <v>102653.3822758259</v>
      </c>
      <c r="BI158" s="64"/>
      <c r="BJ158" s="64"/>
      <c r="BK158" s="64"/>
      <c r="BL158" s="64"/>
      <c r="BM158" s="96">
        <f>'US Retail'!BM32*1000000/BM152</f>
        <v>101786.05723065104</v>
      </c>
      <c r="BN158" s="64"/>
      <c r="BO158" s="64"/>
      <c r="BP158" s="64"/>
      <c r="BQ158" s="64">
        <f>SUM('US Retail'!BN32:BQ32)*1000000/(AVERAGE(BQ151,BL151))</f>
        <v>101832.7805899808</v>
      </c>
      <c r="BR158" s="96">
        <f>'US Retail'!BR32*1000000/BR152</f>
        <v>101832.7805899808</v>
      </c>
      <c r="BS158" s="64">
        <f>SUM('US Retail'!BO32:BQ32,'US Retail'!BS32)*1000000/(AVERAGE(BS151,BN151))</f>
        <v>102221.83947640372</v>
      </c>
      <c r="BT158" s="64">
        <f>SUM('US Retail'!BP32:BQ32,'US Retail'!BS32:BT32)*1000000/(AVERAGE(BT151,BO151))</f>
        <v>102548.85301614273</v>
      </c>
      <c r="BU158" s="64">
        <f>SUM('US Retail'!BQ32,'US Retail'!BS32:BU32)*1000000/(AVERAGE(BU151,BP151))</f>
        <v>101891.19386819961</v>
      </c>
      <c r="BV158" s="64">
        <f>SUM('US Retail'!BS32:BV32)*1000000/(AVERAGE(BV151,BQ151))</f>
        <v>99196.141479099679</v>
      </c>
      <c r="BW158" s="96">
        <f>'US Retail'!BW32*1000000/BW152</f>
        <v>99196.141479099679</v>
      </c>
      <c r="BX158" s="64">
        <f>SUM('US Retail'!BT32:BV32,'US Retail'!BX32)*1000000/(AVERAGE(BX151,BS151))</f>
        <v>99123.505976095621</v>
      </c>
      <c r="BY158" s="64">
        <f>SUM('US Retail'!BU32:BV32,'US Retail'!BX32:BY32)*1000000/(AVERAGE(BY151,BT151))</f>
        <v>98689.887816741189</v>
      </c>
      <c r="BZ158" s="64">
        <f>SUM('US Retail'!BV32,'US Retail'!BX32:BZ32)*1000000/(AVERAGE(BZ151,BU151))</f>
        <v>98535.080956052436</v>
      </c>
      <c r="CA158" s="64">
        <f>SUM('US Retail'!BX32:CA32)*1000000/(AVERAGE(CA151,BV151))</f>
        <v>97997.892518440465</v>
      </c>
      <c r="CB158" s="96">
        <f>'US Retail'!CB32*1000000/CB152</f>
        <v>96882.208497656073</v>
      </c>
      <c r="CC158" s="64">
        <f>SUM('US Retail'!BY32:CA32,'US Retail'!CC32)*1000000/(AVERAGE(CC151,BX151))</f>
        <v>99583.209288478713</v>
      </c>
      <c r="CD158" s="64">
        <f>SUM('US Retail'!BZ32:CA32,'US Retail'!CC32:CD32)*1000000/(AVERAGE(CD151,BY151))</f>
        <v>99295.981226166026</v>
      </c>
      <c r="CE158" s="64">
        <f>SUM('US Retail'!CA32,'US Retail'!CC32:CE32)*1000000/(AVERAGE(CE151,BZ151))</f>
        <v>99161.607400982946</v>
      </c>
      <c r="CF158" s="64">
        <f>SUM('US Retail'!CC32:CF32)*1000000/(AVERAGE(CF151,CA151))</f>
        <v>98864.594903068806</v>
      </c>
      <c r="CG158" s="96">
        <f>'US Retail'!CG32*1000000/CG152</f>
        <v>94924.10193007761</v>
      </c>
      <c r="CH158" s="64">
        <f>SUM('US Retail'!CD32:CF32,'US Retail'!CH32)*1000000/(AVERAGE(CH151,CC151))</f>
        <v>98256.880442743277</v>
      </c>
      <c r="CI158" s="64">
        <f>SUM('US Retail'!CE32:CF32,'US Retail'!CH32:CI32)*1000000/(AVERAGE(CI151,CD151))</f>
        <v>97965.03805910451</v>
      </c>
      <c r="CJ158" s="64">
        <f>SUM('US Retail'!CF32,'US Retail'!CH32:CJ32)*1000000/(AVERAGE(CJ151,CE151))</f>
        <v>97596.912928830352</v>
      </c>
      <c r="CK158" s="64">
        <f>SUM('US Retail'!CH32:CK32)*1000000/(AVERAGE(CK151,CF151))</f>
        <v>96466.478570468884</v>
      </c>
      <c r="CL158" s="96">
        <f>'US Retail'!CL32*1000000/CL152</f>
        <v>93709.214304359164</v>
      </c>
      <c r="CM158" s="64">
        <f>SUM('US Retail'!CI32:CK32,'US Retail'!CM32)*1000000/(AVERAGE(CM151,CH151))</f>
        <v>95395.325000205485</v>
      </c>
      <c r="CN158" s="64">
        <f>SUM('US Retail'!CJ32:CK32,'US Retail'!CM32:CN32)*1000000/(AVERAGE(CN151,CI151))</f>
        <v>92355.54982247694</v>
      </c>
      <c r="CO158" s="64">
        <f>SUM('US Retail'!CK32,'US Retail'!CM32:CO32)*1000000/(AVERAGE(CO151,CJ151))</f>
        <v>88387.390366914347</v>
      </c>
      <c r="CP158" s="64">
        <f>SUM('US Retail'!CM32:CP32)*1000000/(AVERAGE(CP151,CK151))</f>
        <v>84713.346890350222</v>
      </c>
      <c r="CQ158" s="96">
        <f>'US Retail'!CQ32*1000000/CQ152</f>
        <v>84686.352643045931</v>
      </c>
      <c r="CR158" s="64">
        <f>SUM('US Retail'!CN32:CP32,'US Retail'!CR32)*1000000/(AVERAGE(CR151,CM151))</f>
        <v>82803.181765640169</v>
      </c>
      <c r="CS158" s="64">
        <f>SUM('US Retail'!CO32:CP32,'US Retail'!CR32:CS32)*1000000/(AVERAGE(CS151,CN151))</f>
        <v>82672.391074883752</v>
      </c>
      <c r="CT158" s="64">
        <f>SUM('US Retail'!CP32,'US Retail'!CR32:CT32)*1000000/(AVERAGE(CT151,CO151))</f>
        <v>83065.044826103098</v>
      </c>
      <c r="CU158" s="64">
        <f>SUM('US Retail'!CR32:CU32)*1000000/(AVERAGE(CU151,CP151))</f>
        <v>82999.716931537856</v>
      </c>
      <c r="CV158" s="948">
        <f>'US Retail'!CV32*1000000/CV152</f>
        <v>85275.66579417506</v>
      </c>
      <c r="CW158" s="64">
        <f>SUM('US Retail'!CS32:CU32,'US Retail'!CW32)*1000000/(AVERAGE(CW151,CR151))</f>
        <v>83277.196984600407</v>
      </c>
      <c r="CX158" s="64">
        <f>SUM('US Retail'!CT32:CU32,'US Retail'!CW32:CX32)*1000000/(AVERAGE(CX151,CS151))</f>
        <v>82706.806286149236</v>
      </c>
      <c r="CY158" s="64">
        <f>SUM('US Retail'!CU32,'US Retail'!CW32:CY32)*1000000/(AVERAGE(CY151,CT151))</f>
        <v>82440.070193277308</v>
      </c>
      <c r="CZ158" s="64">
        <f>SUM('US Retail'!CW32:CZ32)*1000000/(AVERAGE(CZ151,CU151))</f>
        <v>81898.311632305515</v>
      </c>
      <c r="DA158" s="948">
        <f>'US Retail'!DA32*1000000/DA152</f>
        <v>86730.026029285858</v>
      </c>
      <c r="DB158" s="64">
        <f>SUM('US Retail'!CX32:CZ32,'US Retail'!DB32)*1000000/(AVERAGE(DB151,CW151))</f>
        <v>81889.377216148612</v>
      </c>
      <c r="DC158" s="64">
        <f>SUM('US Retail'!CY32:CZ32,'US Retail'!DB32:DC32)*1000000/(AVERAGE(DC151,CX151))</f>
        <v>81725.861172057295</v>
      </c>
      <c r="DD158" s="64"/>
      <c r="DE158" s="64">
        <f>SUM('US Retail'!DB32:DE32)*1000000/(AVERAGE(DE151,CZ151))</f>
        <v>81048.01648952275</v>
      </c>
      <c r="DF158" s="948">
        <f>'US Retail'!DF32*1000000/DF152</f>
        <v>89489.281210592701</v>
      </c>
      <c r="DG158" s="64">
        <f>SUM('US Retail'!DD32:DG32)*1000000/(AVERAGE(DG151,DB151))</f>
        <v>141420.77102039201</v>
      </c>
      <c r="DH158" s="64">
        <f>SUM('US Retail'!DE32:DH32)*1000000/(AVERAGE(DH151,DC151))</f>
        <v>140509.03613386498</v>
      </c>
      <c r="DI158" s="64">
        <f>SUM('US Retail'!DF32:DI32)*1000000/(AVERAGE(DI151,DD151))</f>
        <v>3264670.0819672132</v>
      </c>
      <c r="DJ158" s="64">
        <f>SUM('US Retail'!DG32:DJ32)*1000000/(AVERAGE(DJ151,DE151))</f>
        <v>80595.740100655705</v>
      </c>
      <c r="DK158" s="948">
        <f>'US Retail'!DK32*1000000/DK152</f>
        <v>93108.095641117179</v>
      </c>
      <c r="DL158" s="1781">
        <f>SUM('US Retail'!DI32:DL32)*1000000/(AVERAGE(DL151,DG151))</f>
        <v>140424.18334200254</v>
      </c>
      <c r="DM158" s="96">
        <f>SUM('US Retail'!DJ32:DM32)*1000000/(AVERAGE(DM151,DH151))</f>
        <v>139961.27479555071</v>
      </c>
      <c r="DN158" s="96">
        <f>SUM('US Retail'!DK32:DN32)*1000000/(AVERAGE(DN151,DI151))</f>
        <v>2278688.524590164</v>
      </c>
      <c r="DO158" s="1782">
        <f>SUM('US Retail'!DL32:DO32)*1000000/(AVERAGE(DO151,DJ151))</f>
        <v>82416.896088257781</v>
      </c>
      <c r="DP158" s="948">
        <f>'US Retail'!DP32*1000000/DP152</f>
        <v>99635.164357248999</v>
      </c>
      <c r="DQ158" s="1781">
        <f>SUM('US Retail'!DN32:DQ32)*1000000/(AVERAGE(DQ151,DL151))</f>
        <v>145066.59526147193</v>
      </c>
      <c r="DR158" s="96">
        <f ca="1">SUM('US Retail'!DO32:DR32)*1000000/(AVERAGE(DR151,DM151))</f>
        <v>145804.95639223061</v>
      </c>
      <c r="DS158" s="96">
        <f ca="1">SUM('US Retail'!DP32:DS32)*1000000/(AVERAGE(DS151,DN151))</f>
        <v>1492977.218767667</v>
      </c>
      <c r="DT158" s="1782">
        <f ca="1">SUM('US Retail'!DQ32:DT32)*1000000/(AVERAGE(DT151,DO151))</f>
        <v>88553.286842558125</v>
      </c>
      <c r="DU158" s="948">
        <f ca="1">'US Retail'!DU32*1000000/DU152</f>
        <v>100176.85318110583</v>
      </c>
      <c r="DV158" s="1781">
        <f ca="1">SUM('US Retail'!DS32:DV32)*1000000/(AVERAGE(DV151,DQ151))</f>
        <v>155941.96906929481</v>
      </c>
      <c r="DW158" s="96">
        <f ca="1">SUM('US Retail'!DT32:DW32)*1000000/(AVERAGE(DW151,DR151))</f>
        <v>154530.61311351717</v>
      </c>
      <c r="DX158" s="96">
        <f ca="1">SUM('US Retail'!DU32:DX32)*1000000/(AVERAGE(DX151,DS151))</f>
        <v>1163833.6760478099</v>
      </c>
      <c r="DY158" s="1782">
        <f ca="1">SUM('US Retail'!DV32:DY32)*1000000/(AVERAGE(DY151,DT151))</f>
        <v>89697.698309602813</v>
      </c>
      <c r="DZ158" s="948">
        <f ca="1">'US Retail'!DZ32*1000000/DZ152</f>
        <v>97413.530929500281</v>
      </c>
      <c r="EA158" s="1781">
        <f ca="1">SUM('US Retail'!DX32:EA32)*1000000/(AVERAGE(EA151,DV151))</f>
        <v>156562.33202261903</v>
      </c>
      <c r="EB158" s="96">
        <f ca="1">SUM('US Retail'!DY32:EB32)*1000000/(AVERAGE(EB151,DW151))</f>
        <v>155193.56142950433</v>
      </c>
      <c r="EC158" s="96">
        <f ca="1">SUM('US Retail'!DZ32:EC32)*1000000/(AVERAGE(EC151,DX151))</f>
        <v>944034.52800499531</v>
      </c>
      <c r="ED158" s="1782">
        <f ca="1">SUM('US Retail'!EA32:ED32)*1000000/(AVERAGE(ED151,DY151))</f>
        <v>89181.221688233927</v>
      </c>
      <c r="EE158" s="948">
        <f ca="1">'US Retail'!EE32*1000000/EE152</f>
        <v>102945.51101271805</v>
      </c>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row>
    <row r="159" spans="2:232" s="54" customFormat="1" ht="11.25" hidden="1" customHeight="1" outlineLevel="1">
      <c r="B159" s="561" t="s">
        <v>397</v>
      </c>
      <c r="C159" s="64"/>
      <c r="D159" s="64"/>
      <c r="E159" s="64"/>
      <c r="F159" s="64"/>
      <c r="G159" s="64"/>
      <c r="H159" s="77"/>
      <c r="I159" s="64"/>
      <c r="J159" s="64"/>
      <c r="K159" s="64"/>
      <c r="L159" s="64"/>
      <c r="M159" s="64"/>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96">
        <f>'US Retail'!BC32*1000000/BC152/BC155</f>
        <v>1929.8444772391872</v>
      </c>
      <c r="BD159" s="64"/>
      <c r="BE159" s="64"/>
      <c r="BF159" s="64"/>
      <c r="BG159" s="64"/>
      <c r="BH159" s="96">
        <f>'US Retail'!BH32*1000000/BH152/BH155</f>
        <v>1974.1035053043443</v>
      </c>
      <c r="BI159" s="64"/>
      <c r="BJ159" s="64"/>
      <c r="BK159" s="64"/>
      <c r="BL159" s="64"/>
      <c r="BM159" s="96">
        <f>'US Retail'!BM32*1000000/BM152/BM155</f>
        <v>1957.4241775125201</v>
      </c>
      <c r="BN159" s="64"/>
      <c r="BO159" s="64"/>
      <c r="BP159" s="64"/>
      <c r="BQ159" s="64">
        <f>BQ158/52</f>
        <v>1958.322703653477</v>
      </c>
      <c r="BR159" s="96">
        <f>'US Retail'!BR32*1000000/BR152/BR155</f>
        <v>1958.322703653477</v>
      </c>
      <c r="BS159" s="64">
        <f>BS158/52</f>
        <v>1965.8046053154562</v>
      </c>
      <c r="BT159" s="64">
        <f>BT158/52</f>
        <v>1972.0933272335142</v>
      </c>
      <c r="BU159" s="64">
        <f>BU158/52</f>
        <v>1959.4460359269156</v>
      </c>
      <c r="BV159" s="64">
        <f>BV158/52</f>
        <v>1907.6181053673015</v>
      </c>
      <c r="BW159" s="96">
        <f>'US Retail'!BW32*1000000/BW152/BW155</f>
        <v>1907.6181053673015</v>
      </c>
      <c r="BX159" s="64">
        <f>BX158/52</f>
        <v>1906.2212687710696</v>
      </c>
      <c r="BY159" s="64">
        <f>BY158/52</f>
        <v>1897.8824580142536</v>
      </c>
      <c r="BZ159" s="64">
        <f>BZ158/52</f>
        <v>1894.9054030010084</v>
      </c>
      <c r="CA159" s="64">
        <f>CA158/52</f>
        <v>1884.5748561238552</v>
      </c>
      <c r="CB159" s="96">
        <f>'US Retail'!CB32*1000000/CB152/CB155</f>
        <v>1863.1193941856936</v>
      </c>
      <c r="CC159" s="64">
        <f>CC158/52</f>
        <v>1915.0617170861292</v>
      </c>
      <c r="CD159" s="64">
        <f>CD158/52</f>
        <v>1909.5381005031927</v>
      </c>
      <c r="CE159" s="64">
        <f>CE158/52</f>
        <v>1906.9539884804412</v>
      </c>
      <c r="CF159" s="64">
        <f>CF158/52</f>
        <v>1901.2422096744001</v>
      </c>
      <c r="CG159" s="96">
        <f>'US Retail'!CG32*1000000/CG152/CG155</f>
        <v>1825.4634986553388</v>
      </c>
      <c r="CH159" s="64">
        <f>CH158/52</f>
        <v>1889.5553931296784</v>
      </c>
      <c r="CI159" s="64">
        <f>CI158/52</f>
        <v>1883.9430395981638</v>
      </c>
      <c r="CJ159" s="64">
        <f>CJ158/52</f>
        <v>1876.8637101698146</v>
      </c>
      <c r="CK159" s="64">
        <f>CK158/52</f>
        <v>1855.1245878936325</v>
      </c>
      <c r="CL159" s="96">
        <f>'US Retail'!CL32*1000000/CL152/CL155</f>
        <v>1802.1002750838302</v>
      </c>
      <c r="CM159" s="64">
        <f>CM158/52</f>
        <v>1834.5254807731824</v>
      </c>
      <c r="CN159" s="64">
        <f>CN158/52</f>
        <v>1776.0682658168641</v>
      </c>
      <c r="CO159" s="64">
        <f>CO158/52</f>
        <v>1699.7575070560451</v>
      </c>
      <c r="CP159" s="64">
        <f>CP158/52</f>
        <v>1629.1028248144273</v>
      </c>
      <c r="CQ159" s="96">
        <f>'US Retail'!CQ32*1000000/CQ152/CQ155</f>
        <v>1628.5837046739603</v>
      </c>
      <c r="CR159" s="64">
        <f>CR158/52</f>
        <v>1592.3688801084647</v>
      </c>
      <c r="CS159" s="64">
        <f>CS158/52</f>
        <v>1589.8536745169952</v>
      </c>
      <c r="CT159" s="64">
        <f>CT158/52</f>
        <v>1597.4047081942904</v>
      </c>
      <c r="CU159" s="64">
        <f>CU158/52</f>
        <v>1596.1484025295742</v>
      </c>
      <c r="CV159" s="948">
        <f>'US Retail'!CV32*1000000/CV152/CV155</f>
        <v>1639.916649887982</v>
      </c>
      <c r="CW159" s="64">
        <f>CW158/52</f>
        <v>1601.4845573961616</v>
      </c>
      <c r="CX159" s="64">
        <f>CX158/52</f>
        <v>1590.5155055028699</v>
      </c>
      <c r="CY159" s="64">
        <f>CY158/52</f>
        <v>1585.3859652553328</v>
      </c>
      <c r="CZ159" s="64">
        <f>CZ158/52</f>
        <v>1574.9675313904906</v>
      </c>
      <c r="DA159" s="948">
        <f>'US Retail'!DA32*1000000/DA152/DA155</f>
        <v>1667.8851159478049</v>
      </c>
      <c r="DB159" s="64">
        <f>DB158/52</f>
        <v>1574.7957156951657</v>
      </c>
      <c r="DC159" s="64">
        <f>DC158/52</f>
        <v>1571.6511763857172</v>
      </c>
      <c r="DD159" s="64"/>
      <c r="DE159" s="64">
        <f>DE158/52</f>
        <v>1558.6157017215914</v>
      </c>
      <c r="DF159" s="948">
        <f>'US Retail'!DF32*1000000/DF152/DF155</f>
        <v>1720.9477155883212</v>
      </c>
      <c r="DG159" s="64">
        <f>DG158/52</f>
        <v>2719.6302119306156</v>
      </c>
      <c r="DH159" s="64">
        <f>DH158/52</f>
        <v>2702.0968487281725</v>
      </c>
      <c r="DI159" s="64">
        <f>DI158/52</f>
        <v>62782.116960907944</v>
      </c>
      <c r="DJ159" s="64">
        <f>DJ158/52</f>
        <v>1549.9180788587635</v>
      </c>
      <c r="DK159" s="948">
        <f>'US Retail'!DK32*1000000/DK152/DK155</f>
        <v>1790.540300790715</v>
      </c>
      <c r="DL159" s="1781">
        <f>DL158/52</f>
        <v>2700.4650642692795</v>
      </c>
      <c r="DM159" s="96">
        <f>DM158/52</f>
        <v>2691.5629768375138</v>
      </c>
      <c r="DN159" s="96">
        <f>DN158/52</f>
        <v>43820.933165195464</v>
      </c>
      <c r="DO159" s="1782">
        <f>DO158/52</f>
        <v>1584.9403093895728</v>
      </c>
      <c r="DP159" s="948">
        <f>'US Retail'!DP32*1000000/DP152/DP155</f>
        <v>1916.0608530240193</v>
      </c>
      <c r="DQ159" s="1781">
        <f>DQ158/52</f>
        <v>2789.7422165667676</v>
      </c>
      <c r="DR159" s="96">
        <f ca="1">DR158/52</f>
        <v>2803.9414690813578</v>
      </c>
      <c r="DS159" s="96">
        <f ca="1">DS158/52</f>
        <v>28711.100360916673</v>
      </c>
      <c r="DT159" s="1782">
        <f ca="1">DT158/52</f>
        <v>1702.9478238953486</v>
      </c>
      <c r="DU159" s="948">
        <f ca="1">'US Retail'!DU32*1000000/DU152/DU155</f>
        <v>1926.4779457904967</v>
      </c>
      <c r="DV159" s="1781">
        <f ca="1">DV158/52</f>
        <v>2998.8840205633614</v>
      </c>
      <c r="DW159" s="96">
        <f ca="1">DW158/52</f>
        <v>2971.7425598753302</v>
      </c>
      <c r="DX159" s="96">
        <f ca="1">DX158/52</f>
        <v>22381.416847073266</v>
      </c>
      <c r="DY159" s="1782">
        <f ca="1">DY158/52</f>
        <v>1724.9557367231309</v>
      </c>
      <c r="DZ159" s="948">
        <f ca="1">'US Retail'!DZ32*1000000/DZ152/DZ155</f>
        <v>1873.3371332596207</v>
      </c>
      <c r="EA159" s="1781">
        <f ca="1">EA158/52</f>
        <v>3010.8140773580581</v>
      </c>
      <c r="EB159" s="96">
        <f ca="1">EB158/52</f>
        <v>2984.4915659520066</v>
      </c>
      <c r="EC159" s="96">
        <f ca="1">EC158/52</f>
        <v>18154.510153942218</v>
      </c>
      <c r="ED159" s="1782">
        <f ca="1">ED158/52</f>
        <v>1715.0234940044986</v>
      </c>
      <c r="EE159" s="948">
        <f ca="1">'US Retail'!EE32*1000000/EE152/EE155</f>
        <v>1979.7213656291933</v>
      </c>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row>
    <row r="160" spans="2:232" s="54" customFormat="1" ht="12" hidden="1" customHeight="1" outlineLevel="1" thickBot="1">
      <c r="B160" s="874" t="s">
        <v>68</v>
      </c>
      <c r="C160" s="581"/>
      <c r="D160" s="581"/>
      <c r="E160" s="581"/>
      <c r="F160" s="581"/>
      <c r="G160" s="581"/>
      <c r="H160" s="597"/>
      <c r="I160" s="581"/>
      <c r="J160" s="581"/>
      <c r="K160" s="581"/>
      <c r="L160" s="581"/>
      <c r="M160" s="581"/>
      <c r="N160" s="581"/>
      <c r="O160" s="581"/>
      <c r="P160" s="581"/>
      <c r="Q160" s="581"/>
      <c r="R160" s="581"/>
      <c r="S160" s="581"/>
      <c r="T160" s="581"/>
      <c r="U160" s="581"/>
      <c r="V160" s="581"/>
      <c r="W160" s="581"/>
      <c r="X160" s="581"/>
      <c r="Y160" s="581"/>
      <c r="Z160" s="581"/>
      <c r="AA160" s="581"/>
      <c r="AB160" s="581"/>
      <c r="AC160" s="581"/>
      <c r="AD160" s="581"/>
      <c r="AE160" s="581"/>
      <c r="AF160" s="581"/>
      <c r="AG160" s="581"/>
      <c r="AH160" s="581"/>
      <c r="AI160" s="581"/>
      <c r="AJ160" s="581"/>
      <c r="AK160" s="581"/>
      <c r="AL160" s="581"/>
      <c r="AM160" s="581"/>
      <c r="AN160" s="581"/>
      <c r="AO160" s="581"/>
      <c r="AP160" s="581"/>
      <c r="AQ160" s="581"/>
      <c r="AR160" s="581"/>
      <c r="AS160" s="581"/>
      <c r="AT160" s="581"/>
      <c r="AU160" s="581"/>
      <c r="AV160" s="581"/>
      <c r="AW160" s="581"/>
      <c r="AX160" s="581"/>
      <c r="AY160" s="581"/>
      <c r="AZ160" s="581"/>
      <c r="BA160" s="581"/>
      <c r="BB160" s="581"/>
      <c r="BC160" s="875">
        <f>BC159/7</f>
        <v>275.69206817702673</v>
      </c>
      <c r="BD160" s="581"/>
      <c r="BE160" s="581"/>
      <c r="BF160" s="581"/>
      <c r="BG160" s="581"/>
      <c r="BH160" s="875">
        <f>BH159/7</f>
        <v>282.0147864720492</v>
      </c>
      <c r="BI160" s="581"/>
      <c r="BJ160" s="581"/>
      <c r="BK160" s="581"/>
      <c r="BL160" s="581"/>
      <c r="BM160" s="875">
        <f>BM159/7</f>
        <v>279.63202535893146</v>
      </c>
      <c r="BN160" s="581"/>
      <c r="BO160" s="581"/>
      <c r="BP160" s="581"/>
      <c r="BQ160" s="581">
        <f t="shared" ref="BQ160:DF160" si="517">BQ159/7</f>
        <v>279.76038623621099</v>
      </c>
      <c r="BR160" s="875">
        <f t="shared" si="517"/>
        <v>279.76038623621099</v>
      </c>
      <c r="BS160" s="581">
        <f t="shared" si="517"/>
        <v>280.82922933077947</v>
      </c>
      <c r="BT160" s="581">
        <f t="shared" si="517"/>
        <v>281.72761817621631</v>
      </c>
      <c r="BU160" s="581">
        <f t="shared" si="517"/>
        <v>279.92086227527363</v>
      </c>
      <c r="BV160" s="581">
        <f t="shared" si="517"/>
        <v>272.5168721953288</v>
      </c>
      <c r="BW160" s="875">
        <f t="shared" si="517"/>
        <v>272.5168721953288</v>
      </c>
      <c r="BX160" s="581">
        <f t="shared" si="517"/>
        <v>272.31732411015281</v>
      </c>
      <c r="BY160" s="581">
        <f t="shared" si="517"/>
        <v>271.12606543060764</v>
      </c>
      <c r="BZ160" s="581">
        <f t="shared" si="517"/>
        <v>270.7007718572869</v>
      </c>
      <c r="CA160" s="581">
        <f t="shared" si="517"/>
        <v>269.22497944626502</v>
      </c>
      <c r="CB160" s="875">
        <f t="shared" si="517"/>
        <v>266.15991345509912</v>
      </c>
      <c r="CC160" s="581">
        <f t="shared" si="517"/>
        <v>273.58024529801844</v>
      </c>
      <c r="CD160" s="581">
        <f t="shared" si="517"/>
        <v>272.79115721474182</v>
      </c>
      <c r="CE160" s="581">
        <f t="shared" si="517"/>
        <v>272.42199835434877</v>
      </c>
      <c r="CF160" s="581">
        <f t="shared" si="517"/>
        <v>271.60602995348574</v>
      </c>
      <c r="CG160" s="875">
        <f t="shared" si="517"/>
        <v>260.78049980790553</v>
      </c>
      <c r="CH160" s="581">
        <f t="shared" si="517"/>
        <v>269.93648473281121</v>
      </c>
      <c r="CI160" s="581">
        <f t="shared" si="517"/>
        <v>269.13471994259481</v>
      </c>
      <c r="CJ160" s="581">
        <f t="shared" si="517"/>
        <v>268.12338716711639</v>
      </c>
      <c r="CK160" s="581">
        <f t="shared" si="517"/>
        <v>265.01779827051894</v>
      </c>
      <c r="CL160" s="875">
        <f t="shared" si="517"/>
        <v>257.44289644054714</v>
      </c>
      <c r="CM160" s="581">
        <f t="shared" si="517"/>
        <v>262.07506868188318</v>
      </c>
      <c r="CN160" s="581">
        <f t="shared" si="517"/>
        <v>253.72403797383774</v>
      </c>
      <c r="CO160" s="581">
        <f t="shared" si="517"/>
        <v>242.82250100800644</v>
      </c>
      <c r="CP160" s="581">
        <f t="shared" si="517"/>
        <v>232.72897497348961</v>
      </c>
      <c r="CQ160" s="875">
        <f t="shared" si="517"/>
        <v>232.65481495342289</v>
      </c>
      <c r="CR160" s="581">
        <f t="shared" si="517"/>
        <v>227.48126858692353</v>
      </c>
      <c r="CS160" s="581">
        <f t="shared" si="517"/>
        <v>227.12195350242789</v>
      </c>
      <c r="CT160" s="581">
        <f t="shared" si="517"/>
        <v>228.20067259918434</v>
      </c>
      <c r="CU160" s="581">
        <f t="shared" si="517"/>
        <v>228.02120036136776</v>
      </c>
      <c r="CV160" s="951">
        <f t="shared" si="517"/>
        <v>234.27380712685456</v>
      </c>
      <c r="CW160" s="581">
        <f t="shared" si="517"/>
        <v>228.78350819945166</v>
      </c>
      <c r="CX160" s="581">
        <f t="shared" si="517"/>
        <v>227.21650078612427</v>
      </c>
      <c r="CY160" s="581">
        <f t="shared" si="517"/>
        <v>226.48370932219041</v>
      </c>
      <c r="CZ160" s="581">
        <f t="shared" si="517"/>
        <v>224.99536162721296</v>
      </c>
      <c r="DA160" s="951">
        <f t="shared" si="517"/>
        <v>238.26930227825784</v>
      </c>
      <c r="DB160" s="581">
        <f t="shared" si="517"/>
        <v>224.9708165278808</v>
      </c>
      <c r="DC160" s="581">
        <f t="shared" si="517"/>
        <v>224.52159662653102</v>
      </c>
      <c r="DD160" s="581"/>
      <c r="DE160" s="581">
        <f t="shared" si="517"/>
        <v>222.65938596022735</v>
      </c>
      <c r="DF160" s="951">
        <f t="shared" si="517"/>
        <v>245.84967365547445</v>
      </c>
      <c r="DG160" s="581">
        <f t="shared" ref="DG160:DU160" si="518">DG159/7</f>
        <v>388.51860170437368</v>
      </c>
      <c r="DH160" s="581">
        <f t="shared" si="518"/>
        <v>386.01383553259609</v>
      </c>
      <c r="DI160" s="581">
        <f t="shared" si="518"/>
        <v>8968.8738515582772</v>
      </c>
      <c r="DJ160" s="581">
        <f t="shared" si="518"/>
        <v>221.41686840839478</v>
      </c>
      <c r="DK160" s="951">
        <f t="shared" si="518"/>
        <v>255.79147154153071</v>
      </c>
      <c r="DL160" s="1785">
        <f t="shared" si="518"/>
        <v>385.78072346703993</v>
      </c>
      <c r="DM160" s="875">
        <f t="shared" si="518"/>
        <v>384.50899669107338</v>
      </c>
      <c r="DN160" s="875">
        <f t="shared" si="518"/>
        <v>6260.1333093136373</v>
      </c>
      <c r="DO160" s="1786">
        <f t="shared" ref="DO160" si="519">DO159/7</f>
        <v>226.4200441985104</v>
      </c>
      <c r="DP160" s="951">
        <f t="shared" si="518"/>
        <v>273.72297900343131</v>
      </c>
      <c r="DQ160" s="1785">
        <f t="shared" si="518"/>
        <v>398.5346023666811</v>
      </c>
      <c r="DR160" s="875">
        <f t="shared" ca="1" si="518"/>
        <v>400.56306701162254</v>
      </c>
      <c r="DS160" s="875">
        <f t="shared" ca="1" si="518"/>
        <v>4101.5857658452387</v>
      </c>
      <c r="DT160" s="1786">
        <f t="shared" ca="1" si="518"/>
        <v>243.27826055647839</v>
      </c>
      <c r="DU160" s="951">
        <f t="shared" ca="1" si="518"/>
        <v>275.2111351129281</v>
      </c>
      <c r="DV160" s="1785">
        <f t="shared" ref="DV160:DZ160" ca="1" si="520">DV159/7</f>
        <v>428.41200293762307</v>
      </c>
      <c r="DW160" s="875">
        <f t="shared" ca="1" si="520"/>
        <v>424.53465141076146</v>
      </c>
      <c r="DX160" s="875">
        <f t="shared" ca="1" si="520"/>
        <v>3197.3452638676094</v>
      </c>
      <c r="DY160" s="1786">
        <f t="shared" ca="1" si="520"/>
        <v>246.42224810330441</v>
      </c>
      <c r="DZ160" s="951">
        <f t="shared" ca="1" si="520"/>
        <v>267.61959046566011</v>
      </c>
      <c r="EA160" s="1785">
        <f t="shared" ref="EA160:EE160" ca="1" si="521">EA159/7</f>
        <v>430.11629676543686</v>
      </c>
      <c r="EB160" s="875">
        <f t="shared" ca="1" si="521"/>
        <v>426.35593799314381</v>
      </c>
      <c r="EC160" s="875">
        <f t="shared" ca="1" si="521"/>
        <v>2593.5014505631739</v>
      </c>
      <c r="ED160" s="1786">
        <f t="shared" ca="1" si="521"/>
        <v>245.00335628635693</v>
      </c>
      <c r="EE160" s="951">
        <f t="shared" ca="1" si="521"/>
        <v>282.81733794702762</v>
      </c>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row>
    <row r="161" spans="2:232" s="54" customFormat="1" ht="11.25" hidden="1" customHeight="1" outlineLevel="1" thickBot="1">
      <c r="H161" s="59"/>
      <c r="CJ161" s="161"/>
      <c r="CK161" s="161"/>
      <c r="CO161" s="161"/>
      <c r="CP161" s="161"/>
      <c r="CR161" s="62"/>
      <c r="CS161" s="62"/>
      <c r="CT161" s="62"/>
      <c r="CU161" s="62"/>
      <c r="CW161" s="62"/>
      <c r="CX161" s="62"/>
      <c r="CY161" s="62"/>
      <c r="CZ161" s="62"/>
      <c r="DB161" s="62"/>
      <c r="DC161" s="62"/>
      <c r="DD161" s="62"/>
      <c r="DE161" s="62"/>
      <c r="DG161" s="62"/>
      <c r="DH161" s="62"/>
      <c r="DI161" s="62"/>
      <c r="DJ161" s="62"/>
      <c r="DL161" s="64"/>
      <c r="DM161" s="64"/>
      <c r="DN161" s="64"/>
      <c r="DO161" s="64"/>
      <c r="DQ161" s="64"/>
      <c r="DR161" s="64"/>
      <c r="DS161" s="64"/>
      <c r="DT161" s="64"/>
      <c r="DV161" s="64"/>
      <c r="DW161" s="64"/>
      <c r="DX161" s="64"/>
      <c r="DY161" s="64"/>
      <c r="EA161" s="64"/>
      <c r="EB161" s="64"/>
      <c r="EC161" s="64"/>
      <c r="ED161" s="64"/>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row>
    <row r="162" spans="2:232" s="54" customFormat="1" ht="12" hidden="1" customHeight="1" outlineLevel="1" thickBot="1">
      <c r="B162" s="683" t="s">
        <v>354</v>
      </c>
      <c r="C162" s="684"/>
      <c r="D162" s="684"/>
      <c r="E162" s="685"/>
      <c r="F162" s="685"/>
      <c r="G162" s="685"/>
      <c r="H162" s="685"/>
      <c r="I162" s="685"/>
      <c r="J162" s="685"/>
      <c r="K162" s="684">
        <v>2085</v>
      </c>
      <c r="L162" s="684">
        <v>2110</v>
      </c>
      <c r="M162" s="684">
        <v>2131</v>
      </c>
      <c r="N162" s="684">
        <v>2149</v>
      </c>
      <c r="O162" s="685"/>
      <c r="P162" s="684">
        <v>2193</v>
      </c>
      <c r="Q162" s="684">
        <v>2228</v>
      </c>
      <c r="R162" s="684">
        <v>2256</v>
      </c>
      <c r="S162" s="684">
        <v>2289</v>
      </c>
      <c r="T162" s="685"/>
      <c r="U162" s="684">
        <v>2358</v>
      </c>
      <c r="V162" s="684">
        <v>2390</v>
      </c>
      <c r="W162" s="684">
        <v>2432</v>
      </c>
      <c r="X162" s="684">
        <v>2470</v>
      </c>
      <c r="Y162" s="685"/>
      <c r="Z162" s="684">
        <v>2549</v>
      </c>
      <c r="AA162" s="684">
        <f>Z166</f>
        <v>2612</v>
      </c>
      <c r="AB162" s="684">
        <f>AA166</f>
        <v>2667</v>
      </c>
      <c r="AC162" s="684">
        <f>AB166</f>
        <v>2738</v>
      </c>
      <c r="AD162" s="685"/>
      <c r="AE162" s="684">
        <f>AC166</f>
        <v>2821</v>
      </c>
      <c r="AF162" s="684">
        <f>AE166</f>
        <v>2894</v>
      </c>
      <c r="AG162" s="684">
        <f>AF166</f>
        <v>2967</v>
      </c>
      <c r="AH162" s="684">
        <f>AG166</f>
        <v>3051</v>
      </c>
      <c r="AI162" s="685"/>
      <c r="AJ162" s="684">
        <f>AH166</f>
        <v>3165</v>
      </c>
      <c r="AK162" s="684">
        <f>AJ166</f>
        <v>3260</v>
      </c>
      <c r="AL162" s="684">
        <f>AK166</f>
        <v>3343</v>
      </c>
      <c r="AM162" s="684">
        <f>AL166</f>
        <v>3424</v>
      </c>
      <c r="AN162" s="685"/>
      <c r="AO162" s="684">
        <f>AM166</f>
        <v>3520</v>
      </c>
      <c r="AP162" s="684">
        <f>AO166</f>
        <v>3623</v>
      </c>
      <c r="AQ162" s="684">
        <f>AP166</f>
        <v>3678</v>
      </c>
      <c r="AR162" s="684">
        <f>AQ166</f>
        <v>3766</v>
      </c>
      <c r="AS162" s="685"/>
      <c r="AT162" s="684">
        <f>AR166</f>
        <v>3883</v>
      </c>
      <c r="AU162" s="684">
        <f>AT166</f>
        <v>3954</v>
      </c>
      <c r="AV162" s="684">
        <f>AU166</f>
        <v>3998</v>
      </c>
      <c r="AW162" s="684">
        <f>AV166</f>
        <v>4050</v>
      </c>
      <c r="AX162" s="685"/>
      <c r="AY162" s="684">
        <f>AW166</f>
        <v>4227</v>
      </c>
      <c r="AZ162" s="684">
        <f>AY166</f>
        <v>4291</v>
      </c>
      <c r="BA162" s="684">
        <f>AZ166</f>
        <v>4336</v>
      </c>
      <c r="BB162" s="684">
        <f>BA166</f>
        <v>4414</v>
      </c>
      <c r="BC162" s="685"/>
      <c r="BD162" s="684">
        <f>BB166</f>
        <v>4582</v>
      </c>
      <c r="BE162" s="684">
        <f>BD166</f>
        <v>4680</v>
      </c>
      <c r="BF162" s="684">
        <f>BE166</f>
        <v>4738</v>
      </c>
      <c r="BG162" s="684">
        <f>BF166</f>
        <v>4805</v>
      </c>
      <c r="BH162" s="685"/>
      <c r="BI162" s="684">
        <f>BG166</f>
        <v>4953</v>
      </c>
      <c r="BJ162" s="684"/>
      <c r="BK162" s="684"/>
      <c r="BL162" s="684"/>
      <c r="BM162" s="685"/>
      <c r="BN162" s="684"/>
      <c r="BO162" s="684"/>
      <c r="BP162" s="684"/>
      <c r="BQ162" s="684"/>
      <c r="BR162" s="685"/>
      <c r="BS162" s="684"/>
      <c r="BT162" s="684"/>
      <c r="BU162" s="684"/>
      <c r="BV162" s="684"/>
      <c r="BW162" s="685"/>
      <c r="BX162" s="684"/>
      <c r="BY162" s="684"/>
      <c r="BZ162" s="684"/>
      <c r="CA162" s="684"/>
      <c r="CB162" s="685"/>
      <c r="CC162" s="684"/>
      <c r="CD162" s="684"/>
      <c r="CE162" s="686"/>
      <c r="CF162" s="686"/>
      <c r="CG162" s="685"/>
      <c r="CH162" s="686"/>
      <c r="CI162" s="686"/>
      <c r="CJ162" s="686"/>
      <c r="CK162" s="686"/>
      <c r="CL162" s="687"/>
      <c r="CM162" s="684"/>
      <c r="CN162" s="684"/>
      <c r="CO162" s="684"/>
      <c r="CP162" s="684"/>
      <c r="CQ162" s="685"/>
      <c r="CR162" s="684"/>
      <c r="CS162" s="684"/>
      <c r="CT162" s="684"/>
      <c r="CU162" s="684"/>
      <c r="CV162" s="685"/>
      <c r="CW162" s="684"/>
      <c r="CX162" s="684"/>
      <c r="CY162" s="684"/>
      <c r="CZ162" s="684"/>
      <c r="DA162" s="685"/>
      <c r="DB162" s="684"/>
      <c r="DC162" s="684"/>
      <c r="DD162" s="684"/>
      <c r="DE162" s="684"/>
      <c r="DF162" s="685"/>
      <c r="DG162" s="684"/>
      <c r="DH162" s="684"/>
      <c r="DI162" s="684"/>
      <c r="DJ162" s="684"/>
      <c r="DK162" s="685"/>
      <c r="DL162" s="685"/>
      <c r="DM162" s="685"/>
      <c r="DN162" s="685"/>
      <c r="DO162" s="685"/>
      <c r="DP162" s="685"/>
      <c r="DQ162" s="685"/>
      <c r="DR162" s="685"/>
      <c r="DS162" s="685"/>
      <c r="DT162" s="685"/>
      <c r="DU162" s="685"/>
      <c r="DV162" s="685"/>
      <c r="DW162" s="685"/>
      <c r="DX162" s="685"/>
      <c r="DY162" s="685"/>
      <c r="DZ162" s="685"/>
      <c r="EA162" s="685"/>
      <c r="EB162" s="685"/>
      <c r="EC162" s="685"/>
      <c r="ED162" s="685"/>
      <c r="EE162" s="685"/>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row>
    <row r="163" spans="2:232" s="392" customFormat="1" ht="11.25" hidden="1" customHeight="1" outlineLevel="1">
      <c r="B163" s="876" t="s">
        <v>247</v>
      </c>
      <c r="C163" s="877"/>
      <c r="D163" s="877"/>
      <c r="E163" s="877"/>
      <c r="F163" s="877"/>
      <c r="G163" s="877"/>
      <c r="H163" s="595"/>
      <c r="I163" s="878">
        <v>196</v>
      </c>
      <c r="J163" s="878">
        <v>206</v>
      </c>
      <c r="K163" s="878">
        <v>48</v>
      </c>
      <c r="L163" s="878">
        <v>42</v>
      </c>
      <c r="M163" s="878">
        <v>34</v>
      </c>
      <c r="N163" s="878">
        <v>86</v>
      </c>
      <c r="O163" s="878">
        <f>SUM(K163:N163)</f>
        <v>210</v>
      </c>
      <c r="P163" s="878">
        <v>58</v>
      </c>
      <c r="Q163" s="878">
        <v>44</v>
      </c>
      <c r="R163" s="878">
        <v>49</v>
      </c>
      <c r="S163" s="878">
        <v>100</v>
      </c>
      <c r="T163" s="878">
        <f>SUM(P163:S163)</f>
        <v>251</v>
      </c>
      <c r="U163" s="878">
        <f>58</f>
        <v>58</v>
      </c>
      <c r="V163" s="878">
        <f>64</f>
        <v>64</v>
      </c>
      <c r="W163" s="878">
        <v>59</v>
      </c>
      <c r="X163" s="878">
        <f>83+40</f>
        <v>123</v>
      </c>
      <c r="Y163" s="878">
        <f>211+93</f>
        <v>304</v>
      </c>
      <c r="Z163" s="878">
        <f>65+15</f>
        <v>80</v>
      </c>
      <c r="AA163" s="878">
        <v>80</v>
      </c>
      <c r="AB163" s="878">
        <f>75+29</f>
        <v>104</v>
      </c>
      <c r="AC163" s="878">
        <v>122</v>
      </c>
      <c r="AD163" s="878">
        <f>SUM(Z163:AC163)</f>
        <v>386</v>
      </c>
      <c r="AE163" s="878">
        <f>75+19</f>
        <v>94</v>
      </c>
      <c r="AF163" s="878">
        <f>78+25</f>
        <v>103</v>
      </c>
      <c r="AG163" s="878">
        <f>86+20</f>
        <v>106</v>
      </c>
      <c r="AH163" s="878">
        <f>116+43</f>
        <v>159</v>
      </c>
      <c r="AI163" s="878">
        <f>SUM(AE163:AH163)</f>
        <v>462</v>
      </c>
      <c r="AJ163" s="878">
        <f>96+30</f>
        <v>126</v>
      </c>
      <c r="AK163" s="878">
        <f>86+26</f>
        <v>112</v>
      </c>
      <c r="AL163" s="878">
        <f>86+19</f>
        <v>105</v>
      </c>
      <c r="AM163" s="878">
        <f>101+30</f>
        <v>131</v>
      </c>
      <c r="AN163" s="878">
        <f>SUM(AJ163:AM163)</f>
        <v>474</v>
      </c>
      <c r="AO163" s="878">
        <f>105+29</f>
        <v>134</v>
      </c>
      <c r="AP163" s="878">
        <f>62+14</f>
        <v>76</v>
      </c>
      <c r="AQ163" s="878">
        <f>90+19</f>
        <v>109</v>
      </c>
      <c r="AR163" s="878">
        <f>121+31</f>
        <v>152</v>
      </c>
      <c r="AS163" s="878">
        <f>SUM(AO163:AR163)</f>
        <v>471</v>
      </c>
      <c r="AT163" s="878">
        <f>72+20</f>
        <v>92</v>
      </c>
      <c r="AU163" s="878">
        <v>62</v>
      </c>
      <c r="AV163" s="878">
        <v>67</v>
      </c>
      <c r="AW163" s="878">
        <v>209</v>
      </c>
      <c r="AX163" s="878">
        <f>SUM(AT163:AW163)</f>
        <v>430</v>
      </c>
      <c r="AY163" s="878">
        <v>85</v>
      </c>
      <c r="AZ163" s="878">
        <v>55</v>
      </c>
      <c r="BA163" s="878">
        <v>88</v>
      </c>
      <c r="BB163" s="878">
        <v>208</v>
      </c>
      <c r="BC163" s="878">
        <f>SUM(AY163:BB163)</f>
        <v>436</v>
      </c>
      <c r="BD163" s="878">
        <v>111</v>
      </c>
      <c r="BE163" s="878">
        <v>67</v>
      </c>
      <c r="BF163" s="878">
        <v>85</v>
      </c>
      <c r="BG163" s="878">
        <v>172</v>
      </c>
      <c r="BH163" s="878">
        <f>BH166-BH164-BH165-BC166</f>
        <v>508.46000000000004</v>
      </c>
      <c r="BI163" s="878">
        <v>127</v>
      </c>
      <c r="BJ163" s="878"/>
      <c r="BK163" s="878"/>
      <c r="BL163" s="878"/>
      <c r="BM163" s="878">
        <f>BM166-BM164-BM165-BH166</f>
        <v>656.59000000000015</v>
      </c>
      <c r="BN163" s="878"/>
      <c r="BO163" s="878"/>
      <c r="BP163" s="878"/>
      <c r="BQ163" s="878"/>
      <c r="BR163" s="878">
        <f>BR166-BR164-BR165-BM166</f>
        <v>699.82999999999993</v>
      </c>
      <c r="BS163" s="878"/>
      <c r="BT163" s="878"/>
      <c r="BU163" s="878"/>
      <c r="BV163" s="878"/>
      <c r="BW163" s="878">
        <f>BW166-BW164-BW165-BR166</f>
        <v>625.90999999999985</v>
      </c>
      <c r="BX163" s="878"/>
      <c r="BY163" s="878"/>
      <c r="BZ163" s="878"/>
      <c r="CA163" s="878"/>
      <c r="CB163" s="878">
        <f>CB166-CB164-CB165-BW166</f>
        <v>746.29</v>
      </c>
      <c r="CC163" s="878"/>
      <c r="CD163" s="878"/>
      <c r="CE163" s="878"/>
      <c r="CF163" s="878"/>
      <c r="CG163" s="952">
        <f>CG166-CG164-CG165-CB166</f>
        <v>776.88000000000011</v>
      </c>
      <c r="CH163" s="878"/>
      <c r="CI163" s="878"/>
      <c r="CJ163" s="878"/>
      <c r="CK163" s="878"/>
      <c r="CL163" s="952">
        <f>CL166-CL164-CL165-CG166</f>
        <v>424.89000000000033</v>
      </c>
      <c r="CM163" s="878"/>
      <c r="CN163" s="878"/>
      <c r="CO163" s="878"/>
      <c r="CP163" s="878"/>
      <c r="CQ163" s="878">
        <f>CQ166-CQ164-CQ165-CL166</f>
        <v>400.82999999999993</v>
      </c>
      <c r="CR163" s="878"/>
      <c r="CS163" s="878"/>
      <c r="CT163" s="878"/>
      <c r="CU163" s="878"/>
      <c r="CV163" s="952">
        <f>CV166-CV164-CV165-CQ166</f>
        <v>422.89999999999964</v>
      </c>
      <c r="CW163" s="878"/>
      <c r="CX163" s="878"/>
      <c r="CY163" s="878"/>
      <c r="CZ163" s="878"/>
      <c r="DA163" s="878">
        <f>DA166-DA164-DA165-CV166</f>
        <v>333.47999999999956</v>
      </c>
      <c r="DB163" s="878"/>
      <c r="DC163" s="878"/>
      <c r="DD163" s="878"/>
      <c r="DE163" s="878"/>
      <c r="DF163" s="878">
        <f>DF166-DF164-DF165-DA166</f>
        <v>211.20999999999913</v>
      </c>
      <c r="DG163" s="878"/>
      <c r="DH163" s="878"/>
      <c r="DI163" s="878"/>
      <c r="DJ163" s="878"/>
      <c r="DK163" s="878">
        <f>DK166-DK164-DK165-DF166</f>
        <v>246.19000000000051</v>
      </c>
      <c r="DL163" s="878"/>
      <c r="DM163" s="878"/>
      <c r="DN163" s="878"/>
      <c r="DO163" s="878"/>
      <c r="DP163" s="878">
        <f>DP166-DP164-DP165-DK166</f>
        <v>178.25</v>
      </c>
      <c r="DQ163" s="878"/>
      <c r="DR163" s="878"/>
      <c r="DS163" s="878"/>
      <c r="DT163" s="878"/>
      <c r="DU163" s="878">
        <f>DU166-DU164-DU165-DP166</f>
        <v>2133.2700000000004</v>
      </c>
      <c r="DV163" s="878"/>
      <c r="DW163" s="878"/>
      <c r="DX163" s="878"/>
      <c r="DY163" s="878"/>
      <c r="DZ163" s="878">
        <f>DZ166-DZ164-DZ165-DU166</f>
        <v>-101</v>
      </c>
      <c r="EA163" s="878"/>
      <c r="EB163" s="878"/>
      <c r="EC163" s="878"/>
      <c r="ED163" s="878"/>
      <c r="EE163" s="878">
        <f>EE166-EE164-EE165-DZ166</f>
        <v>220</v>
      </c>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row>
    <row r="164" spans="2:232" s="392" customFormat="1" ht="11.25" hidden="1" customHeight="1" outlineLevel="1">
      <c r="B164" s="879" t="s">
        <v>13</v>
      </c>
      <c r="C164" s="880"/>
      <c r="D164" s="880"/>
      <c r="E164" s="880"/>
      <c r="F164" s="880"/>
      <c r="G164" s="880"/>
      <c r="H164" s="77"/>
      <c r="I164" s="96">
        <v>0</v>
      </c>
      <c r="J164" s="96">
        <v>0</v>
      </c>
      <c r="K164" s="96">
        <v>0</v>
      </c>
      <c r="L164" s="96">
        <v>0</v>
      </c>
      <c r="M164" s="96">
        <v>0</v>
      </c>
      <c r="N164" s="96">
        <v>0</v>
      </c>
      <c r="O164" s="96">
        <f>SUM(K164:N164)</f>
        <v>0</v>
      </c>
      <c r="P164" s="96">
        <v>0</v>
      </c>
      <c r="Q164" s="96">
        <v>0</v>
      </c>
      <c r="R164" s="96">
        <v>0</v>
      </c>
      <c r="S164" s="96">
        <v>0</v>
      </c>
      <c r="T164" s="96">
        <f>SUM(P164:S164)</f>
        <v>0</v>
      </c>
      <c r="U164" s="96">
        <v>0</v>
      </c>
      <c r="V164" s="96">
        <v>0</v>
      </c>
      <c r="W164" s="96">
        <v>0</v>
      </c>
      <c r="X164" s="96">
        <v>0</v>
      </c>
      <c r="Y164" s="96">
        <v>0</v>
      </c>
      <c r="Z164" s="96">
        <v>0</v>
      </c>
      <c r="AA164" s="96">
        <v>0</v>
      </c>
      <c r="AB164" s="96">
        <v>0</v>
      </c>
      <c r="AC164" s="96">
        <v>0</v>
      </c>
      <c r="AD164" s="96">
        <f>SUM(Z164:AC164)</f>
        <v>0</v>
      </c>
      <c r="AE164" s="96">
        <v>0</v>
      </c>
      <c r="AF164" s="96">
        <v>0</v>
      </c>
      <c r="AG164" s="96">
        <v>0</v>
      </c>
      <c r="AH164" s="96">
        <v>0</v>
      </c>
      <c r="AI164" s="96">
        <f>SUM(AE164:AH164)</f>
        <v>0</v>
      </c>
      <c r="AJ164" s="96">
        <v>0</v>
      </c>
      <c r="AK164" s="96">
        <v>0</v>
      </c>
      <c r="AL164" s="96">
        <v>0</v>
      </c>
      <c r="AM164" s="96">
        <v>0</v>
      </c>
      <c r="AN164" s="96">
        <f>SUM(AJ164:AM164)</f>
        <v>0</v>
      </c>
      <c r="AO164" s="96">
        <v>0</v>
      </c>
      <c r="AP164" s="96">
        <v>0</v>
      </c>
      <c r="AQ164" s="96">
        <v>0</v>
      </c>
      <c r="AR164" s="96">
        <v>0</v>
      </c>
      <c r="AS164" s="96">
        <f>SUM(AO164:AR164)</f>
        <v>0</v>
      </c>
      <c r="AT164" s="96">
        <v>0</v>
      </c>
      <c r="AU164" s="96"/>
      <c r="AV164" s="96"/>
      <c r="AW164" s="96"/>
      <c r="AX164" s="96">
        <v>0</v>
      </c>
      <c r="AY164" s="96"/>
      <c r="AZ164" s="96"/>
      <c r="BA164" s="96"/>
      <c r="BB164" s="96"/>
      <c r="BC164" s="96">
        <v>0</v>
      </c>
      <c r="BD164" s="96"/>
      <c r="BE164" s="96"/>
      <c r="BF164" s="96"/>
      <c r="BG164" s="96"/>
      <c r="BH164" s="96">
        <v>0</v>
      </c>
      <c r="BI164" s="96"/>
      <c r="BJ164" s="96"/>
      <c r="BK164" s="96"/>
      <c r="BL164" s="96"/>
      <c r="BM164" s="96">
        <v>0</v>
      </c>
      <c r="BN164" s="96"/>
      <c r="BO164" s="96"/>
      <c r="BP164" s="96"/>
      <c r="BQ164" s="96"/>
      <c r="BR164" s="96">
        <v>0</v>
      </c>
      <c r="BS164" s="96"/>
      <c r="BT164" s="96"/>
      <c r="BU164" s="96"/>
      <c r="BV164" s="96"/>
      <c r="BW164" s="96">
        <v>0</v>
      </c>
      <c r="BX164" s="96"/>
      <c r="BY164" s="96"/>
      <c r="BZ164" s="96"/>
      <c r="CA164" s="96"/>
      <c r="CB164" s="96">
        <v>0</v>
      </c>
      <c r="CC164" s="96"/>
      <c r="CD164" s="96"/>
      <c r="CE164" s="96"/>
      <c r="CF164" s="96"/>
      <c r="CG164" s="948">
        <v>0</v>
      </c>
      <c r="CH164" s="96"/>
      <c r="CI164" s="96"/>
      <c r="CJ164" s="96"/>
      <c r="CK164" s="96"/>
      <c r="CL164" s="948">
        <v>0</v>
      </c>
      <c r="CM164" s="96"/>
      <c r="CN164" s="96"/>
      <c r="CO164" s="96"/>
      <c r="CP164" s="96"/>
      <c r="CQ164" s="96">
        <v>1</v>
      </c>
      <c r="CR164" s="96"/>
      <c r="CS164" s="96"/>
      <c r="CT164" s="96"/>
      <c r="CU164" s="96"/>
      <c r="CV164" s="948">
        <v>1</v>
      </c>
      <c r="CW164" s="96"/>
      <c r="CX164" s="96"/>
      <c r="CY164" s="96"/>
      <c r="CZ164" s="96"/>
      <c r="DA164" s="96">
        <v>1</v>
      </c>
      <c r="DB164" s="96"/>
      <c r="DC164" s="96"/>
      <c r="DD164" s="96"/>
      <c r="DE164" s="96"/>
      <c r="DF164" s="96">
        <v>1</v>
      </c>
      <c r="DG164" s="96"/>
      <c r="DH164" s="96"/>
      <c r="DI164" s="96"/>
      <c r="DJ164" s="96"/>
      <c r="DK164" s="96">
        <v>1</v>
      </c>
      <c r="DL164" s="96"/>
      <c r="DM164" s="96"/>
      <c r="DN164" s="96"/>
      <c r="DO164" s="96"/>
      <c r="DP164" s="96">
        <v>1</v>
      </c>
      <c r="DQ164" s="96"/>
      <c r="DR164" s="96"/>
      <c r="DS164" s="96"/>
      <c r="DT164" s="96"/>
      <c r="DU164" s="96">
        <v>1</v>
      </c>
      <c r="DV164" s="96"/>
      <c r="DW164" s="96"/>
      <c r="DX164" s="96"/>
      <c r="DY164" s="96"/>
      <c r="DZ164" s="96">
        <v>1</v>
      </c>
      <c r="EA164" s="96"/>
      <c r="EB164" s="96"/>
      <c r="EC164" s="96"/>
      <c r="ED164" s="96"/>
      <c r="EE164" s="96">
        <v>1</v>
      </c>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row>
    <row r="165" spans="2:232" s="392" customFormat="1" ht="11.25" hidden="1" customHeight="1" outlineLevel="1">
      <c r="B165" s="959" t="s">
        <v>14</v>
      </c>
      <c r="C165" s="960"/>
      <c r="D165" s="960"/>
      <c r="E165" s="960"/>
      <c r="F165" s="960"/>
      <c r="G165" s="960"/>
      <c r="H165" s="961"/>
      <c r="I165" s="962">
        <v>-64</v>
      </c>
      <c r="J165" s="962">
        <v>-89</v>
      </c>
      <c r="K165" s="962">
        <v>-23</v>
      </c>
      <c r="L165" s="962">
        <v>-21</v>
      </c>
      <c r="M165" s="962">
        <v>-16</v>
      </c>
      <c r="N165" s="962">
        <v>-42</v>
      </c>
      <c r="O165" s="962">
        <f>SUM(K165:N165)</f>
        <v>-102</v>
      </c>
      <c r="P165" s="962">
        <v>-23</v>
      </c>
      <c r="Q165" s="962">
        <v>-16</v>
      </c>
      <c r="R165" s="962">
        <v>-16</v>
      </c>
      <c r="S165" s="962">
        <v>-31</v>
      </c>
      <c r="T165" s="962">
        <f>SUM(P165:S165)</f>
        <v>-86</v>
      </c>
      <c r="U165" s="962">
        <v>-26</v>
      </c>
      <c r="V165" s="962">
        <v>-22</v>
      </c>
      <c r="W165" s="962">
        <v>-21</v>
      </c>
      <c r="X165" s="962">
        <v>-44</v>
      </c>
      <c r="Y165" s="962">
        <f>-20-93</f>
        <v>-113</v>
      </c>
      <c r="Z165" s="962">
        <f>-2-15</f>
        <v>-17</v>
      </c>
      <c r="AA165" s="962">
        <f>-17-8</f>
        <v>-25</v>
      </c>
      <c r="AB165" s="962">
        <f>-29-4</f>
        <v>-33</v>
      </c>
      <c r="AC165" s="962">
        <f>-5-34</f>
        <v>-39</v>
      </c>
      <c r="AD165" s="962">
        <f>SUM(Z165:AC165)</f>
        <v>-114</v>
      </c>
      <c r="AE165" s="962">
        <f>-2-19</f>
        <v>-21</v>
      </c>
      <c r="AF165" s="962">
        <f>-5-25</f>
        <v>-30</v>
      </c>
      <c r="AG165" s="962">
        <f>-20-2</f>
        <v>-22</v>
      </c>
      <c r="AH165" s="962">
        <f>-2-43</f>
        <v>-45</v>
      </c>
      <c r="AI165" s="962">
        <f>SUM(AE165:AH165)</f>
        <v>-118</v>
      </c>
      <c r="AJ165" s="962">
        <f>-1-30</f>
        <v>-31</v>
      </c>
      <c r="AK165" s="962">
        <f>-3-26</f>
        <v>-29</v>
      </c>
      <c r="AL165" s="962">
        <f>-5-19</f>
        <v>-24</v>
      </c>
      <c r="AM165" s="962">
        <f>-5-30</f>
        <v>-35</v>
      </c>
      <c r="AN165" s="962">
        <f>SUM(AJ165:AM165)</f>
        <v>-119</v>
      </c>
      <c r="AO165" s="962">
        <f>-2-29</f>
        <v>-31</v>
      </c>
      <c r="AP165" s="962">
        <f>-7-14</f>
        <v>-21</v>
      </c>
      <c r="AQ165" s="962">
        <f>-2-19</f>
        <v>-21</v>
      </c>
      <c r="AR165" s="962">
        <f>-31-4</f>
        <v>-35</v>
      </c>
      <c r="AS165" s="962">
        <f>SUM(AO165:AR165)</f>
        <v>-108</v>
      </c>
      <c r="AT165" s="962">
        <f>-1-20</f>
        <v>-21</v>
      </c>
      <c r="AU165" s="962">
        <f>-7-11</f>
        <v>-18</v>
      </c>
      <c r="AV165" s="962">
        <f>-2-13</f>
        <v>-15</v>
      </c>
      <c r="AW165" s="962">
        <f>-1-31</f>
        <v>-32</v>
      </c>
      <c r="AX165" s="962">
        <f>SUM(AT165:AW165)</f>
        <v>-86</v>
      </c>
      <c r="AY165" s="962">
        <v>-21</v>
      </c>
      <c r="AZ165" s="962">
        <v>-10</v>
      </c>
      <c r="BA165" s="962">
        <f>-9-1</f>
        <v>-10</v>
      </c>
      <c r="BB165" s="962">
        <f>-6-34</f>
        <v>-40</v>
      </c>
      <c r="BC165" s="962">
        <f>SUM(AY165:BB165)</f>
        <v>-81</v>
      </c>
      <c r="BD165" s="962">
        <f>-3-10</f>
        <v>-13</v>
      </c>
      <c r="BE165" s="962">
        <f>-7-2</f>
        <v>-9</v>
      </c>
      <c r="BF165" s="962">
        <v>-18</v>
      </c>
      <c r="BG165" s="962">
        <f>371-395</f>
        <v>-24</v>
      </c>
      <c r="BH165" s="962">
        <f>BC166*(-0.03)</f>
        <v>-137.46</v>
      </c>
      <c r="BI165" s="962">
        <v>-12</v>
      </c>
      <c r="BJ165" s="962"/>
      <c r="BK165" s="962"/>
      <c r="BL165" s="962"/>
      <c r="BM165" s="962">
        <f>BH166*(-0.03)</f>
        <v>-148.59</v>
      </c>
      <c r="BN165" s="962"/>
      <c r="BO165" s="962"/>
      <c r="BP165" s="962"/>
      <c r="BQ165" s="962"/>
      <c r="BR165" s="962">
        <f>BM166*(-0.03)</f>
        <v>-163.82999999999998</v>
      </c>
      <c r="BS165" s="962"/>
      <c r="BT165" s="962"/>
      <c r="BU165" s="962"/>
      <c r="BV165" s="962"/>
      <c r="BW165" s="962">
        <f>BR166*(-0.03)</f>
        <v>-179.91</v>
      </c>
      <c r="BX165" s="962"/>
      <c r="BY165" s="962"/>
      <c r="BZ165" s="962"/>
      <c r="CA165" s="962"/>
      <c r="CB165" s="962">
        <f>BW166*(-0.03)</f>
        <v>-193.29</v>
      </c>
      <c r="CC165" s="962"/>
      <c r="CD165" s="962"/>
      <c r="CE165" s="962"/>
      <c r="CF165" s="962"/>
      <c r="CG165" s="963">
        <f>CB166*(-0.03)</f>
        <v>-209.88</v>
      </c>
      <c r="CH165" s="962"/>
      <c r="CI165" s="962"/>
      <c r="CJ165" s="962"/>
      <c r="CK165" s="962"/>
      <c r="CL165" s="963">
        <f>CG166*(-0.03)</f>
        <v>-226.89</v>
      </c>
      <c r="CM165" s="962"/>
      <c r="CN165" s="962"/>
      <c r="CO165" s="962"/>
      <c r="CP165" s="962"/>
      <c r="CQ165" s="962">
        <f>CL166*(-0.03)</f>
        <v>-232.82999999999998</v>
      </c>
      <c r="CR165" s="962"/>
      <c r="CS165" s="962"/>
      <c r="CT165" s="962"/>
      <c r="CU165" s="962"/>
      <c r="CV165" s="963">
        <f>CQ166*(-0.03)</f>
        <v>-237.89999999999998</v>
      </c>
      <c r="CW165" s="962"/>
      <c r="CX165" s="962"/>
      <c r="CY165" s="962"/>
      <c r="CZ165" s="962"/>
      <c r="DA165" s="962">
        <f>CV166*(-0.03)</f>
        <v>-243.48</v>
      </c>
      <c r="DB165" s="962"/>
      <c r="DC165" s="962"/>
      <c r="DD165" s="962"/>
      <c r="DE165" s="962"/>
      <c r="DF165" s="962">
        <f>DA166*(-0.03)</f>
        <v>-246.20999999999998</v>
      </c>
      <c r="DG165" s="962"/>
      <c r="DH165" s="962"/>
      <c r="DI165" s="962"/>
      <c r="DJ165" s="962"/>
      <c r="DK165" s="962">
        <f>DF166*(-0.03)</f>
        <v>-245.19</v>
      </c>
      <c r="DL165" s="962"/>
      <c r="DM165" s="962"/>
      <c r="DN165" s="962"/>
      <c r="DO165" s="962"/>
      <c r="DP165" s="962">
        <f>DK166*(-0.03)</f>
        <v>-245.25</v>
      </c>
      <c r="DQ165" s="962"/>
      <c r="DR165" s="962"/>
      <c r="DS165" s="962"/>
      <c r="DT165" s="962"/>
      <c r="DU165" s="962">
        <f>DP166*(-0.03)</f>
        <v>-243.26999999999998</v>
      </c>
      <c r="DV165" s="962"/>
      <c r="DW165" s="962"/>
      <c r="DX165" s="962"/>
      <c r="DY165" s="962"/>
      <c r="DZ165" s="962">
        <f>DU166*(-0.03)</f>
        <v>-300</v>
      </c>
      <c r="EA165" s="962"/>
      <c r="EB165" s="962"/>
      <c r="EC165" s="962"/>
      <c r="ED165" s="962"/>
      <c r="EE165" s="962">
        <f>DZ166*(-0.03)</f>
        <v>-288</v>
      </c>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row>
    <row r="166" spans="2:232" s="95" customFormat="1" ht="11.25" hidden="1" customHeight="1" outlineLevel="1">
      <c r="B166" s="543" t="s">
        <v>11</v>
      </c>
      <c r="H166" s="95">
        <v>1836</v>
      </c>
      <c r="I166" s="96">
        <v>1968</v>
      </c>
      <c r="J166" s="96">
        <v>2085</v>
      </c>
      <c r="K166" s="96">
        <f>K162+K163+K165</f>
        <v>2110</v>
      </c>
      <c r="L166" s="96">
        <f>L162+L163+L165</f>
        <v>2131</v>
      </c>
      <c r="M166" s="96">
        <f>M162+M163+M165</f>
        <v>2149</v>
      </c>
      <c r="N166" s="96">
        <f>N162+N163+N165</f>
        <v>2193</v>
      </c>
      <c r="O166" s="96">
        <v>2193</v>
      </c>
      <c r="P166" s="96">
        <f>P162+P163+P165</f>
        <v>2228</v>
      </c>
      <c r="Q166" s="96">
        <f>Q162+Q163+Q165</f>
        <v>2256</v>
      </c>
      <c r="R166" s="96">
        <f>R162+R163+R165</f>
        <v>2289</v>
      </c>
      <c r="S166" s="96">
        <f>S162+S163+S165</f>
        <v>2358</v>
      </c>
      <c r="T166" s="96">
        <v>2358</v>
      </c>
      <c r="U166" s="96">
        <f>U162+U163+U165</f>
        <v>2390</v>
      </c>
      <c r="V166" s="96">
        <f>V162+V163+V165</f>
        <v>2432</v>
      </c>
      <c r="W166" s="96">
        <f>W162+W163+W165</f>
        <v>2470</v>
      </c>
      <c r="X166" s="96">
        <f>X162+X163+X165</f>
        <v>2549</v>
      </c>
      <c r="Y166" s="96">
        <f>T166+Y163+Y164+Y165</f>
        <v>2549</v>
      </c>
      <c r="Z166" s="96">
        <f>X166+Z163+Z164+Z165</f>
        <v>2612</v>
      </c>
      <c r="AA166" s="96">
        <f>SUM(AA162:AA165)</f>
        <v>2667</v>
      </c>
      <c r="AB166" s="96">
        <f>SUM(AB162:AB165)</f>
        <v>2738</v>
      </c>
      <c r="AC166" s="96">
        <f>SUM(AC162:AC165)</f>
        <v>2821</v>
      </c>
      <c r="AD166" s="96">
        <f>+AC166</f>
        <v>2821</v>
      </c>
      <c r="AE166" s="96">
        <f>SUM(AE162:AE165)</f>
        <v>2894</v>
      </c>
      <c r="AF166" s="96">
        <f>SUM(AF162:AF165)</f>
        <v>2967</v>
      </c>
      <c r="AG166" s="96">
        <f>SUM(AG162:AG165)</f>
        <v>3051</v>
      </c>
      <c r="AH166" s="96">
        <f>SUM(AH162:AH165)</f>
        <v>3165</v>
      </c>
      <c r="AI166" s="96">
        <f>+AH166</f>
        <v>3165</v>
      </c>
      <c r="AJ166" s="96">
        <f>AH166+AJ163+AJ165</f>
        <v>3260</v>
      </c>
      <c r="AK166" s="96">
        <f>AJ166+AK163+AK165</f>
        <v>3343</v>
      </c>
      <c r="AL166" s="96">
        <f>AK166+AL163+AL165</f>
        <v>3424</v>
      </c>
      <c r="AM166" s="96">
        <f>AL166+AM163+AM165</f>
        <v>3520</v>
      </c>
      <c r="AN166" s="96">
        <f>+AM166</f>
        <v>3520</v>
      </c>
      <c r="AO166" s="96">
        <f>+AM166+SUM(AO163:AO165)</f>
        <v>3623</v>
      </c>
      <c r="AP166" s="96">
        <f>AO166+AP163+AP164+AP165</f>
        <v>3678</v>
      </c>
      <c r="AQ166" s="96">
        <f>AP166+AQ163+AQ164+AQ165</f>
        <v>3766</v>
      </c>
      <c r="AR166" s="96">
        <f>AQ166+AR163+AR164+AR165</f>
        <v>3883</v>
      </c>
      <c r="AS166" s="96">
        <f>'US Retail'!AS12</f>
        <v>3883</v>
      </c>
      <c r="AT166" s="96">
        <f>AR166+AT163+AT165</f>
        <v>3954</v>
      </c>
      <c r="AU166" s="96">
        <f>AT166+AU163+AU165</f>
        <v>3998</v>
      </c>
      <c r="AV166" s="96">
        <f>AU166+AV163+AV165</f>
        <v>4050</v>
      </c>
      <c r="AW166" s="96">
        <f>AV166+AW163+AW165</f>
        <v>4227</v>
      </c>
      <c r="AX166" s="96">
        <f>'US Retail'!AX12</f>
        <v>4227</v>
      </c>
      <c r="AY166" s="96">
        <f>AW166+AY163+AY165</f>
        <v>4291</v>
      </c>
      <c r="AZ166" s="96">
        <f>AY166+AZ163+AZ165</f>
        <v>4336</v>
      </c>
      <c r="BA166" s="96">
        <f>AZ166+BA163+BA165</f>
        <v>4414</v>
      </c>
      <c r="BB166" s="96">
        <f>BA166+BB163+BB165</f>
        <v>4582</v>
      </c>
      <c r="BC166" s="96">
        <f>'US Retail'!BC12</f>
        <v>4582</v>
      </c>
      <c r="BD166" s="96">
        <f>BB166+BD163+BD165</f>
        <v>4680</v>
      </c>
      <c r="BE166" s="96">
        <f>BD166+BE163+BE165</f>
        <v>4738</v>
      </c>
      <c r="BF166" s="96">
        <f>BE166+BF163+BF165</f>
        <v>4805</v>
      </c>
      <c r="BG166" s="96">
        <f>BF166+BG163+BG165</f>
        <v>4953</v>
      </c>
      <c r="BH166" s="96">
        <f>'US Retail'!BH12</f>
        <v>4953</v>
      </c>
      <c r="BI166" s="96">
        <f>BG166+BI163+BI165</f>
        <v>5068</v>
      </c>
      <c r="BJ166" s="96">
        <v>5156</v>
      </c>
      <c r="BK166" s="96">
        <v>5251</v>
      </c>
      <c r="BL166" s="96">
        <v>5461</v>
      </c>
      <c r="BM166" s="96">
        <f>'US Retail'!BM12</f>
        <v>5461</v>
      </c>
      <c r="BN166" s="96">
        <v>5580</v>
      </c>
      <c r="BO166" s="96">
        <v>5641</v>
      </c>
      <c r="BP166" s="96">
        <f>'US Retail'!BP12</f>
        <v>5751</v>
      </c>
      <c r="BQ166" s="96">
        <f>'US Retail'!BQ12</f>
        <v>5997</v>
      </c>
      <c r="BR166" s="96">
        <f>'US Retail'!BR12</f>
        <v>5997</v>
      </c>
      <c r="BS166" s="96">
        <f>'US Retail'!BS12</f>
        <v>6032</v>
      </c>
      <c r="BT166" s="96">
        <f>'US Retail'!BT12</f>
        <v>6129</v>
      </c>
      <c r="BU166" s="96">
        <f>'US Retail'!BU12</f>
        <v>6252</v>
      </c>
      <c r="BV166" s="96">
        <f>'US Retail'!BV12</f>
        <v>6443</v>
      </c>
      <c r="BW166" s="96">
        <f>'US Retail'!BW12</f>
        <v>6443</v>
      </c>
      <c r="BX166" s="96">
        <f>'US Retail'!BX12</f>
        <v>6630</v>
      </c>
      <c r="BY166" s="96">
        <f>'US Retail'!BY12</f>
        <v>6678</v>
      </c>
      <c r="BZ166" s="96">
        <f>'US Retail'!BZ12</f>
        <v>6857</v>
      </c>
      <c r="CA166" s="96">
        <f>'US Retail'!CA12</f>
        <v>6996</v>
      </c>
      <c r="CB166" s="96">
        <f>'US Retail'!CB12</f>
        <v>6996</v>
      </c>
      <c r="CC166" s="96">
        <f>'US Retail'!CC12</f>
        <v>7147</v>
      </c>
      <c r="CD166" s="96">
        <f>'US Retail'!CD12</f>
        <v>7180</v>
      </c>
      <c r="CE166" s="96">
        <f>'US Retail'!CE12</f>
        <v>7522</v>
      </c>
      <c r="CF166" s="96">
        <f>'US Retail'!CF12</f>
        <v>7563</v>
      </c>
      <c r="CG166" s="948">
        <f>'US Retail'!CG12</f>
        <v>7563</v>
      </c>
      <c r="CH166" s="96">
        <f>'US Retail'!CH12</f>
        <v>7651</v>
      </c>
      <c r="CI166" s="96">
        <f>'US Retail'!CI12</f>
        <v>7690</v>
      </c>
      <c r="CJ166" s="96">
        <f>'US Retail'!CJ12</f>
        <v>7715</v>
      </c>
      <c r="CK166" s="96">
        <f>'US Retail'!CK12</f>
        <v>7761</v>
      </c>
      <c r="CL166" s="948">
        <f>'US Retail'!CL12</f>
        <v>7761</v>
      </c>
      <c r="CM166" s="96">
        <f>'US Retail'!CM12</f>
        <v>7812</v>
      </c>
      <c r="CN166" s="96">
        <f>'US Retail'!CN12</f>
        <v>7840</v>
      </c>
      <c r="CO166" s="96">
        <f>'US Retail'!CO12</f>
        <v>7890</v>
      </c>
      <c r="CP166" s="96">
        <f>'US Retail'!CP12</f>
        <v>7930</v>
      </c>
      <c r="CQ166" s="96">
        <f>'US Retail'!CQ12</f>
        <v>7930</v>
      </c>
      <c r="CR166" s="96">
        <f>'US Retail'!CR12</f>
        <v>8058</v>
      </c>
      <c r="CS166" s="96">
        <f>'US Retail'!CS12</f>
        <v>8072</v>
      </c>
      <c r="CT166" s="96">
        <f>'US Retail'!CT12</f>
        <v>8097</v>
      </c>
      <c r="CU166" s="96">
        <f>'US Retail'!CU12</f>
        <v>8116</v>
      </c>
      <c r="CV166" s="948">
        <f>'US Retail'!CV12</f>
        <v>8116</v>
      </c>
      <c r="CW166" s="96">
        <f>'US Retail'!CW12</f>
        <v>8200</v>
      </c>
      <c r="CX166" s="96">
        <f>'US Retail'!CX12</f>
        <v>8210</v>
      </c>
      <c r="CY166" s="96">
        <f>'US Retail'!CY12</f>
        <v>8217</v>
      </c>
      <c r="CZ166" s="96">
        <f>'US Retail'!CZ12</f>
        <v>8207</v>
      </c>
      <c r="DA166" s="96">
        <f>'US Retail'!DA12</f>
        <v>8207</v>
      </c>
      <c r="DB166" s="96">
        <f>'US Retail'!DB12</f>
        <v>8229</v>
      </c>
      <c r="DC166" s="96">
        <f>'US Retail'!DC12</f>
        <v>8232</v>
      </c>
      <c r="DD166" s="96"/>
      <c r="DE166" s="96">
        <f>'US Retail'!DE12</f>
        <v>8173</v>
      </c>
      <c r="DF166" s="96">
        <f>'US Retail'!DF12</f>
        <v>8173</v>
      </c>
      <c r="DG166" s="96">
        <f>'US Retail'!DG12</f>
        <v>8192</v>
      </c>
      <c r="DH166" s="96">
        <f>'US Retail'!DH12</f>
        <v>8192</v>
      </c>
      <c r="DI166" s="96">
        <f>'US Retail'!DI12</f>
        <v>8199</v>
      </c>
      <c r="DJ166" s="96">
        <f>'US Retail'!DJ12</f>
        <v>8175</v>
      </c>
      <c r="DK166" s="96">
        <f>'US Retail'!DK12</f>
        <v>8175</v>
      </c>
      <c r="DL166" s="96">
        <f>'US Retail'!DL12</f>
        <v>8185</v>
      </c>
      <c r="DM166" s="96">
        <f>'US Retail'!DM12</f>
        <v>8126</v>
      </c>
      <c r="DN166" s="96">
        <f>'US Retail'!DN12</f>
        <v>8138</v>
      </c>
      <c r="DO166" s="96">
        <f>'US Retail'!DO12</f>
        <v>8109</v>
      </c>
      <c r="DP166" s="96">
        <f>'US Retail'!DP12</f>
        <v>8109</v>
      </c>
      <c r="DQ166" s="96">
        <f>'US Retail'!DQ12</f>
        <v>8201</v>
      </c>
      <c r="DR166" s="96">
        <f>'US Retail'!DR12</f>
        <v>9852</v>
      </c>
      <c r="DS166" s="96">
        <f>'US Retail'!DS12</f>
        <v>10133</v>
      </c>
      <c r="DT166" s="96">
        <f>'US Retail'!DT12</f>
        <v>10000</v>
      </c>
      <c r="DU166" s="96">
        <f>'US Retail'!DU12</f>
        <v>10000</v>
      </c>
      <c r="DV166" s="96">
        <f>'US Retail'!DV12</f>
        <v>9900</v>
      </c>
      <c r="DW166" s="96">
        <f>'US Retail'!DW12</f>
        <v>9800</v>
      </c>
      <c r="DX166" s="96">
        <f>'US Retail'!DX12</f>
        <v>9700</v>
      </c>
      <c r="DY166" s="96">
        <f>'US Retail'!DY12</f>
        <v>9600</v>
      </c>
      <c r="DZ166" s="96">
        <f>'US Retail'!DZ12</f>
        <v>9600</v>
      </c>
      <c r="EA166" s="96">
        <f>'US Retail'!EA12</f>
        <v>9533</v>
      </c>
      <c r="EB166" s="96">
        <f>'US Retail'!EB12</f>
        <v>9533</v>
      </c>
      <c r="EC166" s="96">
        <f>'US Retail'!EC12</f>
        <v>9533</v>
      </c>
      <c r="ED166" s="96">
        <f>'US Retail'!ED12</f>
        <v>9533</v>
      </c>
      <c r="EE166" s="96">
        <f>'US Retail'!EE12</f>
        <v>9533</v>
      </c>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row>
    <row r="167" spans="2:232" s="64" customFormat="1" ht="11.25" hidden="1" customHeight="1" outlineLevel="1">
      <c r="B167" s="543" t="s">
        <v>347</v>
      </c>
      <c r="H167" s="77"/>
      <c r="I167" s="122">
        <f>I166/H166-1</f>
        <v>7.1895424836601274E-2</v>
      </c>
      <c r="J167" s="122">
        <f>J166/I166-1</f>
        <v>5.945121951219523E-2</v>
      </c>
      <c r="O167" s="122">
        <f>O166/J166-1</f>
        <v>5.179856115107917E-2</v>
      </c>
      <c r="T167" s="122">
        <f>T166/O166-1</f>
        <v>7.523939808481539E-2</v>
      </c>
      <c r="Y167" s="122">
        <f>Y166/T166-1</f>
        <v>8.1000848176420615E-2</v>
      </c>
      <c r="AD167" s="122">
        <f>AD166/Y166-1</f>
        <v>0.10670851314240881</v>
      </c>
      <c r="AI167" s="122">
        <f>AI166/AD166-1</f>
        <v>0.12194257355547689</v>
      </c>
      <c r="AN167" s="122">
        <f>AN166/AI166-1</f>
        <v>0.11216429699842023</v>
      </c>
      <c r="AS167" s="122">
        <f>AS166/AN166-1</f>
        <v>0.10312499999999991</v>
      </c>
      <c r="AX167" s="325">
        <f>AX166/AS166-1</f>
        <v>8.8591295390162195E-2</v>
      </c>
      <c r="BC167" s="122">
        <f>BC166/AX166-1</f>
        <v>8.3983912940619909E-2</v>
      </c>
      <c r="BH167" s="122">
        <f>BH166/BC166-1</f>
        <v>8.0969009166302897E-2</v>
      </c>
      <c r="BI167" s="64">
        <f>BI166-BG166</f>
        <v>115</v>
      </c>
      <c r="BJ167" s="64">
        <f>BJ166-BI166</f>
        <v>88</v>
      </c>
      <c r="BK167" s="64">
        <f>BK166-BJ166</f>
        <v>95</v>
      </c>
      <c r="BL167" s="64">
        <f>BL166-BK166</f>
        <v>210</v>
      </c>
      <c r="BM167" s="122">
        <f>BM166/BH166-1</f>
        <v>0.10256410256410264</v>
      </c>
      <c r="BN167" s="64">
        <f>BN166-BL166</f>
        <v>119</v>
      </c>
      <c r="BO167" s="64">
        <f>BO166-BN166</f>
        <v>61</v>
      </c>
      <c r="BP167" s="64">
        <f>BP166-BO166</f>
        <v>110</v>
      </c>
      <c r="BQ167" s="64">
        <f>BQ166-BP166</f>
        <v>246</v>
      </c>
      <c r="BR167" s="122">
        <f>BR166/BM166-1</f>
        <v>9.8150521882439223E-2</v>
      </c>
      <c r="BW167" s="122">
        <f>BW166/BR166-1</f>
        <v>7.4370518592629553E-2</v>
      </c>
      <c r="CB167" s="122">
        <f>CB166/BW166-1</f>
        <v>8.5829582492627621E-2</v>
      </c>
      <c r="CG167" s="800">
        <f>CG166/CB166-1</f>
        <v>8.1046312178387758E-2</v>
      </c>
      <c r="CJ167" s="62"/>
      <c r="CK167" s="62"/>
      <c r="CL167" s="800">
        <f>CL166/CG166-1</f>
        <v>2.618008726695753E-2</v>
      </c>
      <c r="CO167" s="62"/>
      <c r="CP167" s="62"/>
      <c r="CQ167" s="122">
        <f>CQ166/CL166-1</f>
        <v>2.1775544388609624E-2</v>
      </c>
      <c r="CR167" s="62"/>
      <c r="CS167" s="62"/>
      <c r="CT167" s="62"/>
      <c r="CU167" s="62"/>
      <c r="CV167" s="800">
        <f>CV166/CQ166-1</f>
        <v>2.3455233291298949E-2</v>
      </c>
      <c r="CW167" s="62"/>
      <c r="CX167" s="62"/>
      <c r="CY167" s="62"/>
      <c r="CZ167" s="62"/>
      <c r="DA167" s="122">
        <f>DA166/CV166-1</f>
        <v>1.1212419911286409E-2</v>
      </c>
      <c r="DB167" s="62"/>
      <c r="DC167" s="62"/>
      <c r="DD167" s="62"/>
      <c r="DE167" s="62"/>
      <c r="DF167" s="122">
        <f>DF166/DA166-1</f>
        <v>-4.1428049226269748E-3</v>
      </c>
      <c r="DG167" s="62"/>
      <c r="DH167" s="62"/>
      <c r="DI167" s="62"/>
      <c r="DJ167" s="62"/>
      <c r="DK167" s="122">
        <f>DK166/DF166-1</f>
        <v>2.4470818548882889E-4</v>
      </c>
      <c r="DL167" s="122"/>
      <c r="DM167" s="122"/>
      <c r="DN167" s="122"/>
      <c r="DO167" s="122"/>
      <c r="DP167" s="122">
        <f>DP166/DK166-1</f>
        <v>-8.0733944954128889E-3</v>
      </c>
      <c r="DQ167" s="122"/>
      <c r="DR167" s="122"/>
      <c r="DS167" s="122"/>
      <c r="DT167" s="122"/>
      <c r="DU167" s="122">
        <f>DU166/DP166-1</f>
        <v>0.23319768158835852</v>
      </c>
      <c r="DV167" s="122"/>
      <c r="DW167" s="122"/>
      <c r="DX167" s="122"/>
      <c r="DY167" s="122"/>
      <c r="DZ167" s="122">
        <f>DZ166/DU166-1</f>
        <v>-4.0000000000000036E-2</v>
      </c>
      <c r="EA167" s="122"/>
      <c r="EB167" s="122"/>
      <c r="EC167" s="122"/>
      <c r="ED167" s="122"/>
      <c r="EE167" s="122">
        <f>EE166/DZ166-1</f>
        <v>-6.9791666666666474E-3</v>
      </c>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row>
    <row r="168" spans="2:232" s="54" customFormat="1" ht="12" hidden="1" customHeight="1" outlineLevel="1" thickBot="1">
      <c r="B168" s="612"/>
      <c r="C168" s="581"/>
      <c r="D168" s="581"/>
      <c r="E168" s="581"/>
      <c r="F168" s="581"/>
      <c r="G168" s="581"/>
      <c r="H168" s="597"/>
      <c r="I168" s="581"/>
      <c r="J168" s="581"/>
      <c r="K168" s="581"/>
      <c r="L168" s="581"/>
      <c r="M168" s="581"/>
      <c r="N168" s="581"/>
      <c r="O168" s="581"/>
      <c r="P168" s="581"/>
      <c r="Q168" s="581"/>
      <c r="R168" s="581"/>
      <c r="S168" s="581"/>
      <c r="T168" s="581"/>
      <c r="U168" s="581"/>
      <c r="V168" s="581"/>
      <c r="W168" s="581"/>
      <c r="X168" s="581"/>
      <c r="Y168" s="581"/>
      <c r="Z168" s="581"/>
      <c r="AA168" s="581"/>
      <c r="AB168" s="581"/>
      <c r="AC168" s="581"/>
      <c r="AD168" s="581"/>
      <c r="AE168" s="581"/>
      <c r="AF168" s="581"/>
      <c r="AG168" s="581"/>
      <c r="AH168" s="581"/>
      <c r="AI168" s="581"/>
      <c r="AJ168" s="581"/>
      <c r="AK168" s="581"/>
      <c r="AL168" s="581"/>
      <c r="AM168" s="581"/>
      <c r="AN168" s="581"/>
      <c r="AO168" s="581"/>
      <c r="AP168" s="581"/>
      <c r="AQ168" s="581"/>
      <c r="AR168" s="581"/>
      <c r="AS168" s="581"/>
      <c r="AT168" s="581"/>
      <c r="AU168" s="581"/>
      <c r="AV168" s="581"/>
      <c r="AW168" s="581"/>
      <c r="AX168" s="581"/>
      <c r="AY168" s="581"/>
      <c r="AZ168" s="581"/>
      <c r="BA168" s="581"/>
      <c r="BB168" s="581"/>
      <c r="BC168" s="581"/>
      <c r="BD168" s="581"/>
      <c r="BE168" s="581"/>
      <c r="BF168" s="581"/>
      <c r="BG168" s="581"/>
      <c r="BH168" s="581"/>
      <c r="BI168" s="581"/>
      <c r="BJ168" s="581"/>
      <c r="BK168" s="581"/>
      <c r="BL168" s="581"/>
      <c r="BM168" s="581"/>
      <c r="BN168" s="581"/>
      <c r="BO168" s="581"/>
      <c r="BP168" s="581"/>
      <c r="BQ168" s="581"/>
      <c r="BR168" s="581"/>
      <c r="BS168" s="581"/>
      <c r="BT168" s="581"/>
      <c r="BU168" s="581"/>
      <c r="BV168" s="581"/>
      <c r="BW168" s="581"/>
      <c r="BX168" s="581"/>
      <c r="BY168" s="581"/>
      <c r="BZ168" s="581"/>
      <c r="CA168" s="581"/>
      <c r="CB168" s="581"/>
      <c r="CC168" s="581"/>
      <c r="CD168" s="581"/>
      <c r="CE168" s="581"/>
      <c r="CF168" s="581"/>
      <c r="CG168" s="652"/>
      <c r="CH168" s="581"/>
      <c r="CI168" s="581"/>
      <c r="CJ168" s="1344"/>
      <c r="CK168" s="1344"/>
      <c r="CL168" s="652"/>
      <c r="CM168" s="581"/>
      <c r="CN168" s="581"/>
      <c r="CO168" s="1344"/>
      <c r="CP168" s="1344"/>
      <c r="CQ168" s="581"/>
      <c r="CR168" s="1344"/>
      <c r="CS168" s="1344"/>
      <c r="CT168" s="1344"/>
      <c r="CU168" s="1344"/>
      <c r="CV168" s="652"/>
      <c r="CW168" s="1344"/>
      <c r="CX168" s="1344"/>
      <c r="CY168" s="1344"/>
      <c r="CZ168" s="1344"/>
      <c r="DA168" s="581"/>
      <c r="DB168" s="1344"/>
      <c r="DC168" s="1344"/>
      <c r="DD168" s="1344"/>
      <c r="DE168" s="1344"/>
      <c r="DF168" s="581"/>
      <c r="DG168" s="1344"/>
      <c r="DH168" s="1344"/>
      <c r="DI168" s="1344"/>
      <c r="DJ168" s="1344"/>
      <c r="DK168" s="581"/>
      <c r="DL168" s="581"/>
      <c r="DM168" s="581"/>
      <c r="DN168" s="581"/>
      <c r="DO168" s="581"/>
      <c r="DP168" s="581"/>
      <c r="DQ168" s="581"/>
      <c r="DR168" s="581"/>
      <c r="DS168" s="581"/>
      <c r="DT168" s="581"/>
      <c r="DU168" s="581"/>
      <c r="DV168" s="581"/>
      <c r="DW168" s="581"/>
      <c r="DX168" s="581"/>
      <c r="DY168" s="581"/>
      <c r="DZ168" s="581"/>
      <c r="EA168" s="581"/>
      <c r="EB168" s="581"/>
      <c r="EC168" s="581"/>
      <c r="ED168" s="581"/>
      <c r="EE168" s="581"/>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row>
    <row r="169" spans="2:232" s="54" customFormat="1" ht="11.25" hidden="1" customHeight="1" outlineLevel="1">
      <c r="B169" s="538" t="s">
        <v>15</v>
      </c>
      <c r="C169" s="64"/>
      <c r="D169" s="64"/>
      <c r="E169" s="64"/>
      <c r="F169" s="64"/>
      <c r="G169" s="64"/>
      <c r="H169" s="77"/>
      <c r="I169" s="170"/>
      <c r="J169" s="170"/>
      <c r="K169" s="64"/>
      <c r="L169" s="64"/>
      <c r="M169" s="64"/>
      <c r="N169" s="64"/>
      <c r="O169" s="170">
        <v>71</v>
      </c>
      <c r="P169" s="64"/>
      <c r="Q169" s="64"/>
      <c r="R169" s="64"/>
      <c r="S169" s="64"/>
      <c r="T169" s="170">
        <v>46</v>
      </c>
      <c r="U169" s="64">
        <v>12</v>
      </c>
      <c r="V169" s="64">
        <v>12</v>
      </c>
      <c r="W169" s="64">
        <v>13</v>
      </c>
      <c r="X169" s="64">
        <v>13</v>
      </c>
      <c r="Y169" s="170">
        <v>47</v>
      </c>
      <c r="Z169" s="64">
        <v>12</v>
      </c>
      <c r="AA169" s="64">
        <v>12</v>
      </c>
      <c r="AB169" s="64">
        <v>13</v>
      </c>
      <c r="AC169" s="64">
        <v>13</v>
      </c>
      <c r="AD169" s="170">
        <v>33</v>
      </c>
      <c r="AE169" s="64"/>
      <c r="AF169" s="64" t="s">
        <v>414</v>
      </c>
      <c r="AG169" s="64"/>
      <c r="AH169" s="64"/>
      <c r="AI169" s="170">
        <v>30</v>
      </c>
      <c r="AJ169" s="64"/>
      <c r="AK169" s="64"/>
      <c r="AL169" s="64"/>
      <c r="AM169" s="64"/>
      <c r="AN169" s="170">
        <v>19</v>
      </c>
      <c r="AO169" s="64"/>
      <c r="AP169" s="64"/>
      <c r="AQ169" s="64"/>
      <c r="AR169" s="64"/>
      <c r="AS169" s="170">
        <v>40</v>
      </c>
      <c r="AT169" s="64"/>
      <c r="AU169" s="64"/>
      <c r="AV169" s="64"/>
      <c r="AW169" s="64"/>
      <c r="AX169" s="170">
        <f>0.01*AS166</f>
        <v>38.83</v>
      </c>
      <c r="AY169" s="64"/>
      <c r="AZ169" s="64"/>
      <c r="BA169" s="64"/>
      <c r="BB169" s="64"/>
      <c r="BC169" s="170">
        <f>0.01*AX166</f>
        <v>42.27</v>
      </c>
      <c r="BD169" s="64"/>
      <c r="BE169" s="64"/>
      <c r="BF169" s="64"/>
      <c r="BG169" s="64"/>
      <c r="BH169" s="170">
        <f>0.01*BC166</f>
        <v>45.82</v>
      </c>
      <c r="BI169" s="64"/>
      <c r="BJ169" s="64"/>
      <c r="BK169" s="64"/>
      <c r="BL169" s="64"/>
      <c r="BM169" s="170">
        <f>0.01*BH166</f>
        <v>49.53</v>
      </c>
      <c r="BN169" s="64"/>
      <c r="BO169" s="64"/>
      <c r="BP169" s="64"/>
      <c r="BQ169" s="64"/>
      <c r="BR169" s="170">
        <f>0.01*BM166</f>
        <v>54.61</v>
      </c>
      <c r="BS169" s="64"/>
      <c r="BT169" s="64"/>
      <c r="BU169" s="64"/>
      <c r="BV169" s="64"/>
      <c r="BW169" s="170">
        <f>0.01*BR166</f>
        <v>59.97</v>
      </c>
      <c r="BX169" s="64"/>
      <c r="BY169" s="64"/>
      <c r="BZ169" s="64"/>
      <c r="CA169" s="64"/>
      <c r="CB169" s="170">
        <f>0.01*BW166</f>
        <v>64.430000000000007</v>
      </c>
      <c r="CC169" s="64"/>
      <c r="CD169" s="64"/>
      <c r="CE169" s="64"/>
      <c r="CF169" s="64"/>
      <c r="CG169" s="805">
        <f>0.01*CB166</f>
        <v>69.960000000000008</v>
      </c>
      <c r="CH169" s="64"/>
      <c r="CI169" s="64"/>
      <c r="CJ169" s="62"/>
      <c r="CK169" s="62"/>
      <c r="CL169" s="805">
        <f>0.01*CG166</f>
        <v>75.63</v>
      </c>
      <c r="CM169" s="64"/>
      <c r="CN169" s="64"/>
      <c r="CO169" s="62"/>
      <c r="CP169" s="62"/>
      <c r="CQ169" s="170">
        <f>0.01*CL166</f>
        <v>77.61</v>
      </c>
      <c r="CR169" s="62"/>
      <c r="CS169" s="62"/>
      <c r="CT169" s="62"/>
      <c r="CU169" s="62"/>
      <c r="CV169" s="805">
        <f>0.01*CQ166</f>
        <v>79.3</v>
      </c>
      <c r="CW169" s="62"/>
      <c r="CX169" s="62"/>
      <c r="CY169" s="62"/>
      <c r="CZ169" s="62"/>
      <c r="DA169" s="170">
        <f>0.01*CV166</f>
        <v>81.16</v>
      </c>
      <c r="DB169" s="62"/>
      <c r="DC169" s="62"/>
      <c r="DD169" s="62"/>
      <c r="DE169" s="62"/>
      <c r="DF169" s="170">
        <f>0.01*DA166</f>
        <v>82.070000000000007</v>
      </c>
      <c r="DG169" s="62"/>
      <c r="DH169" s="62"/>
      <c r="DI169" s="62"/>
      <c r="DJ169" s="62"/>
      <c r="DK169" s="170">
        <f>0.01*DF166</f>
        <v>81.73</v>
      </c>
      <c r="DL169" s="170"/>
      <c r="DM169" s="170"/>
      <c r="DN169" s="170"/>
      <c r="DO169" s="170"/>
      <c r="DP169" s="170">
        <f>0.01*DK166</f>
        <v>81.75</v>
      </c>
      <c r="DQ169" s="170"/>
      <c r="DR169" s="170"/>
      <c r="DS169" s="170"/>
      <c r="DT169" s="170"/>
      <c r="DU169" s="170">
        <f>0.01*DP166</f>
        <v>81.09</v>
      </c>
      <c r="DV169" s="170"/>
      <c r="DW169" s="170"/>
      <c r="DX169" s="170"/>
      <c r="DY169" s="170"/>
      <c r="DZ169" s="170">
        <f>0.01*DU166</f>
        <v>100</v>
      </c>
      <c r="EA169" s="170"/>
      <c r="EB169" s="170"/>
      <c r="EC169" s="170"/>
      <c r="ED169" s="170"/>
      <c r="EE169" s="170">
        <f>0.01*DZ166</f>
        <v>96</v>
      </c>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row>
    <row r="170" spans="2:232" s="372" customFormat="1" ht="11.25" hidden="1" customHeight="1" outlineLevel="1">
      <c r="B170" s="881"/>
      <c r="C170" s="311"/>
      <c r="D170" s="311"/>
      <c r="E170" s="311"/>
      <c r="F170" s="311"/>
      <c r="G170" s="311"/>
      <c r="H170" s="311"/>
      <c r="I170" s="311"/>
      <c r="J170" s="311"/>
      <c r="K170" s="882"/>
      <c r="L170" s="882"/>
      <c r="M170" s="882"/>
      <c r="N170" s="882"/>
      <c r="O170" s="311"/>
      <c r="P170" s="882"/>
      <c r="Q170" s="882"/>
      <c r="R170" s="882"/>
      <c r="S170" s="882"/>
      <c r="T170" s="311"/>
      <c r="U170" s="882"/>
      <c r="V170" s="882"/>
      <c r="W170" s="882"/>
      <c r="X170" s="882"/>
      <c r="Y170" s="311"/>
      <c r="Z170" s="882"/>
      <c r="AA170" s="882"/>
      <c r="AB170" s="882"/>
      <c r="AC170" s="882"/>
      <c r="AD170" s="311"/>
      <c r="AE170" s="882"/>
      <c r="AF170" s="882"/>
      <c r="AG170" s="882"/>
      <c r="AH170" s="882"/>
      <c r="AI170" s="311"/>
      <c r="AJ170" s="882"/>
      <c r="AK170" s="882"/>
      <c r="AL170" s="882"/>
      <c r="AM170" s="882"/>
      <c r="AN170" s="311"/>
      <c r="AO170" s="882"/>
      <c r="AP170" s="882"/>
      <c r="AQ170" s="882"/>
      <c r="AR170" s="882"/>
      <c r="AS170" s="311"/>
      <c r="AT170" s="882"/>
      <c r="AU170" s="882"/>
      <c r="AV170" s="882"/>
      <c r="AW170" s="882"/>
      <c r="AX170" s="311"/>
      <c r="AY170" s="882"/>
      <c r="AZ170" s="882"/>
      <c r="BA170" s="882"/>
      <c r="BB170" s="882"/>
      <c r="BC170" s="311"/>
      <c r="BD170" s="882"/>
      <c r="BE170" s="882"/>
      <c r="BF170" s="882"/>
      <c r="BG170" s="882"/>
      <c r="BH170" s="311"/>
      <c r="BI170" s="882"/>
      <c r="BJ170" s="882"/>
      <c r="BK170" s="882"/>
      <c r="BL170" s="882"/>
      <c r="BM170" s="311"/>
      <c r="BN170" s="882"/>
      <c r="BO170" s="882"/>
      <c r="BP170" s="882"/>
      <c r="BQ170" s="882"/>
      <c r="BR170" s="311"/>
      <c r="BS170" s="882"/>
      <c r="BT170" s="882"/>
      <c r="BU170" s="882"/>
      <c r="BV170" s="882"/>
      <c r="BW170" s="311"/>
      <c r="BX170" s="882"/>
      <c r="BY170" s="882"/>
      <c r="BZ170" s="882"/>
      <c r="CA170" s="882"/>
      <c r="CB170" s="311"/>
      <c r="CC170" s="882"/>
      <c r="CD170" s="882"/>
      <c r="CE170" s="882"/>
      <c r="CF170" s="882"/>
      <c r="CG170" s="941"/>
      <c r="CH170" s="882"/>
      <c r="CI170" s="882"/>
      <c r="CJ170" s="882"/>
      <c r="CK170" s="882"/>
      <c r="CL170" s="941"/>
      <c r="CM170" s="882"/>
      <c r="CN170" s="882"/>
      <c r="CO170" s="882"/>
      <c r="CP170" s="882"/>
      <c r="CQ170" s="311"/>
      <c r="CR170" s="209"/>
      <c r="CS170" s="209"/>
      <c r="CT170" s="209"/>
      <c r="CU170" s="209"/>
      <c r="CV170" s="941"/>
      <c r="CW170" s="209"/>
      <c r="CX170" s="209"/>
      <c r="CY170" s="209"/>
      <c r="CZ170" s="209"/>
      <c r="DA170" s="311"/>
      <c r="DB170" s="209"/>
      <c r="DC170" s="209"/>
      <c r="DD170" s="209"/>
      <c r="DE170" s="209"/>
      <c r="DF170" s="311"/>
      <c r="DG170" s="209"/>
      <c r="DH170" s="209"/>
      <c r="DI170" s="209"/>
      <c r="DJ170" s="209"/>
      <c r="DK170" s="311"/>
      <c r="DL170" s="311"/>
      <c r="DM170" s="311"/>
      <c r="DN170" s="311"/>
      <c r="DO170" s="311"/>
      <c r="DP170" s="311"/>
      <c r="DQ170" s="311"/>
      <c r="DR170" s="311"/>
      <c r="DS170" s="311"/>
      <c r="DT170" s="311"/>
      <c r="DU170" s="311"/>
      <c r="DV170" s="311"/>
      <c r="DW170" s="311"/>
      <c r="DX170" s="311"/>
      <c r="DY170" s="311"/>
      <c r="DZ170" s="311"/>
      <c r="EA170" s="311"/>
      <c r="EB170" s="311"/>
      <c r="EC170" s="311"/>
      <c r="ED170" s="311"/>
      <c r="EE170" s="311"/>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row>
    <row r="171" spans="2:232" s="82" customFormat="1" ht="11.25" hidden="1" customHeight="1" outlineLevel="1">
      <c r="B171" s="546"/>
      <c r="C171" s="80"/>
      <c r="D171" s="80"/>
      <c r="E171" s="80"/>
      <c r="F171" s="80"/>
      <c r="G171" s="80"/>
      <c r="H171" s="80"/>
      <c r="I171" s="80"/>
      <c r="J171" s="80"/>
      <c r="K171" s="122"/>
      <c r="L171" s="122"/>
      <c r="M171" s="122"/>
      <c r="N171" s="122"/>
      <c r="O171" s="80"/>
      <c r="P171" s="122"/>
      <c r="Q171" s="122"/>
      <c r="R171" s="122"/>
      <c r="S171" s="122"/>
      <c r="T171" s="80"/>
      <c r="U171" s="122"/>
      <c r="V171" s="122"/>
      <c r="W171" s="122"/>
      <c r="X171" s="122"/>
      <c r="Y171" s="80"/>
      <c r="Z171" s="122"/>
      <c r="AA171" s="122"/>
      <c r="AB171" s="122"/>
      <c r="AC171" s="122"/>
      <c r="AD171" s="80"/>
      <c r="AE171" s="122"/>
      <c r="AF171" s="122"/>
      <c r="AG171" s="122"/>
      <c r="AH171" s="122"/>
      <c r="AI171" s="80"/>
      <c r="AJ171" s="122"/>
      <c r="AK171" s="122"/>
      <c r="AL171" s="122"/>
      <c r="AM171" s="122"/>
      <c r="AN171" s="80"/>
      <c r="AO171" s="122"/>
      <c r="AP171" s="122"/>
      <c r="AQ171" s="122"/>
      <c r="AR171" s="122"/>
      <c r="AS171" s="80" t="s">
        <v>279</v>
      </c>
      <c r="AT171" s="122"/>
      <c r="AU171" s="122"/>
      <c r="AV171" s="122"/>
      <c r="AW171" s="122"/>
      <c r="AX171" s="80">
        <v>1.4999999999999999E-2</v>
      </c>
      <c r="AY171" s="122"/>
      <c r="AZ171" s="122"/>
      <c r="BA171" s="122"/>
      <c r="BB171" s="122"/>
      <c r="BC171" s="80">
        <v>1.4999999999999999E-2</v>
      </c>
      <c r="BD171" s="122"/>
      <c r="BE171" s="122"/>
      <c r="BF171" s="122"/>
      <c r="BG171" s="122"/>
      <c r="BH171" s="80">
        <v>0.02</v>
      </c>
      <c r="BI171" s="122"/>
      <c r="BJ171" s="122"/>
      <c r="BK171" s="122"/>
      <c r="BL171" s="122"/>
      <c r="BM171" s="80">
        <v>0.03</v>
      </c>
      <c r="BN171" s="122"/>
      <c r="BO171" s="122"/>
      <c r="BP171" s="122"/>
      <c r="BQ171" s="122"/>
      <c r="BR171" s="80">
        <v>0.03</v>
      </c>
      <c r="BS171" s="122"/>
      <c r="BT171" s="122"/>
      <c r="BU171" s="122"/>
      <c r="BV171" s="122"/>
      <c r="BW171" s="80">
        <v>0.03</v>
      </c>
      <c r="BX171" s="122"/>
      <c r="BY171" s="122"/>
      <c r="BZ171" s="122"/>
      <c r="CA171" s="122"/>
      <c r="CB171" s="80">
        <v>0.03</v>
      </c>
      <c r="CC171" s="122"/>
      <c r="CD171" s="122"/>
      <c r="CE171" s="122"/>
      <c r="CF171" s="122"/>
      <c r="CG171" s="953">
        <v>0.03</v>
      </c>
      <c r="CH171" s="122"/>
      <c r="CI171" s="122"/>
      <c r="CJ171" s="122"/>
      <c r="CK171" s="122"/>
      <c r="CL171" s="953">
        <v>0.03</v>
      </c>
      <c r="CM171" s="122"/>
      <c r="CN171" s="122"/>
      <c r="CO171" s="122"/>
      <c r="CP171" s="122"/>
      <c r="CQ171" s="80">
        <v>0.03</v>
      </c>
      <c r="CR171" s="130"/>
      <c r="CS171" s="130"/>
      <c r="CT171" s="130"/>
      <c r="CU171" s="130"/>
      <c r="CV171" s="953">
        <v>0.03</v>
      </c>
      <c r="CW171" s="130"/>
      <c r="CX171" s="130"/>
      <c r="CY171" s="130"/>
      <c r="CZ171" s="130"/>
      <c r="DA171" s="80">
        <v>0.03</v>
      </c>
      <c r="DB171" s="130"/>
      <c r="DC171" s="130"/>
      <c r="DD171" s="130"/>
      <c r="DE171" s="130"/>
      <c r="DF171" s="80">
        <v>0.03</v>
      </c>
      <c r="DG171" s="130"/>
      <c r="DH171" s="130"/>
      <c r="DI171" s="130"/>
      <c r="DJ171" s="130"/>
      <c r="DK171" s="80">
        <v>0.03</v>
      </c>
      <c r="DL171" s="80"/>
      <c r="DM171" s="80"/>
      <c r="DN171" s="80"/>
      <c r="DO171" s="80"/>
      <c r="DP171" s="80">
        <v>0.03</v>
      </c>
      <c r="DQ171" s="80"/>
      <c r="DR171" s="80"/>
      <c r="DS171" s="80"/>
      <c r="DT171" s="80"/>
      <c r="DU171" s="80">
        <v>0.03</v>
      </c>
      <c r="DV171" s="80"/>
      <c r="DW171" s="80"/>
      <c r="DX171" s="80"/>
      <c r="DY171" s="80"/>
      <c r="DZ171" s="80">
        <v>0.03</v>
      </c>
      <c r="EA171" s="80"/>
      <c r="EB171" s="80"/>
      <c r="EC171" s="80"/>
      <c r="ED171" s="80"/>
      <c r="EE171" s="80">
        <v>0.03</v>
      </c>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row>
    <row r="172" spans="2:232" s="54" customFormat="1" ht="11.25" hidden="1" customHeight="1" outlineLevel="1">
      <c r="B172" s="538"/>
      <c r="C172" s="64"/>
      <c r="D172" s="64"/>
      <c r="E172" s="64"/>
      <c r="F172" s="64"/>
      <c r="G172" s="64"/>
      <c r="H172" s="77"/>
      <c r="I172" s="64"/>
      <c r="J172" s="64"/>
      <c r="K172" s="64"/>
      <c r="L172" s="64"/>
      <c r="M172" s="64"/>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19"/>
      <c r="CH172" s="64"/>
      <c r="CI172" s="64"/>
      <c r="CJ172" s="62"/>
      <c r="CK172" s="62"/>
      <c r="CL172" s="619"/>
      <c r="CM172" s="64"/>
      <c r="CN172" s="64"/>
      <c r="CO172" s="62"/>
      <c r="CP172" s="62"/>
      <c r="CQ172" s="64"/>
      <c r="CR172" s="62"/>
      <c r="CS172" s="62"/>
      <c r="CT172" s="62"/>
      <c r="CU172" s="62"/>
      <c r="CV172" s="619"/>
      <c r="CW172" s="62"/>
      <c r="CX172" s="62"/>
      <c r="CY172" s="62"/>
      <c r="CZ172" s="62"/>
      <c r="DA172" s="64"/>
      <c r="DB172" s="62"/>
      <c r="DC172" s="62"/>
      <c r="DD172" s="62"/>
      <c r="DE172" s="62"/>
      <c r="DF172" s="64"/>
      <c r="DG172" s="62"/>
      <c r="DH172" s="62"/>
      <c r="DI172" s="62"/>
      <c r="DJ172" s="62"/>
      <c r="DK172" s="64"/>
      <c r="DL172" s="64"/>
      <c r="DM172" s="64"/>
      <c r="DN172" s="64"/>
      <c r="DO172" s="64"/>
      <c r="DP172" s="64"/>
      <c r="DQ172" s="64"/>
      <c r="DR172" s="64"/>
      <c r="DS172" s="64"/>
      <c r="DT172" s="64"/>
      <c r="DU172" s="64"/>
      <c r="DV172" s="64"/>
      <c r="DW172" s="64"/>
      <c r="DX172" s="64"/>
      <c r="DY172" s="64"/>
      <c r="DZ172" s="64"/>
      <c r="EA172" s="64"/>
      <c r="EB172" s="64"/>
      <c r="EC172" s="64"/>
      <c r="ED172" s="64"/>
      <c r="EE172" s="64"/>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row>
    <row r="173" spans="2:232" s="54" customFormat="1" ht="11.25" hidden="1" customHeight="1" outlineLevel="1">
      <c r="B173" s="608" t="s">
        <v>280</v>
      </c>
      <c r="C173" s="306"/>
      <c r="D173" s="64"/>
      <c r="E173" s="64"/>
      <c r="F173" s="64"/>
      <c r="G173" s="64"/>
      <c r="H173" s="77"/>
      <c r="I173" s="64"/>
      <c r="J173" s="64"/>
      <c r="K173" s="64"/>
      <c r="L173" s="64"/>
      <c r="M173" s="64"/>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19"/>
      <c r="CH173" s="64"/>
      <c r="CI173" s="64"/>
      <c r="CJ173" s="62"/>
      <c r="CK173" s="62"/>
      <c r="CL173" s="619"/>
      <c r="CM173" s="64"/>
      <c r="CN173" s="64"/>
      <c r="CO173" s="62"/>
      <c r="CP173" s="62"/>
      <c r="CQ173" s="64"/>
      <c r="CR173" s="62"/>
      <c r="CS173" s="62"/>
      <c r="CT173" s="62"/>
      <c r="CU173" s="62"/>
      <c r="CV173" s="619"/>
      <c r="CW173" s="62"/>
      <c r="CX173" s="62"/>
      <c r="CY173" s="62"/>
      <c r="CZ173" s="62"/>
      <c r="DA173" s="64"/>
      <c r="DB173" s="62"/>
      <c r="DC173" s="62"/>
      <c r="DD173" s="62"/>
      <c r="DE173" s="62"/>
      <c r="DF173" s="64"/>
      <c r="DG173" s="62"/>
      <c r="DH173" s="62"/>
      <c r="DI173" s="62"/>
      <c r="DJ173" s="62"/>
      <c r="DK173" s="64"/>
      <c r="DL173" s="64"/>
      <c r="DM173" s="64"/>
      <c r="DN173" s="64"/>
      <c r="DO173" s="64"/>
      <c r="DP173" s="64"/>
      <c r="DQ173" s="64"/>
      <c r="DR173" s="64"/>
      <c r="DS173" s="64"/>
      <c r="DT173" s="64"/>
      <c r="DU173" s="64"/>
      <c r="DV173" s="64"/>
      <c r="DW173" s="64"/>
      <c r="DX173" s="64"/>
      <c r="DY173" s="64"/>
      <c r="DZ173" s="64"/>
      <c r="EA173" s="64"/>
      <c r="EB173" s="64"/>
      <c r="EC173" s="64"/>
      <c r="ED173" s="64"/>
      <c r="EE173" s="64"/>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row>
    <row r="174" spans="2:232" s="54" customFormat="1" ht="11.25" hidden="1" customHeight="1" outlineLevel="1">
      <c r="B174" s="884" t="s">
        <v>226</v>
      </c>
      <c r="C174" s="885"/>
      <c r="D174" s="64"/>
      <c r="E174" s="64"/>
      <c r="F174" s="64"/>
      <c r="G174" s="64"/>
      <c r="H174" s="77"/>
      <c r="I174" s="64"/>
      <c r="J174" s="64"/>
      <c r="K174" s="64"/>
      <c r="L174" s="64"/>
      <c r="M174" s="64"/>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v>1.1299999999999999</v>
      </c>
      <c r="AT174" s="64"/>
      <c r="AU174" s="64"/>
      <c r="AV174" s="64"/>
      <c r="AW174" s="64"/>
      <c r="AX174" s="64">
        <v>1.2</v>
      </c>
      <c r="AY174" s="64"/>
      <c r="AZ174" s="64"/>
      <c r="BA174" s="64"/>
      <c r="BB174" s="64"/>
      <c r="BC174" s="64">
        <f>AX174*(1+BC171)</f>
        <v>1.2179999999999997</v>
      </c>
      <c r="BD174" s="64"/>
      <c r="BE174" s="64"/>
      <c r="BF174" s="64"/>
      <c r="BG174" s="64"/>
      <c r="BH174" s="64">
        <v>1.4</v>
      </c>
      <c r="BI174" s="64"/>
      <c r="BJ174" s="64"/>
      <c r="BK174" s="64"/>
      <c r="BL174" s="64"/>
      <c r="BM174" s="64">
        <f>BH174*(1+BM171)</f>
        <v>1.4419999999999999</v>
      </c>
      <c r="BN174" s="64"/>
      <c r="BO174" s="64"/>
      <c r="BP174" s="64"/>
      <c r="BQ174" s="64"/>
      <c r="BR174" s="64">
        <f>BM174*(1+BR171)</f>
        <v>1.48526</v>
      </c>
      <c r="BS174" s="64"/>
      <c r="BT174" s="64"/>
      <c r="BU174" s="64"/>
      <c r="BV174" s="64"/>
      <c r="BW174" s="64">
        <f>BR174*(1+BW171)</f>
        <v>1.5298178</v>
      </c>
      <c r="BX174" s="64"/>
      <c r="BY174" s="64"/>
      <c r="BZ174" s="64"/>
      <c r="CA174" s="64"/>
      <c r="CB174" s="64">
        <v>2</v>
      </c>
      <c r="CC174" s="64"/>
      <c r="CD174" s="64"/>
      <c r="CE174" s="64"/>
      <c r="CF174" s="64"/>
      <c r="CG174" s="619">
        <v>2.2000000000000002</v>
      </c>
      <c r="CH174" s="64"/>
      <c r="CI174" s="64"/>
      <c r="CJ174" s="62"/>
      <c r="CK174" s="62"/>
      <c r="CL174" s="619">
        <f>CG174*(1+CL171)</f>
        <v>2.2660000000000005</v>
      </c>
      <c r="CM174" s="64"/>
      <c r="CN174" s="64"/>
      <c r="CO174" s="62"/>
      <c r="CP174" s="62"/>
      <c r="CQ174" s="64">
        <f>CL174*(1+CQ171)</f>
        <v>2.3339800000000004</v>
      </c>
      <c r="CR174" s="62"/>
      <c r="CS174" s="62"/>
      <c r="CT174" s="62"/>
      <c r="CU174" s="62"/>
      <c r="CV174" s="619">
        <f>CQ174*(1+CV171)</f>
        <v>2.4039994000000005</v>
      </c>
      <c r="CW174" s="62"/>
      <c r="CX174" s="62"/>
      <c r="CY174" s="62"/>
      <c r="CZ174" s="62"/>
      <c r="DA174" s="64">
        <f>CV174*(1+DA171)</f>
        <v>2.4761193820000007</v>
      </c>
      <c r="DB174" s="62"/>
      <c r="DC174" s="62"/>
      <c r="DD174" s="62"/>
      <c r="DE174" s="62"/>
      <c r="DF174" s="64">
        <f>DA174*(1+DF171)</f>
        <v>2.5504029634600007</v>
      </c>
      <c r="DG174" s="62"/>
      <c r="DH174" s="62"/>
      <c r="DI174" s="62"/>
      <c r="DJ174" s="62"/>
      <c r="DK174" s="64">
        <f>DF174*(1+DK171)</f>
        <v>2.6269150523638007</v>
      </c>
      <c r="DL174" s="64"/>
      <c r="DM174" s="64"/>
      <c r="DN174" s="64"/>
      <c r="DO174" s="64"/>
      <c r="DP174" s="64">
        <f>DK174*(1+DP171)</f>
        <v>2.705722503934715</v>
      </c>
      <c r="DQ174" s="64"/>
      <c r="DR174" s="64"/>
      <c r="DS174" s="64"/>
      <c r="DT174" s="64"/>
      <c r="DU174" s="64">
        <f>DP174*(1+DU171)</f>
        <v>2.7868941790527564</v>
      </c>
      <c r="DV174" s="64"/>
      <c r="DW174" s="64"/>
      <c r="DX174" s="64"/>
      <c r="DY174" s="64"/>
      <c r="DZ174" s="64">
        <f>DU174*(1+DZ171)</f>
        <v>2.8705010044243391</v>
      </c>
      <c r="EA174" s="64"/>
      <c r="EB174" s="64"/>
      <c r="EC174" s="64"/>
      <c r="ED174" s="64"/>
      <c r="EE174" s="64">
        <f>DZ174*(1+EE171)</f>
        <v>2.9566160345570691</v>
      </c>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row>
    <row r="175" spans="2:232" s="54" customFormat="1" ht="11.25" hidden="1" customHeight="1" outlineLevel="1">
      <c r="B175" s="886" t="s">
        <v>382</v>
      </c>
      <c r="C175" s="887"/>
      <c r="D175" s="64"/>
      <c r="E175" s="64"/>
      <c r="F175" s="64"/>
      <c r="G175" s="64"/>
      <c r="H175" s="77"/>
      <c r="I175" s="64"/>
      <c r="J175" s="64"/>
      <c r="K175" s="64"/>
      <c r="L175" s="64"/>
      <c r="M175" s="64"/>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888">
        <f>+AS180/AN166</f>
        <v>5.2840909090909091E-2</v>
      </c>
      <c r="AT175" s="64"/>
      <c r="AU175" s="64"/>
      <c r="AV175" s="64"/>
      <c r="AW175" s="64"/>
      <c r="AX175" s="888">
        <v>6.4500000000000002E-2</v>
      </c>
      <c r="AY175" s="64"/>
      <c r="AZ175" s="64"/>
      <c r="BA175" s="64"/>
      <c r="BB175" s="64"/>
      <c r="BC175" s="888">
        <f>AX175*(1.05)</f>
        <v>6.7725000000000007E-2</v>
      </c>
      <c r="BD175" s="64"/>
      <c r="BE175" s="64"/>
      <c r="BF175" s="64"/>
      <c r="BG175" s="64"/>
      <c r="BH175" s="888">
        <f>BC175*(1.05)</f>
        <v>7.1111250000000015E-2</v>
      </c>
      <c r="BI175" s="64"/>
      <c r="BJ175" s="64"/>
      <c r="BK175" s="64"/>
      <c r="BL175" s="64"/>
      <c r="BM175" s="888">
        <f>BH175*(1.05)</f>
        <v>7.4666812500000013E-2</v>
      </c>
      <c r="BN175" s="64"/>
      <c r="BO175" s="64"/>
      <c r="BP175" s="64"/>
      <c r="BQ175" s="64"/>
      <c r="BR175" s="888">
        <f>BM175*(1.05)</f>
        <v>7.8400153125000011E-2</v>
      </c>
      <c r="BS175" s="64"/>
      <c r="BT175" s="64"/>
      <c r="BU175" s="64"/>
      <c r="BV175" s="64"/>
      <c r="BW175" s="888">
        <v>0.11</v>
      </c>
      <c r="BX175" s="64"/>
      <c r="BY175" s="64"/>
      <c r="BZ175" s="64"/>
      <c r="CA175" s="64"/>
      <c r="CB175" s="888">
        <v>0.1</v>
      </c>
      <c r="CC175" s="64"/>
      <c r="CD175" s="64"/>
      <c r="CE175" s="64"/>
      <c r="CF175" s="64"/>
      <c r="CG175" s="954">
        <f>CB175*(1.02)</f>
        <v>0.10200000000000001</v>
      </c>
      <c r="CH175" s="64"/>
      <c r="CI175" s="64"/>
      <c r="CJ175" s="62"/>
      <c r="CK175" s="62"/>
      <c r="CL175" s="954">
        <f>CG175*(1.02)</f>
        <v>0.10404000000000001</v>
      </c>
      <c r="CM175" s="64"/>
      <c r="CN175" s="64"/>
      <c r="CO175" s="62"/>
      <c r="CP175" s="62"/>
      <c r="CQ175" s="888">
        <f>CL175*(1.02)</f>
        <v>0.10612080000000002</v>
      </c>
      <c r="CR175" s="62"/>
      <c r="CS175" s="62"/>
      <c r="CT175" s="62"/>
      <c r="CU175" s="62"/>
      <c r="CV175" s="954">
        <f>CQ175*(1.02)</f>
        <v>0.10824321600000002</v>
      </c>
      <c r="CW175" s="62"/>
      <c r="CX175" s="62"/>
      <c r="CY175" s="62"/>
      <c r="CZ175" s="62"/>
      <c r="DA175" s="888">
        <f>CV175*(1.02)</f>
        <v>0.11040808032000002</v>
      </c>
      <c r="DB175" s="62"/>
      <c r="DC175" s="62"/>
      <c r="DD175" s="62"/>
      <c r="DE175" s="62"/>
      <c r="DF175" s="888">
        <f>DA175*(1.02)</f>
        <v>0.11261624192640002</v>
      </c>
      <c r="DG175" s="62"/>
      <c r="DH175" s="62"/>
      <c r="DI175" s="62"/>
      <c r="DJ175" s="62"/>
      <c r="DK175" s="888">
        <f>DF175*(1.02)</f>
        <v>0.11486856676492802</v>
      </c>
      <c r="DL175" s="888"/>
      <c r="DM175" s="888"/>
      <c r="DN175" s="888"/>
      <c r="DO175" s="888"/>
      <c r="DP175" s="888">
        <f>DK175*(1.02)</f>
        <v>0.11716593810022657</v>
      </c>
      <c r="DQ175" s="888"/>
      <c r="DR175" s="888"/>
      <c r="DS175" s="888"/>
      <c r="DT175" s="888"/>
      <c r="DU175" s="888">
        <f>DP175*(1.02)</f>
        <v>0.11950925686223111</v>
      </c>
      <c r="DV175" s="888"/>
      <c r="DW175" s="888"/>
      <c r="DX175" s="888"/>
      <c r="DY175" s="888"/>
      <c r="DZ175" s="888">
        <f>DU175*(1.02)</f>
        <v>0.12189944199947574</v>
      </c>
      <c r="EA175" s="888"/>
      <c r="EB175" s="888"/>
      <c r="EC175" s="888"/>
      <c r="ED175" s="888"/>
      <c r="EE175" s="888">
        <f>DZ175*(1.02)</f>
        <v>0.12433743083946525</v>
      </c>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row>
    <row r="176" spans="2:232" s="54" customFormat="1" ht="11.25" hidden="1" customHeight="1" outlineLevel="1">
      <c r="B176" s="545"/>
      <c r="C176" s="72"/>
      <c r="D176" s="64"/>
      <c r="E176" s="64"/>
      <c r="F176" s="64"/>
      <c r="G176" s="64"/>
      <c r="H176" s="77"/>
      <c r="I176" s="64"/>
      <c r="J176" s="64"/>
      <c r="K176" s="64"/>
      <c r="L176" s="64"/>
      <c r="M176" s="64"/>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889"/>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19"/>
      <c r="CH176" s="64"/>
      <c r="CI176" s="64"/>
      <c r="CJ176" s="62"/>
      <c r="CK176" s="62"/>
      <c r="CL176" s="619"/>
      <c r="CM176" s="64"/>
      <c r="CN176" s="64"/>
      <c r="CO176" s="62"/>
      <c r="CP176" s="62"/>
      <c r="CQ176" s="64"/>
      <c r="CR176" s="62"/>
      <c r="CS176" s="62"/>
      <c r="CT176" s="62"/>
      <c r="CU176" s="62"/>
      <c r="CV176" s="619"/>
      <c r="CW176" s="62"/>
      <c r="CX176" s="62"/>
      <c r="CY176" s="62"/>
      <c r="CZ176" s="62"/>
      <c r="DA176" s="64"/>
      <c r="DB176" s="62"/>
      <c r="DC176" s="62"/>
      <c r="DD176" s="62"/>
      <c r="DE176" s="62"/>
      <c r="DF176" s="64"/>
      <c r="DG176" s="62"/>
      <c r="DH176" s="62"/>
      <c r="DI176" s="62"/>
      <c r="DJ176" s="62"/>
      <c r="DK176" s="64"/>
      <c r="DL176" s="64"/>
      <c r="DM176" s="64"/>
      <c r="DN176" s="64"/>
      <c r="DO176" s="64"/>
      <c r="DP176" s="64"/>
      <c r="DQ176" s="64"/>
      <c r="DR176" s="64"/>
      <c r="DS176" s="64"/>
      <c r="DT176" s="64"/>
      <c r="DU176" s="64"/>
      <c r="DV176" s="64"/>
      <c r="DW176" s="64"/>
      <c r="DX176" s="64"/>
      <c r="DY176" s="64"/>
      <c r="DZ176" s="64"/>
      <c r="EA176" s="64"/>
      <c r="EB176" s="64"/>
      <c r="EC176" s="64"/>
      <c r="ED176" s="64"/>
      <c r="EE176" s="64"/>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row>
    <row r="177" spans="2:232" s="54" customFormat="1" ht="11.25" hidden="1" customHeight="1" outlineLevel="1">
      <c r="B177" s="608" t="s">
        <v>325</v>
      </c>
      <c r="C177" s="306"/>
      <c r="D177" s="64"/>
      <c r="E177" s="64"/>
      <c r="F177" s="64"/>
      <c r="G177" s="64"/>
      <c r="H177" s="77"/>
      <c r="I177" s="64"/>
      <c r="J177" s="64"/>
      <c r="K177" s="64"/>
      <c r="L177" s="64"/>
      <c r="M177" s="64"/>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888"/>
      <c r="AT177" s="64"/>
      <c r="AU177" s="64"/>
      <c r="AV177" s="64"/>
      <c r="AW177" s="64"/>
      <c r="AX177" s="882"/>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19"/>
      <c r="CH177" s="64"/>
      <c r="CI177" s="64"/>
      <c r="CJ177" s="62"/>
      <c r="CK177" s="62"/>
      <c r="CL177" s="619"/>
      <c r="CM177" s="64"/>
      <c r="CN177" s="64"/>
      <c r="CO177" s="62"/>
      <c r="CP177" s="62"/>
      <c r="CQ177" s="64"/>
      <c r="CR177" s="62"/>
      <c r="CS177" s="62"/>
      <c r="CT177" s="62"/>
      <c r="CU177" s="62"/>
      <c r="CV177" s="619"/>
      <c r="CW177" s="62"/>
      <c r="CX177" s="62"/>
      <c r="CY177" s="62"/>
      <c r="CZ177" s="62"/>
      <c r="DA177" s="64"/>
      <c r="DB177" s="62"/>
      <c r="DC177" s="62"/>
      <c r="DD177" s="62"/>
      <c r="DE177" s="62"/>
      <c r="DF177" s="64"/>
      <c r="DG177" s="62"/>
      <c r="DH177" s="62"/>
      <c r="DI177" s="62"/>
      <c r="DJ177" s="62"/>
      <c r="DK177" s="64"/>
      <c r="DL177" s="64"/>
      <c r="DM177" s="64"/>
      <c r="DN177" s="64"/>
      <c r="DO177" s="64"/>
      <c r="DP177" s="64"/>
      <c r="DQ177" s="64"/>
      <c r="DR177" s="64"/>
      <c r="DS177" s="64"/>
      <c r="DT177" s="64"/>
      <c r="DU177" s="64"/>
      <c r="DV177" s="64"/>
      <c r="DW177" s="64"/>
      <c r="DX177" s="64"/>
      <c r="DY177" s="64"/>
      <c r="DZ177" s="64"/>
      <c r="EA177" s="64"/>
      <c r="EB177" s="64"/>
      <c r="EC177" s="64"/>
      <c r="ED177" s="64"/>
      <c r="EE177" s="64"/>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row>
    <row r="178" spans="2:232" s="54" customFormat="1" ht="11.25" hidden="1" customHeight="1" outlineLevel="1">
      <c r="B178" s="561" t="s">
        <v>175</v>
      </c>
      <c r="C178" s="64"/>
      <c r="D178" s="64"/>
      <c r="E178" s="64"/>
      <c r="F178" s="64"/>
      <c r="G178" s="64"/>
      <c r="H178" s="64"/>
      <c r="I178" s="64"/>
      <c r="J178" s="64"/>
      <c r="K178" s="64"/>
      <c r="L178" s="64"/>
      <c r="M178" s="64"/>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f>AS163*AS174</f>
        <v>532.2299999999999</v>
      </c>
      <c r="AT178" s="64"/>
      <c r="AU178" s="64"/>
      <c r="AV178" s="64"/>
      <c r="AW178" s="64"/>
      <c r="AX178" s="64">
        <f>AX163*AX174</f>
        <v>516</v>
      </c>
      <c r="AY178" s="64"/>
      <c r="AZ178" s="64"/>
      <c r="BA178" s="64"/>
      <c r="BB178" s="64"/>
      <c r="BC178" s="64">
        <f>BC163*BC174</f>
        <v>531.04799999999989</v>
      </c>
      <c r="BD178" s="64"/>
      <c r="BE178" s="64"/>
      <c r="BF178" s="64"/>
      <c r="BG178" s="64"/>
      <c r="BH178" s="64">
        <f>BH163*BH174</f>
        <v>711.84400000000005</v>
      </c>
      <c r="BI178" s="64"/>
      <c r="BJ178" s="64"/>
      <c r="BK178" s="64"/>
      <c r="BL178" s="64"/>
      <c r="BM178" s="64">
        <f>BM163*BM174</f>
        <v>946.80278000000021</v>
      </c>
      <c r="BN178" s="64"/>
      <c r="BO178" s="64"/>
      <c r="BP178" s="64"/>
      <c r="BQ178" s="64"/>
      <c r="BR178" s="64">
        <f>BR163*BR174</f>
        <v>1039.4295058</v>
      </c>
      <c r="BS178" s="64"/>
      <c r="BT178" s="64"/>
      <c r="BU178" s="64"/>
      <c r="BV178" s="64"/>
      <c r="BW178" s="64">
        <f>BW163*BW174</f>
        <v>957.52825919799977</v>
      </c>
      <c r="BX178" s="64"/>
      <c r="BY178" s="64"/>
      <c r="BZ178" s="64"/>
      <c r="CA178" s="64"/>
      <c r="CB178" s="64">
        <f>CB163*CB174</f>
        <v>1492.58</v>
      </c>
      <c r="CC178" s="64"/>
      <c r="CD178" s="64"/>
      <c r="CE178" s="64"/>
      <c r="CF178" s="64"/>
      <c r="CG178" s="619">
        <f>CG163*CG174</f>
        <v>1709.1360000000004</v>
      </c>
      <c r="CH178" s="64"/>
      <c r="CI178" s="64"/>
      <c r="CJ178" s="62"/>
      <c r="CK178" s="62"/>
      <c r="CL178" s="619">
        <f>CL163*CL174</f>
        <v>962.80074000000093</v>
      </c>
      <c r="CM178" s="64"/>
      <c r="CN178" s="64"/>
      <c r="CO178" s="62"/>
      <c r="CP178" s="62"/>
      <c r="CQ178" s="64">
        <f>CQ163*CQ174</f>
        <v>935.52920340000003</v>
      </c>
      <c r="CR178" s="62"/>
      <c r="CS178" s="62"/>
      <c r="CT178" s="62"/>
      <c r="CU178" s="62"/>
      <c r="CV178" s="619">
        <f>CV163*CV174</f>
        <v>1016.6513462599993</v>
      </c>
      <c r="CW178" s="62"/>
      <c r="CX178" s="62"/>
      <c r="CY178" s="62"/>
      <c r="CZ178" s="62"/>
      <c r="DA178" s="64">
        <f>DA163*DA174</f>
        <v>825.73629150935915</v>
      </c>
      <c r="DB178" s="62"/>
      <c r="DC178" s="62"/>
      <c r="DD178" s="62"/>
      <c r="DE178" s="62"/>
      <c r="DF178" s="64">
        <f>DF163*DF174</f>
        <v>538.67060991238452</v>
      </c>
      <c r="DG178" s="62"/>
      <c r="DH178" s="62"/>
      <c r="DI178" s="62"/>
      <c r="DJ178" s="62"/>
      <c r="DK178" s="64">
        <f>DK163*DK174</f>
        <v>646.72021674144548</v>
      </c>
      <c r="DL178" s="64"/>
      <c r="DM178" s="64"/>
      <c r="DN178" s="64"/>
      <c r="DO178" s="64"/>
      <c r="DP178" s="64">
        <f>DP163*DP174</f>
        <v>482.29503632636295</v>
      </c>
      <c r="DQ178" s="64"/>
      <c r="DR178" s="64"/>
      <c r="DS178" s="64"/>
      <c r="DT178" s="64"/>
      <c r="DU178" s="64">
        <f>DU163*DU174</f>
        <v>5945.1977453478748</v>
      </c>
      <c r="DV178" s="64"/>
      <c r="DW178" s="64"/>
      <c r="DX178" s="64"/>
      <c r="DY178" s="64"/>
      <c r="DZ178" s="64">
        <f>DZ163*DZ174</f>
        <v>-289.92060144685826</v>
      </c>
      <c r="EA178" s="64"/>
      <c r="EB178" s="64"/>
      <c r="EC178" s="64"/>
      <c r="ED178" s="64"/>
      <c r="EE178" s="64">
        <f>EE163*EE174</f>
        <v>650.45552760255521</v>
      </c>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row>
    <row r="179" spans="2:232" s="54" customFormat="1" ht="11.25" hidden="1" customHeight="1" outlineLevel="1">
      <c r="B179" s="561" t="s">
        <v>295</v>
      </c>
      <c r="C179" s="64"/>
      <c r="D179" s="64"/>
      <c r="E179" s="64"/>
      <c r="F179" s="64"/>
      <c r="G179" s="64"/>
      <c r="H179" s="64"/>
      <c r="I179" s="64"/>
      <c r="J179" s="64"/>
      <c r="K179" s="64"/>
      <c r="L179" s="64"/>
      <c r="M179" s="64"/>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v>214</v>
      </c>
      <c r="AT179" s="64"/>
      <c r="AU179" s="64"/>
      <c r="AV179" s="64"/>
      <c r="AW179" s="64"/>
      <c r="AX179" s="64">
        <v>170</v>
      </c>
      <c r="AY179" s="64"/>
      <c r="AZ179" s="64"/>
      <c r="BA179" s="64"/>
      <c r="BB179" s="64"/>
      <c r="BC179" s="64">
        <v>170</v>
      </c>
      <c r="BD179" s="64"/>
      <c r="BE179" s="64"/>
      <c r="BF179" s="64"/>
      <c r="BG179" s="64"/>
      <c r="BH179" s="64">
        <v>225</v>
      </c>
      <c r="BI179" s="64"/>
      <c r="BJ179" s="64"/>
      <c r="BK179" s="64"/>
      <c r="BL179" s="64"/>
      <c r="BM179" s="64">
        <v>225</v>
      </c>
      <c r="BN179" s="64"/>
      <c r="BO179" s="64"/>
      <c r="BP179" s="64"/>
      <c r="BQ179" s="64"/>
      <c r="BR179" s="64">
        <v>200</v>
      </c>
      <c r="BS179" s="64"/>
      <c r="BT179" s="64"/>
      <c r="BU179" s="64"/>
      <c r="BV179" s="64"/>
      <c r="BW179" s="64">
        <v>200</v>
      </c>
      <c r="BX179" s="64"/>
      <c r="BY179" s="64"/>
      <c r="BZ179" s="64"/>
      <c r="CA179" s="64"/>
      <c r="CB179" s="64">
        <v>300</v>
      </c>
      <c r="CC179" s="64"/>
      <c r="CD179" s="64"/>
      <c r="CE179" s="64"/>
      <c r="CF179" s="64"/>
      <c r="CG179" s="619">
        <v>300</v>
      </c>
      <c r="CH179" s="64"/>
      <c r="CI179" s="64"/>
      <c r="CJ179" s="62"/>
      <c r="CK179" s="62"/>
      <c r="CL179" s="619">
        <v>100</v>
      </c>
      <c r="CM179" s="64"/>
      <c r="CN179" s="64"/>
      <c r="CO179" s="62"/>
      <c r="CP179" s="62"/>
      <c r="CQ179" s="64">
        <v>100</v>
      </c>
      <c r="CR179" s="62"/>
      <c r="CS179" s="62"/>
      <c r="CT179" s="62"/>
      <c r="CU179" s="62"/>
      <c r="CV179" s="619">
        <v>100</v>
      </c>
      <c r="CW179" s="62"/>
      <c r="CX179" s="62"/>
      <c r="CY179" s="62"/>
      <c r="CZ179" s="62"/>
      <c r="DA179" s="64">
        <v>100</v>
      </c>
      <c r="DB179" s="62"/>
      <c r="DC179" s="62"/>
      <c r="DD179" s="62"/>
      <c r="DE179" s="62"/>
      <c r="DF179" s="64">
        <v>100</v>
      </c>
      <c r="DG179" s="62"/>
      <c r="DH179" s="62"/>
      <c r="DI179" s="62"/>
      <c r="DJ179" s="62"/>
      <c r="DK179" s="64">
        <v>100</v>
      </c>
      <c r="DL179" s="64"/>
      <c r="DM179" s="64"/>
      <c r="DN179" s="64"/>
      <c r="DO179" s="64"/>
      <c r="DP179" s="64">
        <v>100</v>
      </c>
      <c r="DQ179" s="64"/>
      <c r="DR179" s="64"/>
      <c r="DS179" s="64"/>
      <c r="DT179" s="64"/>
      <c r="DU179" s="64">
        <v>100</v>
      </c>
      <c r="DV179" s="64"/>
      <c r="DW179" s="64"/>
      <c r="DX179" s="64"/>
      <c r="DY179" s="64"/>
      <c r="DZ179" s="64">
        <v>100</v>
      </c>
      <c r="EA179" s="64"/>
      <c r="EB179" s="64"/>
      <c r="EC179" s="64"/>
      <c r="ED179" s="64"/>
      <c r="EE179" s="64">
        <v>100</v>
      </c>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row>
    <row r="180" spans="2:232" s="54" customFormat="1" ht="11.25" hidden="1" customHeight="1" outlineLevel="1">
      <c r="B180" s="623" t="s">
        <v>307</v>
      </c>
      <c r="C180" s="270"/>
      <c r="D180" s="270"/>
      <c r="E180" s="270"/>
      <c r="F180" s="270"/>
      <c r="G180" s="270"/>
      <c r="H180" s="270"/>
      <c r="I180" s="270"/>
      <c r="J180" s="270"/>
      <c r="K180" s="270"/>
      <c r="L180" s="270"/>
      <c r="M180" s="270"/>
      <c r="N180" s="270"/>
      <c r="O180" s="270"/>
      <c r="P180" s="270"/>
      <c r="Q180" s="270"/>
      <c r="R180" s="270"/>
      <c r="S180" s="270"/>
      <c r="T180" s="270"/>
      <c r="U180" s="270"/>
      <c r="V180" s="270"/>
      <c r="W180" s="270"/>
      <c r="X180" s="270"/>
      <c r="Y180" s="270"/>
      <c r="Z180" s="270"/>
      <c r="AA180" s="270"/>
      <c r="AB180" s="270"/>
      <c r="AC180" s="270"/>
      <c r="AD180" s="270"/>
      <c r="AE180" s="270"/>
      <c r="AF180" s="270"/>
      <c r="AG180" s="270"/>
      <c r="AH180" s="270"/>
      <c r="AI180" s="270"/>
      <c r="AJ180" s="270"/>
      <c r="AK180" s="270"/>
      <c r="AL180" s="270"/>
      <c r="AM180" s="270"/>
      <c r="AN180" s="270"/>
      <c r="AO180" s="270"/>
      <c r="AP180" s="270"/>
      <c r="AQ180" s="270"/>
      <c r="AR180" s="270"/>
      <c r="AS180" s="270">
        <f>102+84</f>
        <v>186</v>
      </c>
      <c r="AT180" s="270"/>
      <c r="AU180" s="270"/>
      <c r="AV180" s="270"/>
      <c r="AW180" s="270"/>
      <c r="AX180" s="270">
        <f>AX175*AX166</f>
        <v>272.64150000000001</v>
      </c>
      <c r="AY180" s="270"/>
      <c r="AZ180" s="270"/>
      <c r="BA180" s="270"/>
      <c r="BB180" s="270"/>
      <c r="BC180" s="270">
        <f>BC175*BC166</f>
        <v>310.31595000000004</v>
      </c>
      <c r="BD180" s="270"/>
      <c r="BE180" s="270"/>
      <c r="BF180" s="270"/>
      <c r="BG180" s="270"/>
      <c r="BH180" s="270">
        <v>300.7</v>
      </c>
      <c r="BI180" s="270"/>
      <c r="BJ180" s="270"/>
      <c r="BK180" s="270"/>
      <c r="BL180" s="270"/>
      <c r="BM180" s="270">
        <v>398.3</v>
      </c>
      <c r="BN180" s="270"/>
      <c r="BO180" s="270"/>
      <c r="BP180" s="270"/>
      <c r="BQ180" s="270"/>
      <c r="BR180" s="270">
        <v>450</v>
      </c>
      <c r="BS180" s="270"/>
      <c r="BT180" s="270"/>
      <c r="BU180" s="270"/>
      <c r="BV180" s="270"/>
      <c r="BW180" s="270">
        <f>BW175*BW166</f>
        <v>708.73</v>
      </c>
      <c r="BX180" s="270"/>
      <c r="BY180" s="270"/>
      <c r="BZ180" s="270"/>
      <c r="CA180" s="270"/>
      <c r="CB180" s="270">
        <v>300</v>
      </c>
      <c r="CC180" s="270"/>
      <c r="CD180" s="270"/>
      <c r="CE180" s="270"/>
      <c r="CF180" s="270"/>
      <c r="CG180" s="616">
        <v>200</v>
      </c>
      <c r="CH180" s="270"/>
      <c r="CI180" s="270"/>
      <c r="CJ180" s="964"/>
      <c r="CK180" s="964"/>
      <c r="CL180" s="616">
        <v>200</v>
      </c>
      <c r="CM180" s="270"/>
      <c r="CN180" s="270"/>
      <c r="CO180" s="964"/>
      <c r="CP180" s="964"/>
      <c r="CQ180" s="270">
        <v>200</v>
      </c>
      <c r="CR180" s="964"/>
      <c r="CS180" s="964"/>
      <c r="CT180" s="964"/>
      <c r="CU180" s="964"/>
      <c r="CV180" s="616">
        <v>200</v>
      </c>
      <c r="CW180" s="964"/>
      <c r="CX180" s="964"/>
      <c r="CY180" s="964"/>
      <c r="CZ180" s="964"/>
      <c r="DA180" s="270">
        <v>200</v>
      </c>
      <c r="DB180" s="964"/>
      <c r="DC180" s="964"/>
      <c r="DD180" s="964"/>
      <c r="DE180" s="964"/>
      <c r="DF180" s="270">
        <v>200</v>
      </c>
      <c r="DG180" s="964"/>
      <c r="DH180" s="964"/>
      <c r="DI180" s="964"/>
      <c r="DJ180" s="964"/>
      <c r="DK180" s="270">
        <v>200</v>
      </c>
      <c r="DL180" s="270"/>
      <c r="DM180" s="270"/>
      <c r="DN180" s="270"/>
      <c r="DO180" s="270"/>
      <c r="DP180" s="270">
        <v>200</v>
      </c>
      <c r="DQ180" s="270"/>
      <c r="DR180" s="270"/>
      <c r="DS180" s="270"/>
      <c r="DT180" s="270"/>
      <c r="DU180" s="270">
        <v>200</v>
      </c>
      <c r="DV180" s="270"/>
      <c r="DW180" s="270"/>
      <c r="DX180" s="270"/>
      <c r="DY180" s="270"/>
      <c r="DZ180" s="270">
        <v>200</v>
      </c>
      <c r="EA180" s="270"/>
      <c r="EB180" s="270"/>
      <c r="EC180" s="270"/>
      <c r="ED180" s="270"/>
      <c r="EE180" s="270">
        <v>200</v>
      </c>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row>
    <row r="181" spans="2:232" s="68" customFormat="1" ht="12" hidden="1" customHeight="1" outlineLevel="1" thickBot="1">
      <c r="B181" s="955" t="s">
        <v>308</v>
      </c>
      <c r="C181" s="956"/>
      <c r="D181" s="956"/>
      <c r="E181" s="956"/>
      <c r="F181" s="956"/>
      <c r="G181" s="956"/>
      <c r="H181" s="956"/>
      <c r="I181" s="956"/>
      <c r="J181" s="956"/>
      <c r="K181" s="956"/>
      <c r="L181" s="956"/>
      <c r="M181" s="956"/>
      <c r="N181" s="956"/>
      <c r="O181" s="956"/>
      <c r="P181" s="956"/>
      <c r="Q181" s="956"/>
      <c r="R181" s="956"/>
      <c r="S181" s="956"/>
      <c r="T181" s="956"/>
      <c r="U181" s="956"/>
      <c r="V181" s="956"/>
      <c r="W181" s="956"/>
      <c r="X181" s="956"/>
      <c r="Y181" s="956"/>
      <c r="Z181" s="956"/>
      <c r="AA181" s="956"/>
      <c r="AB181" s="956"/>
      <c r="AC181" s="956"/>
      <c r="AD181" s="956"/>
      <c r="AE181" s="956"/>
      <c r="AF181" s="956"/>
      <c r="AG181" s="956"/>
      <c r="AH181" s="956"/>
      <c r="AI181" s="956"/>
      <c r="AJ181" s="956"/>
      <c r="AK181" s="956"/>
      <c r="AL181" s="956"/>
      <c r="AM181" s="956"/>
      <c r="AN181" s="956"/>
      <c r="AO181" s="956"/>
      <c r="AP181" s="956"/>
      <c r="AQ181" s="956"/>
      <c r="AR181" s="956"/>
      <c r="AS181" s="956">
        <f>SUM(AS178:AS180)</f>
        <v>932.2299999999999</v>
      </c>
      <c r="AT181" s="956"/>
      <c r="AU181" s="956"/>
      <c r="AV181" s="956"/>
      <c r="AW181" s="956"/>
      <c r="AX181" s="956">
        <f>SUM(AX178:AX180)</f>
        <v>958.64149999999995</v>
      </c>
      <c r="AY181" s="956"/>
      <c r="AZ181" s="956"/>
      <c r="BA181" s="956"/>
      <c r="BB181" s="956"/>
      <c r="BC181" s="956">
        <f>SUM(BC178:BC180)</f>
        <v>1011.3639499999999</v>
      </c>
      <c r="BD181" s="956"/>
      <c r="BE181" s="956"/>
      <c r="BF181" s="956"/>
      <c r="BG181" s="956"/>
      <c r="BH181" s="956">
        <f>SUM(BH178:BH180)</f>
        <v>1237.5440000000001</v>
      </c>
      <c r="BI181" s="956"/>
      <c r="BJ181" s="956"/>
      <c r="BK181" s="956"/>
      <c r="BL181" s="956"/>
      <c r="BM181" s="956">
        <f>SUM(BM178:BM180)</f>
        <v>1570.1027800000002</v>
      </c>
      <c r="BN181" s="956"/>
      <c r="BO181" s="956"/>
      <c r="BP181" s="956"/>
      <c r="BQ181" s="956"/>
      <c r="BR181" s="956">
        <f>SUM(BR178:BR180)</f>
        <v>1689.4295058</v>
      </c>
      <c r="BS181" s="956"/>
      <c r="BT181" s="956"/>
      <c r="BU181" s="956"/>
      <c r="BV181" s="956"/>
      <c r="BW181" s="956">
        <f>SUM(BW178:BW180)</f>
        <v>1866.2582591979999</v>
      </c>
      <c r="BX181" s="956"/>
      <c r="BY181" s="956"/>
      <c r="BZ181" s="956"/>
      <c r="CA181" s="956"/>
      <c r="CB181" s="956">
        <f>SUM(CB178:CB180)</f>
        <v>2092.58</v>
      </c>
      <c r="CC181" s="956"/>
      <c r="CD181" s="956"/>
      <c r="CE181" s="956"/>
      <c r="CF181" s="956"/>
      <c r="CG181" s="958">
        <f>SUM(CG178:CG180)</f>
        <v>2209.1360000000004</v>
      </c>
      <c r="CH181" s="956"/>
      <c r="CI181" s="956"/>
      <c r="CJ181" s="957"/>
      <c r="CK181" s="957"/>
      <c r="CL181" s="958">
        <f>SUM(CL178:CL180)</f>
        <v>1262.800740000001</v>
      </c>
      <c r="CM181" s="956"/>
      <c r="CN181" s="956"/>
      <c r="CO181" s="957"/>
      <c r="CP181" s="957"/>
      <c r="CQ181" s="956">
        <f>SUM(CQ178:CQ180)</f>
        <v>1235.5292033999999</v>
      </c>
      <c r="CR181" s="957"/>
      <c r="CS181" s="957"/>
      <c r="CT181" s="957"/>
      <c r="CU181" s="957"/>
      <c r="CV181" s="958">
        <f>SUM(CV178:CV180)</f>
        <v>1316.6513462599992</v>
      </c>
      <c r="CW181" s="957"/>
      <c r="CX181" s="957"/>
      <c r="CY181" s="957"/>
      <c r="CZ181" s="957"/>
      <c r="DA181" s="956">
        <f>SUM(DA178:DA180)</f>
        <v>1125.736291509359</v>
      </c>
      <c r="DB181" s="957"/>
      <c r="DC181" s="957"/>
      <c r="DD181" s="957"/>
      <c r="DE181" s="957"/>
      <c r="DF181" s="956">
        <f>SUM(DF178:DF180)</f>
        <v>838.67060991238452</v>
      </c>
      <c r="DG181" s="957"/>
      <c r="DH181" s="957"/>
      <c r="DI181" s="957"/>
      <c r="DJ181" s="957"/>
      <c r="DK181" s="956">
        <f>SUM(DK178:DK180)</f>
        <v>946.72021674144548</v>
      </c>
      <c r="DL181" s="956"/>
      <c r="DM181" s="956"/>
      <c r="DN181" s="956"/>
      <c r="DO181" s="956"/>
      <c r="DP181" s="956">
        <f>SUM(DP178:DP180)</f>
        <v>782.29503632636295</v>
      </c>
      <c r="DQ181" s="956"/>
      <c r="DR181" s="956"/>
      <c r="DS181" s="956"/>
      <c r="DT181" s="956"/>
      <c r="DU181" s="956">
        <f>SUM(DU178:DU180)</f>
        <v>6245.1977453478748</v>
      </c>
      <c r="DV181" s="956"/>
      <c r="DW181" s="956"/>
      <c r="DX181" s="956"/>
      <c r="DY181" s="956"/>
      <c r="DZ181" s="956">
        <f>SUM(DZ178:DZ180)</f>
        <v>10.079398553141743</v>
      </c>
      <c r="EA181" s="956"/>
      <c r="EB181" s="956"/>
      <c r="EC181" s="956"/>
      <c r="ED181" s="956"/>
      <c r="EE181" s="956">
        <f>SUM(EE178:EE180)</f>
        <v>950.45552760255521</v>
      </c>
      <c r="EF181" s="1"/>
      <c r="EG181" s="1"/>
      <c r="EH181"/>
      <c r="EI181"/>
      <c r="EJ181"/>
      <c r="EK181"/>
      <c r="EL181"/>
      <c r="EM181"/>
      <c r="EN181" s="1"/>
      <c r="EO181" s="1"/>
      <c r="EP181" s="1"/>
      <c r="EQ181" s="1"/>
      <c r="ER181" s="1"/>
      <c r="ES181" s="1"/>
      <c r="ET181" s="1"/>
      <c r="EU181" s="1"/>
      <c r="EV181" s="1"/>
      <c r="EW181" s="1"/>
      <c r="EX181" s="1"/>
      <c r="EY181" s="1"/>
      <c r="EZ181" s="1"/>
      <c r="FA181" s="1"/>
      <c r="FB181" s="1"/>
      <c r="FC181" s="1"/>
      <c r="FD181" s="1"/>
      <c r="FE181" s="1"/>
      <c r="FF181" s="1"/>
      <c r="FG181" s="1"/>
      <c r="FH181" s="1"/>
      <c r="FI181" s="1"/>
      <c r="FJ181" s="1"/>
      <c r="FK181" s="1"/>
      <c r="FL181" s="1"/>
      <c r="FM181" s="1"/>
      <c r="FN181" s="1"/>
      <c r="FO181" s="1"/>
      <c r="FP181" s="1"/>
      <c r="FQ181" s="1"/>
      <c r="FR181" s="1"/>
      <c r="FS181" s="1"/>
      <c r="FT181" s="1"/>
      <c r="FU181" s="1"/>
      <c r="FV181" s="1"/>
      <c r="FW181" s="1"/>
      <c r="FX181" s="1"/>
      <c r="FY181" s="1"/>
      <c r="FZ181" s="1"/>
      <c r="GA181" s="1"/>
      <c r="GB181" s="1"/>
      <c r="GC181" s="1"/>
      <c r="GD181" s="1"/>
      <c r="GE181" s="1"/>
      <c r="GF181" s="1"/>
      <c r="GG181" s="1"/>
      <c r="GH181" s="1"/>
      <c r="GI181" s="1"/>
      <c r="GJ181" s="1"/>
      <c r="GK181" s="1"/>
      <c r="GL181" s="1"/>
      <c r="GM181" s="1"/>
      <c r="GN181" s="1"/>
      <c r="GO181" s="1"/>
      <c r="GP181" s="1"/>
      <c r="GQ181" s="1"/>
      <c r="GR181" s="1"/>
      <c r="GS181" s="1"/>
      <c r="GT181" s="1"/>
      <c r="GU181" s="1"/>
      <c r="GV181" s="1"/>
      <c r="GW181" s="1"/>
      <c r="GX181" s="1"/>
      <c r="GY181" s="1"/>
      <c r="GZ181" s="1"/>
      <c r="HA181" s="1"/>
      <c r="HB181" s="1"/>
      <c r="HC181" s="1"/>
      <c r="HD181" s="1"/>
      <c r="HE181" s="1"/>
      <c r="HF181" s="1"/>
      <c r="HG181" s="1"/>
      <c r="HH181" s="1"/>
      <c r="HI181" s="1"/>
      <c r="HJ181" s="1"/>
      <c r="HK181" s="1"/>
      <c r="HL181" s="1"/>
      <c r="HM181" s="1"/>
      <c r="HN181" s="1"/>
      <c r="HO181" s="1"/>
      <c r="HP181" s="1"/>
      <c r="HQ181" s="1"/>
      <c r="HR181" s="1"/>
      <c r="HS181" s="1"/>
      <c r="HT181" s="1"/>
      <c r="HU181" s="1"/>
      <c r="HV181" s="1"/>
      <c r="HW181" s="1"/>
      <c r="HX181" s="1"/>
    </row>
    <row r="182" spans="2:232" s="391" customFormat="1" ht="11.25" hidden="1" customHeight="1" outlineLevel="1">
      <c r="CJ182" s="393"/>
      <c r="CK182" s="393"/>
      <c r="CO182" s="393"/>
      <c r="CP182" s="393"/>
      <c r="CR182" s="326"/>
      <c r="CS182" s="326"/>
      <c r="CT182" s="326"/>
      <c r="CU182" s="326"/>
      <c r="CW182" s="326"/>
      <c r="CX182" s="326"/>
      <c r="CY182" s="326"/>
      <c r="CZ182" s="326"/>
      <c r="DB182" s="326"/>
      <c r="DC182" s="326"/>
      <c r="DD182" s="326"/>
      <c r="DE182" s="326"/>
      <c r="DG182" s="326"/>
      <c r="DH182" s="326"/>
      <c r="DI182" s="326"/>
      <c r="DJ182" s="326"/>
      <c r="DL182" s="170"/>
      <c r="DM182" s="170"/>
      <c r="DN182" s="170"/>
      <c r="DO182" s="170"/>
      <c r="DQ182" s="170"/>
      <c r="DR182" s="170"/>
      <c r="DS182" s="170"/>
      <c r="DT182" s="170"/>
      <c r="DV182" s="170"/>
      <c r="DW182" s="170"/>
      <c r="DX182" s="170"/>
      <c r="DY182" s="170"/>
      <c r="EA182" s="170"/>
      <c r="EB182" s="170"/>
      <c r="EC182" s="170"/>
      <c r="ED182" s="170"/>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row>
    <row r="183" spans="2:232" s="54" customFormat="1" ht="11.25" hidden="1" customHeight="1" outlineLevel="1">
      <c r="B183" s="54" t="s">
        <v>381</v>
      </c>
      <c r="H183" s="59"/>
      <c r="AX183" s="394"/>
      <c r="BC183" s="391"/>
      <c r="BH183" s="394"/>
      <c r="BM183" s="394"/>
      <c r="BR183" s="394"/>
      <c r="BW183" s="391"/>
      <c r="CB183" s="391"/>
      <c r="CG183" s="391"/>
      <c r="CJ183" s="161"/>
      <c r="CK183" s="161"/>
      <c r="CL183" s="391"/>
      <c r="CO183" s="161"/>
      <c r="CP183" s="161"/>
      <c r="CQ183" s="391"/>
      <c r="CR183" s="62"/>
      <c r="CS183" s="62"/>
      <c r="CT183" s="62"/>
      <c r="CU183" s="62"/>
      <c r="CV183" s="391"/>
      <c r="CW183" s="62"/>
      <c r="CX183" s="62"/>
      <c r="CY183" s="62"/>
      <c r="CZ183" s="62"/>
      <c r="DA183" s="391"/>
      <c r="DB183" s="62"/>
      <c r="DC183" s="62"/>
      <c r="DD183" s="62"/>
      <c r="DE183" s="62"/>
      <c r="DF183" s="391"/>
      <c r="DG183" s="62"/>
      <c r="DH183" s="62"/>
      <c r="DI183" s="62"/>
      <c r="DJ183" s="62"/>
      <c r="DK183" s="391"/>
      <c r="DL183" s="170"/>
      <c r="DM183" s="170"/>
      <c r="DN183" s="170"/>
      <c r="DO183" s="170"/>
      <c r="DP183" s="391"/>
      <c r="DQ183" s="170"/>
      <c r="DR183" s="170"/>
      <c r="DS183" s="170"/>
      <c r="DT183" s="170"/>
      <c r="DU183" s="391"/>
      <c r="DV183" s="170"/>
      <c r="DW183" s="170"/>
      <c r="DX183" s="170"/>
      <c r="DY183" s="170"/>
      <c r="DZ183" s="391"/>
      <c r="EA183" s="170"/>
      <c r="EB183" s="170"/>
      <c r="EC183" s="170"/>
      <c r="ED183" s="170"/>
      <c r="EE183" s="391"/>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row>
    <row r="184" spans="2:232" s="54" customFormat="1" ht="11.25" hidden="1" customHeight="1" outlineLevel="1">
      <c r="B184" s="54" t="s">
        <v>402</v>
      </c>
      <c r="H184" s="59"/>
      <c r="AX184" s="394"/>
      <c r="BC184" s="391"/>
      <c r="BH184" s="394"/>
      <c r="BM184" s="394"/>
      <c r="BR184" s="394"/>
      <c r="BW184" s="391"/>
      <c r="CB184" s="391"/>
      <c r="CG184" s="391"/>
      <c r="CJ184" s="161"/>
      <c r="CK184" s="161"/>
      <c r="CL184" s="391"/>
      <c r="CO184" s="161"/>
      <c r="CP184" s="161"/>
      <c r="CQ184" s="391"/>
      <c r="CR184" s="62"/>
      <c r="CS184" s="62"/>
      <c r="CT184" s="62"/>
      <c r="CU184" s="62"/>
      <c r="CV184" s="391"/>
      <c r="CW184" s="62"/>
      <c r="CX184" s="62"/>
      <c r="CY184" s="62"/>
      <c r="CZ184" s="62"/>
      <c r="DA184" s="391"/>
      <c r="DB184" s="62"/>
      <c r="DC184" s="62"/>
      <c r="DD184" s="62"/>
      <c r="DE184" s="62"/>
      <c r="DF184" s="391"/>
      <c r="DG184" s="62"/>
      <c r="DH184" s="62"/>
      <c r="DI184" s="62"/>
      <c r="DJ184" s="62"/>
      <c r="DK184" s="391"/>
      <c r="DL184" s="170"/>
      <c r="DM184" s="170"/>
      <c r="DN184" s="170"/>
      <c r="DO184" s="170"/>
      <c r="DP184" s="391"/>
      <c r="DQ184" s="170"/>
      <c r="DR184" s="170"/>
      <c r="DS184" s="170"/>
      <c r="DT184" s="170"/>
      <c r="DU184" s="391"/>
      <c r="DV184" s="170"/>
      <c r="DW184" s="170"/>
      <c r="DX184" s="170"/>
      <c r="DY184" s="170"/>
      <c r="DZ184" s="391"/>
      <c r="EA184" s="170"/>
      <c r="EB184" s="170"/>
      <c r="EC184" s="170"/>
      <c r="ED184" s="170"/>
      <c r="EE184" s="391"/>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row>
    <row r="185" spans="2:232" s="54" customFormat="1" ht="11.25" hidden="1" customHeight="1" outlineLevel="1" thickBot="1">
      <c r="H185" s="59"/>
      <c r="CJ185" s="161"/>
      <c r="CK185" s="161"/>
      <c r="CO185" s="161"/>
      <c r="CP185" s="161"/>
      <c r="CR185" s="62"/>
      <c r="CS185" s="62"/>
      <c r="CT185" s="62"/>
      <c r="CU185" s="62"/>
      <c r="CW185" s="62"/>
      <c r="CX185" s="62"/>
      <c r="CY185" s="62"/>
      <c r="CZ185" s="62"/>
      <c r="DB185" s="62"/>
      <c r="DC185" s="62"/>
      <c r="DD185" s="62"/>
      <c r="DE185" s="62"/>
      <c r="DG185" s="62"/>
      <c r="DH185" s="62"/>
      <c r="DI185" s="62"/>
      <c r="DJ185" s="62"/>
      <c r="DL185" s="64"/>
      <c r="DM185" s="64"/>
      <c r="DN185" s="64"/>
      <c r="DO185" s="64"/>
      <c r="DQ185" s="64"/>
      <c r="DR185" s="64"/>
      <c r="DS185" s="64"/>
      <c r="DT185" s="64"/>
      <c r="DV185" s="64"/>
      <c r="DW185" s="64"/>
      <c r="DX185" s="64"/>
      <c r="DY185" s="64"/>
      <c r="EA185" s="64"/>
      <c r="EB185" s="64"/>
      <c r="EC185" s="64"/>
      <c r="ED185" s="64"/>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row>
    <row r="186" spans="2:232" s="54" customFormat="1" ht="12" hidden="1" customHeight="1" outlineLevel="1" thickBot="1">
      <c r="B186" s="683" t="s">
        <v>349</v>
      </c>
      <c r="C186" s="684"/>
      <c r="D186" s="684"/>
      <c r="E186" s="685"/>
      <c r="F186" s="685"/>
      <c r="G186" s="685"/>
      <c r="H186" s="685"/>
      <c r="I186" s="685"/>
      <c r="J186" s="685"/>
      <c r="K186" s="684"/>
      <c r="L186" s="684"/>
      <c r="M186" s="684"/>
      <c r="N186" s="684"/>
      <c r="O186" s="685"/>
      <c r="P186" s="684"/>
      <c r="Q186" s="684"/>
      <c r="R186" s="684"/>
      <c r="S186" s="684"/>
      <c r="T186" s="685"/>
      <c r="U186" s="684"/>
      <c r="V186" s="684"/>
      <c r="W186" s="684"/>
      <c r="X186" s="684"/>
      <c r="Y186" s="685"/>
      <c r="Z186" s="684"/>
      <c r="AA186" s="684"/>
      <c r="AB186" s="684"/>
      <c r="AC186" s="684"/>
      <c r="AD186" s="685"/>
      <c r="AE186" s="684"/>
      <c r="AF186" s="684"/>
      <c r="AG186" s="684"/>
      <c r="AH186" s="684"/>
      <c r="AI186" s="685"/>
      <c r="AJ186" s="684"/>
      <c r="AK186" s="684"/>
      <c r="AL186" s="684"/>
      <c r="AM186" s="684"/>
      <c r="AN186" s="685"/>
      <c r="AO186" s="684"/>
      <c r="AP186" s="684"/>
      <c r="AQ186" s="684"/>
      <c r="AR186" s="684"/>
      <c r="AS186" s="685"/>
      <c r="AT186" s="684"/>
      <c r="AU186" s="684"/>
      <c r="AV186" s="684"/>
      <c r="AW186" s="684"/>
      <c r="AX186" s="685"/>
      <c r="AY186" s="684"/>
      <c r="AZ186" s="684"/>
      <c r="BA186" s="684"/>
      <c r="BB186" s="684"/>
      <c r="BC186" s="685"/>
      <c r="BD186" s="684"/>
      <c r="BE186" s="684"/>
      <c r="BF186" s="684"/>
      <c r="BG186" s="684"/>
      <c r="BH186" s="685"/>
      <c r="BI186" s="684"/>
      <c r="BJ186" s="684"/>
      <c r="BK186" s="684"/>
      <c r="BL186" s="684"/>
      <c r="BM186" s="685"/>
      <c r="BN186" s="684"/>
      <c r="BO186" s="684"/>
      <c r="BP186" s="684"/>
      <c r="BQ186" s="684"/>
      <c r="BR186" s="685"/>
      <c r="BS186" s="684"/>
      <c r="BT186" s="684"/>
      <c r="BU186" s="684"/>
      <c r="BV186" s="684"/>
      <c r="BW186" s="685"/>
      <c r="BX186" s="684"/>
      <c r="BY186" s="684"/>
      <c r="BZ186" s="684"/>
      <c r="CA186" s="684"/>
      <c r="CB186" s="685"/>
      <c r="CC186" s="684"/>
      <c r="CD186" s="684"/>
      <c r="CE186" s="686"/>
      <c r="CF186" s="686"/>
      <c r="CG186" s="685"/>
      <c r="CH186" s="686"/>
      <c r="CI186" s="686"/>
      <c r="CJ186" s="686"/>
      <c r="CK186" s="686"/>
      <c r="CL186" s="687"/>
      <c r="CM186" s="684"/>
      <c r="CN186" s="684"/>
      <c r="CO186" s="684"/>
      <c r="CP186" s="684"/>
      <c r="CQ186" s="685"/>
      <c r="CR186" s="684"/>
      <c r="CS186" s="684"/>
      <c r="CT186" s="684"/>
      <c r="CU186" s="684"/>
      <c r="CV186" s="685"/>
      <c r="CW186" s="684"/>
      <c r="CX186" s="684"/>
      <c r="CY186" s="684"/>
      <c r="CZ186" s="684"/>
      <c r="DA186" s="685"/>
      <c r="DB186" s="684"/>
      <c r="DC186" s="684"/>
      <c r="DD186" s="684"/>
      <c r="DE186" s="684"/>
      <c r="DF186" s="685"/>
      <c r="DG186" s="684"/>
      <c r="DH186" s="684"/>
      <c r="DI186" s="684"/>
      <c r="DJ186" s="684"/>
      <c r="DK186" s="685"/>
      <c r="DL186" s="685"/>
      <c r="DM186" s="685"/>
      <c r="DN186" s="685"/>
      <c r="DO186" s="685"/>
      <c r="DP186" s="685"/>
      <c r="DQ186" s="685"/>
      <c r="DR186" s="685"/>
      <c r="DS186" s="685"/>
      <c r="DT186" s="685"/>
      <c r="DU186" s="685"/>
      <c r="DV186" s="685"/>
      <c r="DW186" s="685"/>
      <c r="DX186" s="685"/>
      <c r="DY186" s="685"/>
      <c r="DZ186" s="685"/>
      <c r="EA186" s="685"/>
      <c r="EB186" s="685"/>
      <c r="EC186" s="685"/>
      <c r="ED186" s="685"/>
      <c r="EE186" s="685"/>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row>
    <row r="187" spans="2:232" s="54" customFormat="1" ht="11.25" hidden="1" customHeight="1" outlineLevel="1">
      <c r="B187" s="676" t="s">
        <v>25</v>
      </c>
      <c r="C187" s="477"/>
      <c r="D187" s="477"/>
      <c r="E187" s="477"/>
      <c r="F187" s="477"/>
      <c r="G187" s="477"/>
      <c r="H187" s="595"/>
      <c r="I187" s="477"/>
      <c r="J187" s="477"/>
      <c r="K187" s="477"/>
      <c r="L187" s="477"/>
      <c r="M187" s="477"/>
      <c r="N187" s="477"/>
      <c r="O187" s="477"/>
      <c r="P187" s="477">
        <f>SUM(P9,L9:N9)</f>
        <v>12139.619999999999</v>
      </c>
      <c r="Q187" s="477">
        <f>SUM(P9:Q9,M9:N9)</f>
        <v>12563.151</v>
      </c>
      <c r="R187" s="477">
        <f>SUM(P9:R9,N9)</f>
        <v>12977.596000000001</v>
      </c>
      <c r="S187" s="477">
        <f>SUM(P9:S9)</f>
        <v>13363.023000000001</v>
      </c>
      <c r="T187" s="477"/>
      <c r="U187" s="477">
        <f>SUM(U9,Q9:S9)</f>
        <v>13794.204</v>
      </c>
      <c r="V187" s="477">
        <f>SUM(U9:V9,R9:S9)</f>
        <v>14285.050999999999</v>
      </c>
      <c r="W187" s="477">
        <f>SUM(U9:W9,S9)</f>
        <v>14769.232</v>
      </c>
      <c r="X187" s="477">
        <f>SUM(U9:X9)</f>
        <v>15306.56</v>
      </c>
      <c r="Y187" s="477"/>
      <c r="Z187" s="477">
        <f>SUM(Z9,V9:X9)</f>
        <v>15837.8</v>
      </c>
      <c r="AA187" s="477">
        <f>SUM(Z9:AA9,W9:X9)</f>
        <v>16435.332999999999</v>
      </c>
      <c r="AB187" s="477">
        <f>SUM(Z9:AB9,X9)</f>
        <v>17119.271000000001</v>
      </c>
      <c r="AC187" s="477">
        <f>SUM(Z9:AC9)</f>
        <v>17838.8</v>
      </c>
      <c r="AD187" s="477"/>
      <c r="AE187" s="477">
        <f>SUM(AE9,AA9:AC9)</f>
        <v>18645.599999999999</v>
      </c>
      <c r="AF187" s="477">
        <f>SUM(AE9:AF9,AB9:AC9)</f>
        <v>19563.400000000001</v>
      </c>
      <c r="AG187" s="477">
        <f>SUM(AE9:AG9,AC9)</f>
        <v>20386.099999999999</v>
      </c>
      <c r="AH187" s="477">
        <f>SUM(AE9:AH9)</f>
        <v>21206.9</v>
      </c>
      <c r="AI187" s="477"/>
      <c r="AJ187" s="477">
        <f>SUM(AJ9,AF9:AH9)</f>
        <v>21997.899999999998</v>
      </c>
      <c r="AK187" s="477">
        <f>SUM(AJ9:AK9,AG9:AH9)</f>
        <v>22818.100000000002</v>
      </c>
      <c r="AL187" s="477">
        <f>SUM(AJ9:AL9,AH9)</f>
        <v>23720.2</v>
      </c>
      <c r="AM187" s="477">
        <f>SUM(AJ9:AM9)</f>
        <v>24623</v>
      </c>
      <c r="AN187" s="477"/>
      <c r="AO187" s="477">
        <f>SUM(AO9,AK9:AM9)</f>
        <v>25568.199999999997</v>
      </c>
      <c r="AP187" s="477">
        <f>SUM(AO9:AP9,AL9:AM9)</f>
        <v>26627.699999999997</v>
      </c>
      <c r="AQ187" s="477">
        <f>SUM(AO9:AQ9,AM9)</f>
        <v>27729.4</v>
      </c>
      <c r="AR187" s="477">
        <f>SUM(AO9:AR9)</f>
        <v>28681.1</v>
      </c>
      <c r="AS187" s="477"/>
      <c r="AT187" s="477">
        <f>SUM(AT9,AP9:AR9)</f>
        <v>29606.6</v>
      </c>
      <c r="AU187" s="477">
        <f>SUM(AT9:AU9,AQ9:AR9)</f>
        <v>30564.2</v>
      </c>
      <c r="AV187" s="477">
        <f>SUM(AT9:AV9,AR9)</f>
        <v>31494.3</v>
      </c>
      <c r="AW187" s="477">
        <f>SUM(AT9:AW9)</f>
        <v>32505.4</v>
      </c>
      <c r="AX187" s="477"/>
      <c r="AY187" s="477">
        <f>SUM(AY9,AU9:AW9)</f>
        <v>33741.300000000003</v>
      </c>
      <c r="AZ187" s="477">
        <f>SUM(AY9:AZ9,AV9:AW9)</f>
        <v>35077.4</v>
      </c>
      <c r="BA187" s="477">
        <f>SUM(AY9:BA9,AW9)</f>
        <v>36327.9</v>
      </c>
      <c r="BB187" s="477">
        <f>SUM(AY9:BB9)</f>
        <v>37508.199999999997</v>
      </c>
      <c r="BC187" s="477"/>
      <c r="BD187" s="477">
        <f>SUM(BD9,AZ9:BB9)</f>
        <v>38676.5</v>
      </c>
      <c r="BE187" s="477">
        <f>SUM(BD9:BE9,BA9:BB9)</f>
        <v>39881.300000000003</v>
      </c>
      <c r="BF187" s="477">
        <f>SUM(BD9:BF9,BB9)</f>
        <v>41133.399999999994</v>
      </c>
      <c r="BG187" s="477">
        <f>SUM(BD9:BG9)</f>
        <v>42201.599999999999</v>
      </c>
      <c r="BH187" s="477"/>
      <c r="BI187" s="477">
        <f>SUM(BI9,BE9:BG9)</f>
        <v>43212.9</v>
      </c>
      <c r="BJ187" s="477">
        <f>SUM(BI9:BJ9,BF9:BG9)</f>
        <v>44389</v>
      </c>
      <c r="BK187" s="477">
        <f>SUM(BI9:BK9,BG9)</f>
        <v>45733.599999999999</v>
      </c>
      <c r="BL187" s="477">
        <f>SUM(BI9:BL9)</f>
        <v>47409</v>
      </c>
      <c r="BM187" s="890"/>
      <c r="BN187" s="477">
        <f>SUM(BN9,BJ9:BL9)</f>
        <v>49217.100000000006</v>
      </c>
      <c r="BO187" s="477">
        <f>SUM(BN9:BO9,BK9:BL9)</f>
        <v>50987.7</v>
      </c>
      <c r="BP187" s="477">
        <f>SUM(BN9:BP9,BL9)</f>
        <v>52510.8</v>
      </c>
      <c r="BQ187" s="477">
        <f>SUM(BN9:BQ9)</f>
        <v>53762</v>
      </c>
      <c r="BR187" s="890"/>
      <c r="BS187" s="477">
        <f>SUM(BS9,BO9:BQ9)</f>
        <v>55081.399999999994</v>
      </c>
      <c r="BT187" s="477">
        <f>SUM(BS9:BT9,BP9:BQ9)</f>
        <v>56541.3</v>
      </c>
      <c r="BU187" s="477">
        <f>SUM(BS9:BU9,BQ9)</f>
        <v>57858.7</v>
      </c>
      <c r="BV187" s="477">
        <f>SUM(BS9:BV9)</f>
        <v>59034.299999999996</v>
      </c>
      <c r="BW187" s="890"/>
      <c r="BX187" s="477">
        <f>SUM(BX9,BT9:BV9)</f>
        <v>59953.4</v>
      </c>
      <c r="BY187" s="477">
        <f>SUM(BX9:BY9,BU9:BV9)</f>
        <v>61034.799999999996</v>
      </c>
      <c r="BZ187" s="477">
        <f>SUM(BX9:BZ9,BV9)</f>
        <v>62229.1</v>
      </c>
      <c r="CA187" s="477">
        <f>SUM(BX9:CA9)</f>
        <v>63335</v>
      </c>
      <c r="CB187" s="890"/>
      <c r="CC187" s="477">
        <f>SUM(CC9,BY9:CA9)</f>
        <v>64752</v>
      </c>
      <c r="CD187" s="477">
        <f>SUM(CC9:CD9,BZ9:CA9)</f>
        <v>65264</v>
      </c>
      <c r="CE187" s="477">
        <f>SUM(CC9:CE9,CA9)</f>
        <v>66253</v>
      </c>
      <c r="CF187" s="477">
        <f>SUM(CC9:CF9)</f>
        <v>67420</v>
      </c>
      <c r="CG187" s="890"/>
      <c r="CH187" s="477">
        <f>SUM(CH9,CD9:CF9)</f>
        <v>68400</v>
      </c>
      <c r="CI187" s="477">
        <f>SUM(CH9:CI9,CE9:CF9)</f>
        <v>69915</v>
      </c>
      <c r="CJ187" s="477">
        <f>SUM(CH9:CJ9,CF9)</f>
        <v>71087</v>
      </c>
      <c r="CK187" s="477">
        <f>SUM(CH9:CK9)</f>
        <v>72184</v>
      </c>
      <c r="CL187" s="890"/>
      <c r="CM187" s="477">
        <f>SUM(CM9,CI9:CK9)</f>
        <v>72997</v>
      </c>
      <c r="CN187" s="477">
        <f>SUM(CM9:CN9,CJ9:CK9)</f>
        <v>73146</v>
      </c>
      <c r="CO187" s="477">
        <f>SUM(CM9:CO9,CK9)</f>
        <v>72527</v>
      </c>
      <c r="CP187" s="477">
        <f>SUM(CM9:CP9)</f>
        <v>71633</v>
      </c>
      <c r="CQ187" s="890"/>
      <c r="CR187" s="477">
        <f>SUM(CR9,CN9:CP9)</f>
        <v>70792</v>
      </c>
      <c r="CS187" s="477">
        <f>SUM(CR9:CS9,CO9:CP9)</f>
        <v>70788</v>
      </c>
      <c r="CT187" s="477">
        <f>SUM(CR9:CT9,CP9)</f>
        <v>71349</v>
      </c>
      <c r="CU187" s="477">
        <f>SUM(CR9:CU9)</f>
        <v>72217</v>
      </c>
      <c r="CV187" s="890"/>
      <c r="CW187" s="477">
        <f>SUM(CW9,CS9:CU9)</f>
        <v>73230</v>
      </c>
      <c r="CX187" s="477">
        <f>SUM(CW9:CX9,CT9:CU9)</f>
        <v>74188</v>
      </c>
      <c r="CY187" s="477">
        <f>SUM(CW9:CY9,CU9)</f>
        <v>75276</v>
      </c>
      <c r="CZ187" s="477">
        <f>SUM(CW9:CZ9)</f>
        <v>76392</v>
      </c>
      <c r="DA187" s="890"/>
      <c r="DB187" s="477">
        <f>SUM(DB9,CX9:CZ9)</f>
        <v>77617</v>
      </c>
      <c r="DC187" s="477">
        <f>SUM(DB9:DC9,CY9:CZ9)</f>
        <v>84585</v>
      </c>
      <c r="DD187" s="477"/>
      <c r="DE187" s="477">
        <f>SUM(DB9:DE9)</f>
        <v>103444</v>
      </c>
      <c r="DF187" s="890"/>
      <c r="DG187" s="477">
        <f>SUM(DD9:DG9)</f>
        <v>189794</v>
      </c>
      <c r="DH187" s="477">
        <f>SUM(DE9:DH9)</f>
        <v>191183</v>
      </c>
      <c r="DI187" s="477">
        <f>SUM(DF9:DI9)</f>
        <v>192159</v>
      </c>
      <c r="DJ187" s="477">
        <f>SUM(DG9:DJ9)</f>
        <v>117351</v>
      </c>
      <c r="DK187" s="890"/>
      <c r="DL187" s="890">
        <f>SUM(DI9:DL9)</f>
        <v>203986</v>
      </c>
      <c r="DM187" s="890">
        <f>SUM(DJ9:DM9)</f>
        <v>203934</v>
      </c>
      <c r="DN187" s="890">
        <f>SUM(DK9:DN9)</f>
        <v>205416</v>
      </c>
      <c r="DO187" s="890">
        <f>SUM(DL9:DO9)</f>
        <v>118214</v>
      </c>
      <c r="DP187" s="890"/>
      <c r="DQ187" s="890">
        <f>SUM(DN9:DQ9)</f>
        <v>209221</v>
      </c>
      <c r="DR187" s="890">
        <f ca="1">SUM(DO9:DR9)</f>
        <v>212669.86169675566</v>
      </c>
      <c r="DS187" s="890">
        <f ca="1">SUM(DP9:DS9)</f>
        <v>216367.63169619563</v>
      </c>
      <c r="DT187" s="890">
        <f ca="1">SUM(DQ9:DT9)</f>
        <v>131454.61490573912</v>
      </c>
      <c r="DU187" s="890"/>
      <c r="DV187" s="890">
        <f ca="1">SUM(DS9:DV9)</f>
        <v>231892.60671439621</v>
      </c>
      <c r="DW187" s="890">
        <f ca="1">SUM(DT9:DW9)</f>
        <v>232406.73281746585</v>
      </c>
      <c r="DX187" s="890">
        <f ca="1">SUM(DU9:DX9)</f>
        <v>233469.6831527793</v>
      </c>
      <c r="DY187" s="890">
        <f ca="1">SUM(DV9:DY9)</f>
        <v>135817.36550103012</v>
      </c>
      <c r="DZ187" s="890"/>
      <c r="EA187" s="890">
        <f ca="1">SUM(DX9:EA9)</f>
        <v>237871.94615002046</v>
      </c>
      <c r="EB187" s="890">
        <f ca="1">SUM(DY9:EB9)</f>
        <v>238467.61352795025</v>
      </c>
      <c r="EC187" s="890">
        <f ca="1">SUM(DZ9:EC9)</f>
        <v>239659.15428703983</v>
      </c>
      <c r="ED187" s="890">
        <f ca="1">SUM(EA9:ED9)</f>
        <v>138296.89428763979</v>
      </c>
      <c r="EE187" s="890"/>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row>
    <row r="188" spans="2:232" s="54" customFormat="1" ht="11.25" hidden="1" customHeight="1" outlineLevel="1">
      <c r="B188" s="538" t="s">
        <v>232</v>
      </c>
      <c r="C188" s="64"/>
      <c r="D188" s="64"/>
      <c r="E188" s="64"/>
      <c r="F188" s="64"/>
      <c r="G188" s="64"/>
      <c r="H188" s="77"/>
      <c r="I188" s="64"/>
      <c r="J188" s="64"/>
      <c r="K188" s="64"/>
      <c r="L188" s="64"/>
      <c r="M188" s="64"/>
      <c r="N188" s="64"/>
      <c r="O188" s="64"/>
      <c r="P188" s="64">
        <f>SUM(P11,L11:N11)</f>
        <v>3364.7359999999994</v>
      </c>
      <c r="Q188" s="64">
        <f>SUM(P11:Q11,M11:N11)</f>
        <v>3485.2999999999993</v>
      </c>
      <c r="R188" s="64">
        <f>SUM(P11:R11,N11)</f>
        <v>3595.4819999999995</v>
      </c>
      <c r="S188" s="64">
        <f>SUM(P11:S11)</f>
        <v>3697.7189999999996</v>
      </c>
      <c r="T188" s="64"/>
      <c r="U188" s="64">
        <f>SUM(U11,Q11:S11)</f>
        <v>3812.0669999999996</v>
      </c>
      <c r="V188" s="64">
        <f>SUM(U11:V11,R11:S11)</f>
        <v>3939.4429999999998</v>
      </c>
      <c r="W188" s="64">
        <f>SUM(U11:W11,S11)</f>
        <v>4065.5149999999999</v>
      </c>
      <c r="X188" s="64">
        <f>SUM(U11:X11)</f>
        <v>4213.6489999999994</v>
      </c>
      <c r="Y188" s="64"/>
      <c r="Z188" s="64">
        <f>SUM(Z11,V11:X11)</f>
        <v>4351.96</v>
      </c>
      <c r="AA188" s="64">
        <f>SUM(Z11:AA11,W11:X11)</f>
        <v>4524.0680000000002</v>
      </c>
      <c r="AB188" s="64">
        <f>SUM(Z11:AB11,X11)</f>
        <v>4717.5289999999995</v>
      </c>
      <c r="AC188" s="64">
        <f>SUM(Z11:AC11)</f>
        <v>4905.3999999999996</v>
      </c>
      <c r="AD188" s="64"/>
      <c r="AE188" s="64">
        <f>SUM(AE11,AA11:AC11)</f>
        <v>5106.5999999999995</v>
      </c>
      <c r="AF188" s="64">
        <f>SUM(AE11:AF11,AB11:AC11)</f>
        <v>5335.2999999999993</v>
      </c>
      <c r="AG188" s="64">
        <f>SUM(AE11:AG11,AC11)</f>
        <v>5529.8</v>
      </c>
      <c r="AH188" s="64">
        <f>SUM(AE11:AH11)</f>
        <v>5758.6</v>
      </c>
      <c r="AI188" s="64"/>
      <c r="AJ188" s="64">
        <f>SUM(AJ11,AF11:AH11)</f>
        <v>5956.9000000000005</v>
      </c>
      <c r="AK188" s="64">
        <f>SUM(AJ11:AK11,AG11:AH11)</f>
        <v>6184.2</v>
      </c>
      <c r="AL188" s="64">
        <f>SUM(AJ11:AL11,AH11)</f>
        <v>6384.7999999999993</v>
      </c>
      <c r="AM188" s="64">
        <f>SUM(AJ11:AM11)</f>
        <v>6574.0999999999995</v>
      </c>
      <c r="AN188" s="64"/>
      <c r="AO188" s="64">
        <f>SUM(AO11,AK11:AM11)</f>
        <v>6783.9</v>
      </c>
      <c r="AP188" s="64">
        <f>SUM(AO11:AP11,AL11:AM11)</f>
        <v>7046.9999999999991</v>
      </c>
      <c r="AQ188" s="64">
        <f>SUM(AO11:AQ11,AM11)</f>
        <v>7332.5999999999995</v>
      </c>
      <c r="AR188" s="64">
        <f>SUM(AO11:AR11)</f>
        <v>7604.9999999999991</v>
      </c>
      <c r="AS188" s="64"/>
      <c r="AT188" s="64">
        <f>SUM(AT11,AP11:AR11)</f>
        <v>7902.7999999999993</v>
      </c>
      <c r="AU188" s="64">
        <f>SUM(AT11:AU11,AQ11:AR11)</f>
        <v>8217</v>
      </c>
      <c r="AV188" s="64">
        <f>SUM(AT11:AV11,AR11)</f>
        <v>8509.7999999999993</v>
      </c>
      <c r="AW188" s="64">
        <f>SUM(AT11:AW11)</f>
        <v>8799.2000000000007</v>
      </c>
      <c r="AX188" s="64"/>
      <c r="AY188" s="64">
        <f>SUM(AY11,AU11:AW11)</f>
        <v>9103.5999999999985</v>
      </c>
      <c r="AZ188" s="64">
        <f>SUM(AY11:AZ11,AV11:AW11)</f>
        <v>9461.0999999999985</v>
      </c>
      <c r="BA188" s="64">
        <f>SUM(AY11:BA11,AW11)</f>
        <v>9808.9</v>
      </c>
      <c r="BB188" s="64">
        <f>SUM(AY11:BB11)</f>
        <v>10197.800000000001</v>
      </c>
      <c r="BC188" s="64"/>
      <c r="BD188" s="64">
        <f>SUM(BD11,AZ11:BB11)</f>
        <v>10605.600000000002</v>
      </c>
      <c r="BE188" s="64">
        <f>SUM(BD11:BE11,BA11:BB11)</f>
        <v>11030.600000000002</v>
      </c>
      <c r="BF188" s="64">
        <f>SUM(BD11:BF11,BB11)</f>
        <v>11469.000000000002</v>
      </c>
      <c r="BG188" s="64">
        <f>SUM(BD11:BG11)</f>
        <v>11787.8</v>
      </c>
      <c r="BH188" s="64"/>
      <c r="BI188" s="64">
        <f>SUM(BI11,BE11:BG11)</f>
        <v>12082.400000000001</v>
      </c>
      <c r="BJ188" s="64">
        <f>SUM(BI11:BJ11,BF11:BG11)</f>
        <v>12411.100000000002</v>
      </c>
      <c r="BK188" s="64">
        <f>SUM(BI11:BK11,BG11)</f>
        <v>12738.100000000002</v>
      </c>
      <c r="BL188" s="64">
        <f>SUM(BI11:BL11)</f>
        <v>13168.6</v>
      </c>
      <c r="BM188" s="891"/>
      <c r="BN188" s="64">
        <f>SUM(BN11,BJ11:BL11)</f>
        <v>13741.7</v>
      </c>
      <c r="BO188" s="64">
        <f>SUM(BN11:BO11,BK11:BL11)</f>
        <v>14318.2</v>
      </c>
      <c r="BP188" s="64">
        <f>SUM(BN11:BP11,BL11)</f>
        <v>14852.199999999999</v>
      </c>
      <c r="BQ188" s="64">
        <f>SUM(BN11:BQ11)</f>
        <v>15243.9</v>
      </c>
      <c r="BR188" s="891"/>
      <c r="BS188" s="64">
        <f>SUM(BS11,BO11:BQ11)</f>
        <v>15589.199999999999</v>
      </c>
      <c r="BT188" s="64">
        <f>SUM(BS11:BT11,BP11:BQ11)</f>
        <v>15994.999999999998</v>
      </c>
      <c r="BU188" s="64">
        <f>SUM(BS11:BU11,BQ11)</f>
        <v>16363.5</v>
      </c>
      <c r="BV188" s="64">
        <f>SUM(BS11:BV11)</f>
        <v>16642.800000000003</v>
      </c>
      <c r="BW188" s="891"/>
      <c r="BX188" s="64">
        <f>SUM(BX11,BT11:BV11)</f>
        <v>16872.900000000001</v>
      </c>
      <c r="BY188" s="64">
        <f>SUM(BX11:BY11,BU11:BV11)</f>
        <v>17088.300000000003</v>
      </c>
      <c r="BZ188" s="64">
        <f>SUM(BX11:BZ11,BV11)</f>
        <v>17301.599999999999</v>
      </c>
      <c r="CA188" s="64">
        <f>SUM(BX11:CA11)</f>
        <v>17613</v>
      </c>
      <c r="CB188" s="891"/>
      <c r="CC188" s="64">
        <f>SUM(CC11,BY11:CA11)</f>
        <v>18000</v>
      </c>
      <c r="CD188" s="64">
        <f>SUM(CC11:CD11,BZ11:CA11)</f>
        <v>18240</v>
      </c>
      <c r="CE188" s="64">
        <f>SUM(CC11:CE11,CA11)</f>
        <v>18530</v>
      </c>
      <c r="CF188" s="64">
        <f>SUM(CC11:CF11)</f>
        <v>18976</v>
      </c>
      <c r="CG188" s="891"/>
      <c r="CH188" s="64">
        <f>SUM(CH11,CD11:CF11)</f>
        <v>19383</v>
      </c>
      <c r="CI188" s="64">
        <f>SUM(CH11:CI11,CE11:CF11)</f>
        <v>19810</v>
      </c>
      <c r="CJ188" s="64">
        <f>SUM(CH11:CJ11,CF11)</f>
        <v>20215</v>
      </c>
      <c r="CK188" s="64">
        <f>SUM(CH11:CK11)</f>
        <v>20492</v>
      </c>
      <c r="CL188" s="891"/>
      <c r="CM188" s="64">
        <f>SUM(CM11,CI11:CK11)</f>
        <v>20651</v>
      </c>
      <c r="CN188" s="64">
        <f>SUM(CM11:CN11,CJ11:CK11)</f>
        <v>20716</v>
      </c>
      <c r="CO188" s="64">
        <f>SUM(CM11:CO11,CK11)</f>
        <v>20576</v>
      </c>
      <c r="CP188" s="64">
        <f>SUM(CM11:CP11)</f>
        <v>20342</v>
      </c>
      <c r="CQ188" s="891"/>
      <c r="CR188" s="64">
        <f>SUM(CR11,CN11:CP11)</f>
        <v>20337</v>
      </c>
      <c r="CS188" s="64">
        <f>SUM(CR11:CS11,CO11:CP11)</f>
        <v>20555</v>
      </c>
      <c r="CT188" s="64">
        <f>SUM(CR11:CT11,CP11)</f>
        <v>20763</v>
      </c>
      <c r="CU188" s="64">
        <f>SUM(CR11:CU11)</f>
        <v>21119</v>
      </c>
      <c r="CV188" s="891"/>
      <c r="CW188" s="64">
        <f>SUM(CW11,CS11:CU11)</f>
        <v>21172</v>
      </c>
      <c r="CX188" s="64">
        <f>SUM(CW11:CX11,CT11:CU11)</f>
        <v>21215</v>
      </c>
      <c r="CY188" s="64">
        <f>SUM(CW11:CY11,CU11)</f>
        <v>21433</v>
      </c>
      <c r="CZ188" s="64">
        <f>SUM(CW11:CZ11)</f>
        <v>21569</v>
      </c>
      <c r="DA188" s="891"/>
      <c r="DB188" s="64">
        <f>SUM(DB11,CX11:CZ11)</f>
        <v>21713</v>
      </c>
      <c r="DC188" s="64">
        <f>SUM(DB11:DC11,CY11:CZ11)</f>
        <v>22945</v>
      </c>
      <c r="DD188" s="64"/>
      <c r="DE188" s="64">
        <f>SUM(DB11:DE11)</f>
        <v>26924</v>
      </c>
      <c r="DF188" s="891"/>
      <c r="DG188" s="64">
        <f>SUM(DD11:DG11)</f>
        <v>49172</v>
      </c>
      <c r="DH188" s="64">
        <f>SUM(DE11:DH11)</f>
        <v>49635</v>
      </c>
      <c r="DI188" s="64">
        <f>SUM(DF11:DI11)</f>
        <v>49867</v>
      </c>
      <c r="DJ188" s="64">
        <f>SUM(DG11:DJ11)</f>
        <v>30098</v>
      </c>
      <c r="DK188" s="891"/>
      <c r="DL188" s="891">
        <f>SUM(DI11:DL11)</f>
        <v>51866</v>
      </c>
      <c r="DM188" s="891">
        <f>SUM(DJ11:DM11)</f>
        <v>51930</v>
      </c>
      <c r="DN188" s="891">
        <f>SUM(DK11:DN11)</f>
        <v>51920</v>
      </c>
      <c r="DO188" s="891">
        <f>SUM(DL11:DO11)</f>
        <v>29162</v>
      </c>
      <c r="DP188" s="891"/>
      <c r="DQ188" s="891">
        <f>SUM(DN11:DQ11)</f>
        <v>50988</v>
      </c>
      <c r="DR188" s="891">
        <f ca="1">SUM(DO11:DR11)</f>
        <v>52140.83902534259</v>
      </c>
      <c r="DS188" s="891">
        <f ca="1">SUM(DP11:DS11)</f>
        <v>52933.142718886826</v>
      </c>
      <c r="DT188" s="891">
        <f ca="1">SUM(DQ11:DT11)</f>
        <v>31804.626888489078</v>
      </c>
      <c r="DU188" s="891"/>
      <c r="DV188" s="891">
        <f ca="1">SUM(DS11:DV11)</f>
        <v>55896.992472427453</v>
      </c>
      <c r="DW188" s="891">
        <f ca="1">SUM(DT11:DW11)</f>
        <v>56283.795000996688</v>
      </c>
      <c r="DX188" s="891">
        <f ca="1">SUM(DU11:DX11)</f>
        <v>56583.087243680158</v>
      </c>
      <c r="DY188" s="891">
        <f ca="1">SUM(DV11:DY11)</f>
        <v>33016.068798653367</v>
      </c>
      <c r="DZ188" s="891"/>
      <c r="EA188" s="891">
        <f ca="1">SUM(DX11:EA11)</f>
        <v>57703.227637701195</v>
      </c>
      <c r="EB188" s="891">
        <f ca="1">SUM(DY11:EB11)</f>
        <v>58064.428582332846</v>
      </c>
      <c r="EC188" s="891">
        <f ca="1">SUM(DZ11:EC11)</f>
        <v>58346.951172973335</v>
      </c>
      <c r="ED188" s="891">
        <f ca="1">SUM(EA11:ED11)</f>
        <v>33755.9848403629</v>
      </c>
      <c r="EE188" s="891"/>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row>
    <row r="189" spans="2:232" s="259" customFormat="1" ht="11.25" hidden="1" customHeight="1" outlineLevel="1">
      <c r="B189" s="568" t="s">
        <v>69</v>
      </c>
      <c r="C189" s="253"/>
      <c r="D189" s="253"/>
      <c r="E189" s="253"/>
      <c r="F189" s="253"/>
      <c r="G189" s="253"/>
      <c r="H189" s="253"/>
      <c r="I189" s="253"/>
      <c r="J189" s="253"/>
      <c r="K189" s="253"/>
      <c r="L189" s="253"/>
      <c r="M189" s="253"/>
      <c r="N189" s="253"/>
      <c r="O189" s="253"/>
      <c r="P189" s="253">
        <f>P188/P$187</f>
        <v>0.27716979608916914</v>
      </c>
      <c r="Q189" s="253">
        <f>Q188/Q$187</f>
        <v>0.27742243964113772</v>
      </c>
      <c r="R189" s="253">
        <f>R188/R$187</f>
        <v>0.27705300735205496</v>
      </c>
      <c r="S189" s="253">
        <f>S188/S$187</f>
        <v>0.27671276177553533</v>
      </c>
      <c r="T189" s="253"/>
      <c r="U189" s="253">
        <f>U188/U$187</f>
        <v>0.27635280730950473</v>
      </c>
      <c r="V189" s="253">
        <f>V188/V$187</f>
        <v>0.2757738141781923</v>
      </c>
      <c r="W189" s="253">
        <f>W188/W$187</f>
        <v>0.27526922185256486</v>
      </c>
      <c r="X189" s="253">
        <f>X188/X$187</f>
        <v>0.2752838652185729</v>
      </c>
      <c r="Y189" s="253"/>
      <c r="Z189" s="253">
        <f>Z188/Z$187</f>
        <v>0.27478311381631287</v>
      </c>
      <c r="AA189" s="253">
        <f>AA188/AA$187</f>
        <v>0.27526476037936076</v>
      </c>
      <c r="AB189" s="253">
        <f>AB188/AB$187</f>
        <v>0.27556833465630631</v>
      </c>
      <c r="AC189" s="253">
        <f>AC188/AC$187</f>
        <v>0.27498486445276588</v>
      </c>
      <c r="AD189" s="253"/>
      <c r="AE189" s="253">
        <f>AE188/AE$187</f>
        <v>0.27387694684000513</v>
      </c>
      <c r="AF189" s="253">
        <f>AF188/AF$187</f>
        <v>0.27271844362431885</v>
      </c>
      <c r="AG189" s="253">
        <f>AG188/AG$187</f>
        <v>0.27125345210707297</v>
      </c>
      <c r="AH189" s="253">
        <f>AH188/AH$187</f>
        <v>0.27154369568395192</v>
      </c>
      <c r="AI189" s="253"/>
      <c r="AJ189" s="253">
        <f>AJ188/AJ$187</f>
        <v>0.27079403033925969</v>
      </c>
      <c r="AK189" s="253">
        <f>AK188/AK$187</f>
        <v>0.27102168892239054</v>
      </c>
      <c r="AL189" s="253">
        <f>AL188/AL$187</f>
        <v>0.26917142351244927</v>
      </c>
      <c r="AM189" s="253">
        <f>AM188/AM$187</f>
        <v>0.26699021240303777</v>
      </c>
      <c r="AN189" s="253"/>
      <c r="AO189" s="253">
        <f>AO188/AO$187</f>
        <v>0.26532567799062901</v>
      </c>
      <c r="AP189" s="253">
        <f>AP188/AP$187</f>
        <v>0.26464921867078267</v>
      </c>
      <c r="AQ189" s="253">
        <f>AQ188/AQ$187</f>
        <v>0.26443413849560393</v>
      </c>
      <c r="AR189" s="253">
        <f>AR188/AR$187</f>
        <v>0.26515719411040717</v>
      </c>
      <c r="AS189" s="253"/>
      <c r="AT189" s="253">
        <f>AT188/AT$187</f>
        <v>0.26692696898664486</v>
      </c>
      <c r="AU189" s="253">
        <f>AU188/AU$187</f>
        <v>0.26884394160488412</v>
      </c>
      <c r="AV189" s="253">
        <f>AV188/AV$187</f>
        <v>0.27020127451634102</v>
      </c>
      <c r="AW189" s="253">
        <f>AW188/AW$187</f>
        <v>0.27069963759867594</v>
      </c>
      <c r="AX189" s="253"/>
      <c r="AY189" s="253">
        <f>AY188/AY$187</f>
        <v>0.26980584624777343</v>
      </c>
      <c r="AZ189" s="253">
        <f>AZ188/AZ$187</f>
        <v>0.26972067485047346</v>
      </c>
      <c r="BA189" s="253">
        <f>BA188/BA$187</f>
        <v>0.27001010242816126</v>
      </c>
      <c r="BB189" s="253">
        <f>BB188/BB$187</f>
        <v>0.27188188182850687</v>
      </c>
      <c r="BC189" s="253"/>
      <c r="BD189" s="253">
        <f>BD188/BD$187</f>
        <v>0.27421302341214954</v>
      </c>
      <c r="BE189" s="253">
        <f>BE188/BE$187</f>
        <v>0.27658576826733333</v>
      </c>
      <c r="BF189" s="253">
        <f>BF188/BF$187</f>
        <v>0.2788245075777836</v>
      </c>
      <c r="BG189" s="253">
        <f>BG188/BG$187</f>
        <v>0.27932116317864725</v>
      </c>
      <c r="BH189" s="253"/>
      <c r="BI189" s="253">
        <f>BI188/BI$187</f>
        <v>0.27960169301296606</v>
      </c>
      <c r="BJ189" s="253">
        <f>BJ188/BJ$187</f>
        <v>0.27959854919011473</v>
      </c>
      <c r="BK189" s="253">
        <f>BK188/BK$187</f>
        <v>0.2785282593104414</v>
      </c>
      <c r="BL189" s="253">
        <f>BL188/BL$187</f>
        <v>0.27776582505431457</v>
      </c>
      <c r="BM189" s="892"/>
      <c r="BN189" s="253">
        <f>BN188/BN$187</f>
        <v>0.279205804486652</v>
      </c>
      <c r="BO189" s="253">
        <f>BO188/BO$187</f>
        <v>0.28081674599952539</v>
      </c>
      <c r="BP189" s="253">
        <f>BP188/BP$187</f>
        <v>0.28284086321290092</v>
      </c>
      <c r="BQ189" s="253">
        <f>BQ188/BQ$187</f>
        <v>0.28354413898292474</v>
      </c>
      <c r="BR189" s="892"/>
      <c r="BS189" s="253">
        <f>BS188/BS$187</f>
        <v>0.28302112872948038</v>
      </c>
      <c r="BT189" s="253">
        <f>BT188/BT$187</f>
        <v>0.28289055964401238</v>
      </c>
      <c r="BU189" s="253">
        <f>BU188/BU$187</f>
        <v>0.28281831427252946</v>
      </c>
      <c r="BV189" s="253">
        <f>BV188/BV$187</f>
        <v>0.28191746154354341</v>
      </c>
      <c r="BW189" s="892"/>
      <c r="BX189" s="253">
        <f>BX188/BX$187</f>
        <v>0.28143358008052921</v>
      </c>
      <c r="BY189" s="253">
        <f>BY188/BY$187</f>
        <v>0.27997634136590938</v>
      </c>
      <c r="BZ189" s="253">
        <f>BZ188/BZ$187</f>
        <v>0.27803069624982524</v>
      </c>
      <c r="CA189" s="253">
        <f>CA188/CA$187</f>
        <v>0.27809268177153235</v>
      </c>
      <c r="CB189" s="892"/>
      <c r="CC189" s="253">
        <f>CC188/CC$187</f>
        <v>0.27798369162342473</v>
      </c>
      <c r="CD189" s="253">
        <f>CD188/CD$187</f>
        <v>0.27948026477077714</v>
      </c>
      <c r="CE189" s="253">
        <f>CE188/CE$187</f>
        <v>0.27968544820611896</v>
      </c>
      <c r="CF189" s="253">
        <f>CF188/CF$187</f>
        <v>0.28145950756452093</v>
      </c>
      <c r="CG189" s="892"/>
      <c r="CH189" s="253">
        <f>CH188/CH$187</f>
        <v>0.28337719298245612</v>
      </c>
      <c r="CI189" s="253">
        <f>CI188/CI$187</f>
        <v>0.28334406064506901</v>
      </c>
      <c r="CJ189" s="253">
        <f>CJ188/CJ$187</f>
        <v>0.28436985665452191</v>
      </c>
      <c r="CK189" s="253">
        <f>CK188/CK$187</f>
        <v>0.28388562562340686</v>
      </c>
      <c r="CL189" s="892"/>
      <c r="CM189" s="253">
        <f>CM188/CM$187</f>
        <v>0.2829020370700166</v>
      </c>
      <c r="CN189" s="253">
        <f>CN188/CN$187</f>
        <v>0.28321439313154512</v>
      </c>
      <c r="CO189" s="253">
        <f>CO188/CO$187</f>
        <v>0.28370124229597254</v>
      </c>
      <c r="CP189" s="253">
        <f>CP188/CP$187</f>
        <v>0.2839752627978725</v>
      </c>
      <c r="CQ189" s="892"/>
      <c r="CR189" s="253">
        <f>CR188/CR$187</f>
        <v>0.28727822352808224</v>
      </c>
      <c r="CS189" s="253">
        <f>CS188/CS$187</f>
        <v>0.29037407470192689</v>
      </c>
      <c r="CT189" s="253">
        <f>CT188/CT$187</f>
        <v>0.29100618088550645</v>
      </c>
      <c r="CU189" s="253">
        <f>CU188/CU$187</f>
        <v>0.29243806859880639</v>
      </c>
      <c r="CV189" s="892"/>
      <c r="CW189" s="253">
        <f>CW188/CW$187</f>
        <v>0.28911648231599074</v>
      </c>
      <c r="CX189" s="253">
        <f>CX188/CX$187</f>
        <v>0.28596268938372782</v>
      </c>
      <c r="CY189" s="253">
        <f>CY188/CY$187</f>
        <v>0.28472554333386468</v>
      </c>
      <c r="CZ189" s="253">
        <f>CZ188/CZ$187</f>
        <v>0.28234631898628126</v>
      </c>
      <c r="DA189" s="892"/>
      <c r="DB189" s="253">
        <f>DB188/DB$187</f>
        <v>0.27974541659687957</v>
      </c>
      <c r="DC189" s="253">
        <f>DC188/DC$187</f>
        <v>0.27126559082579654</v>
      </c>
      <c r="DD189" s="253"/>
      <c r="DE189" s="253">
        <f>DE188/DE$187</f>
        <v>0.26027609141177838</v>
      </c>
      <c r="DF189" s="892"/>
      <c r="DG189" s="253">
        <f>DG188/DG$187</f>
        <v>0.25908089823703595</v>
      </c>
      <c r="DH189" s="253">
        <f>DH188/DH$187</f>
        <v>0.25962036373526937</v>
      </c>
      <c r="DI189" s="253">
        <f>DI188/DI$187</f>
        <v>0.25950905239931515</v>
      </c>
      <c r="DJ189" s="253">
        <f>DJ188/DJ$187</f>
        <v>0.25647842796397136</v>
      </c>
      <c r="DK189" s="892"/>
      <c r="DL189" s="892">
        <f>DL188/DL$187</f>
        <v>0.25426254742972559</v>
      </c>
      <c r="DM189" s="892">
        <f>DM188/DM$187</f>
        <v>0.25464120744946894</v>
      </c>
      <c r="DN189" s="892">
        <f>DN188/DN$187</f>
        <v>0.25275538419597304</v>
      </c>
      <c r="DO189" s="892">
        <f>DO188/DO$187</f>
        <v>0.24668820951833118</v>
      </c>
      <c r="DP189" s="892"/>
      <c r="DQ189" s="892">
        <f>DQ188/DQ$187</f>
        <v>0.24370402588650278</v>
      </c>
      <c r="DR189" s="892">
        <f ca="1">DR188/DR$187</f>
        <v>0.24517267566426415</v>
      </c>
      <c r="DS189" s="892">
        <f ca="1">DS188/DS$187</f>
        <v>0.24464446139157672</v>
      </c>
      <c r="DT189" s="892">
        <f ca="1">DT188/DT$187</f>
        <v>0.24194378349740642</v>
      </c>
      <c r="DU189" s="892"/>
      <c r="DV189" s="892">
        <f ca="1">DV188/DV$187</f>
        <v>0.24104689349269059</v>
      </c>
      <c r="DW189" s="892">
        <f ca="1">DW188/DW$187</f>
        <v>0.24217798821345871</v>
      </c>
      <c r="DX189" s="892">
        <f ca="1">DX188/DX$187</f>
        <v>0.24235732228519358</v>
      </c>
      <c r="DY189" s="892">
        <f ca="1">DY188/DY$187</f>
        <v>0.24309165972154684</v>
      </c>
      <c r="DZ189" s="892"/>
      <c r="EA189" s="892">
        <f ca="1">EA188/EA$187</f>
        <v>0.2425810549399931</v>
      </c>
      <c r="EB189" s="892">
        <f ca="1">EB188/EB$187</f>
        <v>0.24348978766262214</v>
      </c>
      <c r="EC189" s="892">
        <f ca="1">EC188/EC$187</f>
        <v>0.24345805336144671</v>
      </c>
      <c r="ED189" s="892">
        <f ca="1">ED188/ED$187</f>
        <v>0.24408346271431652</v>
      </c>
      <c r="EE189" s="892"/>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row>
    <row r="190" spans="2:232" s="54" customFormat="1" ht="11.25" hidden="1" customHeight="1" outlineLevel="1">
      <c r="B190" s="538" t="s">
        <v>391</v>
      </c>
      <c r="C190" s="64"/>
      <c r="D190" s="64"/>
      <c r="E190" s="64"/>
      <c r="F190" s="64"/>
      <c r="G190" s="64"/>
      <c r="H190" s="77"/>
      <c r="I190" s="64"/>
      <c r="J190" s="64"/>
      <c r="K190" s="64"/>
      <c r="L190" s="64"/>
      <c r="M190" s="64"/>
      <c r="N190" s="64"/>
      <c r="O190" s="64"/>
      <c r="P190" s="64">
        <f>SUM(P22,L22:N22)</f>
        <v>632.75199999999938</v>
      </c>
      <c r="Q190" s="64">
        <f>SUM(P22:Q22,M22:N22)</f>
        <v>669.61699999999917</v>
      </c>
      <c r="R190" s="64">
        <f>SUM(P22:R22,N22)</f>
        <v>697.25999999999942</v>
      </c>
      <c r="S190" s="64">
        <f>SUM(P22:S22)</f>
        <v>725.2229999999995</v>
      </c>
      <c r="T190" s="64"/>
      <c r="U190" s="64">
        <f>SUM(U22,Q22:S22)</f>
        <v>746.43799999999942</v>
      </c>
      <c r="V190" s="64">
        <f>SUM(U22:V22,R22:S22)</f>
        <v>785.99199999999973</v>
      </c>
      <c r="W190" s="64">
        <f>SUM(U22:W22,S22)</f>
        <v>826.89299999999992</v>
      </c>
      <c r="X190" s="64">
        <f>SUM(U22:X22)</f>
        <v>881.64800000000002</v>
      </c>
      <c r="Y190" s="64"/>
      <c r="Z190" s="64">
        <f>SUM(Z22,V22:X22)</f>
        <v>914.75900000000013</v>
      </c>
      <c r="AA190" s="64">
        <f>SUM(Z22:AA22,W22:X22)</f>
        <v>972.64800000000025</v>
      </c>
      <c r="AB190" s="64">
        <f>SUM(Z22:AB22,X22)</f>
        <v>1024.3209999999995</v>
      </c>
      <c r="AC190" s="64">
        <f>SUM(Z22:AC22)</f>
        <v>1060.5999999999997</v>
      </c>
      <c r="AD190" s="64"/>
      <c r="AE190" s="64">
        <f>SUM(AE22,AA22:AC22)</f>
        <v>1105.7999999999995</v>
      </c>
      <c r="AF190" s="64">
        <f>SUM(AE22:AF22,AB22:AC22)</f>
        <v>1150.7999999999993</v>
      </c>
      <c r="AG190" s="64">
        <f>SUM(AE22:AG22,AC22)</f>
        <v>1191.5000000000002</v>
      </c>
      <c r="AH190" s="64">
        <f>SUM(AE22:AH22)</f>
        <v>1241.7000000000003</v>
      </c>
      <c r="AI190" s="64"/>
      <c r="AJ190" s="64">
        <f>SUM(AJ22,AF22:AH22)</f>
        <v>1271.5</v>
      </c>
      <c r="AK190" s="64">
        <f>SUM(AJ22:AK22,AG22:AH22)</f>
        <v>1337.2</v>
      </c>
      <c r="AL190" s="64">
        <f>SUM(AJ22:AL22,AH22)</f>
        <v>1369.8999999999992</v>
      </c>
      <c r="AM190" s="64">
        <f>SUM(AJ22:AM22)</f>
        <v>1398.2999999999995</v>
      </c>
      <c r="AN190" s="64"/>
      <c r="AO190" s="64">
        <f>SUM(AO22,AK22:AM22)</f>
        <v>1432.6999999999996</v>
      </c>
      <c r="AP190" s="64">
        <f>SUM(AO22:AP22,AL22:AM22)</f>
        <v>1499.1999999999991</v>
      </c>
      <c r="AQ190" s="64">
        <f>SUM(AO22:AQ22,AM22)</f>
        <v>1567.7999999999995</v>
      </c>
      <c r="AR190" s="64">
        <f>SUM(AO22:AR22)</f>
        <v>1624.1999999999991</v>
      </c>
      <c r="AS190" s="64"/>
      <c r="AT190" s="64">
        <f>SUM(AT22,AP22:AR22)</f>
        <v>1684.8999999999994</v>
      </c>
      <c r="AU190" s="64">
        <f>SUM(AT22:AU22,AQ22:AR22)</f>
        <v>1754.7</v>
      </c>
      <c r="AV190" s="64">
        <f>SUM(AT22:AV22,AR22)</f>
        <v>1801.3000000000002</v>
      </c>
      <c r="AW190" s="64">
        <f>SUM(AT22:AW22)</f>
        <v>1848.2999999999997</v>
      </c>
      <c r="AX190" s="64"/>
      <c r="AY190" s="64">
        <f>SUM(AY22,AU22:AW22)</f>
        <v>1900.5999999999995</v>
      </c>
      <c r="AZ190" s="64">
        <f>SUM(AY22:AZ22,AV22:AW22)</f>
        <v>1984.3999999999996</v>
      </c>
      <c r="BA190" s="64">
        <f>SUM(AY22:BA22,AW22)</f>
        <v>2068.3999999999996</v>
      </c>
      <c r="BB190" s="64">
        <f>SUM(AY22:BB22)</f>
        <v>2126.1000000000013</v>
      </c>
      <c r="BC190" s="64"/>
      <c r="BD190" s="64">
        <f>SUM(BD22,AZ22:BB22)</f>
        <v>2227.2000000000021</v>
      </c>
      <c r="BE190" s="64">
        <f>SUM(BD22:BE22,BA22:BB22)</f>
        <v>2325.800000000002</v>
      </c>
      <c r="BF190" s="64">
        <f>SUM(BD22:BF22,BB22)</f>
        <v>2425.2000000000025</v>
      </c>
      <c r="BG190" s="64">
        <f>SUM(BD22:BG22)</f>
        <v>2424.0000000000009</v>
      </c>
      <c r="BH190" s="64"/>
      <c r="BI190" s="64">
        <f>SUM(BI22,BE22:BG22)</f>
        <v>2459.7000000000007</v>
      </c>
      <c r="BJ190" s="64">
        <f>SUM(BI22:BJ22,BF22:BG22)</f>
        <v>2505.0000000000014</v>
      </c>
      <c r="BK190" s="64">
        <f>SUM(BI22:BK22,BG22)</f>
        <v>2568.5000000000014</v>
      </c>
      <c r="BL190" s="64">
        <f>SUM(BI22:BL22)</f>
        <v>2701.5000000000005</v>
      </c>
      <c r="BM190" s="64"/>
      <c r="BN190" s="64">
        <f>SUM(BN22,BJ22:BL22)</f>
        <v>2831.6000000000008</v>
      </c>
      <c r="BO190" s="64">
        <f>SUM(BN22:BO22,BK22:BL22)</f>
        <v>3031.2000000000007</v>
      </c>
      <c r="BP190" s="64">
        <f>SUM(BN22:BP22,BL22)</f>
        <v>3178.3999999999987</v>
      </c>
      <c r="BQ190" s="64">
        <f>SUM(BN22:BQ22)</f>
        <v>3150.6999999999994</v>
      </c>
      <c r="BR190" s="64"/>
      <c r="BS190" s="64">
        <f>SUM(BS22,BO22:BQ22)</f>
        <v>3206.6999999999985</v>
      </c>
      <c r="BT190" s="64">
        <f>SUM(BS22:BT22,BP22:BQ22)</f>
        <v>3273.7999999999979</v>
      </c>
      <c r="BU190" s="64">
        <f>SUM(BS22:BU22,BQ22)</f>
        <v>3333.7</v>
      </c>
      <c r="BV190" s="64">
        <f>SUM(BS22:BV22)</f>
        <v>3362.1000000000013</v>
      </c>
      <c r="BW190" s="64"/>
      <c r="BX190" s="64">
        <f>SUM(BX22,BT22:BV22)</f>
        <v>3303.2000000000016</v>
      </c>
      <c r="BY190" s="64">
        <f>SUM(BX22:BY22,BU22:BV22)</f>
        <v>3245.6000000000013</v>
      </c>
      <c r="BZ190" s="64">
        <f>SUM(BX22:BZ22,BV22)</f>
        <v>3176.9000000000005</v>
      </c>
      <c r="CA190" s="64">
        <f>SUM(BX22:CA22)</f>
        <v>3247</v>
      </c>
      <c r="CB190" s="64"/>
      <c r="CC190" s="64">
        <f>SUM(CC22,BY22:CA22)</f>
        <v>3375</v>
      </c>
      <c r="CD190" s="64">
        <f>SUM(CC22:CD22,BZ22:CA22)</f>
        <v>3431</v>
      </c>
      <c r="CE190" s="64">
        <f>SUM(CC22:CE22,CA22)</f>
        <v>3414</v>
      </c>
      <c r="CF190" s="64">
        <f>SUM(CC22:CF22)</f>
        <v>3458</v>
      </c>
      <c r="CG190" s="64"/>
      <c r="CH190" s="64">
        <f>SUM(CH22,CD22:CF22)</f>
        <v>3602</v>
      </c>
      <c r="CI190" s="64">
        <f>SUM(CH22:CI22,CE22:CF22)</f>
        <v>3723</v>
      </c>
      <c r="CJ190" s="64">
        <f>SUM(CH22:CJ22,CF22)</f>
        <v>3845</v>
      </c>
      <c r="CK190" s="64">
        <f>SUM(CH22:CK22)</f>
        <v>4365</v>
      </c>
      <c r="CL190" s="64"/>
      <c r="CM190" s="64">
        <f>SUM(CM22,CI22:CK22)</f>
        <v>4324</v>
      </c>
      <c r="CN190" s="64">
        <f>SUM(CM22:CN22,CJ22:CK22)</f>
        <v>4222</v>
      </c>
      <c r="CO190" s="64">
        <f>SUM(CM22:CO22,CK22)</f>
        <v>4144</v>
      </c>
      <c r="CP190" s="64">
        <f>SUM(CM22:CP22)</f>
        <v>3464</v>
      </c>
      <c r="CQ190" s="64"/>
      <c r="CR190" s="64">
        <f>SUM(CR22,CN22:CP22)</f>
        <v>3269</v>
      </c>
      <c r="CS190" s="64">
        <f>SUM(CR22:CS22,CO22:CP22)</f>
        <v>3379</v>
      </c>
      <c r="CT190" s="64">
        <f>SUM(CR22:CT22,CP22)</f>
        <v>3497</v>
      </c>
      <c r="CU190" s="64">
        <f>SUM(CR22:CU22)</f>
        <v>3940</v>
      </c>
      <c r="CV190" s="64"/>
      <c r="CW190" s="64">
        <f>SUM(CW22,CS22:CU22)</f>
        <v>4159</v>
      </c>
      <c r="CX190" s="64">
        <f>SUM(CW22:CX22,CT22:CU22)</f>
        <v>4219</v>
      </c>
      <c r="CY190" s="64">
        <f>SUM(CW22:CY22,CU22)</f>
        <v>4254</v>
      </c>
      <c r="CZ190" s="64">
        <f>SUM(CW22:CZ22)</f>
        <v>4194</v>
      </c>
      <c r="DA190" s="64"/>
      <c r="DB190" s="64">
        <f>SUM(DB22,CX22:CZ22)</f>
        <v>4324</v>
      </c>
      <c r="DC190" s="64">
        <f>SUM(DB22:DC22,CY22:CZ22)</f>
        <v>4426</v>
      </c>
      <c r="DD190" s="64"/>
      <c r="DE190" s="64">
        <f>SUM(DB22:DE22)</f>
        <v>4668</v>
      </c>
      <c r="DF190" s="64"/>
      <c r="DG190" s="64">
        <f>SUM(DD22:DG22)</f>
        <v>8373</v>
      </c>
      <c r="DH190" s="64">
        <f>SUM(DE22:DH22)</f>
        <v>8832</v>
      </c>
      <c r="DI190" s="64">
        <f>SUM(DF22:DI22)</f>
        <v>9529</v>
      </c>
      <c r="DJ190" s="64">
        <f>SUM(DG22:DJ22)</f>
        <v>6001</v>
      </c>
      <c r="DK190" s="64"/>
      <c r="DL190" s="64">
        <f>SUM(DI22:DL22)</f>
        <v>10121</v>
      </c>
      <c r="DM190" s="64">
        <f>SUM(DJ22:DM22)</f>
        <v>10067</v>
      </c>
      <c r="DN190" s="64">
        <f>SUM(DK22:DN22)</f>
        <v>10444</v>
      </c>
      <c r="DO190" s="64">
        <f>SUM(DL22:DO22)</f>
        <v>5557</v>
      </c>
      <c r="DP190" s="64"/>
      <c r="DQ190" s="64">
        <f>SUM(DN22:DQ22)</f>
        <v>9523</v>
      </c>
      <c r="DR190" s="64">
        <f ca="1">SUM(DO22:DR22)</f>
        <v>9964.558982785471</v>
      </c>
      <c r="DS190" s="64">
        <f ca="1">SUM(DP22:DS22)</f>
        <v>10673.269793183528</v>
      </c>
      <c r="DT190" s="64">
        <f ca="1">SUM(DQ22:DT22)</f>
        <v>6933.7373807773683</v>
      </c>
      <c r="DU190" s="64"/>
      <c r="DV190" s="64">
        <f ca="1">SUM(DS22:DV22)</f>
        <v>12262.060367052407</v>
      </c>
      <c r="DW190" s="64">
        <f ca="1">SUM(DT22:DW22)</f>
        <v>12437.029729509048</v>
      </c>
      <c r="DX190" s="64">
        <f ca="1">SUM(DU22:DX22)</f>
        <v>12636.950486715221</v>
      </c>
      <c r="DY190" s="64">
        <f ca="1">SUM(DV22:DY22)</f>
        <v>7759.0354308889928</v>
      </c>
      <c r="DZ190" s="64"/>
      <c r="EA190" s="64">
        <f ca="1">SUM(DX22:EA22)</f>
        <v>13568.528261315078</v>
      </c>
      <c r="EB190" s="64">
        <f ca="1">SUM(DY22:EB22)</f>
        <v>13574.038368131514</v>
      </c>
      <c r="EC190" s="64">
        <f ca="1">SUM(DZ22:EC22)</f>
        <v>13578.020223198477</v>
      </c>
      <c r="ED190" s="64">
        <f ca="1">SUM(EA22:ED22)</f>
        <v>7920.7486810840091</v>
      </c>
      <c r="EE190" s="64"/>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row>
    <row r="191" spans="2:232" s="54" customFormat="1" ht="12" hidden="1" customHeight="1" outlineLevel="1" thickBot="1">
      <c r="B191" s="893" t="s">
        <v>201</v>
      </c>
      <c r="C191" s="581"/>
      <c r="D191" s="581"/>
      <c r="E191" s="581"/>
      <c r="F191" s="581"/>
      <c r="G191" s="581"/>
      <c r="H191" s="597"/>
      <c r="I191" s="581"/>
      <c r="J191" s="581"/>
      <c r="K191" s="894"/>
      <c r="L191" s="894"/>
      <c r="M191" s="894"/>
      <c r="N191" s="894"/>
      <c r="O191" s="581"/>
      <c r="P191" s="894">
        <f>P190/P$187</f>
        <v>5.2122883582846863E-2</v>
      </c>
      <c r="Q191" s="894">
        <f>Q190/Q$187</f>
        <v>5.3300083713074785E-2</v>
      </c>
      <c r="R191" s="894">
        <f>R190/R$187</f>
        <v>5.3727978587097283E-2</v>
      </c>
      <c r="S191" s="894">
        <f>S190/S$187</f>
        <v>5.427087867767641E-2</v>
      </c>
      <c r="T191" s="581"/>
      <c r="U191" s="894">
        <f>U190/U$187</f>
        <v>5.411243736862232E-2</v>
      </c>
      <c r="V191" s="894">
        <f>V190/V$187</f>
        <v>5.5021994671212569E-2</v>
      </c>
      <c r="W191" s="894">
        <f>W190/W$187</f>
        <v>5.598754220937148E-2</v>
      </c>
      <c r="X191" s="894">
        <f>X190/X$187</f>
        <v>5.7599356093073824E-2</v>
      </c>
      <c r="Y191" s="581"/>
      <c r="Z191" s="894">
        <f>Z190/Z$187</f>
        <v>5.775795880741013E-2</v>
      </c>
      <c r="AA191" s="894">
        <f>AA190/AA$187</f>
        <v>5.9180303800355022E-2</v>
      </c>
      <c r="AB191" s="894">
        <f>AB190/AB$187</f>
        <v>5.9834381966381599E-2</v>
      </c>
      <c r="AC191" s="894">
        <f>AC190/AC$187</f>
        <v>5.9454671838912919E-2</v>
      </c>
      <c r="AD191" s="581"/>
      <c r="AE191" s="894">
        <f>AE190/AE$187</f>
        <v>5.9306217016346995E-2</v>
      </c>
      <c r="AF191" s="894">
        <f>AF190/AF$187</f>
        <v>5.8824130774814153E-2</v>
      </c>
      <c r="AG191" s="894">
        <f>AG190/AG$187</f>
        <v>5.8446686713005444E-2</v>
      </c>
      <c r="AH191" s="894">
        <f>AH190/AH$187</f>
        <v>5.8551697796471909E-2</v>
      </c>
      <c r="AI191" s="581"/>
      <c r="AJ191" s="894">
        <f>AJ190/AJ$187</f>
        <v>5.7800971910955144E-2</v>
      </c>
      <c r="AK191" s="894">
        <f>AK190/AK$187</f>
        <v>5.8602600567093661E-2</v>
      </c>
      <c r="AL191" s="894">
        <f>AL190/AL$187</f>
        <v>5.7752464144484414E-2</v>
      </c>
      <c r="AM191" s="894">
        <f>AM190/AM$187</f>
        <v>5.6788368598464832E-2</v>
      </c>
      <c r="AN191" s="581"/>
      <c r="AO191" s="894">
        <f>AO190/AO$187</f>
        <v>5.603444904216956E-2</v>
      </c>
      <c r="AP191" s="894">
        <f>AP190/AP$187</f>
        <v>5.630227169451358E-2</v>
      </c>
      <c r="AQ191" s="894">
        <f>AQ190/AQ$187</f>
        <v>5.6539268790525558E-2</v>
      </c>
      <c r="AR191" s="894">
        <f>AR190/AR$187</f>
        <v>5.6629627176084572E-2</v>
      </c>
      <c r="AS191" s="581"/>
      <c r="AT191" s="894">
        <f>AT190/AT$187</f>
        <v>5.6909607992812396E-2</v>
      </c>
      <c r="AU191" s="894">
        <f>AU190/AU$187</f>
        <v>5.7410303557757114E-2</v>
      </c>
      <c r="AV191" s="894">
        <f>AV190/AV$187</f>
        <v>5.7194476460819904E-2</v>
      </c>
      <c r="AW191" s="894">
        <f>AW190/AW$187</f>
        <v>5.6861321503504023E-2</v>
      </c>
      <c r="AX191" s="581"/>
      <c r="AY191" s="894">
        <f>AY190/AY$187</f>
        <v>5.6328594333946803E-2</v>
      </c>
      <c r="AZ191" s="894">
        <f>AZ190/AZ$187</f>
        <v>5.6572037836327652E-2</v>
      </c>
      <c r="BA191" s="894">
        <f>BA190/BA$187</f>
        <v>5.6936954792322143E-2</v>
      </c>
      <c r="BB191" s="894">
        <f>BB190/BB$187</f>
        <v>5.6683605184999583E-2</v>
      </c>
      <c r="BC191" s="581"/>
      <c r="BD191" s="894">
        <f>BD190/BD$187</f>
        <v>5.7585355448398955E-2</v>
      </c>
      <c r="BE191" s="894">
        <f>BE190/BE$187</f>
        <v>5.8318058839606578E-2</v>
      </c>
      <c r="BF191" s="894">
        <f>BF190/BF$187</f>
        <v>5.8959385803264569E-2</v>
      </c>
      <c r="BG191" s="894">
        <f>BG190/BG$187</f>
        <v>5.7438580527752525E-2</v>
      </c>
      <c r="BH191" s="581"/>
      <c r="BI191" s="894">
        <f>BI190/BI$187</f>
        <v>5.6920502905382434E-2</v>
      </c>
      <c r="BJ191" s="894">
        <f>BJ190/BJ$187</f>
        <v>5.6432900042803429E-2</v>
      </c>
      <c r="BK191" s="894">
        <f>BK190/BK$187</f>
        <v>5.6162208966711598E-2</v>
      </c>
      <c r="BL191" s="894">
        <f>BL190/BL$187</f>
        <v>5.6982851357337223E-2</v>
      </c>
      <c r="BM191" s="581"/>
      <c r="BN191" s="894">
        <f>BN190/BN$187</f>
        <v>5.7532849355203794E-2</v>
      </c>
      <c r="BO191" s="894">
        <f>BO190/BO$187</f>
        <v>5.9449631970063387E-2</v>
      </c>
      <c r="BP191" s="894">
        <f>BP190/BP$187</f>
        <v>6.0528500803644178E-2</v>
      </c>
      <c r="BQ191" s="894">
        <f>BQ190/BQ$187</f>
        <v>5.8604590603028146E-2</v>
      </c>
      <c r="BR191" s="581"/>
      <c r="BS191" s="894">
        <f>BS190/BS$187</f>
        <v>5.8217474501374308E-2</v>
      </c>
      <c r="BT191" s="894">
        <f>BT190/BT$187</f>
        <v>5.7901038709757255E-2</v>
      </c>
      <c r="BU191" s="894">
        <f>BU190/BU$187</f>
        <v>5.7617955467371369E-2</v>
      </c>
      <c r="BV191" s="894">
        <f>BV190/BV$187</f>
        <v>5.6951636590931061E-2</v>
      </c>
      <c r="BW191" s="581"/>
      <c r="BX191" s="894">
        <f>BX190/BX$187</f>
        <v>5.5096124656816819E-2</v>
      </c>
      <c r="BY191" s="894">
        <f>BY190/BY$187</f>
        <v>5.3176220778965465E-2</v>
      </c>
      <c r="BZ191" s="894">
        <f>BZ190/BZ$187</f>
        <v>5.1051678394834578E-2</v>
      </c>
      <c r="CA191" s="894">
        <f>CA190/CA$187</f>
        <v>5.1267071919160023E-2</v>
      </c>
      <c r="CB191" s="581"/>
      <c r="CC191" s="894">
        <f>CC190/CC$187</f>
        <v>5.2121942179392144E-2</v>
      </c>
      <c r="CD191" s="894">
        <f>CD190/CD$187</f>
        <v>5.2571095856827656E-2</v>
      </c>
      <c r="CE191" s="894">
        <f>CE190/CE$187</f>
        <v>5.1529742049416627E-2</v>
      </c>
      <c r="CF191" s="894">
        <f>CF190/CF$187</f>
        <v>5.1290418273509344E-2</v>
      </c>
      <c r="CG191" s="581"/>
      <c r="CH191" s="894">
        <f>CH190/CH$187</f>
        <v>5.266081871345029E-2</v>
      </c>
      <c r="CI191" s="894">
        <f>CI190/CI$187</f>
        <v>5.3250375455910749E-2</v>
      </c>
      <c r="CJ191" s="894">
        <f>CJ190/CJ$187</f>
        <v>5.4088651933546221E-2</v>
      </c>
      <c r="CK191" s="894">
        <f>CK190/CK$187</f>
        <v>6.04704643688352E-2</v>
      </c>
      <c r="CL191" s="581"/>
      <c r="CM191" s="894">
        <f>CM190/CM$187</f>
        <v>5.9235311040179733E-2</v>
      </c>
      <c r="CN191" s="894">
        <f>CN190/CN$187</f>
        <v>5.7720176086183794E-2</v>
      </c>
      <c r="CO191" s="894">
        <f>CO190/CO$187</f>
        <v>5.7137341955409711E-2</v>
      </c>
      <c r="CP191" s="894">
        <f>CP190/CP$187</f>
        <v>4.8357600547233814E-2</v>
      </c>
      <c r="CQ191" s="581"/>
      <c r="CR191" s="894">
        <f>CR190/CR$187</f>
        <v>4.6177534184653632E-2</v>
      </c>
      <c r="CS191" s="894">
        <f>CS190/CS$187</f>
        <v>4.7734079222467085E-2</v>
      </c>
      <c r="CT191" s="894">
        <f>CT190/CT$187</f>
        <v>4.9012600036440597E-2</v>
      </c>
      <c r="CU191" s="894">
        <f>CU190/CU$187</f>
        <v>5.4557791101818132E-2</v>
      </c>
      <c r="CV191" s="581"/>
      <c r="CW191" s="894">
        <f>CW190/CW$187</f>
        <v>5.6793663798989487E-2</v>
      </c>
      <c r="CX191" s="894">
        <f>CX190/CX$187</f>
        <v>5.6869035423518628E-2</v>
      </c>
      <c r="CY191" s="894">
        <f>CY190/CY$187</f>
        <v>5.6512035708592381E-2</v>
      </c>
      <c r="CZ191" s="894">
        <f>CZ190/CZ$187</f>
        <v>5.4901036757775683E-2</v>
      </c>
      <c r="DA191" s="581"/>
      <c r="DB191" s="894">
        <f>DB190/DB$187</f>
        <v>5.5709445095790872E-2</v>
      </c>
      <c r="DC191" s="894">
        <f>DC190/DC$187</f>
        <v>5.2326062540639595E-2</v>
      </c>
      <c r="DD191" s="894"/>
      <c r="DE191" s="894">
        <f>DE190/DE$187</f>
        <v>4.5125865202428367E-2</v>
      </c>
      <c r="DF191" s="581"/>
      <c r="DG191" s="894">
        <f>DG190/DG$187</f>
        <v>4.4116252357819533E-2</v>
      </c>
      <c r="DH191" s="894">
        <f>DH190/DH$187</f>
        <v>4.6196576055402415E-2</v>
      </c>
      <c r="DI191" s="894">
        <f>DI190/DI$187</f>
        <v>4.958914232484557E-2</v>
      </c>
      <c r="DJ191" s="894">
        <f>DJ190/DJ$187</f>
        <v>5.1137186730407069E-2</v>
      </c>
      <c r="DK191" s="581"/>
      <c r="DL191" s="581">
        <f>DL190/DL$187</f>
        <v>4.9616150127949954E-2</v>
      </c>
      <c r="DM191" s="581">
        <f>DM190/DM$187</f>
        <v>4.9364009924779587E-2</v>
      </c>
      <c r="DN191" s="581">
        <f>DN190/DN$187</f>
        <v>5.0843167036647582E-2</v>
      </c>
      <c r="DO191" s="581">
        <f>DO190/DO$187</f>
        <v>4.7007968599319876E-2</v>
      </c>
      <c r="DP191" s="581"/>
      <c r="DQ191" s="581">
        <f>DQ190/DQ$187</f>
        <v>4.5516463452521499E-2</v>
      </c>
      <c r="DR191" s="581">
        <f ca="1">DR190/DR$187</f>
        <v>4.6854589095439672E-2</v>
      </c>
      <c r="DS191" s="581">
        <f ca="1">DS190/DS$187</f>
        <v>4.932932763330327E-2</v>
      </c>
      <c r="DT191" s="581">
        <f ca="1">DT190/DT$187</f>
        <v>5.2746245430404071E-2</v>
      </c>
      <c r="DU191" s="581"/>
      <c r="DV191" s="581">
        <f ca="1">DV190/DV$187</f>
        <v>5.28781859016084E-2</v>
      </c>
      <c r="DW191" s="581">
        <f ca="1">DW190/DW$187</f>
        <v>5.3514068111259035E-2</v>
      </c>
      <c r="DX191" s="581">
        <f ca="1">DX190/DX$187</f>
        <v>5.4126729929409194E-2</v>
      </c>
      <c r="DY191" s="581">
        <f ca="1">DY190/DY$187</f>
        <v>5.7128448945139819E-2</v>
      </c>
      <c r="DZ191" s="581"/>
      <c r="EA191" s="581">
        <f ca="1">EA190/EA$187</f>
        <v>5.7041313534121896E-2</v>
      </c>
      <c r="EB191" s="581">
        <f ca="1">EB190/EB$187</f>
        <v>5.6921936556976242E-2</v>
      </c>
      <c r="EC191" s="581">
        <f ca="1">EC190/EC$187</f>
        <v>5.6655545929766897E-2</v>
      </c>
      <c r="ED191" s="581">
        <f ca="1">ED190/ED$187</f>
        <v>5.727351089034486E-2</v>
      </c>
      <c r="EE191" s="58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row>
    <row r="192" spans="2:232" s="54" customFormat="1" ht="11.25" hidden="1" customHeight="1" outlineLevel="1">
      <c r="H192" s="59"/>
      <c r="K192" s="395"/>
      <c r="L192" s="395"/>
      <c r="M192" s="395"/>
      <c r="N192" s="395"/>
      <c r="P192" s="395"/>
      <c r="Q192" s="395"/>
      <c r="R192" s="395"/>
      <c r="S192" s="395"/>
      <c r="U192" s="395"/>
      <c r="V192" s="395"/>
      <c r="W192" s="395"/>
      <c r="X192" s="395"/>
      <c r="Z192" s="395"/>
      <c r="AA192" s="395"/>
      <c r="AB192" s="395"/>
      <c r="AC192" s="395"/>
      <c r="AE192" s="395"/>
      <c r="AF192" s="395"/>
      <c r="AG192" s="395"/>
      <c r="AH192" s="395"/>
      <c r="AJ192" s="395"/>
      <c r="AK192" s="395"/>
      <c r="AL192" s="395"/>
      <c r="AM192" s="395"/>
      <c r="AO192" s="395"/>
      <c r="AP192" s="395"/>
      <c r="AQ192" s="395"/>
      <c r="AR192" s="395"/>
      <c r="AT192" s="395"/>
      <c r="AU192" s="395"/>
      <c r="AV192" s="395"/>
      <c r="AW192" s="395"/>
      <c r="AY192" s="395"/>
      <c r="AZ192" s="395"/>
      <c r="BA192" s="395"/>
      <c r="BB192" s="395"/>
      <c r="BD192" s="395"/>
      <c r="BE192" s="395"/>
      <c r="BF192" s="395"/>
      <c r="BG192" s="395"/>
      <c r="BI192" s="395"/>
      <c r="BJ192" s="395"/>
      <c r="BK192" s="395"/>
      <c r="BL192" s="395"/>
      <c r="BN192" s="395"/>
      <c r="BO192" s="395"/>
      <c r="BP192" s="395"/>
      <c r="BQ192" s="395"/>
      <c r="BS192" s="395"/>
      <c r="BT192" s="395"/>
      <c r="BU192" s="395"/>
      <c r="BV192" s="395"/>
      <c r="BX192" s="395"/>
      <c r="BY192" s="395"/>
      <c r="BZ192" s="395"/>
      <c r="CA192" s="395"/>
      <c r="CC192" s="395"/>
      <c r="CD192" s="395"/>
      <c r="CE192" s="395"/>
      <c r="CF192" s="395"/>
      <c r="CH192" s="395"/>
      <c r="CI192" s="395"/>
      <c r="CJ192" s="396"/>
      <c r="CK192" s="396"/>
      <c r="CM192" s="395"/>
      <c r="CN192" s="395"/>
      <c r="CO192" s="396"/>
      <c r="CP192" s="396"/>
      <c r="CR192" s="352"/>
      <c r="CS192" s="352"/>
      <c r="CT192" s="352"/>
      <c r="CU192" s="352"/>
      <c r="CW192" s="352"/>
      <c r="CX192" s="352"/>
      <c r="CY192" s="352"/>
      <c r="CZ192" s="352"/>
      <c r="DB192" s="352"/>
      <c r="DC192" s="352"/>
      <c r="DD192" s="352"/>
      <c r="DE192" s="352"/>
      <c r="DG192" s="352"/>
      <c r="DH192" s="352"/>
      <c r="DI192" s="352"/>
      <c r="DJ192" s="352"/>
      <c r="DL192" s="64"/>
      <c r="DM192" s="64"/>
      <c r="DN192" s="64"/>
      <c r="DO192" s="64"/>
      <c r="DQ192" s="64"/>
      <c r="DR192" s="64"/>
      <c r="DS192" s="64"/>
      <c r="DT192" s="64"/>
      <c r="DV192" s="64"/>
      <c r="DW192" s="64"/>
      <c r="DX192" s="64"/>
      <c r="DY192" s="64"/>
      <c r="EA192" s="64"/>
      <c r="EB192" s="64"/>
      <c r="EC192" s="64"/>
      <c r="ED192" s="64"/>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row>
    <row r="193" spans="2:232" s="54" customFormat="1" ht="11.25" hidden="1" customHeight="1" outlineLevel="1">
      <c r="H193" s="59"/>
      <c r="K193" s="395"/>
      <c r="L193" s="395"/>
      <c r="M193" s="395"/>
      <c r="N193" s="395"/>
      <c r="P193" s="395"/>
      <c r="Q193" s="395"/>
      <c r="R193" s="395"/>
      <c r="S193" s="395"/>
      <c r="U193" s="395"/>
      <c r="V193" s="395"/>
      <c r="W193" s="395"/>
      <c r="X193" s="395"/>
      <c r="Z193" s="395"/>
      <c r="AA193" s="395"/>
      <c r="AB193" s="395"/>
      <c r="AC193" s="395"/>
      <c r="AE193" s="395"/>
      <c r="AF193" s="395"/>
      <c r="AG193" s="395"/>
      <c r="AH193" s="395"/>
      <c r="AJ193" s="395"/>
      <c r="AK193" s="395"/>
      <c r="AL193" s="395"/>
      <c r="AM193" s="395"/>
      <c r="AO193" s="395"/>
      <c r="AP193" s="395"/>
      <c r="AQ193" s="395"/>
      <c r="AR193" s="395"/>
      <c r="AT193" s="395"/>
      <c r="AU193" s="395"/>
      <c r="AV193" s="395"/>
      <c r="AW193" s="395"/>
      <c r="AY193" s="395"/>
      <c r="AZ193" s="395"/>
      <c r="BA193" s="395"/>
      <c r="BB193" s="395"/>
      <c r="BD193" s="395"/>
      <c r="BE193" s="395"/>
      <c r="BF193" s="395"/>
      <c r="BG193" s="395"/>
      <c r="BI193" s="395"/>
      <c r="BJ193" s="395"/>
      <c r="BK193" s="395"/>
      <c r="BL193" s="395"/>
      <c r="BN193" s="395"/>
      <c r="BO193" s="395"/>
      <c r="BP193" s="395"/>
      <c r="BQ193" s="395"/>
      <c r="BS193" s="395"/>
      <c r="BT193" s="395"/>
      <c r="BU193" s="395"/>
      <c r="BV193" s="395"/>
      <c r="BX193" s="395"/>
      <c r="BY193" s="395"/>
      <c r="BZ193" s="395"/>
      <c r="CA193" s="395"/>
      <c r="CC193" s="395"/>
      <c r="CD193" s="395"/>
      <c r="CE193" s="395"/>
      <c r="CF193" s="395"/>
      <c r="CH193" s="395"/>
      <c r="CI193" s="395"/>
      <c r="CJ193" s="396"/>
      <c r="CK193" s="396"/>
      <c r="CM193" s="395"/>
      <c r="CN193" s="395"/>
      <c r="CO193" s="396"/>
      <c r="CP193" s="396"/>
      <c r="CR193" s="352"/>
      <c r="CS193" s="352"/>
      <c r="CT193" s="352"/>
      <c r="CU193" s="352"/>
      <c r="CW193" s="352"/>
      <c r="CX193" s="352"/>
      <c r="CY193" s="352"/>
      <c r="CZ193" s="352"/>
      <c r="DB193" s="352"/>
      <c r="DC193" s="352"/>
      <c r="DD193" s="352"/>
      <c r="DE193" s="352"/>
      <c r="DG193" s="352"/>
      <c r="DH193" s="352"/>
      <c r="DI193" s="352"/>
      <c r="DJ193" s="352"/>
      <c r="DL193" s="64"/>
      <c r="DM193" s="64"/>
      <c r="DN193" s="64"/>
      <c r="DO193" s="64"/>
      <c r="DQ193" s="64"/>
      <c r="DR193" s="64"/>
      <c r="DS193" s="64"/>
      <c r="DT193" s="64"/>
      <c r="DV193" s="64"/>
      <c r="DW193" s="64"/>
      <c r="DX193" s="64"/>
      <c r="DY193" s="64"/>
      <c r="EA193" s="64"/>
      <c r="EB193" s="64"/>
      <c r="EC193" s="64"/>
      <c r="ED193" s="64"/>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row>
    <row r="194" spans="2:232" s="54" customFormat="1" ht="11.25" hidden="1" customHeight="1" outlineLevel="1">
      <c r="H194" s="59"/>
      <c r="K194" s="369"/>
      <c r="L194" s="369"/>
      <c r="M194" s="369"/>
      <c r="N194" s="369"/>
      <c r="P194" s="369"/>
      <c r="Q194" s="369"/>
      <c r="R194" s="369"/>
      <c r="S194" s="369"/>
      <c r="U194" s="369"/>
      <c r="V194" s="369"/>
      <c r="W194" s="369"/>
      <c r="X194" s="369"/>
      <c r="Z194" s="369"/>
      <c r="AA194" s="369"/>
      <c r="AB194" s="369"/>
      <c r="AC194" s="369"/>
      <c r="AE194" s="369"/>
      <c r="AF194" s="369"/>
      <c r="AG194" s="369"/>
      <c r="AH194" s="369"/>
      <c r="AJ194" s="369"/>
      <c r="AK194" s="369"/>
      <c r="AL194" s="369"/>
      <c r="AM194" s="369"/>
      <c r="AO194" s="369"/>
      <c r="AP194" s="369"/>
      <c r="AQ194" s="369"/>
      <c r="AR194" s="369"/>
      <c r="AT194" s="369"/>
      <c r="AU194" s="369"/>
      <c r="AV194" s="369"/>
      <c r="AW194" s="369"/>
      <c r="AY194" s="369"/>
      <c r="AZ194" s="369"/>
      <c r="BA194" s="369"/>
      <c r="BB194" s="369"/>
      <c r="BD194" s="369"/>
      <c r="BE194" s="369"/>
      <c r="BF194" s="369"/>
      <c r="BG194" s="369"/>
      <c r="BI194" s="369"/>
      <c r="BJ194" s="369"/>
      <c r="BK194" s="369"/>
      <c r="BL194" s="369"/>
      <c r="BN194" s="369"/>
      <c r="BO194" s="369"/>
      <c r="BP194" s="369"/>
      <c r="BQ194" s="369"/>
      <c r="BS194" s="369"/>
      <c r="BT194" s="369"/>
      <c r="BU194" s="369"/>
      <c r="BV194" s="369"/>
      <c r="BY194" s="369"/>
      <c r="BZ194" s="369"/>
      <c r="CA194" s="369"/>
      <c r="CG194" s="1267"/>
      <c r="CH194" s="369"/>
      <c r="CI194" s="369"/>
      <c r="CJ194" s="397"/>
      <c r="CK194" s="397"/>
      <c r="CM194" s="369"/>
      <c r="CN194" s="369"/>
      <c r="CO194" s="397"/>
      <c r="CP194" s="397"/>
      <c r="CR194" s="370"/>
      <c r="CS194" s="370"/>
      <c r="CT194" s="1273"/>
      <c r="CU194" s="370"/>
      <c r="CW194" s="370"/>
      <c r="CX194" s="370"/>
      <c r="CY194" s="370"/>
      <c r="CZ194" s="370"/>
      <c r="DB194" s="370"/>
      <c r="DC194" s="370"/>
      <c r="DD194" s="370"/>
      <c r="DE194" s="370"/>
      <c r="DG194" s="370"/>
      <c r="DH194" s="370"/>
      <c r="DI194" s="370"/>
      <c r="DJ194" s="370"/>
      <c r="DL194" s="64"/>
      <c r="DM194" s="64"/>
      <c r="DN194" s="64"/>
      <c r="DO194" s="64"/>
      <c r="DQ194" s="64"/>
      <c r="DR194" s="64"/>
      <c r="DS194" s="64"/>
      <c r="DT194" s="64"/>
      <c r="DV194" s="64"/>
      <c r="DW194" s="64"/>
      <c r="DX194" s="64"/>
      <c r="DY194" s="64"/>
      <c r="EA194" s="64"/>
      <c r="EB194" s="64"/>
      <c r="EC194" s="64"/>
      <c r="ED194" s="6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row>
    <row r="195" spans="2:232" s="54" customFormat="1" ht="12" collapsed="1" thickBot="1">
      <c r="H195" s="59"/>
      <c r="K195" s="56"/>
      <c r="L195" s="56"/>
      <c r="M195" s="56"/>
      <c r="N195" s="56"/>
      <c r="P195" s="56"/>
      <c r="Q195" s="56"/>
      <c r="R195" s="56"/>
      <c r="S195" s="56"/>
      <c r="U195" s="56"/>
      <c r="V195" s="56"/>
      <c r="W195" s="56"/>
      <c r="X195" s="56"/>
      <c r="Z195" s="56"/>
      <c r="AA195" s="56"/>
      <c r="AB195" s="56"/>
      <c r="AC195" s="56"/>
      <c r="AE195" s="56"/>
      <c r="AF195" s="56"/>
      <c r="AG195" s="56"/>
      <c r="AH195" s="56"/>
      <c r="AJ195" s="56"/>
      <c r="AK195" s="56"/>
      <c r="AL195" s="56"/>
      <c r="AM195" s="56"/>
      <c r="AO195" s="56"/>
      <c r="AP195" s="56"/>
      <c r="AQ195" s="56"/>
      <c r="AR195" s="56"/>
      <c r="AT195" s="56"/>
      <c r="AU195" s="56"/>
      <c r="AV195" s="56"/>
      <c r="AW195" s="56"/>
      <c r="AY195" s="56"/>
      <c r="AZ195" s="56"/>
      <c r="BA195" s="56"/>
      <c r="BB195" s="56"/>
      <c r="BD195" s="56"/>
      <c r="BE195" s="56"/>
      <c r="BF195" s="56"/>
      <c r="BG195" s="56"/>
      <c r="BI195" s="56"/>
      <c r="BJ195" s="56"/>
      <c r="BK195" s="56"/>
      <c r="BL195" s="56"/>
      <c r="BN195" s="56"/>
      <c r="BO195" s="56"/>
      <c r="BP195" s="56"/>
      <c r="BQ195" s="56"/>
      <c r="BS195" s="56"/>
      <c r="BT195" s="56"/>
      <c r="BU195" s="56"/>
      <c r="BV195" s="56"/>
      <c r="BY195" s="56"/>
      <c r="BZ195" s="56"/>
      <c r="CA195" s="56"/>
      <c r="CD195" s="56"/>
      <c r="CE195" s="56"/>
      <c r="CF195" s="56"/>
      <c r="CH195" s="56"/>
      <c r="CI195" s="56"/>
      <c r="CJ195" s="398"/>
      <c r="CK195" s="398"/>
      <c r="CM195" s="56"/>
      <c r="CN195" s="56"/>
      <c r="CO195" s="398"/>
      <c r="CP195" s="398"/>
      <c r="CR195" s="317"/>
      <c r="CS195" s="317"/>
      <c r="CT195" s="317"/>
      <c r="CU195" s="317"/>
      <c r="CW195" s="317"/>
      <c r="CX195" s="317"/>
      <c r="CY195" s="317"/>
      <c r="CZ195" s="317"/>
      <c r="DB195" s="317"/>
      <c r="DC195" s="317"/>
      <c r="DD195" s="317"/>
      <c r="DE195" s="317"/>
      <c r="DG195" s="317"/>
      <c r="DH195" s="317"/>
      <c r="DI195" s="317"/>
      <c r="DJ195" s="317"/>
      <c r="DL195" s="64"/>
      <c r="DM195" s="64"/>
      <c r="DN195" s="64"/>
      <c r="DO195" s="64"/>
      <c r="DQ195" s="64"/>
      <c r="DR195" s="64"/>
      <c r="DS195" s="64"/>
      <c r="DT195" s="64"/>
      <c r="DV195" s="64"/>
      <c r="DW195" s="64"/>
      <c r="DX195" s="64"/>
      <c r="DY195" s="64"/>
      <c r="EA195" s="64"/>
      <c r="EB195" s="64"/>
      <c r="EC195" s="64"/>
      <c r="ED195" s="64"/>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row>
    <row r="196" spans="2:232" s="54" customFormat="1" ht="18.75">
      <c r="B196" s="508" t="s">
        <v>52</v>
      </c>
      <c r="C196" s="509"/>
      <c r="D196" s="509"/>
      <c r="E196" s="509"/>
      <c r="F196" s="509"/>
      <c r="G196" s="509"/>
      <c r="H196" s="509"/>
      <c r="I196" s="509"/>
      <c r="J196" s="509"/>
      <c r="K196" s="509"/>
      <c r="L196" s="509"/>
      <c r="M196" s="509"/>
      <c r="N196" s="509"/>
      <c r="O196" s="509"/>
      <c r="P196" s="509"/>
      <c r="Q196" s="509"/>
      <c r="R196" s="509"/>
      <c r="S196" s="509"/>
      <c r="T196" s="509"/>
      <c r="U196" s="509"/>
      <c r="V196" s="509"/>
      <c r="W196" s="509"/>
      <c r="X196" s="509"/>
      <c r="Y196" s="509"/>
      <c r="Z196" s="509"/>
      <c r="AA196" s="509"/>
      <c r="AB196" s="509"/>
      <c r="AC196" s="509"/>
      <c r="AD196" s="509"/>
      <c r="AE196" s="509"/>
      <c r="AF196" s="509"/>
      <c r="AG196" s="509"/>
      <c r="AH196" s="509"/>
      <c r="AI196" s="509"/>
      <c r="AJ196" s="509"/>
      <c r="AK196" s="509"/>
      <c r="AL196" s="509"/>
      <c r="AM196" s="509"/>
      <c r="AN196" s="509"/>
      <c r="AO196" s="509"/>
      <c r="AP196" s="509"/>
      <c r="AQ196" s="509"/>
      <c r="AR196" s="509"/>
      <c r="AS196" s="509"/>
      <c r="AT196" s="509"/>
      <c r="AU196" s="509"/>
      <c r="AV196" s="509"/>
      <c r="AW196" s="509"/>
      <c r="AX196" s="509"/>
      <c r="AY196" s="509"/>
      <c r="AZ196" s="509"/>
      <c r="BA196" s="509"/>
      <c r="BB196" s="509"/>
      <c r="BC196" s="509"/>
      <c r="BD196" s="509"/>
      <c r="BE196" s="509"/>
      <c r="BF196" s="509"/>
      <c r="BG196" s="509"/>
      <c r="BH196" s="509"/>
      <c r="BI196" s="509"/>
      <c r="BJ196" s="509"/>
      <c r="BK196" s="509"/>
      <c r="BL196" s="509"/>
      <c r="BM196" s="509"/>
      <c r="BN196" s="509"/>
      <c r="BO196" s="509"/>
      <c r="BP196" s="509"/>
      <c r="BQ196" s="509"/>
      <c r="BR196" s="509"/>
      <c r="BS196" s="509"/>
      <c r="BT196" s="509"/>
      <c r="BU196" s="509"/>
      <c r="BV196" s="509"/>
      <c r="BW196" s="509"/>
      <c r="BX196" s="509"/>
      <c r="BY196" s="509"/>
      <c r="BZ196" s="509"/>
      <c r="CA196" s="509"/>
      <c r="CB196" s="509"/>
      <c r="CC196" s="509"/>
      <c r="CD196" s="509"/>
      <c r="CE196" s="510"/>
      <c r="CF196" s="511"/>
      <c r="CG196" s="512"/>
      <c r="CH196" s="513"/>
      <c r="CI196" s="513"/>
      <c r="CJ196" s="513"/>
      <c r="CK196" s="513"/>
      <c r="CL196" s="514"/>
      <c r="CM196" s="514"/>
      <c r="CN196" s="514"/>
      <c r="CO196" s="514"/>
      <c r="CP196" s="514"/>
      <c r="CQ196" s="515"/>
      <c r="CR196" s="516"/>
      <c r="CS196" s="509"/>
      <c r="CT196" s="517"/>
      <c r="CU196" s="518"/>
      <c r="CV196" s="509"/>
      <c r="CW196" s="517"/>
      <c r="CX196" s="517"/>
      <c r="CY196" s="519"/>
      <c r="CZ196" s="517"/>
      <c r="DA196" s="509"/>
      <c r="DB196" s="517"/>
      <c r="DC196" s="517"/>
      <c r="DD196" s="517"/>
      <c r="DE196" s="517"/>
      <c r="DF196" s="509"/>
      <c r="DG196" s="517"/>
      <c r="DH196" s="517"/>
      <c r="DI196" s="517"/>
      <c r="DJ196" s="517"/>
      <c r="DK196" s="509"/>
      <c r="DL196" s="509"/>
      <c r="DM196" s="509"/>
      <c r="DN196" s="509"/>
      <c r="DO196" s="509"/>
      <c r="DP196" s="509"/>
      <c r="DQ196" s="509"/>
      <c r="DR196" s="509"/>
      <c r="DS196" s="509"/>
      <c r="DT196" s="509"/>
      <c r="DU196" s="509"/>
      <c r="DV196" s="509"/>
      <c r="DW196" s="509"/>
      <c r="DX196" s="509"/>
      <c r="DY196" s="509"/>
      <c r="DZ196" s="509"/>
      <c r="EA196" s="509"/>
      <c r="EB196" s="509"/>
      <c r="EC196" s="509"/>
      <c r="ED196" s="509"/>
      <c r="EE196" s="509"/>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row>
    <row r="197" spans="2:232" s="54" customFormat="1" ht="12.75" customHeight="1" thickBot="1">
      <c r="B197" s="65" t="s">
        <v>266</v>
      </c>
      <c r="C197" s="66"/>
      <c r="D197" s="66"/>
      <c r="E197" s="66"/>
      <c r="F197" s="66"/>
      <c r="G197" s="66"/>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c r="AE197" s="66"/>
      <c r="AF197" s="66"/>
      <c r="AG197" s="66"/>
      <c r="AH197" s="66"/>
      <c r="AI197" s="66"/>
      <c r="AJ197" s="66"/>
      <c r="AK197" s="66"/>
      <c r="AL197" s="66"/>
      <c r="AM197" s="66"/>
      <c r="AN197" s="66"/>
      <c r="AO197" s="66"/>
      <c r="AP197" s="66"/>
      <c r="AQ197" s="66"/>
      <c r="AR197" s="66"/>
      <c r="AS197" s="66"/>
      <c r="AT197" s="66"/>
      <c r="AU197" s="66"/>
      <c r="AV197" s="66"/>
      <c r="AW197" s="66"/>
      <c r="AX197" s="66"/>
      <c r="AY197" s="66"/>
      <c r="AZ197" s="66"/>
      <c r="BA197" s="66"/>
      <c r="BB197" s="66"/>
      <c r="BC197" s="66"/>
      <c r="BD197" s="66"/>
      <c r="BE197" s="66"/>
      <c r="BF197" s="66"/>
      <c r="BG197" s="66"/>
      <c r="BH197" s="66"/>
      <c r="BI197" s="66"/>
      <c r="BJ197" s="66"/>
      <c r="BK197" s="66"/>
      <c r="BL197" s="66"/>
      <c r="BM197" s="66"/>
      <c r="BN197" s="66"/>
      <c r="BO197" s="66"/>
      <c r="BP197" s="66"/>
      <c r="BQ197" s="66"/>
      <c r="BR197" s="66"/>
      <c r="BS197" s="66"/>
      <c r="BT197" s="66"/>
      <c r="BU197" s="66"/>
      <c r="BV197" s="66"/>
      <c r="BW197" s="66"/>
      <c r="BX197" s="66"/>
      <c r="BY197" s="66"/>
      <c r="BZ197" s="66"/>
      <c r="CA197" s="66"/>
      <c r="CB197" s="66"/>
      <c r="CC197" s="66"/>
      <c r="CD197" s="66"/>
      <c r="CE197" s="66"/>
      <c r="CF197" s="66"/>
      <c r="CG197" s="66"/>
      <c r="CH197" s="66"/>
      <c r="CI197" s="66"/>
      <c r="CJ197" s="66"/>
      <c r="CK197" s="66"/>
      <c r="CL197" s="66"/>
      <c r="CM197" s="66"/>
      <c r="CN197" s="66"/>
      <c r="CO197" s="66"/>
      <c r="CP197" s="66"/>
      <c r="CQ197" s="66"/>
      <c r="CR197" s="66"/>
      <c r="CS197" s="66"/>
      <c r="CT197" s="66"/>
      <c r="CU197" s="66"/>
      <c r="CV197" s="66"/>
      <c r="CW197" s="67"/>
      <c r="CX197" s="67"/>
      <c r="CY197" s="67"/>
      <c r="CZ197" s="67"/>
      <c r="DA197" s="66"/>
      <c r="DB197" s="67"/>
      <c r="DC197" s="66"/>
      <c r="DD197" s="66"/>
      <c r="DE197" s="67"/>
      <c r="DF197" s="66"/>
      <c r="DG197" s="67"/>
      <c r="DH197" s="67"/>
      <c r="DI197" s="67"/>
      <c r="DJ197" s="67"/>
      <c r="DK197" s="66"/>
      <c r="DL197" s="66"/>
      <c r="DM197" s="66"/>
      <c r="DN197" s="66"/>
      <c r="DO197" s="66"/>
      <c r="DP197" s="66"/>
      <c r="DQ197" s="66"/>
      <c r="DR197" s="66"/>
      <c r="DS197" s="66"/>
      <c r="DT197" s="66"/>
      <c r="DU197" s="66"/>
      <c r="DV197" s="66"/>
      <c r="DW197" s="66"/>
      <c r="DX197" s="66"/>
      <c r="DY197" s="66"/>
      <c r="DZ197" s="66"/>
      <c r="EA197" s="66"/>
      <c r="EB197" s="66"/>
      <c r="EC197" s="66"/>
      <c r="ED197" s="66"/>
      <c r="EE197" s="66"/>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row>
    <row r="198" spans="2:232" s="54" customFormat="1" ht="12" thickBot="1">
      <c r="B198" s="520" t="s">
        <v>95</v>
      </c>
      <c r="C198" s="521"/>
      <c r="D198" s="522"/>
      <c r="E198" s="522"/>
      <c r="F198" s="522"/>
      <c r="G198" s="522"/>
      <c r="H198" s="522"/>
      <c r="I198" s="522"/>
      <c r="J198" s="522"/>
      <c r="K198" s="527" t="s">
        <v>143</v>
      </c>
      <c r="L198" s="528"/>
      <c r="M198" s="528"/>
      <c r="N198" s="528"/>
      <c r="O198" s="529"/>
      <c r="P198" s="527" t="s">
        <v>143</v>
      </c>
      <c r="Q198" s="528"/>
      <c r="R198" s="528"/>
      <c r="S198" s="528"/>
      <c r="T198" s="529"/>
      <c r="U198" s="527" t="s">
        <v>143</v>
      </c>
      <c r="V198" s="528"/>
      <c r="W198" s="528"/>
      <c r="X198" s="528"/>
      <c r="Y198" s="529"/>
      <c r="Z198" s="527" t="s">
        <v>143</v>
      </c>
      <c r="AA198" s="528"/>
      <c r="AB198" s="528"/>
      <c r="AC198" s="528"/>
      <c r="AD198" s="529"/>
      <c r="AE198" s="527" t="s">
        <v>143</v>
      </c>
      <c r="AF198" s="528"/>
      <c r="AG198" s="528"/>
      <c r="AH198" s="528"/>
      <c r="AI198" s="529"/>
      <c r="AJ198" s="527" t="s">
        <v>143</v>
      </c>
      <c r="AK198" s="528"/>
      <c r="AL198" s="528"/>
      <c r="AM198" s="528"/>
      <c r="AN198" s="529"/>
      <c r="AO198" s="527" t="s">
        <v>143</v>
      </c>
      <c r="AP198" s="528"/>
      <c r="AQ198" s="528"/>
      <c r="AR198" s="528"/>
      <c r="AS198" s="529"/>
      <c r="AT198" s="527" t="s">
        <v>143</v>
      </c>
      <c r="AU198" s="528"/>
      <c r="AV198" s="528"/>
      <c r="AW198" s="528"/>
      <c r="AX198" s="529"/>
      <c r="AY198" s="527" t="s">
        <v>143</v>
      </c>
      <c r="AZ198" s="528"/>
      <c r="BA198" s="528"/>
      <c r="BB198" s="528"/>
      <c r="BC198" s="529"/>
      <c r="BD198" s="527" t="s">
        <v>143</v>
      </c>
      <c r="BE198" s="528"/>
      <c r="BF198" s="528"/>
      <c r="BG198" s="528"/>
      <c r="BH198" s="529"/>
      <c r="BI198" s="527" t="s">
        <v>143</v>
      </c>
      <c r="BJ198" s="528"/>
      <c r="BK198" s="528"/>
      <c r="BL198" s="528"/>
      <c r="BM198" s="529"/>
      <c r="BN198" s="527" t="s">
        <v>143</v>
      </c>
      <c r="BO198" s="528"/>
      <c r="BP198" s="528"/>
      <c r="BQ198" s="528"/>
      <c r="BR198" s="529"/>
      <c r="BS198" s="527" t="s">
        <v>143</v>
      </c>
      <c r="BT198" s="528"/>
      <c r="BU198" s="528"/>
      <c r="BV198" s="528"/>
      <c r="BW198" s="529"/>
      <c r="BX198" s="527" t="s">
        <v>143</v>
      </c>
      <c r="BY198" s="528"/>
      <c r="BZ198" s="528"/>
      <c r="CA198" s="528"/>
      <c r="CB198" s="529"/>
      <c r="CC198" s="527" t="s">
        <v>143</v>
      </c>
      <c r="CD198" s="528"/>
      <c r="CE198" s="528"/>
      <c r="CF198" s="528"/>
      <c r="CG198" s="529"/>
      <c r="CH198" s="528" t="s">
        <v>143</v>
      </c>
      <c r="CI198" s="528"/>
      <c r="CJ198" s="528"/>
      <c r="CK198" s="528"/>
      <c r="CL198" s="529"/>
      <c r="CM198" s="527" t="s">
        <v>143</v>
      </c>
      <c r="CN198" s="528"/>
      <c r="CO198" s="528"/>
      <c r="CP198" s="528"/>
      <c r="CQ198" s="529"/>
      <c r="CR198" s="527" t="s">
        <v>143</v>
      </c>
      <c r="CS198" s="528"/>
      <c r="CT198" s="528"/>
      <c r="CU198" s="528"/>
      <c r="CV198" s="529"/>
      <c r="CW198" s="527" t="s">
        <v>143</v>
      </c>
      <c r="CX198" s="528"/>
      <c r="CY198" s="528"/>
      <c r="CZ198" s="528"/>
      <c r="DA198" s="529"/>
      <c r="DB198" s="527" t="s">
        <v>143</v>
      </c>
      <c r="DC198" s="528"/>
      <c r="DD198" s="528"/>
      <c r="DE198" s="528"/>
      <c r="DF198" s="529"/>
      <c r="DG198" s="528"/>
      <c r="DH198" s="528"/>
      <c r="DI198" s="528"/>
      <c r="DJ198" s="528"/>
      <c r="DK198" s="529"/>
      <c r="DL198" s="1787"/>
      <c r="DM198" s="1788"/>
      <c r="DN198" s="1788"/>
      <c r="DO198" s="1789"/>
      <c r="DP198" s="529"/>
      <c r="DQ198" s="1787"/>
      <c r="DR198" s="1788"/>
      <c r="DS198" s="1788"/>
      <c r="DT198" s="1789"/>
      <c r="DU198" s="529"/>
      <c r="DV198" s="1787"/>
      <c r="DW198" s="1788"/>
      <c r="DX198" s="1788"/>
      <c r="DY198" s="1789"/>
      <c r="DZ198" s="529"/>
      <c r="EA198" s="1787"/>
      <c r="EB198" s="1788"/>
      <c r="EC198" s="1788"/>
      <c r="ED198" s="1789"/>
      <c r="EE198" s="529"/>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row>
    <row r="199" spans="2:232" s="54" customFormat="1" ht="12" thickBot="1">
      <c r="B199" s="540" t="s">
        <v>406</v>
      </c>
      <c r="C199" s="83"/>
      <c r="D199" s="717">
        <v>1989</v>
      </c>
      <c r="E199" s="717">
        <f t="shared" ref="E199:J199" si="522">D199+1</f>
        <v>1990</v>
      </c>
      <c r="F199" s="717">
        <f t="shared" si="522"/>
        <v>1991</v>
      </c>
      <c r="G199" s="717">
        <f t="shared" si="522"/>
        <v>1992</v>
      </c>
      <c r="H199" s="717">
        <f t="shared" si="522"/>
        <v>1993</v>
      </c>
      <c r="I199" s="717">
        <f t="shared" si="522"/>
        <v>1994</v>
      </c>
      <c r="J199" s="718">
        <f t="shared" si="522"/>
        <v>1995</v>
      </c>
      <c r="K199" s="719" t="s">
        <v>144</v>
      </c>
      <c r="L199" s="720" t="s">
        <v>145</v>
      </c>
      <c r="M199" s="720" t="s">
        <v>146</v>
      </c>
      <c r="N199" s="721" t="s">
        <v>147</v>
      </c>
      <c r="O199" s="722">
        <f>J199+1</f>
        <v>1996</v>
      </c>
      <c r="P199" s="719" t="s">
        <v>144</v>
      </c>
      <c r="Q199" s="720" t="s">
        <v>145</v>
      </c>
      <c r="R199" s="720" t="s">
        <v>146</v>
      </c>
      <c r="S199" s="721" t="s">
        <v>147</v>
      </c>
      <c r="T199" s="722">
        <f>O199+1</f>
        <v>1997</v>
      </c>
      <c r="U199" s="719" t="s">
        <v>144</v>
      </c>
      <c r="V199" s="720" t="s">
        <v>145</v>
      </c>
      <c r="W199" s="720" t="s">
        <v>146</v>
      </c>
      <c r="X199" s="721" t="s">
        <v>147</v>
      </c>
      <c r="Y199" s="722">
        <f>T199+1</f>
        <v>1998</v>
      </c>
      <c r="Z199" s="719" t="s">
        <v>144</v>
      </c>
      <c r="AA199" s="720" t="s">
        <v>145</v>
      </c>
      <c r="AB199" s="720" t="s">
        <v>146</v>
      </c>
      <c r="AC199" s="721" t="s">
        <v>147</v>
      </c>
      <c r="AD199" s="722">
        <f>Y199+1</f>
        <v>1999</v>
      </c>
      <c r="AE199" s="719" t="s">
        <v>144</v>
      </c>
      <c r="AF199" s="720" t="s">
        <v>145</v>
      </c>
      <c r="AG199" s="720" t="s">
        <v>146</v>
      </c>
      <c r="AH199" s="721" t="s">
        <v>147</v>
      </c>
      <c r="AI199" s="722">
        <f>AD199+1</f>
        <v>2000</v>
      </c>
      <c r="AJ199" s="719" t="s">
        <v>144</v>
      </c>
      <c r="AK199" s="720" t="s">
        <v>145</v>
      </c>
      <c r="AL199" s="720" t="s">
        <v>146</v>
      </c>
      <c r="AM199" s="721" t="s">
        <v>147</v>
      </c>
      <c r="AN199" s="722">
        <f>AI199+1</f>
        <v>2001</v>
      </c>
      <c r="AO199" s="719" t="s">
        <v>144</v>
      </c>
      <c r="AP199" s="720" t="s">
        <v>145</v>
      </c>
      <c r="AQ199" s="720" t="s">
        <v>146</v>
      </c>
      <c r="AR199" s="721" t="s">
        <v>147</v>
      </c>
      <c r="AS199" s="722">
        <f>AN199+1</f>
        <v>2002</v>
      </c>
      <c r="AT199" s="719" t="s">
        <v>144</v>
      </c>
      <c r="AU199" s="720" t="s">
        <v>145</v>
      </c>
      <c r="AV199" s="720" t="s">
        <v>146</v>
      </c>
      <c r="AW199" s="721" t="s">
        <v>147</v>
      </c>
      <c r="AX199" s="722">
        <f>AS199+1</f>
        <v>2003</v>
      </c>
      <c r="AY199" s="719" t="s">
        <v>144</v>
      </c>
      <c r="AZ199" s="720" t="s">
        <v>145</v>
      </c>
      <c r="BA199" s="720" t="s">
        <v>146</v>
      </c>
      <c r="BB199" s="721" t="s">
        <v>147</v>
      </c>
      <c r="BC199" s="722">
        <f>AX199+1</f>
        <v>2004</v>
      </c>
      <c r="BD199" s="719" t="s">
        <v>144</v>
      </c>
      <c r="BE199" s="720" t="s">
        <v>145</v>
      </c>
      <c r="BF199" s="720" t="s">
        <v>146</v>
      </c>
      <c r="BG199" s="721" t="s">
        <v>147</v>
      </c>
      <c r="BH199" s="722">
        <f>BC199+1</f>
        <v>2005</v>
      </c>
      <c r="BI199" s="719" t="s">
        <v>144</v>
      </c>
      <c r="BJ199" s="720" t="s">
        <v>145</v>
      </c>
      <c r="BK199" s="720" t="s">
        <v>146</v>
      </c>
      <c r="BL199" s="721" t="s">
        <v>147</v>
      </c>
      <c r="BM199" s="722">
        <f>BH199+1</f>
        <v>2006</v>
      </c>
      <c r="BN199" s="719" t="s">
        <v>144</v>
      </c>
      <c r="BO199" s="720" t="s">
        <v>145</v>
      </c>
      <c r="BP199" s="720" t="s">
        <v>146</v>
      </c>
      <c r="BQ199" s="721" t="s">
        <v>147</v>
      </c>
      <c r="BR199" s="722">
        <f>BM199+1</f>
        <v>2007</v>
      </c>
      <c r="BS199" s="719" t="s">
        <v>144</v>
      </c>
      <c r="BT199" s="720" t="s">
        <v>145</v>
      </c>
      <c r="BU199" s="720" t="s">
        <v>146</v>
      </c>
      <c r="BV199" s="721" t="s">
        <v>147</v>
      </c>
      <c r="BW199" s="722">
        <f>BR199+1</f>
        <v>2008</v>
      </c>
      <c r="BX199" s="719" t="s">
        <v>144</v>
      </c>
      <c r="BY199" s="720" t="s">
        <v>145</v>
      </c>
      <c r="BZ199" s="720" t="s">
        <v>146</v>
      </c>
      <c r="CA199" s="721" t="s">
        <v>147</v>
      </c>
      <c r="CB199" s="722">
        <f>BW199+1</f>
        <v>2009</v>
      </c>
      <c r="CC199" s="719" t="s">
        <v>144</v>
      </c>
      <c r="CD199" s="720" t="s">
        <v>145</v>
      </c>
      <c r="CE199" s="720" t="s">
        <v>146</v>
      </c>
      <c r="CF199" s="720" t="s">
        <v>147</v>
      </c>
      <c r="CG199" s="722">
        <f>CB199+1</f>
        <v>2010</v>
      </c>
      <c r="CH199" s="720" t="s">
        <v>144</v>
      </c>
      <c r="CI199" s="720" t="s">
        <v>145</v>
      </c>
      <c r="CJ199" s="720" t="s">
        <v>146</v>
      </c>
      <c r="CK199" s="721" t="s">
        <v>147</v>
      </c>
      <c r="CL199" s="722">
        <f>CG199+1</f>
        <v>2011</v>
      </c>
      <c r="CM199" s="719" t="s">
        <v>144</v>
      </c>
      <c r="CN199" s="720" t="s">
        <v>145</v>
      </c>
      <c r="CO199" s="720" t="s">
        <v>146</v>
      </c>
      <c r="CP199" s="721" t="s">
        <v>147</v>
      </c>
      <c r="CQ199" s="722">
        <f>CL199+1</f>
        <v>2012</v>
      </c>
      <c r="CR199" s="530" t="s">
        <v>144</v>
      </c>
      <c r="CS199" s="530" t="s">
        <v>145</v>
      </c>
      <c r="CT199" s="530" t="s">
        <v>146</v>
      </c>
      <c r="CU199" s="530" t="s">
        <v>147</v>
      </c>
      <c r="CV199" s="534">
        <f>CQ199+1</f>
        <v>2013</v>
      </c>
      <c r="CW199" s="530" t="s">
        <v>144</v>
      </c>
      <c r="CX199" s="530" t="s">
        <v>145</v>
      </c>
      <c r="CY199" s="530" t="s">
        <v>146</v>
      </c>
      <c r="CZ199" s="530" t="s">
        <v>147</v>
      </c>
      <c r="DA199" s="534">
        <f>CV199+1</f>
        <v>2014</v>
      </c>
      <c r="DB199" s="1432" t="s">
        <v>144</v>
      </c>
      <c r="DC199" s="1711" t="s">
        <v>145</v>
      </c>
      <c r="DD199" s="1711" t="s">
        <v>146</v>
      </c>
      <c r="DE199" s="530" t="s">
        <v>147</v>
      </c>
      <c r="DF199" s="534">
        <f>DA199+1</f>
        <v>2015</v>
      </c>
      <c r="DG199" s="530" t="s">
        <v>144</v>
      </c>
      <c r="DH199" s="530" t="s">
        <v>145</v>
      </c>
      <c r="DI199" s="530" t="s">
        <v>146</v>
      </c>
      <c r="DJ199" s="530" t="s">
        <v>147</v>
      </c>
      <c r="DK199" s="534">
        <f>DF199+1</f>
        <v>2016</v>
      </c>
      <c r="DL199" s="530" t="s">
        <v>144</v>
      </c>
      <c r="DM199" s="530" t="s">
        <v>145</v>
      </c>
      <c r="DN199" s="530" t="str">
        <f>DN7</f>
        <v>3QA</v>
      </c>
      <c r="DO199" s="530" t="str">
        <f>DO7</f>
        <v>4QA</v>
      </c>
      <c r="DP199" s="682">
        <f>DK199+1</f>
        <v>2017</v>
      </c>
      <c r="DQ199" s="530" t="s">
        <v>482</v>
      </c>
      <c r="DR199" s="530" t="s">
        <v>148</v>
      </c>
      <c r="DS199" s="530" t="str">
        <f>DS7</f>
        <v>3QE</v>
      </c>
      <c r="DT199" s="530" t="s">
        <v>150</v>
      </c>
      <c r="DU199" s="682">
        <f>DP199+1</f>
        <v>2018</v>
      </c>
      <c r="DV199" s="530" t="s">
        <v>482</v>
      </c>
      <c r="DW199" s="530" t="s">
        <v>148</v>
      </c>
      <c r="DX199" s="530" t="s">
        <v>149</v>
      </c>
      <c r="DY199" s="530" t="s">
        <v>150</v>
      </c>
      <c r="DZ199" s="682">
        <f>DU199+1</f>
        <v>2019</v>
      </c>
      <c r="EA199" s="530" t="s">
        <v>482</v>
      </c>
      <c r="EB199" s="530" t="s">
        <v>148</v>
      </c>
      <c r="EC199" s="530" t="s">
        <v>149</v>
      </c>
      <c r="ED199" s="530" t="s">
        <v>150</v>
      </c>
      <c r="EE199" s="682">
        <f>DZ199+1</f>
        <v>2020</v>
      </c>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row>
    <row r="200" spans="2:232" s="384" customFormat="1">
      <c r="B200" s="723" t="s">
        <v>16</v>
      </c>
      <c r="C200" s="724"/>
      <c r="D200" s="724"/>
      <c r="E200" s="724"/>
      <c r="F200" s="725"/>
      <c r="G200" s="725"/>
      <c r="H200" s="726"/>
      <c r="I200" s="725"/>
      <c r="J200" s="725"/>
      <c r="K200" s="725"/>
      <c r="L200" s="725"/>
      <c r="M200" s="725"/>
      <c r="N200" s="725"/>
      <c r="O200" s="725"/>
      <c r="P200" s="725"/>
      <c r="Q200" s="725"/>
      <c r="R200" s="725"/>
      <c r="S200" s="725"/>
      <c r="T200" s="725"/>
      <c r="U200" s="725"/>
      <c r="V200" s="725"/>
      <c r="W200" s="725"/>
      <c r="X200" s="725"/>
      <c r="Y200" s="725"/>
      <c r="Z200" s="725"/>
      <c r="AA200" s="725"/>
      <c r="AB200" s="725"/>
      <c r="AC200" s="725"/>
      <c r="AD200" s="725"/>
      <c r="AE200" s="725"/>
      <c r="AF200" s="725"/>
      <c r="AG200" s="725"/>
      <c r="AH200" s="725"/>
      <c r="AI200" s="725"/>
      <c r="AJ200" s="725"/>
      <c r="AK200" s="725"/>
      <c r="AL200" s="725"/>
      <c r="AM200" s="725"/>
      <c r="AN200" s="725"/>
      <c r="AO200" s="725"/>
      <c r="AP200" s="725"/>
      <c r="AQ200" s="725"/>
      <c r="AR200" s="725"/>
      <c r="AS200" s="727"/>
      <c r="AT200" s="727"/>
      <c r="AU200" s="727"/>
      <c r="AV200" s="727"/>
      <c r="AW200" s="727"/>
      <c r="AX200" s="728"/>
      <c r="AY200" s="728"/>
      <c r="AZ200" s="728"/>
      <c r="BA200" s="728"/>
      <c r="BB200" s="728"/>
      <c r="BC200" s="728"/>
      <c r="BD200" s="728"/>
      <c r="BE200" s="728"/>
      <c r="BF200" s="728"/>
      <c r="BG200" s="728"/>
      <c r="BH200" s="728"/>
      <c r="BI200" s="728"/>
      <c r="BJ200" s="728"/>
      <c r="BK200" s="728"/>
      <c r="BL200" s="728"/>
      <c r="BM200" s="728"/>
      <c r="BN200" s="728"/>
      <c r="BO200" s="728"/>
      <c r="BP200" s="728"/>
      <c r="BQ200" s="728"/>
      <c r="BR200" s="728"/>
      <c r="BS200" s="729"/>
      <c r="BT200" s="728"/>
      <c r="BU200" s="728"/>
      <c r="BV200" s="730"/>
      <c r="BW200" s="728"/>
      <c r="BX200" s="729"/>
      <c r="BY200" s="728"/>
      <c r="BZ200" s="728"/>
      <c r="CA200" s="730"/>
      <c r="CB200" s="728"/>
      <c r="CC200" s="729"/>
      <c r="CD200" s="728"/>
      <c r="CE200" s="728"/>
      <c r="CF200" s="728"/>
      <c r="CG200" s="781"/>
      <c r="CH200" s="728"/>
      <c r="CI200" s="728"/>
      <c r="CJ200" s="728"/>
      <c r="CK200" s="728"/>
      <c r="CL200" s="781"/>
      <c r="CM200" s="728"/>
      <c r="CN200" s="728"/>
      <c r="CO200" s="728"/>
      <c r="CP200" s="730"/>
      <c r="CQ200" s="781"/>
      <c r="CR200" s="731"/>
      <c r="CS200" s="732"/>
      <c r="CT200" s="732"/>
      <c r="CU200" s="733"/>
      <c r="CV200" s="781"/>
      <c r="CW200" s="731"/>
      <c r="CX200" s="732"/>
      <c r="CY200" s="732"/>
      <c r="CZ200" s="733"/>
      <c r="DA200" s="781"/>
      <c r="DB200" s="1433"/>
      <c r="DC200" s="732"/>
      <c r="DD200" s="732"/>
      <c r="DE200" s="733"/>
      <c r="DF200" s="781"/>
      <c r="DG200" s="1433"/>
      <c r="DH200" s="732"/>
      <c r="DI200" s="732"/>
      <c r="DJ200" s="732"/>
      <c r="DK200" s="781"/>
      <c r="DL200" s="1790"/>
      <c r="DM200" s="2189"/>
      <c r="DN200" s="2189"/>
      <c r="DO200" s="1791"/>
      <c r="DP200" s="1791"/>
      <c r="DQ200" s="1790"/>
      <c r="DR200" s="1790"/>
      <c r="DS200" s="1790"/>
      <c r="DT200" s="1791"/>
      <c r="DU200" s="781"/>
      <c r="DV200" s="1790"/>
      <c r="DW200" s="1790"/>
      <c r="DX200" s="1790"/>
      <c r="DY200" s="1791"/>
      <c r="DZ200" s="781"/>
      <c r="EA200" s="1790"/>
      <c r="EB200" s="1790"/>
      <c r="EC200" s="1790"/>
      <c r="ED200" s="1791"/>
      <c r="EE200" s="781"/>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row>
    <row r="201" spans="2:232" s="54" customFormat="1">
      <c r="B201" s="561" t="s">
        <v>44</v>
      </c>
      <c r="C201" s="164"/>
      <c r="D201" s="164"/>
      <c r="E201" s="164"/>
      <c r="F201" s="399">
        <v>72.010999999999996</v>
      </c>
      <c r="G201" s="399">
        <v>144.54</v>
      </c>
      <c r="H201" s="399">
        <v>91.596999999999994</v>
      </c>
      <c r="I201" s="399">
        <f>108.425-I202</f>
        <v>77.924999999999997</v>
      </c>
      <c r="J201" s="399">
        <v>22.245000000000001</v>
      </c>
      <c r="K201" s="399"/>
      <c r="L201" s="399"/>
      <c r="M201" s="399"/>
      <c r="N201" s="399"/>
      <c r="O201" s="399">
        <v>8.8190000000000008</v>
      </c>
      <c r="P201" s="399"/>
      <c r="Q201" s="399"/>
      <c r="R201" s="399"/>
      <c r="S201" s="399"/>
      <c r="T201" s="399">
        <v>72.878</v>
      </c>
      <c r="U201" s="399"/>
      <c r="V201" s="399"/>
      <c r="W201" s="399"/>
      <c r="X201" s="399"/>
      <c r="Y201" s="399">
        <v>144.38499999999999</v>
      </c>
      <c r="Z201" s="399"/>
      <c r="AA201" s="399"/>
      <c r="AB201" s="399"/>
      <c r="AC201" s="399"/>
      <c r="AD201" s="399">
        <v>141.80000000000001</v>
      </c>
      <c r="AE201" s="399"/>
      <c r="AF201" s="399"/>
      <c r="AG201" s="399"/>
      <c r="AH201" s="399"/>
      <c r="AI201" s="399">
        <v>12.8</v>
      </c>
      <c r="AJ201" s="399"/>
      <c r="AK201" s="399"/>
      <c r="AL201" s="399"/>
      <c r="AM201" s="399"/>
      <c r="AN201" s="399">
        <v>16.899999999999999</v>
      </c>
      <c r="AO201" s="399"/>
      <c r="AP201" s="399"/>
      <c r="AQ201" s="399"/>
      <c r="AR201" s="399"/>
      <c r="AS201" s="399">
        <f>AS393</f>
        <v>688.30000000000007</v>
      </c>
      <c r="AT201" s="399"/>
      <c r="AU201" s="399"/>
      <c r="AV201" s="399"/>
      <c r="AW201" s="399"/>
      <c r="AX201" s="399">
        <f>AX393</f>
        <v>1268.0000000000014</v>
      </c>
      <c r="AY201" s="399"/>
      <c r="AZ201" s="399"/>
      <c r="BA201" s="399"/>
      <c r="BB201" s="399"/>
      <c r="BC201" s="399">
        <f>BC393</f>
        <v>444.00000043592945</v>
      </c>
      <c r="BD201" s="399"/>
      <c r="BE201" s="399"/>
      <c r="BF201" s="399"/>
      <c r="BG201" s="399"/>
      <c r="BH201" s="399">
        <f>BH393</f>
        <v>576.80000043592941</v>
      </c>
      <c r="BI201" s="399"/>
      <c r="BJ201" s="399"/>
      <c r="BK201" s="399"/>
      <c r="BL201" s="399"/>
      <c r="BM201" s="399">
        <f>BM393</f>
        <v>919.90000043593534</v>
      </c>
      <c r="BN201" s="399"/>
      <c r="BO201" s="399"/>
      <c r="BP201" s="399"/>
      <c r="BQ201" s="399"/>
      <c r="BR201" s="399">
        <f>BR393</f>
        <v>254.80000043592872</v>
      </c>
      <c r="BS201" s="400">
        <v>295</v>
      </c>
      <c r="BT201" s="401">
        <v>255.3</v>
      </c>
      <c r="BU201" s="73">
        <v>471.8</v>
      </c>
      <c r="BV201" s="75">
        <f>BW201</f>
        <v>442.70000043592916</v>
      </c>
      <c r="BW201" s="399">
        <f>BW393</f>
        <v>442.70000043592916</v>
      </c>
      <c r="BX201" s="400">
        <f>BX393</f>
        <v>885.70000043592916</v>
      </c>
      <c r="BY201" s="401">
        <f>BY393</f>
        <v>908.70000043592916</v>
      </c>
      <c r="BZ201" s="401">
        <f>BZ393</f>
        <v>2299.7000004359293</v>
      </c>
      <c r="CA201" s="75">
        <f>CB201</f>
        <v>2086.7000004359293</v>
      </c>
      <c r="CB201" s="399">
        <f>CB393</f>
        <v>2086.7000004359293</v>
      </c>
      <c r="CC201" s="400">
        <f>CC393</f>
        <v>2551.7000004359293</v>
      </c>
      <c r="CD201" s="401">
        <f>CD393</f>
        <v>2500.7000004359293</v>
      </c>
      <c r="CE201" s="401">
        <f>CE393</f>
        <v>1711.7000004359293</v>
      </c>
      <c r="CF201" s="401">
        <f>CF393</f>
        <v>1879.7000004359293</v>
      </c>
      <c r="CG201" s="782">
        <v>1880</v>
      </c>
      <c r="CH201" s="401">
        <f>CH393</f>
        <v>2061.7000004359293</v>
      </c>
      <c r="CI201" s="401">
        <f>CI393</f>
        <v>2242.7000004359293</v>
      </c>
      <c r="CJ201" s="401">
        <f>CJ393</f>
        <v>2651.7000004359293</v>
      </c>
      <c r="CK201" s="401">
        <f>CK393</f>
        <v>1555.7000004359293</v>
      </c>
      <c r="CL201" s="782">
        <v>1556</v>
      </c>
      <c r="CM201" s="401">
        <f t="shared" ref="CM201:CT201" si="523">CM393</f>
        <v>1093.7000004359293</v>
      </c>
      <c r="CN201" s="401">
        <f t="shared" si="523"/>
        <v>1083.7000004359293</v>
      </c>
      <c r="CO201" s="401">
        <f t="shared" si="523"/>
        <v>1994.7000004359293</v>
      </c>
      <c r="CP201" s="402">
        <f t="shared" si="523"/>
        <v>1296.7000004359293</v>
      </c>
      <c r="CQ201" s="782">
        <f t="shared" si="523"/>
        <v>1296.7000004359293</v>
      </c>
      <c r="CR201" s="403">
        <f t="shared" si="523"/>
        <v>1828.7000004359293</v>
      </c>
      <c r="CS201" s="404">
        <f t="shared" si="523"/>
        <v>2430.7000004359293</v>
      </c>
      <c r="CT201" s="1274">
        <f t="shared" si="523"/>
        <v>2993.7000004359293</v>
      </c>
      <c r="CU201" s="405">
        <v>2106</v>
      </c>
      <c r="CV201" s="782">
        <f>CU201</f>
        <v>2106</v>
      </c>
      <c r="CW201" s="403">
        <v>969</v>
      </c>
      <c r="CX201" s="404">
        <v>1777</v>
      </c>
      <c r="CY201" s="404">
        <v>2126</v>
      </c>
      <c r="CZ201" s="405">
        <v>2646</v>
      </c>
      <c r="DA201" s="782">
        <f>CZ201</f>
        <v>2646</v>
      </c>
      <c r="DB201" s="1434">
        <v>12861</v>
      </c>
      <c r="DC201" s="1705">
        <v>3005</v>
      </c>
      <c r="DD201" s="1705">
        <v>4449</v>
      </c>
      <c r="DE201" s="1705">
        <v>3000</v>
      </c>
      <c r="DF201" s="782">
        <f>DE201</f>
        <v>3000</v>
      </c>
      <c r="DG201" s="1705">
        <v>2570</v>
      </c>
      <c r="DH201" s="1705">
        <v>3586</v>
      </c>
      <c r="DI201" s="1705">
        <v>3291</v>
      </c>
      <c r="DJ201" s="1705">
        <v>9807</v>
      </c>
      <c r="DK201" s="2049">
        <f>DJ201</f>
        <v>9807</v>
      </c>
      <c r="DL201" s="1705">
        <v>9598</v>
      </c>
      <c r="DM201" s="1705">
        <v>11822</v>
      </c>
      <c r="DN201" s="1705">
        <v>12253</v>
      </c>
      <c r="DO201" s="2288">
        <v>3301</v>
      </c>
      <c r="DP201" s="2250">
        <f>DO201</f>
        <v>3301</v>
      </c>
      <c r="DQ201" s="1705">
        <v>1830</v>
      </c>
      <c r="DR201" s="1274">
        <f ca="1">IF(Circ="N",100,DR393)</f>
        <v>2463.3248030146187</v>
      </c>
      <c r="DS201" s="1274">
        <f ca="1">IF(Circ="N",100,DS393)</f>
        <v>3836.7679769455222</v>
      </c>
      <c r="DT201" s="1676">
        <f ca="1">IF(Circ="N",100,DT393)</f>
        <v>5346.3095262757643</v>
      </c>
      <c r="DU201" s="1435">
        <f ca="1">DT201</f>
        <v>5346.3095262757643</v>
      </c>
      <c r="DV201" s="1274">
        <f ca="1">IF(Circ="N",100,DV393)</f>
        <v>3410.7956759759836</v>
      </c>
      <c r="DW201" s="1274">
        <f ca="1">IF(Circ="N",100,DW393)</f>
        <v>2329.1936827231234</v>
      </c>
      <c r="DX201" s="1274">
        <f ca="1">IF(Circ="N",100,DX393)</f>
        <v>3002.6205224417772</v>
      </c>
      <c r="DY201" s="1676">
        <f ca="1">IF(Circ="N",100,DY393)</f>
        <v>3668.3544707709812</v>
      </c>
      <c r="DZ201" s="1435">
        <f ca="1">DY201</f>
        <v>3668.3544707709812</v>
      </c>
      <c r="EA201" s="1274">
        <f ca="1">IF(Circ="N",100,EA393)</f>
        <v>3324.7018414845115</v>
      </c>
      <c r="EB201" s="1274">
        <f ca="1">IF(Circ="N",100,EB393)</f>
        <v>2418.1386572314022</v>
      </c>
      <c r="EC201" s="1274">
        <f ca="1">IF(Circ="N",100,EC393)</f>
        <v>3293.8229958614047</v>
      </c>
      <c r="ED201" s="1676">
        <f ca="1">IF(Circ="N",100,ED393)</f>
        <v>3793.5578751984767</v>
      </c>
      <c r="EE201" s="1435">
        <f ca="1">ED201</f>
        <v>3793.5578751984767</v>
      </c>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row>
    <row r="202" spans="2:232" s="54" customFormat="1" outlineLevel="1">
      <c r="B202" s="561" t="s">
        <v>273</v>
      </c>
      <c r="C202" s="73"/>
      <c r="D202" s="73"/>
      <c r="E202" s="73"/>
      <c r="F202" s="399">
        <v>63.125999999999998</v>
      </c>
      <c r="G202" s="399">
        <v>81.043999999999997</v>
      </c>
      <c r="H202" s="399">
        <v>29.695</v>
      </c>
      <c r="I202" s="399">
        <v>30.5</v>
      </c>
      <c r="J202" s="399">
        <v>0</v>
      </c>
      <c r="K202" s="399"/>
      <c r="L202" s="399"/>
      <c r="M202" s="399"/>
      <c r="N202" s="399"/>
      <c r="O202" s="399">
        <v>0</v>
      </c>
      <c r="P202" s="399"/>
      <c r="Q202" s="399"/>
      <c r="R202" s="399"/>
      <c r="S202" s="399"/>
      <c r="T202" s="399">
        <v>0</v>
      </c>
      <c r="U202" s="399"/>
      <c r="V202" s="399"/>
      <c r="W202" s="399"/>
      <c r="X202" s="399"/>
      <c r="Y202" s="399">
        <v>0</v>
      </c>
      <c r="Z202" s="399"/>
      <c r="AA202" s="399"/>
      <c r="AB202" s="399"/>
      <c r="AC202" s="399"/>
      <c r="AD202" s="399">
        <v>0</v>
      </c>
      <c r="AE202" s="399"/>
      <c r="AF202" s="399"/>
      <c r="AG202" s="399"/>
      <c r="AH202" s="399"/>
      <c r="AI202" s="399">
        <v>0</v>
      </c>
      <c r="AJ202" s="399"/>
      <c r="AK202" s="399"/>
      <c r="AL202" s="399"/>
      <c r="AM202" s="399"/>
      <c r="AN202" s="399">
        <v>0</v>
      </c>
      <c r="AO202" s="399"/>
      <c r="AP202" s="399"/>
      <c r="AQ202" s="399"/>
      <c r="AR202" s="399"/>
      <c r="AS202" s="399">
        <v>0</v>
      </c>
      <c r="AT202" s="399"/>
      <c r="AU202" s="399"/>
      <c r="AV202" s="399"/>
      <c r="AW202" s="399"/>
      <c r="AX202" s="399">
        <v>0</v>
      </c>
      <c r="AY202" s="399"/>
      <c r="AZ202" s="399"/>
      <c r="BA202" s="399"/>
      <c r="BB202" s="399"/>
      <c r="BC202" s="399">
        <v>1251.5</v>
      </c>
      <c r="BD202" s="399"/>
      <c r="BE202" s="399"/>
      <c r="BF202" s="399"/>
      <c r="BG202" s="399"/>
      <c r="BH202" s="399">
        <v>494.8</v>
      </c>
      <c r="BI202" s="399"/>
      <c r="BJ202" s="399"/>
      <c r="BK202" s="399"/>
      <c r="BL202" s="399"/>
      <c r="BM202" s="399">
        <v>415.1</v>
      </c>
      <c r="BN202" s="399"/>
      <c r="BO202" s="399"/>
      <c r="BP202" s="399"/>
      <c r="BQ202" s="399"/>
      <c r="BR202" s="399">
        <v>0</v>
      </c>
      <c r="BS202" s="400"/>
      <c r="BT202" s="401"/>
      <c r="BU202" s="401"/>
      <c r="BV202" s="402"/>
      <c r="BW202" s="399">
        <v>0</v>
      </c>
      <c r="BX202" s="400"/>
      <c r="BY202" s="401">
        <v>650</v>
      </c>
      <c r="BZ202" s="401">
        <v>100</v>
      </c>
      <c r="CA202" s="402">
        <f>CB202</f>
        <v>500</v>
      </c>
      <c r="CB202" s="399">
        <v>500</v>
      </c>
      <c r="CC202" s="400">
        <v>600</v>
      </c>
      <c r="CD202" s="401">
        <v>600</v>
      </c>
      <c r="CE202" s="401">
        <f>CD202</f>
        <v>600</v>
      </c>
      <c r="CF202" s="401">
        <v>0</v>
      </c>
      <c r="CG202" s="782">
        <v>0</v>
      </c>
      <c r="CH202" s="401">
        <v>0</v>
      </c>
      <c r="CI202" s="401">
        <v>0</v>
      </c>
      <c r="CJ202" s="401">
        <v>0</v>
      </c>
      <c r="CK202" s="401">
        <v>0</v>
      </c>
      <c r="CL202" s="782">
        <v>0</v>
      </c>
      <c r="CM202" s="401"/>
      <c r="CN202" s="401"/>
      <c r="CO202" s="401"/>
      <c r="CP202" s="402"/>
      <c r="CQ202" s="782">
        <f>CP202</f>
        <v>0</v>
      </c>
      <c r="CR202" s="403"/>
      <c r="CS202" s="404"/>
      <c r="CT202" s="404"/>
      <c r="CU202" s="405"/>
      <c r="CV202" s="782">
        <f>CU202</f>
        <v>0</v>
      </c>
      <c r="CW202" s="403"/>
      <c r="CX202" s="404"/>
      <c r="CY202" s="404"/>
      <c r="CZ202" s="405"/>
      <c r="DA202" s="782">
        <f>CZ202</f>
        <v>0</v>
      </c>
      <c r="DB202" s="1434"/>
      <c r="DC202" s="1556"/>
      <c r="DD202" s="1556"/>
      <c r="DE202" s="1556"/>
      <c r="DF202" s="782">
        <f>DE202</f>
        <v>0</v>
      </c>
      <c r="DG202" s="1556"/>
      <c r="DH202" s="1556"/>
      <c r="DI202" s="1556"/>
      <c r="DJ202" s="1556"/>
      <c r="DK202" s="2049">
        <f>DJ202</f>
        <v>0</v>
      </c>
      <c r="DL202" s="1556"/>
      <c r="DM202" s="1556"/>
      <c r="DN202" s="1556"/>
      <c r="DO202" s="2258"/>
      <c r="DP202" s="2251">
        <f>DO202</f>
        <v>0</v>
      </c>
      <c r="DQ202" s="1556"/>
      <c r="DR202" s="1672"/>
      <c r="DS202" s="1672"/>
      <c r="DT202" s="1832"/>
      <c r="DU202" s="782">
        <f>DT202</f>
        <v>0</v>
      </c>
      <c r="DV202" s="1672"/>
      <c r="DW202" s="1672"/>
      <c r="DX202" s="1672"/>
      <c r="DY202" s="1832"/>
      <c r="DZ202" s="782">
        <f>DY202</f>
        <v>0</v>
      </c>
      <c r="EA202" s="1672"/>
      <c r="EB202" s="1672"/>
      <c r="EC202" s="1672"/>
      <c r="ED202" s="1832"/>
      <c r="EE202" s="782">
        <f>ED202</f>
        <v>0</v>
      </c>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row>
    <row r="203" spans="2:232" s="54" customFormat="1">
      <c r="B203" s="561" t="s">
        <v>356</v>
      </c>
      <c r="C203" s="64"/>
      <c r="D203" s="64"/>
      <c r="E203" s="64"/>
      <c r="F203" s="406">
        <v>132.40700000000001</v>
      </c>
      <c r="G203" s="406">
        <v>128.738</v>
      </c>
      <c r="H203" s="406">
        <v>139.31299999999999</v>
      </c>
      <c r="I203" s="406">
        <v>193.93</v>
      </c>
      <c r="J203" s="406">
        <v>246.08600000000001</v>
      </c>
      <c r="K203" s="406"/>
      <c r="L203" s="406"/>
      <c r="M203" s="406"/>
      <c r="N203" s="406"/>
      <c r="O203" s="406">
        <v>288.53800000000001</v>
      </c>
      <c r="P203" s="406"/>
      <c r="Q203" s="406"/>
      <c r="R203" s="406"/>
      <c r="S203" s="406"/>
      <c r="T203" s="406">
        <v>376.48200000000003</v>
      </c>
      <c r="U203" s="406"/>
      <c r="V203" s="406"/>
      <c r="W203" s="406"/>
      <c r="X203" s="406"/>
      <c r="Y203" s="406">
        <v>373.26499999999999</v>
      </c>
      <c r="Z203" s="406"/>
      <c r="AA203" s="406"/>
      <c r="AB203" s="406"/>
      <c r="AC203" s="406"/>
      <c r="AD203" s="406">
        <v>486.5</v>
      </c>
      <c r="AE203" s="406"/>
      <c r="AF203" s="406"/>
      <c r="AG203" s="406"/>
      <c r="AH203" s="406"/>
      <c r="AI203" s="406">
        <v>614.5</v>
      </c>
      <c r="AJ203" s="406"/>
      <c r="AK203" s="406"/>
      <c r="AL203" s="406"/>
      <c r="AM203" s="406"/>
      <c r="AN203" s="406">
        <v>798.3</v>
      </c>
      <c r="AO203" s="406"/>
      <c r="AP203" s="406"/>
      <c r="AQ203" s="406"/>
      <c r="AR203" s="406"/>
      <c r="AS203" s="406">
        <v>954.8</v>
      </c>
      <c r="AT203" s="406"/>
      <c r="AU203" s="406"/>
      <c r="AV203" s="406"/>
      <c r="AW203" s="406"/>
      <c r="AX203" s="406">
        <v>1017.8</v>
      </c>
      <c r="AY203" s="406"/>
      <c r="AZ203" s="406"/>
      <c r="BA203" s="406"/>
      <c r="BB203" s="406"/>
      <c r="BC203" s="406">
        <v>1169.0999999999999</v>
      </c>
      <c r="BD203" s="406"/>
      <c r="BE203" s="406"/>
      <c r="BF203" s="406"/>
      <c r="BG203" s="406"/>
      <c r="BH203" s="406">
        <v>1396.3</v>
      </c>
      <c r="BI203" s="406"/>
      <c r="BJ203" s="406"/>
      <c r="BK203" s="406"/>
      <c r="BL203" s="406"/>
      <c r="BM203" s="406">
        <v>2062.6999999999998</v>
      </c>
      <c r="BN203" s="406"/>
      <c r="BO203" s="406"/>
      <c r="BP203" s="406"/>
      <c r="BQ203" s="406"/>
      <c r="BR203" s="406">
        <v>2236.5</v>
      </c>
      <c r="BS203" s="121">
        <v>2247</v>
      </c>
      <c r="BT203" s="73">
        <v>2339.9</v>
      </c>
      <c r="BU203" s="73">
        <v>2395.1</v>
      </c>
      <c r="BV203" s="75">
        <f>BW203</f>
        <v>2527.1</v>
      </c>
      <c r="BW203" s="406">
        <v>2527.1</v>
      </c>
      <c r="BX203" s="121">
        <v>2776</v>
      </c>
      <c r="BY203" s="73">
        <v>2836</v>
      </c>
      <c r="BZ203" s="73">
        <v>2797</v>
      </c>
      <c r="CA203" s="75">
        <f>CB203</f>
        <v>2496</v>
      </c>
      <c r="CB203" s="406">
        <v>2496</v>
      </c>
      <c r="CC203" s="121">
        <v>2577</v>
      </c>
      <c r="CD203" s="73">
        <v>2694</v>
      </c>
      <c r="CE203" s="73">
        <v>2729</v>
      </c>
      <c r="CF203" s="73">
        <v>2450</v>
      </c>
      <c r="CG203" s="783">
        <v>2450</v>
      </c>
      <c r="CH203" s="73">
        <v>2472</v>
      </c>
      <c r="CI203" s="73">
        <v>2497</v>
      </c>
      <c r="CJ203" s="73">
        <v>2598</v>
      </c>
      <c r="CK203" s="73">
        <v>2497</v>
      </c>
      <c r="CL203" s="783">
        <v>2497</v>
      </c>
      <c r="CM203" s="73">
        <v>2586</v>
      </c>
      <c r="CN203" s="73">
        <v>2509</v>
      </c>
      <c r="CO203" s="73">
        <v>2294</v>
      </c>
      <c r="CP203" s="75">
        <v>2167</v>
      </c>
      <c r="CQ203" s="783">
        <f>CP203</f>
        <v>2167</v>
      </c>
      <c r="CR203" s="140">
        <v>2264</v>
      </c>
      <c r="CS203" s="76">
        <v>2481</v>
      </c>
      <c r="CT203" s="76">
        <v>2418</v>
      </c>
      <c r="CU203" s="141">
        <v>2632</v>
      </c>
      <c r="CV203" s="783">
        <f>CU203</f>
        <v>2632</v>
      </c>
      <c r="CW203" s="140">
        <v>2727</v>
      </c>
      <c r="CX203" s="76">
        <v>2774</v>
      </c>
      <c r="CY203" s="76">
        <v>3029</v>
      </c>
      <c r="CZ203" s="141">
        <v>3218</v>
      </c>
      <c r="DA203" s="783">
        <f>CZ203</f>
        <v>3218</v>
      </c>
      <c r="DB203" s="1436">
        <v>3579</v>
      </c>
      <c r="DC203" s="1706">
        <v>7017</v>
      </c>
      <c r="DD203" s="1706">
        <v>6899</v>
      </c>
      <c r="DE203" s="1706">
        <v>6849</v>
      </c>
      <c r="DF203" s="783">
        <f>DE203</f>
        <v>6849</v>
      </c>
      <c r="DG203" s="1706">
        <v>6821</v>
      </c>
      <c r="DH203" s="1706">
        <v>6733</v>
      </c>
      <c r="DI203" s="1706">
        <v>6508</v>
      </c>
      <c r="DJ203" s="1706">
        <v>6260</v>
      </c>
      <c r="DK203" s="1376">
        <f>DJ203</f>
        <v>6260</v>
      </c>
      <c r="DL203" s="1706">
        <v>6138</v>
      </c>
      <c r="DM203" s="1706">
        <v>5674</v>
      </c>
      <c r="DN203" s="1706">
        <v>6339</v>
      </c>
      <c r="DO203" s="2289">
        <v>6528</v>
      </c>
      <c r="DP203" s="2252">
        <f>DO203</f>
        <v>6528</v>
      </c>
      <c r="DQ203" s="1706">
        <v>6858</v>
      </c>
      <c r="DR203" s="829">
        <f ca="1">DR323*DR322</f>
        <v>7325.8671524396532</v>
      </c>
      <c r="DS203" s="829">
        <f ca="1">DS323*DS322</f>
        <v>7386.9563021747445</v>
      </c>
      <c r="DT203" s="1677">
        <f>DT323*DT322</f>
        <v>7267.8399679621562</v>
      </c>
      <c r="DU203" s="1437">
        <f>DT203</f>
        <v>7267.8399679621562</v>
      </c>
      <c r="DV203" s="829">
        <f>DV323*DV322</f>
        <v>7265.4949889998134</v>
      </c>
      <c r="DW203" s="829">
        <f ca="1">DW323*DW322</f>
        <v>7499.1627861980496</v>
      </c>
      <c r="DX203" s="829">
        <f ca="1">DX323*DX322</f>
        <v>7499.8256989040556</v>
      </c>
      <c r="DY203" s="1677">
        <f>DY323*DY322</f>
        <v>7377.2502585173252</v>
      </c>
      <c r="DZ203" s="1437">
        <f>DY203</f>
        <v>7377.2502585173252</v>
      </c>
      <c r="EA203" s="829">
        <f>EA323*EA322</f>
        <v>7396.0309802076154</v>
      </c>
      <c r="EB203" s="829">
        <f ca="1">EB323*EB322</f>
        <v>7629.8283222406762</v>
      </c>
      <c r="EC203" s="829">
        <f ca="1">EC323*EC322</f>
        <v>7637.3004647792695</v>
      </c>
      <c r="ED203" s="1677">
        <f>ED323*ED322</f>
        <v>7519.7237057353841</v>
      </c>
      <c r="EE203" s="1437">
        <f>ED203</f>
        <v>7519.7237057353841</v>
      </c>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row>
    <row r="204" spans="2:232" s="54" customFormat="1">
      <c r="B204" s="561" t="s">
        <v>357</v>
      </c>
      <c r="C204" s="64"/>
      <c r="D204" s="64"/>
      <c r="E204" s="64"/>
      <c r="F204" s="406">
        <v>911.995</v>
      </c>
      <c r="G204" s="406">
        <v>994.16800000000001</v>
      </c>
      <c r="H204" s="406">
        <v>1094.0350000000001</v>
      </c>
      <c r="I204" s="406">
        <v>1263.4000000000001</v>
      </c>
      <c r="J204" s="406">
        <v>1453.8810000000001</v>
      </c>
      <c r="K204" s="406"/>
      <c r="L204" s="406"/>
      <c r="M204" s="406"/>
      <c r="N204" s="406"/>
      <c r="O204" s="406">
        <v>1631.9739999999999</v>
      </c>
      <c r="P204" s="406"/>
      <c r="Q204" s="406"/>
      <c r="R204" s="406"/>
      <c r="S204" s="406"/>
      <c r="T204" s="406">
        <v>1732.682</v>
      </c>
      <c r="U204" s="406"/>
      <c r="V204" s="406"/>
      <c r="W204" s="406"/>
      <c r="X204" s="406"/>
      <c r="Y204" s="406">
        <v>2026.845</v>
      </c>
      <c r="Z204" s="406"/>
      <c r="AA204" s="406"/>
      <c r="AB204" s="406"/>
      <c r="AC204" s="406"/>
      <c r="AD204" s="406">
        <v>2462.6</v>
      </c>
      <c r="AE204" s="406"/>
      <c r="AF204" s="406"/>
      <c r="AG204" s="406"/>
      <c r="AH204" s="406"/>
      <c r="AI204" s="406">
        <v>2830.8</v>
      </c>
      <c r="AJ204" s="406"/>
      <c r="AK204" s="406"/>
      <c r="AL204" s="406"/>
      <c r="AM204" s="406"/>
      <c r="AN204" s="406">
        <v>3482.4</v>
      </c>
      <c r="AO204" s="406"/>
      <c r="AP204" s="406"/>
      <c r="AQ204" s="406"/>
      <c r="AR204" s="406"/>
      <c r="AS204" s="406">
        <v>3645.2</v>
      </c>
      <c r="AT204" s="406"/>
      <c r="AU204" s="406"/>
      <c r="AV204" s="406"/>
      <c r="AW204" s="406"/>
      <c r="AX204" s="406">
        <v>4202.7</v>
      </c>
      <c r="AY204" s="406"/>
      <c r="AZ204" s="406"/>
      <c r="BA204" s="406"/>
      <c r="BB204" s="406"/>
      <c r="BC204" s="406">
        <v>4738.6000000000004</v>
      </c>
      <c r="BD204" s="406"/>
      <c r="BE204" s="406"/>
      <c r="BF204" s="406"/>
      <c r="BG204" s="406"/>
      <c r="BH204" s="406">
        <v>5592.7</v>
      </c>
      <c r="BI204" s="406"/>
      <c r="BJ204" s="406"/>
      <c r="BK204" s="406"/>
      <c r="BL204" s="406"/>
      <c r="BM204" s="406">
        <v>6050.4</v>
      </c>
      <c r="BN204" s="406"/>
      <c r="BO204" s="406"/>
      <c r="BP204" s="406"/>
      <c r="BQ204" s="406"/>
      <c r="BR204" s="406">
        <v>6790.5</v>
      </c>
      <c r="BS204" s="121">
        <v>7553</v>
      </c>
      <c r="BT204" s="73">
        <v>7327.7</v>
      </c>
      <c r="BU204" s="73">
        <v>7063.8</v>
      </c>
      <c r="BV204" s="75">
        <f>BW204</f>
        <v>7249</v>
      </c>
      <c r="BW204" s="406">
        <v>7249</v>
      </c>
      <c r="BX204" s="121">
        <v>8298</v>
      </c>
      <c r="BY204" s="73">
        <v>7584</v>
      </c>
      <c r="BZ204" s="73">
        <v>6891</v>
      </c>
      <c r="CA204" s="75">
        <f>CB204</f>
        <v>6789.3</v>
      </c>
      <c r="CB204" s="406">
        <v>6789.3</v>
      </c>
      <c r="CC204" s="121">
        <v>7474</v>
      </c>
      <c r="CD204" s="73">
        <v>7200</v>
      </c>
      <c r="CE204" s="73">
        <v>7110</v>
      </c>
      <c r="CF204" s="73">
        <v>7378</v>
      </c>
      <c r="CG204" s="783">
        <v>7378</v>
      </c>
      <c r="CH204" s="73">
        <v>7909</v>
      </c>
      <c r="CI204" s="73">
        <v>7607</v>
      </c>
      <c r="CJ204" s="73">
        <v>7552</v>
      </c>
      <c r="CK204" s="73">
        <v>8044</v>
      </c>
      <c r="CL204" s="783">
        <v>8044</v>
      </c>
      <c r="CM204" s="73">
        <v>8231</v>
      </c>
      <c r="CN204" s="73">
        <v>7347</v>
      </c>
      <c r="CO204" s="73">
        <v>7004</v>
      </c>
      <c r="CP204" s="75">
        <v>7036</v>
      </c>
      <c r="CQ204" s="783">
        <f>CP204</f>
        <v>7036</v>
      </c>
      <c r="CR204" s="140">
        <v>7821</v>
      </c>
      <c r="CS204" s="76">
        <v>7253</v>
      </c>
      <c r="CT204" s="76">
        <v>6881</v>
      </c>
      <c r="CU204" s="141">
        <v>6852</v>
      </c>
      <c r="CV204" s="783">
        <f>CU204</f>
        <v>6852</v>
      </c>
      <c r="CW204" s="140">
        <v>7729</v>
      </c>
      <c r="CX204" s="76">
        <v>7213</v>
      </c>
      <c r="CY204" s="76">
        <v>6439</v>
      </c>
      <c r="CZ204" s="141">
        <v>6076</v>
      </c>
      <c r="DA204" s="783">
        <f>CZ204</f>
        <v>6076</v>
      </c>
      <c r="DB204" s="1436">
        <v>6518</v>
      </c>
      <c r="DC204" s="1706">
        <v>9379</v>
      </c>
      <c r="DD204" s="1706">
        <v>8764</v>
      </c>
      <c r="DE204" s="1706">
        <v>8678</v>
      </c>
      <c r="DF204" s="783">
        <f>DE204</f>
        <v>8678</v>
      </c>
      <c r="DG204" s="1706">
        <v>9884</v>
      </c>
      <c r="DH204" s="1706">
        <v>9025</v>
      </c>
      <c r="DI204" s="1706">
        <v>8931</v>
      </c>
      <c r="DJ204" s="1706">
        <v>8956</v>
      </c>
      <c r="DK204" s="1376">
        <f>DJ204</f>
        <v>8956</v>
      </c>
      <c r="DL204" s="1706">
        <v>10039</v>
      </c>
      <c r="DM204" s="1706">
        <v>9230</v>
      </c>
      <c r="DN204" s="1706">
        <v>8681</v>
      </c>
      <c r="DO204" s="2289">
        <v>8899</v>
      </c>
      <c r="DP204" s="2252">
        <f>DO204</f>
        <v>8899</v>
      </c>
      <c r="DQ204" s="1706">
        <v>10010</v>
      </c>
      <c r="DR204" s="829">
        <f ca="1">DR325*DR327</f>
        <v>10150.86994863415</v>
      </c>
      <c r="DS204" s="829">
        <f ca="1">DS325*DS327</f>
        <v>9226.1979306936628</v>
      </c>
      <c r="DT204" s="1677">
        <f>DT325*DT327</f>
        <v>9369.2355756200741</v>
      </c>
      <c r="DU204" s="1437">
        <f>DT204</f>
        <v>9369.2355756200741</v>
      </c>
      <c r="DV204" s="829">
        <f>DV325*DV327</f>
        <v>10338.902342946492</v>
      </c>
      <c r="DW204" s="829">
        <f ca="1">DW325*DW327</f>
        <v>10100.068396350556</v>
      </c>
      <c r="DX204" s="829">
        <f ca="1">DX325*DX327</f>
        <v>9056.8773600452569</v>
      </c>
      <c r="DY204" s="1677">
        <f>DY325*DY327</f>
        <v>9201.5570422626151</v>
      </c>
      <c r="DZ204" s="1437">
        <f>DY204</f>
        <v>9201.5570422626151</v>
      </c>
      <c r="EA204" s="829">
        <f>EA325*EA327</f>
        <v>10225.053509822457</v>
      </c>
      <c r="EB204" s="829">
        <f ca="1">EB325*EB327</f>
        <v>9980.2246828533025</v>
      </c>
      <c r="EC204" s="829">
        <f ca="1">EC325*EC327</f>
        <v>8923.0936100415875</v>
      </c>
      <c r="ED204" s="1677">
        <f>ED325*ED327</f>
        <v>9086.1038422647816</v>
      </c>
      <c r="EE204" s="1437">
        <f>ED204</f>
        <v>9086.1038422647816</v>
      </c>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row>
    <row r="205" spans="2:232" s="54" customFormat="1">
      <c r="B205" s="561" t="s">
        <v>358</v>
      </c>
      <c r="C205" s="73"/>
      <c r="D205" s="73"/>
      <c r="E205" s="73"/>
      <c r="F205" s="406">
        <v>67.884</v>
      </c>
      <c r="G205" s="406">
        <v>77.603999999999999</v>
      </c>
      <c r="H205" s="406">
        <v>108.49299999999999</v>
      </c>
      <c r="I205" s="406">
        <v>107.056</v>
      </c>
      <c r="J205" s="406">
        <v>90.704999999999998</v>
      </c>
      <c r="K205" s="406"/>
      <c r="L205" s="406"/>
      <c r="M205" s="406"/>
      <c r="N205" s="406"/>
      <c r="O205" s="406">
        <v>89.706999999999994</v>
      </c>
      <c r="P205" s="406"/>
      <c r="Q205" s="406"/>
      <c r="R205" s="406"/>
      <c r="S205" s="406"/>
      <c r="T205" s="406">
        <v>143.495</v>
      </c>
      <c r="U205" s="406"/>
      <c r="V205" s="406"/>
      <c r="W205" s="406"/>
      <c r="X205" s="406"/>
      <c r="Y205" s="406">
        <v>78.632000000000005</v>
      </c>
      <c r="Z205" s="406"/>
      <c r="AA205" s="406"/>
      <c r="AB205" s="406"/>
      <c r="AC205" s="406"/>
      <c r="AD205" s="406">
        <v>130.80000000000001</v>
      </c>
      <c r="AE205" s="406"/>
      <c r="AF205" s="406"/>
      <c r="AG205" s="406"/>
      <c r="AH205" s="406"/>
      <c r="AI205" s="406">
        <v>92</v>
      </c>
      <c r="AJ205" s="406"/>
      <c r="AK205" s="406"/>
      <c r="AL205" s="406"/>
      <c r="AM205" s="406"/>
      <c r="AN205" s="406">
        <v>96.3</v>
      </c>
      <c r="AO205" s="406"/>
      <c r="AP205" s="406"/>
      <c r="AQ205" s="406"/>
      <c r="AR205" s="406"/>
      <c r="AS205" s="406">
        <v>116.6</v>
      </c>
      <c r="AT205" s="406"/>
      <c r="AU205" s="406"/>
      <c r="AV205" s="406"/>
      <c r="AW205" s="406"/>
      <c r="AX205" s="406">
        <v>120.5</v>
      </c>
      <c r="AY205" s="406"/>
      <c r="AZ205" s="406"/>
      <c r="BA205" s="406"/>
      <c r="BB205" s="406"/>
      <c r="BC205" s="406">
        <v>161.19999999999999</v>
      </c>
      <c r="BD205" s="406"/>
      <c r="BE205" s="406"/>
      <c r="BF205" s="406"/>
      <c r="BG205" s="406"/>
      <c r="BH205" s="406">
        <f>255.9</f>
        <v>255.9</v>
      </c>
      <c r="BI205" s="406"/>
      <c r="BJ205" s="406"/>
      <c r="BK205" s="406"/>
      <c r="BL205" s="406"/>
      <c r="BM205" s="406">
        <v>257.3</v>
      </c>
      <c r="BN205" s="406"/>
      <c r="BO205" s="406"/>
      <c r="BP205" s="406"/>
      <c r="BQ205" s="406"/>
      <c r="BR205" s="406">
        <v>228.7</v>
      </c>
      <c r="BS205" s="121">
        <v>240</v>
      </c>
      <c r="BT205" s="73">
        <v>220.3</v>
      </c>
      <c r="BU205" s="73">
        <v>252.8</v>
      </c>
      <c r="BV205" s="75">
        <f>BW205</f>
        <v>214.6</v>
      </c>
      <c r="BW205" s="406">
        <v>214.6</v>
      </c>
      <c r="BX205" s="121">
        <v>199</v>
      </c>
      <c r="BY205" s="73">
        <v>203</v>
      </c>
      <c r="BZ205" s="73">
        <v>164</v>
      </c>
      <c r="CA205" s="75">
        <f>CB205</f>
        <v>177</v>
      </c>
      <c r="CB205" s="406">
        <v>177</v>
      </c>
      <c r="CC205" s="121">
        <v>170</v>
      </c>
      <c r="CD205" s="73">
        <v>164</v>
      </c>
      <c r="CE205" s="73">
        <v>185</v>
      </c>
      <c r="CF205" s="73">
        <v>214</v>
      </c>
      <c r="CG205" s="783">
        <v>214</v>
      </c>
      <c r="CH205" s="73">
        <v>220</v>
      </c>
      <c r="CI205" s="73">
        <v>190</v>
      </c>
      <c r="CJ205" s="73">
        <v>203</v>
      </c>
      <c r="CK205" s="73">
        <v>225</v>
      </c>
      <c r="CL205" s="783">
        <v>225</v>
      </c>
      <c r="CM205" s="73">
        <v>196</v>
      </c>
      <c r="CN205" s="73">
        <v>270</v>
      </c>
      <c r="CO205" s="73">
        <v>277</v>
      </c>
      <c r="CP205" s="75">
        <v>260</v>
      </c>
      <c r="CQ205" s="783">
        <f>CP205</f>
        <v>260</v>
      </c>
      <c r="CR205" s="140">
        <v>248</v>
      </c>
      <c r="CS205" s="76">
        <v>267</v>
      </c>
      <c r="CT205" s="76">
        <v>278</v>
      </c>
      <c r="CU205" s="141">
        <v>284</v>
      </c>
      <c r="CV205" s="783">
        <f>CU205</f>
        <v>284</v>
      </c>
      <c r="CW205" s="140">
        <v>297</v>
      </c>
      <c r="CX205" s="76">
        <v>272</v>
      </c>
      <c r="CY205" s="76">
        <v>334</v>
      </c>
      <c r="CZ205" s="141">
        <v>302</v>
      </c>
      <c r="DA205" s="783">
        <f>CZ205</f>
        <v>302</v>
      </c>
      <c r="DB205" s="1436">
        <v>322</v>
      </c>
      <c r="DC205" s="1706">
        <v>1314</v>
      </c>
      <c r="DD205" s="1706">
        <v>917</v>
      </c>
      <c r="DE205" s="1706">
        <v>1130</v>
      </c>
      <c r="DF205" s="783">
        <f>DE205</f>
        <v>1130</v>
      </c>
      <c r="DG205" s="1706">
        <v>956</v>
      </c>
      <c r="DH205" s="1706">
        <v>1034</v>
      </c>
      <c r="DI205" s="1706">
        <v>983</v>
      </c>
      <c r="DJ205" s="1706">
        <v>860</v>
      </c>
      <c r="DK205" s="1376">
        <f>DJ205</f>
        <v>860</v>
      </c>
      <c r="DL205" s="1706">
        <v>893</v>
      </c>
      <c r="DM205" s="1706">
        <v>783</v>
      </c>
      <c r="DN205" s="1706">
        <v>879</v>
      </c>
      <c r="DO205" s="2289">
        <v>1025</v>
      </c>
      <c r="DP205" s="2252">
        <f>DO205</f>
        <v>1025</v>
      </c>
      <c r="DQ205" s="1706">
        <v>983</v>
      </c>
      <c r="DR205" s="829">
        <f>DQ205</f>
        <v>983</v>
      </c>
      <c r="DS205" s="829">
        <f>DR205</f>
        <v>983</v>
      </c>
      <c r="DT205" s="1677">
        <f>DS205</f>
        <v>983</v>
      </c>
      <c r="DU205" s="1437">
        <f>DT205</f>
        <v>983</v>
      </c>
      <c r="DV205" s="829">
        <f>DU205</f>
        <v>983</v>
      </c>
      <c r="DW205" s="829">
        <f>DV205</f>
        <v>983</v>
      </c>
      <c r="DX205" s="829">
        <f>DW205</f>
        <v>983</v>
      </c>
      <c r="DY205" s="1677">
        <f>DX205</f>
        <v>983</v>
      </c>
      <c r="DZ205" s="1437">
        <f>DY205</f>
        <v>983</v>
      </c>
      <c r="EA205" s="829">
        <f>DZ205</f>
        <v>983</v>
      </c>
      <c r="EB205" s="829">
        <f>EA205</f>
        <v>983</v>
      </c>
      <c r="EC205" s="829">
        <f>EB205</f>
        <v>983</v>
      </c>
      <c r="ED205" s="1677">
        <f>EC205</f>
        <v>983</v>
      </c>
      <c r="EE205" s="1437">
        <f>ED205</f>
        <v>983</v>
      </c>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row>
    <row r="206" spans="2:232" s="68" customFormat="1">
      <c r="B206" s="576" t="s">
        <v>359</v>
      </c>
      <c r="C206" s="407" t="s">
        <v>414</v>
      </c>
      <c r="D206" s="407"/>
      <c r="E206" s="407"/>
      <c r="F206" s="408">
        <f>F201+F202+F203+F204+F205</f>
        <v>1247.423</v>
      </c>
      <c r="G206" s="408">
        <f>G201+G202+G203+G204+G205</f>
        <v>1426.0940000000001</v>
      </c>
      <c r="H206" s="408">
        <f>H201+H202+H203+H204+H205</f>
        <v>1463.133</v>
      </c>
      <c r="I206" s="408">
        <f>I201+I202+I203+I204+I205</f>
        <v>1672.8110000000001</v>
      </c>
      <c r="J206" s="408">
        <f>J201+J202+J203+J204+J205</f>
        <v>1812.9169999999999</v>
      </c>
      <c r="K206" s="408"/>
      <c r="L206" s="408"/>
      <c r="M206" s="408"/>
      <c r="N206" s="408"/>
      <c r="O206" s="408">
        <f>O201+O202+O203+O204+O205</f>
        <v>2019.038</v>
      </c>
      <c r="P206" s="408"/>
      <c r="Q206" s="408"/>
      <c r="R206" s="408"/>
      <c r="S206" s="408"/>
      <c r="T206" s="408">
        <f>T201+T202+T203+T204+T205</f>
        <v>2325.5369999999998</v>
      </c>
      <c r="U206" s="408"/>
      <c r="V206" s="408"/>
      <c r="W206" s="408"/>
      <c r="X206" s="408"/>
      <c r="Y206" s="408">
        <f>Y201+Y202+Y203+Y204+Y205</f>
        <v>2623.127</v>
      </c>
      <c r="Z206" s="408"/>
      <c r="AA206" s="408"/>
      <c r="AB206" s="408"/>
      <c r="AC206" s="408"/>
      <c r="AD206" s="408">
        <f>AD201+AD202+AD203+AD204+AD205</f>
        <v>3221.7</v>
      </c>
      <c r="AE206" s="408"/>
      <c r="AF206" s="408"/>
      <c r="AG206" s="408"/>
      <c r="AH206" s="408"/>
      <c r="AI206" s="408">
        <f>AI201+AI202+AI203+AI204+AI205</f>
        <v>3550.1000000000004</v>
      </c>
      <c r="AJ206" s="408"/>
      <c r="AK206" s="408"/>
      <c r="AL206" s="408"/>
      <c r="AM206" s="408"/>
      <c r="AN206" s="408">
        <f>AN201+AN202+AN203+AN204+AN205</f>
        <v>4393.9000000000005</v>
      </c>
      <c r="AO206" s="408"/>
      <c r="AP206" s="408"/>
      <c r="AQ206" s="408"/>
      <c r="AR206" s="408"/>
      <c r="AS206" s="408">
        <f>AS201+AS202+AS203+AS204+AS205</f>
        <v>5404.9</v>
      </c>
      <c r="AT206" s="408"/>
      <c r="AU206" s="408"/>
      <c r="AV206" s="408"/>
      <c r="AW206" s="408"/>
      <c r="AX206" s="408">
        <f>AX201+AX202+AX203+AX204+AX205</f>
        <v>6609.0000000000009</v>
      </c>
      <c r="AY206" s="408"/>
      <c r="AZ206" s="408"/>
      <c r="BA206" s="408"/>
      <c r="BB206" s="408"/>
      <c r="BC206" s="408">
        <f>BC201+BC202+BC203+BC204+BC205</f>
        <v>7764.4000004359295</v>
      </c>
      <c r="BD206" s="408"/>
      <c r="BE206" s="408"/>
      <c r="BF206" s="408"/>
      <c r="BG206" s="408"/>
      <c r="BH206" s="408">
        <f>BH201+BH202+BH203+BH204+BH205</f>
        <v>8316.5000004359299</v>
      </c>
      <c r="BI206" s="408"/>
      <c r="BJ206" s="408"/>
      <c r="BK206" s="408"/>
      <c r="BL206" s="408"/>
      <c r="BM206" s="408">
        <f>BM201+BM202+BM203+BM204+BM205</f>
        <v>9705.4000004359332</v>
      </c>
      <c r="BN206" s="408"/>
      <c r="BO206" s="408"/>
      <c r="BP206" s="408"/>
      <c r="BQ206" s="408"/>
      <c r="BR206" s="408">
        <f>BR201+BR202+BR203+BR204+BR205</f>
        <v>9510.5000004359299</v>
      </c>
      <c r="BS206" s="409">
        <f>BS201+BS203+BS204+BS205</f>
        <v>10335</v>
      </c>
      <c r="BT206" s="410">
        <f>BT201+BT203+BT204+BT205</f>
        <v>10143.199999999999</v>
      </c>
      <c r="BU206" s="410">
        <f>BU201+BU203+BU204+BU205</f>
        <v>10183.5</v>
      </c>
      <c r="BV206" s="411">
        <f>BV201+BV203+BV204+BV205</f>
        <v>10433.40000043593</v>
      </c>
      <c r="BW206" s="408">
        <f>BW201+BW202+BW203+BW204+BW205</f>
        <v>10433.40000043593</v>
      </c>
      <c r="BX206" s="409">
        <f>BX201+BX203+BX204+BX205</f>
        <v>12158.700000435929</v>
      </c>
      <c r="BY206" s="410">
        <f t="shared" ref="BY206:CV206" si="524">BY201+BY202+BY203+BY204+BY205</f>
        <v>12181.700000435929</v>
      </c>
      <c r="BZ206" s="410">
        <f t="shared" si="524"/>
        <v>12251.700000435929</v>
      </c>
      <c r="CA206" s="411">
        <f t="shared" si="524"/>
        <v>12049.000000435928</v>
      </c>
      <c r="CB206" s="408">
        <f t="shared" si="524"/>
        <v>12049.000000435928</v>
      </c>
      <c r="CC206" s="409">
        <f t="shared" si="524"/>
        <v>13372.700000435929</v>
      </c>
      <c r="CD206" s="410">
        <f t="shared" si="524"/>
        <v>13158.700000435929</v>
      </c>
      <c r="CE206" s="410">
        <f t="shared" si="524"/>
        <v>12335.700000435929</v>
      </c>
      <c r="CF206" s="410">
        <f t="shared" si="524"/>
        <v>11921.700000435929</v>
      </c>
      <c r="CG206" s="784">
        <f t="shared" si="524"/>
        <v>11922</v>
      </c>
      <c r="CH206" s="410">
        <f t="shared" si="524"/>
        <v>12662.700000435929</v>
      </c>
      <c r="CI206" s="410">
        <f t="shared" si="524"/>
        <v>12536.700000435929</v>
      </c>
      <c r="CJ206" s="410">
        <f t="shared" si="524"/>
        <v>13004.700000435929</v>
      </c>
      <c r="CK206" s="410">
        <f t="shared" si="524"/>
        <v>12321.700000435929</v>
      </c>
      <c r="CL206" s="784">
        <f t="shared" si="524"/>
        <v>12322</v>
      </c>
      <c r="CM206" s="410">
        <f t="shared" si="524"/>
        <v>12106.700000435929</v>
      </c>
      <c r="CN206" s="410">
        <f t="shared" si="524"/>
        <v>11209.700000435929</v>
      </c>
      <c r="CO206" s="410">
        <f t="shared" si="524"/>
        <v>11569.700000435929</v>
      </c>
      <c r="CP206" s="411">
        <f t="shared" si="524"/>
        <v>10759.700000435929</v>
      </c>
      <c r="CQ206" s="784">
        <f t="shared" si="524"/>
        <v>10759.700000435929</v>
      </c>
      <c r="CR206" s="409">
        <f t="shared" si="524"/>
        <v>12161.700000435929</v>
      </c>
      <c r="CS206" s="410">
        <f t="shared" si="524"/>
        <v>12431.700000435929</v>
      </c>
      <c r="CT206" s="410">
        <f t="shared" si="524"/>
        <v>12570.700000435929</v>
      </c>
      <c r="CU206" s="411">
        <f t="shared" si="524"/>
        <v>11874</v>
      </c>
      <c r="CV206" s="784">
        <f t="shared" si="524"/>
        <v>11874</v>
      </c>
      <c r="CW206" s="409">
        <f>CW201+CW202+CW203+CW204+CW205</f>
        <v>11722</v>
      </c>
      <c r="CX206" s="410">
        <f>CX201+CX202+CX203+CX204+CX205</f>
        <v>12036</v>
      </c>
      <c r="CY206" s="410">
        <f t="shared" ref="CY206:DF206" si="525">CY201+CY202+CY203+CY204+CY205</f>
        <v>11928</v>
      </c>
      <c r="CZ206" s="411">
        <f t="shared" si="525"/>
        <v>12242</v>
      </c>
      <c r="DA206" s="784">
        <f t="shared" si="525"/>
        <v>12242</v>
      </c>
      <c r="DB206" s="1438">
        <f t="shared" si="525"/>
        <v>23280</v>
      </c>
      <c r="DC206" s="410">
        <f>DC201+DC202+DC203+DC204+DC205</f>
        <v>20715</v>
      </c>
      <c r="DD206" s="410">
        <f t="shared" si="525"/>
        <v>21029</v>
      </c>
      <c r="DE206" s="410">
        <f>DE201+DE202+DE203+DE204+DE205</f>
        <v>19657</v>
      </c>
      <c r="DF206" s="784">
        <f t="shared" si="525"/>
        <v>19657</v>
      </c>
      <c r="DG206" s="410">
        <f t="shared" ref="DG206:DL206" si="526">DG201+DG202+DG203+DG204+DG205</f>
        <v>20231</v>
      </c>
      <c r="DH206" s="410">
        <f t="shared" si="526"/>
        <v>20378</v>
      </c>
      <c r="DI206" s="410">
        <f t="shared" si="526"/>
        <v>19713</v>
      </c>
      <c r="DJ206" s="410">
        <f t="shared" si="526"/>
        <v>25883</v>
      </c>
      <c r="DK206" s="2050">
        <f t="shared" si="526"/>
        <v>25883</v>
      </c>
      <c r="DL206" s="410">
        <f t="shared" si="526"/>
        <v>26668</v>
      </c>
      <c r="DM206" s="410">
        <f t="shared" ref="DM206:DN206" si="527">DM201+DM202+DM203+DM204+DM205</f>
        <v>27509</v>
      </c>
      <c r="DN206" s="410">
        <f t="shared" si="527"/>
        <v>28152</v>
      </c>
      <c r="DO206" s="2290">
        <f t="shared" ref="DO206:DQ206" si="528">DO201+DO202+DO203+DO204+DO205</f>
        <v>19753</v>
      </c>
      <c r="DP206" s="2253">
        <f t="shared" ref="DP206:DU206" si="529">DP201+DP202+DP203+DP204+DP205</f>
        <v>19753</v>
      </c>
      <c r="DQ206" s="412">
        <f t="shared" si="528"/>
        <v>19681</v>
      </c>
      <c r="DR206" s="1833">
        <f t="shared" ca="1" si="529"/>
        <v>20923.061904088423</v>
      </c>
      <c r="DS206" s="1833">
        <f t="shared" ca="1" si="529"/>
        <v>21432.922209813929</v>
      </c>
      <c r="DT206" s="1678">
        <f t="shared" ca="1" si="529"/>
        <v>22966.385069857995</v>
      </c>
      <c r="DU206" s="1439">
        <f t="shared" ca="1" si="529"/>
        <v>22966.385069857995</v>
      </c>
      <c r="DV206" s="1833">
        <f t="shared" ref="DV206:DZ206" ca="1" si="530">DV201+DV202+DV203+DV204+DV205</f>
        <v>21998.193007922288</v>
      </c>
      <c r="DW206" s="1833">
        <f t="shared" ca="1" si="530"/>
        <v>20911.424865271729</v>
      </c>
      <c r="DX206" s="1833">
        <f t="shared" ca="1" si="530"/>
        <v>20542.323581391087</v>
      </c>
      <c r="DY206" s="1678">
        <f t="shared" ca="1" si="530"/>
        <v>21230.16177155092</v>
      </c>
      <c r="DZ206" s="1439">
        <f t="shared" ca="1" si="530"/>
        <v>21230.16177155092</v>
      </c>
      <c r="EA206" s="1833">
        <f t="shared" ref="EA206:EE206" ca="1" si="531">EA201+EA202+EA203+EA204+EA205</f>
        <v>21928.786331514584</v>
      </c>
      <c r="EB206" s="1833">
        <f t="shared" ca="1" si="531"/>
        <v>21011.191662325382</v>
      </c>
      <c r="EC206" s="1833">
        <f t="shared" ca="1" si="531"/>
        <v>20837.217070682262</v>
      </c>
      <c r="ED206" s="1678">
        <f t="shared" ca="1" si="531"/>
        <v>21382.385423198641</v>
      </c>
      <c r="EE206" s="1439">
        <f t="shared" ca="1" si="531"/>
        <v>21382.385423198641</v>
      </c>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row>
    <row r="207" spans="2:232" s="54" customFormat="1">
      <c r="B207" s="538"/>
      <c r="C207" s="413"/>
      <c r="D207" s="413"/>
      <c r="E207" s="413"/>
      <c r="F207" s="399"/>
      <c r="G207" s="399"/>
      <c r="H207" s="399"/>
      <c r="I207" s="406"/>
      <c r="J207" s="406"/>
      <c r="K207" s="406"/>
      <c r="L207" s="406"/>
      <c r="M207" s="406"/>
      <c r="N207" s="406"/>
      <c r="O207" s="406"/>
      <c r="P207" s="406"/>
      <c r="Q207" s="406"/>
      <c r="R207" s="406"/>
      <c r="S207" s="406"/>
      <c r="T207" s="406"/>
      <c r="U207" s="406"/>
      <c r="V207" s="406"/>
      <c r="W207" s="406"/>
      <c r="X207" s="406"/>
      <c r="Y207" s="406"/>
      <c r="Z207" s="406"/>
      <c r="AA207" s="406"/>
      <c r="AB207" s="406"/>
      <c r="AC207" s="406"/>
      <c r="AD207" s="406"/>
      <c r="AE207" s="406"/>
      <c r="AF207" s="406"/>
      <c r="AG207" s="406"/>
      <c r="AH207" s="406"/>
      <c r="AI207" s="406"/>
      <c r="AJ207" s="406"/>
      <c r="AK207" s="406"/>
      <c r="AL207" s="406"/>
      <c r="AM207" s="406"/>
      <c r="AN207" s="406"/>
      <c r="AO207" s="406"/>
      <c r="AP207" s="406"/>
      <c r="AQ207" s="406"/>
      <c r="AR207" s="406"/>
      <c r="AS207" s="406"/>
      <c r="AT207" s="406"/>
      <c r="AU207" s="406"/>
      <c r="AV207" s="406"/>
      <c r="AW207" s="406"/>
      <c r="AX207" s="414"/>
      <c r="AY207" s="414"/>
      <c r="AZ207" s="414"/>
      <c r="BA207" s="414"/>
      <c r="BB207" s="414"/>
      <c r="BC207" s="414"/>
      <c r="BD207" s="414"/>
      <c r="BE207" s="414"/>
      <c r="BF207" s="414"/>
      <c r="BG207" s="414"/>
      <c r="BH207" s="406"/>
      <c r="BI207" s="406"/>
      <c r="BJ207" s="406"/>
      <c r="BK207" s="406"/>
      <c r="BL207" s="406"/>
      <c r="BM207" s="406"/>
      <c r="BN207" s="406"/>
      <c r="BO207" s="406"/>
      <c r="BP207" s="406"/>
      <c r="BQ207" s="406"/>
      <c r="BR207" s="406"/>
      <c r="BS207" s="121"/>
      <c r="BT207" s="73"/>
      <c r="BU207" s="73"/>
      <c r="BV207" s="75"/>
      <c r="BW207" s="406"/>
      <c r="BX207" s="121"/>
      <c r="BY207" s="73"/>
      <c r="BZ207" s="73"/>
      <c r="CA207" s="75"/>
      <c r="CB207" s="406"/>
      <c r="CC207" s="121"/>
      <c r="CD207" s="73"/>
      <c r="CE207" s="73"/>
      <c r="CF207" s="73"/>
      <c r="CG207" s="783"/>
      <c r="CH207" s="73"/>
      <c r="CI207" s="73"/>
      <c r="CJ207" s="73"/>
      <c r="CK207" s="73"/>
      <c r="CL207" s="783"/>
      <c r="CM207" s="73"/>
      <c r="CN207" s="73"/>
      <c r="CO207" s="73"/>
      <c r="CP207" s="75"/>
      <c r="CQ207" s="783"/>
      <c r="CR207" s="140"/>
      <c r="CS207" s="76"/>
      <c r="CT207" s="76"/>
      <c r="CU207" s="141"/>
      <c r="CV207" s="783"/>
      <c r="CW207" s="140"/>
      <c r="CX207" s="76"/>
      <c r="CY207" s="76"/>
      <c r="CZ207" s="141"/>
      <c r="DA207" s="783"/>
      <c r="DB207" s="1436"/>
      <c r="DC207" s="1549"/>
      <c r="DD207" s="1549"/>
      <c r="DE207" s="1549"/>
      <c r="DF207" s="783"/>
      <c r="DG207" s="1549"/>
      <c r="DH207" s="1549"/>
      <c r="DI207" s="1549"/>
      <c r="DJ207" s="1549"/>
      <c r="DK207" s="1376"/>
      <c r="DL207" s="1549"/>
      <c r="DM207" s="1549"/>
      <c r="DN207" s="1549"/>
      <c r="DO207" s="2216"/>
      <c r="DP207" s="2252"/>
      <c r="DQ207" s="1549"/>
      <c r="DR207" s="829"/>
      <c r="DS207" s="829"/>
      <c r="DT207" s="1677"/>
      <c r="DU207" s="1437"/>
      <c r="DV207" s="829"/>
      <c r="DW207" s="829"/>
      <c r="DX207" s="829"/>
      <c r="DY207" s="1677"/>
      <c r="DZ207" s="1437"/>
      <c r="EA207" s="829"/>
      <c r="EB207" s="829"/>
      <c r="EC207" s="829"/>
      <c r="ED207" s="1677"/>
      <c r="EE207" s="143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row>
    <row r="208" spans="2:232" s="54" customFormat="1">
      <c r="B208" s="561" t="s">
        <v>393</v>
      </c>
      <c r="C208" s="64"/>
      <c r="D208" s="64"/>
      <c r="E208" s="64"/>
      <c r="F208" s="406">
        <v>809.29499999999996</v>
      </c>
      <c r="G208" s="406">
        <v>856.29200000000003</v>
      </c>
      <c r="H208" s="406">
        <v>927.33299999999997</v>
      </c>
      <c r="I208" s="406">
        <v>1085.4870000000001</v>
      </c>
      <c r="J208" s="406">
        <v>1248.962</v>
      </c>
      <c r="K208" s="406"/>
      <c r="L208" s="406"/>
      <c r="M208" s="406"/>
      <c r="N208" s="406"/>
      <c r="O208" s="406">
        <v>1448.3679999999999</v>
      </c>
      <c r="P208" s="406"/>
      <c r="Q208" s="406"/>
      <c r="R208" s="406"/>
      <c r="S208" s="406"/>
      <c r="T208" s="406">
        <v>1754.3510000000001</v>
      </c>
      <c r="U208" s="406"/>
      <c r="V208" s="406"/>
      <c r="W208" s="406"/>
      <c r="X208" s="406"/>
      <c r="Y208" s="406">
        <f>Y209-Y210</f>
        <v>2143.3999999999996</v>
      </c>
      <c r="Z208" s="406"/>
      <c r="AA208" s="406"/>
      <c r="AB208" s="406"/>
      <c r="AC208" s="406"/>
      <c r="AD208" s="406">
        <f>AD209-AD210</f>
        <v>2593.8999999999996</v>
      </c>
      <c r="AE208" s="406"/>
      <c r="AF208" s="406"/>
      <c r="AG208" s="406"/>
      <c r="AH208" s="406"/>
      <c r="AI208" s="406">
        <f>AI209-AI210</f>
        <v>3428.2</v>
      </c>
      <c r="AJ208" s="406"/>
      <c r="AK208" s="406"/>
      <c r="AL208" s="406"/>
      <c r="AM208" s="406"/>
      <c r="AN208" s="406">
        <f>AN209-AN210</f>
        <v>4345.3</v>
      </c>
      <c r="AO208" s="406"/>
      <c r="AP208" s="406"/>
      <c r="AQ208" s="406"/>
      <c r="AR208" s="406"/>
      <c r="AS208" s="406">
        <f>AS209-AS210</f>
        <v>4591.3999999999996</v>
      </c>
      <c r="AT208" s="406"/>
      <c r="AU208" s="406"/>
      <c r="AV208" s="406"/>
      <c r="AW208" s="406"/>
      <c r="AX208" s="406">
        <f>AX209-AX210</f>
        <v>4940</v>
      </c>
      <c r="AY208" s="406"/>
      <c r="AZ208" s="406"/>
      <c r="BA208" s="406"/>
      <c r="BB208" s="406"/>
      <c r="BC208" s="406">
        <v>5446.4</v>
      </c>
      <c r="BD208" s="406"/>
      <c r="BE208" s="406"/>
      <c r="BF208" s="406"/>
      <c r="BG208" s="406"/>
      <c r="BH208" s="406">
        <v>6165</v>
      </c>
      <c r="BI208" s="406"/>
      <c r="BJ208" s="406"/>
      <c r="BK208" s="406"/>
      <c r="BL208" s="406"/>
      <c r="BM208" s="406">
        <v>6948.9</v>
      </c>
      <c r="BN208" s="406"/>
      <c r="BO208" s="406"/>
      <c r="BP208" s="406"/>
      <c r="BQ208" s="406"/>
      <c r="BR208" s="406">
        <v>8199.9</v>
      </c>
      <c r="BS208" s="121">
        <v>8502</v>
      </c>
      <c r="BT208" s="73">
        <v>8941.4</v>
      </c>
      <c r="BU208" s="73">
        <v>9307.7000000000007</v>
      </c>
      <c r="BV208" s="75">
        <f>BW208</f>
        <v>9775.5</v>
      </c>
      <c r="BW208" s="406">
        <v>9775.5</v>
      </c>
      <c r="BX208" s="121">
        <v>10150</v>
      </c>
      <c r="BY208" s="73">
        <v>10387</v>
      </c>
      <c r="BZ208" s="73">
        <v>10595</v>
      </c>
      <c r="CA208" s="75">
        <f>CB208</f>
        <v>10802</v>
      </c>
      <c r="CB208" s="406">
        <v>10802</v>
      </c>
      <c r="CC208" s="121">
        <v>10865</v>
      </c>
      <c r="CD208" s="73">
        <v>10891</v>
      </c>
      <c r="CE208" s="73">
        <v>11154</v>
      </c>
      <c r="CF208" s="73">
        <v>11184</v>
      </c>
      <c r="CG208" s="783">
        <v>11184</v>
      </c>
      <c r="CH208" s="73">
        <v>11197</v>
      </c>
      <c r="CI208" s="73">
        <v>11148</v>
      </c>
      <c r="CJ208" s="73">
        <v>11130</v>
      </c>
      <c r="CK208" s="73">
        <v>11526</v>
      </c>
      <c r="CL208" s="783">
        <v>11526</v>
      </c>
      <c r="CM208" s="73">
        <v>11699</v>
      </c>
      <c r="CN208" s="73">
        <v>11705</v>
      </c>
      <c r="CO208" s="73">
        <v>11790</v>
      </c>
      <c r="CP208" s="75">
        <v>12038</v>
      </c>
      <c r="CQ208" s="783">
        <f>CP208</f>
        <v>12038</v>
      </c>
      <c r="CR208" s="140">
        <v>12110</v>
      </c>
      <c r="CS208" s="76">
        <v>12048</v>
      </c>
      <c r="CT208" s="76">
        <v>12075</v>
      </c>
      <c r="CU208" s="141">
        <v>12138</v>
      </c>
      <c r="CV208" s="783">
        <f>CU208</f>
        <v>12138</v>
      </c>
      <c r="CW208" s="140">
        <v>12351</v>
      </c>
      <c r="CX208" s="76">
        <v>12136</v>
      </c>
      <c r="CY208" s="76">
        <v>12088</v>
      </c>
      <c r="CZ208" s="141">
        <v>12257</v>
      </c>
      <c r="DA208" s="783">
        <f>CZ208</f>
        <v>12257</v>
      </c>
      <c r="DB208" s="1436">
        <v>12103</v>
      </c>
      <c r="DC208" s="1706">
        <v>15646</v>
      </c>
      <c r="DD208" s="1706">
        <v>15241</v>
      </c>
      <c r="DE208" s="1706">
        <v>15068</v>
      </c>
      <c r="DF208" s="783">
        <f>DE208</f>
        <v>15068</v>
      </c>
      <c r="DG208" s="1706">
        <v>14878</v>
      </c>
      <c r="DH208" s="1706">
        <v>14552</v>
      </c>
      <c r="DI208" s="1706">
        <v>14493</v>
      </c>
      <c r="DJ208" s="1706">
        <v>14335</v>
      </c>
      <c r="DK208" s="1376">
        <f>DJ208</f>
        <v>14335</v>
      </c>
      <c r="DL208" s="1706">
        <v>13709</v>
      </c>
      <c r="DM208" s="1706">
        <v>13528</v>
      </c>
      <c r="DN208" s="1706">
        <v>13535</v>
      </c>
      <c r="DO208" s="2289">
        <v>13642</v>
      </c>
      <c r="DP208" s="2252">
        <f>DO208</f>
        <v>13642</v>
      </c>
      <c r="DQ208" s="1706">
        <v>13693</v>
      </c>
      <c r="DR208" s="829">
        <f ca="1">DQ208-DR372-DR358-DR375</f>
        <v>13779.56208316704</v>
      </c>
      <c r="DS208" s="829">
        <f ca="1">DR208-DS372-DS358-DS375</f>
        <v>13883.890467197562</v>
      </c>
      <c r="DT208" s="1677">
        <f ca="1">DS208-DT372-DT358-DT375</f>
        <v>13903.806255584812</v>
      </c>
      <c r="DU208" s="1437">
        <f ca="1">DT208</f>
        <v>13903.806255584812</v>
      </c>
      <c r="DV208" s="829">
        <f ca="1">DU208-DV372-DV358-DV375</f>
        <v>13838.854243305557</v>
      </c>
      <c r="DW208" s="829">
        <f ca="1">DV208-DW372-DW358-DW375</f>
        <v>13655.13082444276</v>
      </c>
      <c r="DX208" s="829">
        <f ca="1">DW208-DX372-DX358-DX375</f>
        <v>13493.436684445885</v>
      </c>
      <c r="DY208" s="1677">
        <f ca="1">DX208-DY372-DY358-DY375</f>
        <v>13515.990640804774</v>
      </c>
      <c r="DZ208" s="1437">
        <f ca="1">DY208</f>
        <v>13515.990640804774</v>
      </c>
      <c r="EA208" s="829">
        <f ca="1">DZ208-EA372-EA358-EA375</f>
        <v>13450.655674973294</v>
      </c>
      <c r="EB208" s="829">
        <f ca="1">EA208-EB372-EB358-EB375</f>
        <v>13264.496237707108</v>
      </c>
      <c r="EC208" s="829">
        <f ca="1">EB208-EC372-EC358-EC375</f>
        <v>13100.354971856459</v>
      </c>
      <c r="ED208" s="1677">
        <f ca="1">EC208-ED372-ED358-ED375</f>
        <v>13123.676019679593</v>
      </c>
      <c r="EE208" s="1437">
        <f ca="1">ED208</f>
        <v>13123.676019679593</v>
      </c>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row>
    <row r="209" spans="2:232" s="54" customFormat="1" ht="11.25" hidden="1" customHeight="1" outlineLevel="1">
      <c r="B209" s="561" t="s">
        <v>76</v>
      </c>
      <c r="C209" s="64"/>
      <c r="D209" s="64"/>
      <c r="E209" s="64"/>
      <c r="F209" s="406"/>
      <c r="G209" s="406"/>
      <c r="H209" s="406"/>
      <c r="I209" s="406"/>
      <c r="J209" s="406"/>
      <c r="K209" s="406"/>
      <c r="L209" s="406"/>
      <c r="M209" s="406"/>
      <c r="N209" s="406"/>
      <c r="O209" s="406"/>
      <c r="P209" s="406"/>
      <c r="Q209" s="406"/>
      <c r="R209" s="406"/>
      <c r="S209" s="406"/>
      <c r="T209" s="406"/>
      <c r="U209" s="406"/>
      <c r="V209" s="406"/>
      <c r="W209" s="406"/>
      <c r="X209" s="406"/>
      <c r="Y209" s="406">
        <v>2960.1</v>
      </c>
      <c r="Z209" s="406"/>
      <c r="AA209" s="406"/>
      <c r="AB209" s="406"/>
      <c r="AC209" s="406"/>
      <c r="AD209" s="406">
        <v>3472.7</v>
      </c>
      <c r="AE209" s="406"/>
      <c r="AF209" s="406"/>
      <c r="AG209" s="406"/>
      <c r="AH209" s="406"/>
      <c r="AI209" s="406">
        <v>4419.7</v>
      </c>
      <c r="AJ209" s="406"/>
      <c r="AK209" s="406"/>
      <c r="AL209" s="406"/>
      <c r="AM209" s="406"/>
      <c r="AN209" s="406">
        <v>5503.3</v>
      </c>
      <c r="AO209" s="406"/>
      <c r="AP209" s="406"/>
      <c r="AQ209" s="406"/>
      <c r="AR209" s="406"/>
      <c r="AS209" s="406">
        <v>5917.9</v>
      </c>
      <c r="AT209" s="406"/>
      <c r="AU209" s="406"/>
      <c r="AV209" s="406"/>
      <c r="AW209" s="406"/>
      <c r="AX209" s="406">
        <v>6362.3</v>
      </c>
      <c r="AY209" s="406"/>
      <c r="AZ209" s="406"/>
      <c r="BA209" s="406"/>
      <c r="BB209" s="406"/>
      <c r="BC209" s="406"/>
      <c r="BD209" s="406"/>
      <c r="BE209" s="406"/>
      <c r="BF209" s="406"/>
      <c r="BG209" s="406"/>
      <c r="BH209" s="406"/>
      <c r="BI209" s="406"/>
      <c r="BJ209" s="406"/>
      <c r="BK209" s="406"/>
      <c r="BL209" s="406"/>
      <c r="BM209" s="406"/>
      <c r="BN209" s="406"/>
      <c r="BO209" s="406"/>
      <c r="BP209" s="406"/>
      <c r="BQ209" s="406"/>
      <c r="BR209" s="406"/>
      <c r="BS209" s="121"/>
      <c r="BT209" s="73"/>
      <c r="BU209" s="73"/>
      <c r="BV209" s="75"/>
      <c r="BW209" s="406"/>
      <c r="BX209" s="121"/>
      <c r="BY209" s="73"/>
      <c r="BZ209" s="73"/>
      <c r="CA209" s="75"/>
      <c r="CB209" s="406"/>
      <c r="CC209" s="121"/>
      <c r="CD209" s="73"/>
      <c r="CE209" s="73"/>
      <c r="CF209" s="73"/>
      <c r="CG209" s="783"/>
      <c r="CH209" s="73"/>
      <c r="CI209" s="73"/>
      <c r="CJ209" s="73"/>
      <c r="CK209" s="73"/>
      <c r="CL209" s="783"/>
      <c r="CM209" s="73"/>
      <c r="CN209" s="73"/>
      <c r="CO209" s="73"/>
      <c r="CP209" s="75"/>
      <c r="CQ209" s="783"/>
      <c r="CR209" s="140"/>
      <c r="CS209" s="76"/>
      <c r="CT209" s="76"/>
      <c r="CU209" s="141"/>
      <c r="CV209" s="783"/>
      <c r="CW209" s="140"/>
      <c r="CX209" s="76"/>
      <c r="CY209" s="76"/>
      <c r="CZ209" s="141"/>
      <c r="DA209" s="783"/>
      <c r="DB209" s="1436"/>
      <c r="DC209" s="1549"/>
      <c r="DD209" s="1549"/>
      <c r="DE209" s="1549"/>
      <c r="DF209" s="783"/>
      <c r="DG209" s="1549"/>
      <c r="DH209" s="1549"/>
      <c r="DI209" s="1549"/>
      <c r="DJ209" s="1549"/>
      <c r="DK209" s="1376"/>
      <c r="DL209" s="1549"/>
      <c r="DM209" s="1549"/>
      <c r="DN209" s="1549"/>
      <c r="DO209" s="2216"/>
      <c r="DP209" s="2252"/>
      <c r="DQ209" s="1549"/>
      <c r="DR209" s="829"/>
      <c r="DS209" s="829"/>
      <c r="DT209" s="1677"/>
      <c r="DU209" s="1437"/>
      <c r="DV209" s="829"/>
      <c r="DW209" s="829"/>
      <c r="DX209" s="829"/>
      <c r="DY209" s="1677"/>
      <c r="DZ209" s="1437"/>
      <c r="EA209" s="829"/>
      <c r="EB209" s="829"/>
      <c r="EC209" s="829"/>
      <c r="ED209" s="1677"/>
      <c r="EE209" s="1437"/>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row>
    <row r="210" spans="2:232" s="54" customFormat="1" ht="11.25" hidden="1" customHeight="1" outlineLevel="1">
      <c r="B210" s="561" t="s">
        <v>77</v>
      </c>
      <c r="C210" s="64"/>
      <c r="D210" s="64"/>
      <c r="E210" s="64"/>
      <c r="F210" s="406"/>
      <c r="G210" s="406"/>
      <c r="H210" s="406"/>
      <c r="I210" s="406"/>
      <c r="J210" s="406"/>
      <c r="K210" s="406"/>
      <c r="L210" s="406"/>
      <c r="M210" s="406"/>
      <c r="N210" s="406"/>
      <c r="O210" s="406"/>
      <c r="P210" s="406"/>
      <c r="Q210" s="406"/>
      <c r="R210" s="406"/>
      <c r="S210" s="406"/>
      <c r="T210" s="406"/>
      <c r="U210" s="406"/>
      <c r="V210" s="406"/>
      <c r="W210" s="406"/>
      <c r="X210" s="406"/>
      <c r="Y210" s="406">
        <v>816.7</v>
      </c>
      <c r="Z210" s="406"/>
      <c r="AA210" s="406"/>
      <c r="AB210" s="406"/>
      <c r="AC210" s="406"/>
      <c r="AD210" s="406">
        <v>878.8</v>
      </c>
      <c r="AE210" s="406"/>
      <c r="AF210" s="406"/>
      <c r="AG210" s="406"/>
      <c r="AH210" s="406"/>
      <c r="AI210" s="406">
        <v>991.5</v>
      </c>
      <c r="AJ210" s="406"/>
      <c r="AK210" s="406"/>
      <c r="AL210" s="406"/>
      <c r="AM210" s="406"/>
      <c r="AN210" s="406">
        <v>1158</v>
      </c>
      <c r="AO210" s="406"/>
      <c r="AP210" s="406"/>
      <c r="AQ210" s="406"/>
      <c r="AR210" s="406"/>
      <c r="AS210" s="406">
        <v>1326.5</v>
      </c>
      <c r="AT210" s="406"/>
      <c r="AU210" s="406"/>
      <c r="AV210" s="406"/>
      <c r="AW210" s="406"/>
      <c r="AX210" s="406">
        <v>1422.3</v>
      </c>
      <c r="AY210" s="406"/>
      <c r="AZ210" s="406"/>
      <c r="BA210" s="406"/>
      <c r="BB210" s="406"/>
      <c r="BC210" s="406"/>
      <c r="BD210" s="406"/>
      <c r="BE210" s="406"/>
      <c r="BF210" s="406"/>
      <c r="BG210" s="406"/>
      <c r="BH210" s="406"/>
      <c r="BI210" s="406"/>
      <c r="BJ210" s="406"/>
      <c r="BK210" s="406"/>
      <c r="BL210" s="406"/>
      <c r="BM210" s="406"/>
      <c r="BN210" s="406"/>
      <c r="BO210" s="406"/>
      <c r="BP210" s="406"/>
      <c r="BQ210" s="406"/>
      <c r="BR210" s="406"/>
      <c r="BS210" s="121"/>
      <c r="BT210" s="73"/>
      <c r="BU210" s="73"/>
      <c r="BV210" s="75"/>
      <c r="BW210" s="406"/>
      <c r="BX210" s="121"/>
      <c r="BY210" s="73"/>
      <c r="BZ210" s="73"/>
      <c r="CA210" s="75"/>
      <c r="CB210" s="406"/>
      <c r="CC210" s="121"/>
      <c r="CD210" s="73"/>
      <c r="CE210" s="73"/>
      <c r="CF210" s="73"/>
      <c r="CG210" s="783"/>
      <c r="CH210" s="73"/>
      <c r="CI210" s="73"/>
      <c r="CJ210" s="73"/>
      <c r="CK210" s="73"/>
      <c r="CL210" s="783"/>
      <c r="CM210" s="73"/>
      <c r="CN210" s="73"/>
      <c r="CO210" s="73"/>
      <c r="CP210" s="75"/>
      <c r="CQ210" s="783"/>
      <c r="CR210" s="140"/>
      <c r="CS210" s="76"/>
      <c r="CT210" s="76"/>
      <c r="CU210" s="141"/>
      <c r="CV210" s="783"/>
      <c r="CW210" s="140"/>
      <c r="CX210" s="76"/>
      <c r="CY210" s="76"/>
      <c r="CZ210" s="141"/>
      <c r="DA210" s="783"/>
      <c r="DB210" s="1436"/>
      <c r="DC210" s="1549"/>
      <c r="DD210" s="1549"/>
      <c r="DE210" s="1549"/>
      <c r="DF210" s="783"/>
      <c r="DG210" s="1549"/>
      <c r="DH210" s="1549"/>
      <c r="DI210" s="1549"/>
      <c r="DJ210" s="1549"/>
      <c r="DK210" s="1376"/>
      <c r="DL210" s="1549"/>
      <c r="DM210" s="1549"/>
      <c r="DN210" s="1549"/>
      <c r="DO210" s="2216"/>
      <c r="DP210" s="2252"/>
      <c r="DQ210" s="1549"/>
      <c r="DR210" s="829"/>
      <c r="DS210" s="829"/>
      <c r="DT210" s="1677"/>
      <c r="DU210" s="1437"/>
      <c r="DV210" s="829"/>
      <c r="DW210" s="829"/>
      <c r="DX210" s="829"/>
      <c r="DY210" s="1677"/>
      <c r="DZ210" s="1437"/>
      <c r="EA210" s="829"/>
      <c r="EB210" s="829"/>
      <c r="EC210" s="829"/>
      <c r="ED210" s="1677"/>
      <c r="EE210" s="1437"/>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row>
    <row r="211" spans="2:232" s="54" customFormat="1" hidden="1" outlineLevel="1">
      <c r="B211" s="561" t="s">
        <v>153</v>
      </c>
      <c r="C211" s="64"/>
      <c r="D211" s="64"/>
      <c r="E211" s="64"/>
      <c r="F211" s="406"/>
      <c r="G211" s="406"/>
      <c r="H211" s="406"/>
      <c r="I211" s="406"/>
      <c r="J211" s="406"/>
      <c r="K211" s="406"/>
      <c r="L211" s="406"/>
      <c r="M211" s="406"/>
      <c r="N211" s="406"/>
      <c r="O211" s="406"/>
      <c r="P211" s="406"/>
      <c r="Q211" s="406"/>
      <c r="R211" s="406"/>
      <c r="S211" s="406"/>
      <c r="T211" s="406"/>
      <c r="U211" s="406"/>
      <c r="V211" s="406"/>
      <c r="W211" s="406"/>
      <c r="X211" s="406"/>
      <c r="Y211" s="406"/>
      <c r="Z211" s="406"/>
      <c r="AA211" s="406"/>
      <c r="AB211" s="406"/>
      <c r="AC211" s="406"/>
      <c r="AD211" s="406"/>
      <c r="AE211" s="406"/>
      <c r="AF211" s="406"/>
      <c r="AG211" s="406"/>
      <c r="AH211" s="406"/>
      <c r="AI211" s="406"/>
      <c r="AJ211" s="406"/>
      <c r="AK211" s="406"/>
      <c r="AL211" s="406"/>
      <c r="AM211" s="406"/>
      <c r="AN211" s="406"/>
      <c r="AO211" s="406"/>
      <c r="AP211" s="406"/>
      <c r="AQ211" s="406"/>
      <c r="AR211" s="406"/>
      <c r="AS211" s="406"/>
      <c r="AT211" s="406"/>
      <c r="AU211" s="406"/>
      <c r="AV211" s="406"/>
      <c r="AW211" s="406"/>
      <c r="AX211" s="406"/>
      <c r="AY211" s="406"/>
      <c r="AZ211" s="406"/>
      <c r="BA211" s="406"/>
      <c r="BB211" s="406"/>
      <c r="BC211" s="406"/>
      <c r="BD211" s="406"/>
      <c r="BE211" s="406"/>
      <c r="BF211" s="406"/>
      <c r="BG211" s="406"/>
      <c r="BH211" s="406"/>
      <c r="BI211" s="406"/>
      <c r="BJ211" s="406"/>
      <c r="BK211" s="406"/>
      <c r="BL211" s="406"/>
      <c r="BM211" s="406"/>
      <c r="BN211" s="406"/>
      <c r="BO211" s="406"/>
      <c r="BP211" s="406"/>
      <c r="BQ211" s="406"/>
      <c r="BR211" s="406"/>
      <c r="BS211" s="121"/>
      <c r="BT211" s="73"/>
      <c r="BU211" s="73"/>
      <c r="BV211" s="75"/>
      <c r="BW211" s="406"/>
      <c r="BX211" s="121"/>
      <c r="BY211" s="73"/>
      <c r="BZ211" s="73"/>
      <c r="CA211" s="75"/>
      <c r="CB211" s="406"/>
      <c r="CC211" s="121"/>
      <c r="CD211" s="73"/>
      <c r="CE211" s="73"/>
      <c r="CF211" s="73"/>
      <c r="CG211" s="783"/>
      <c r="CH211" s="73"/>
      <c r="CI211" s="73"/>
      <c r="CJ211" s="73"/>
      <c r="CK211" s="73"/>
      <c r="CL211" s="783"/>
      <c r="CM211" s="73"/>
      <c r="CN211" s="73"/>
      <c r="CO211" s="73"/>
      <c r="CP211" s="75">
        <f>6140+866</f>
        <v>7006</v>
      </c>
      <c r="CQ211" s="783">
        <f>CP211</f>
        <v>7006</v>
      </c>
      <c r="CR211" s="140">
        <f>6112+876</f>
        <v>6988</v>
      </c>
      <c r="CS211" s="76">
        <v>6181</v>
      </c>
      <c r="CT211" s="76">
        <v>6205</v>
      </c>
      <c r="CU211" s="141">
        <v>6261</v>
      </c>
      <c r="CV211" s="783">
        <f>CU211</f>
        <v>6261</v>
      </c>
      <c r="CW211" s="140">
        <f>6439+856</f>
        <v>7295</v>
      </c>
      <c r="CX211" s="76">
        <f>6804+904</f>
        <v>7708</v>
      </c>
      <c r="CY211" s="76">
        <v>7035</v>
      </c>
      <c r="CZ211" s="141">
        <v>7248</v>
      </c>
      <c r="DA211" s="783">
        <f>CZ211</f>
        <v>7248</v>
      </c>
      <c r="DB211" s="1436">
        <v>7335</v>
      </c>
      <c r="DC211" s="1706">
        <v>0</v>
      </c>
      <c r="DD211" s="1706">
        <f t="shared" ref="DD211:DI211" si="532">DC211</f>
        <v>0</v>
      </c>
      <c r="DE211" s="1706">
        <f t="shared" si="532"/>
        <v>0</v>
      </c>
      <c r="DF211" s="783">
        <f t="shared" si="532"/>
        <v>0</v>
      </c>
      <c r="DG211" s="1706">
        <f t="shared" si="532"/>
        <v>0</v>
      </c>
      <c r="DH211" s="1706">
        <f t="shared" si="532"/>
        <v>0</v>
      </c>
      <c r="DI211" s="1706">
        <f t="shared" si="532"/>
        <v>0</v>
      </c>
      <c r="DJ211" s="1706">
        <v>0</v>
      </c>
      <c r="DK211" s="1376">
        <f>DJ211</f>
        <v>0</v>
      </c>
      <c r="DL211" s="1706">
        <v>0</v>
      </c>
      <c r="DM211" s="1706">
        <v>0</v>
      </c>
      <c r="DN211" s="1706">
        <v>0</v>
      </c>
      <c r="DO211" s="2289">
        <v>0</v>
      </c>
      <c r="DP211" s="2252">
        <f>DO211</f>
        <v>0</v>
      </c>
      <c r="DQ211" s="1706">
        <v>0</v>
      </c>
      <c r="DR211" s="829">
        <f>DQ211-DR385</f>
        <v>0</v>
      </c>
      <c r="DS211" s="829">
        <f>DR211-DS385</f>
        <v>0</v>
      </c>
      <c r="DT211" s="1677">
        <f>DS211-DT385</f>
        <v>0</v>
      </c>
      <c r="DU211" s="1437">
        <f>DT211</f>
        <v>0</v>
      </c>
      <c r="DV211" s="829">
        <f>DT211-DV385</f>
        <v>0</v>
      </c>
      <c r="DW211" s="829">
        <f>DV211-DW385</f>
        <v>0</v>
      </c>
      <c r="DX211" s="829">
        <f>DW211-DX385</f>
        <v>0</v>
      </c>
      <c r="DY211" s="1677">
        <f>DX211-DY385</f>
        <v>0</v>
      </c>
      <c r="DZ211" s="1437">
        <f>DY211</f>
        <v>0</v>
      </c>
      <c r="EA211" s="829">
        <f>DY211-EA385</f>
        <v>0</v>
      </c>
      <c r="EB211" s="829">
        <f>EA211-EB385</f>
        <v>0</v>
      </c>
      <c r="EC211" s="829">
        <f>EB211-EC385</f>
        <v>0</v>
      </c>
      <c r="ED211" s="1677">
        <f>EC211-ED385</f>
        <v>0</v>
      </c>
      <c r="EE211" s="1437">
        <f>ED211</f>
        <v>0</v>
      </c>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row>
    <row r="212" spans="2:232" s="54" customFormat="1" collapsed="1">
      <c r="B212" s="561" t="s">
        <v>79</v>
      </c>
      <c r="C212" s="64"/>
      <c r="D212" s="64"/>
      <c r="E212" s="64"/>
      <c r="F212" s="406">
        <v>37.918999999999997</v>
      </c>
      <c r="G212" s="406">
        <v>91.164000000000001</v>
      </c>
      <c r="H212" s="406">
        <v>144.72499999999999</v>
      </c>
      <c r="I212" s="406">
        <v>150.45099999999999</v>
      </c>
      <c r="J212" s="406">
        <v>190.72800000000001</v>
      </c>
      <c r="K212" s="406"/>
      <c r="L212" s="406"/>
      <c r="M212" s="406"/>
      <c r="N212" s="406"/>
      <c r="O212" s="406">
        <v>166.24</v>
      </c>
      <c r="P212" s="406"/>
      <c r="Q212" s="406"/>
      <c r="R212" s="406"/>
      <c r="S212" s="406"/>
      <c r="T212" s="406">
        <v>127.17400000000001</v>
      </c>
      <c r="U212" s="406"/>
      <c r="V212" s="406"/>
      <c r="W212" s="406"/>
      <c r="X212" s="406"/>
      <c r="Y212" s="406">
        <v>135.08600000000001</v>
      </c>
      <c r="Z212" s="406"/>
      <c r="AA212" s="406"/>
      <c r="AB212" s="406"/>
      <c r="AC212" s="406"/>
      <c r="AD212" s="406">
        <v>91.1</v>
      </c>
      <c r="AE212" s="406"/>
      <c r="AF212" s="406"/>
      <c r="AG212" s="406"/>
      <c r="AH212" s="406"/>
      <c r="AI212" s="406">
        <v>125.4</v>
      </c>
      <c r="AJ212" s="406"/>
      <c r="AK212" s="406"/>
      <c r="AL212" s="406"/>
      <c r="AM212" s="406"/>
      <c r="AN212" s="406">
        <v>94.6</v>
      </c>
      <c r="AO212" s="406"/>
      <c r="AP212" s="406"/>
      <c r="AQ212" s="406"/>
      <c r="AR212" s="406"/>
      <c r="AS212" s="406">
        <v>120.9</v>
      </c>
      <c r="AT212" s="406"/>
      <c r="AU212" s="406"/>
      <c r="AV212" s="406"/>
      <c r="AW212" s="406"/>
      <c r="AX212" s="406">
        <v>107.8</v>
      </c>
      <c r="AY212" s="406"/>
      <c r="AZ212" s="406"/>
      <c r="BA212" s="406"/>
      <c r="BB212" s="406"/>
      <c r="BC212" s="406">
        <v>131.30000000000001</v>
      </c>
      <c r="BD212" s="406"/>
      <c r="BE212" s="406"/>
      <c r="BF212" s="406"/>
      <c r="BG212" s="406"/>
      <c r="BH212" s="406">
        <v>127.3</v>
      </c>
      <c r="BI212" s="406"/>
      <c r="BJ212" s="406"/>
      <c r="BK212" s="406"/>
      <c r="BL212" s="406"/>
      <c r="BM212" s="406">
        <v>476.8</v>
      </c>
      <c r="BN212" s="406"/>
      <c r="BO212" s="406"/>
      <c r="BP212" s="406"/>
      <c r="BQ212" s="406"/>
      <c r="BR212" s="406">
        <v>543</v>
      </c>
      <c r="BS212" s="121">
        <v>573</v>
      </c>
      <c r="BT212" s="73">
        <v>584.4</v>
      </c>
      <c r="BU212" s="73">
        <v>678.2</v>
      </c>
      <c r="BV212" s="75">
        <f>BW212</f>
        <v>763.7</v>
      </c>
      <c r="BW212" s="406">
        <v>763.7</v>
      </c>
      <c r="BX212" s="121">
        <v>771</v>
      </c>
      <c r="BY212" s="73">
        <v>805</v>
      </c>
      <c r="BZ212" s="73">
        <v>833</v>
      </c>
      <c r="CA212" s="75">
        <f>CB212</f>
        <v>830</v>
      </c>
      <c r="CB212" s="406">
        <v>830</v>
      </c>
      <c r="CC212" s="121">
        <v>843</v>
      </c>
      <c r="CD212" s="73">
        <v>804</v>
      </c>
      <c r="CE212" s="73">
        <v>1323</v>
      </c>
      <c r="CF212" s="73">
        <v>1887</v>
      </c>
      <c r="CG212" s="783">
        <v>1282</v>
      </c>
      <c r="CH212" s="73">
        <v>1896</v>
      </c>
      <c r="CI212" s="73">
        <v>1898</v>
      </c>
      <c r="CJ212" s="73">
        <v>1898</v>
      </c>
      <c r="CK212" s="73">
        <v>2017</v>
      </c>
      <c r="CL212" s="783">
        <v>1589</v>
      </c>
      <c r="CM212" s="73">
        <v>2017</v>
      </c>
      <c r="CN212" s="73">
        <v>1629</v>
      </c>
      <c r="CO212" s="73">
        <v>2168</v>
      </c>
      <c r="CP212" s="415">
        <f>1497</f>
        <v>1497</v>
      </c>
      <c r="CQ212" s="783">
        <f>CP212</f>
        <v>1497</v>
      </c>
      <c r="CR212" s="248">
        <v>1595</v>
      </c>
      <c r="CS212" s="189">
        <f>884+1632</f>
        <v>2516</v>
      </c>
      <c r="CT212" s="76">
        <f>837+1753</f>
        <v>2590</v>
      </c>
      <c r="CU212" s="141">
        <f>1959+839</f>
        <v>2798</v>
      </c>
      <c r="CV212" s="783">
        <f>CU212</f>
        <v>2798</v>
      </c>
      <c r="CW212" s="248">
        <v>2622</v>
      </c>
      <c r="CX212" s="1549">
        <v>2746</v>
      </c>
      <c r="CY212" s="1549">
        <f>924+3051</f>
        <v>3975</v>
      </c>
      <c r="CZ212" s="1550">
        <v>3076</v>
      </c>
      <c r="DA212" s="783">
        <f>CZ212</f>
        <v>3076</v>
      </c>
      <c r="DB212" s="1552">
        <v>3538</v>
      </c>
      <c r="DC212" s="1706">
        <v>5727</v>
      </c>
      <c r="DD212" s="1706">
        <v>5784</v>
      </c>
      <c r="DE212" s="1706">
        <v>5334</v>
      </c>
      <c r="DF212" s="783">
        <f>DE212</f>
        <v>5334</v>
      </c>
      <c r="DG212" s="1706">
        <v>5313</v>
      </c>
      <c r="DH212" s="1706">
        <v>4537</v>
      </c>
      <c r="DI212" s="1706">
        <v>5469</v>
      </c>
      <c r="DJ212" s="1706">
        <f>6174+467</f>
        <v>6641</v>
      </c>
      <c r="DK212" s="2051">
        <f>DJ212</f>
        <v>6641</v>
      </c>
      <c r="DL212" s="1706">
        <f>6136+468</f>
        <v>6604</v>
      </c>
      <c r="DM212" s="1706">
        <f>6164+440</f>
        <v>6604</v>
      </c>
      <c r="DN212" s="1706">
        <f>6323+439</f>
        <v>6762</v>
      </c>
      <c r="DO212" s="2289">
        <f>6320+506</f>
        <v>6826</v>
      </c>
      <c r="DP212" s="2216">
        <f>DO212</f>
        <v>6826</v>
      </c>
      <c r="DQ212" s="1706">
        <f>6028+697</f>
        <v>6725</v>
      </c>
      <c r="DR212" s="1834">
        <f>DQ212-DR357</f>
        <v>6801.2020615468136</v>
      </c>
      <c r="DS212" s="1834">
        <f>DR212-DS357</f>
        <v>6896.6365398591106</v>
      </c>
      <c r="DT212" s="1679">
        <f>DS212-DT357</f>
        <v>6979.7550023267013</v>
      </c>
      <c r="DU212" s="1554">
        <f>DT212</f>
        <v>6979.7550023267013</v>
      </c>
      <c r="DV212" s="1834">
        <f>DU212-DV357</f>
        <v>7058.0507327220339</v>
      </c>
      <c r="DW212" s="1834">
        <f>DV212-DW357</f>
        <v>7134.5593647263104</v>
      </c>
      <c r="DX212" s="1834">
        <f>DW212-DX357</f>
        <v>7226.4118801353734</v>
      </c>
      <c r="DY212" s="1679">
        <f>DX212-DY357</f>
        <v>7311.9947569400792</v>
      </c>
      <c r="DZ212" s="2216">
        <f>DY212</f>
        <v>7311.9947569400792</v>
      </c>
      <c r="EA212" s="1834">
        <f>DZ212-EA357</f>
        <v>7390.2904873354119</v>
      </c>
      <c r="EB212" s="1834">
        <f>EA212-EB357</f>
        <v>7466.7991193396883</v>
      </c>
      <c r="EC212" s="1834">
        <f>EB212-EC357</f>
        <v>7558.6516347487513</v>
      </c>
      <c r="ED212" s="1679">
        <f>EC212-ED357</f>
        <v>7644.2345115534572</v>
      </c>
      <c r="EE212" s="2216">
        <f>ED212</f>
        <v>7644.2345115534572</v>
      </c>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row>
    <row r="213" spans="2:232" s="54" customFormat="1">
      <c r="B213" s="623" t="s">
        <v>384</v>
      </c>
      <c r="C213" s="270"/>
      <c r="D213" s="270"/>
      <c r="E213" s="270"/>
      <c r="F213" s="739"/>
      <c r="G213" s="739"/>
      <c r="H213" s="739"/>
      <c r="I213" s="739"/>
      <c r="J213" s="739"/>
      <c r="K213" s="739"/>
      <c r="L213" s="739"/>
      <c r="M213" s="739"/>
      <c r="N213" s="739"/>
      <c r="O213" s="739"/>
      <c r="P213" s="739"/>
      <c r="Q213" s="739"/>
      <c r="R213" s="739"/>
      <c r="S213" s="739"/>
      <c r="T213" s="739"/>
      <c r="U213" s="739"/>
      <c r="V213" s="739"/>
      <c r="W213" s="739"/>
      <c r="X213" s="739"/>
      <c r="Y213" s="739"/>
      <c r="Z213" s="739"/>
      <c r="AA213" s="739"/>
      <c r="AB213" s="739"/>
      <c r="AC213" s="739"/>
      <c r="AD213" s="739"/>
      <c r="AE213" s="739"/>
      <c r="AF213" s="739"/>
      <c r="AG213" s="739"/>
      <c r="AH213" s="739"/>
      <c r="AI213" s="739"/>
      <c r="AJ213" s="739"/>
      <c r="AK213" s="739"/>
      <c r="AL213" s="739"/>
      <c r="AM213" s="739"/>
      <c r="AN213" s="739">
        <v>0</v>
      </c>
      <c r="AO213" s="739"/>
      <c r="AP213" s="739"/>
      <c r="AQ213" s="739"/>
      <c r="AR213" s="739"/>
      <c r="AS213" s="739">
        <v>0</v>
      </c>
      <c r="AT213" s="739"/>
      <c r="AU213" s="739"/>
      <c r="AV213" s="739"/>
      <c r="AW213" s="739"/>
      <c r="AX213" s="739">
        <v>0</v>
      </c>
      <c r="AY213" s="739"/>
      <c r="AZ213" s="739"/>
      <c r="BA213" s="739"/>
      <c r="BB213" s="739"/>
      <c r="BC213" s="739">
        <v>0</v>
      </c>
      <c r="BD213" s="739"/>
      <c r="BE213" s="739"/>
      <c r="BF213" s="739"/>
      <c r="BG213" s="739"/>
      <c r="BH213" s="739">
        <v>0</v>
      </c>
      <c r="BI213" s="739"/>
      <c r="BJ213" s="739"/>
      <c r="BK213" s="739"/>
      <c r="BL213" s="739"/>
      <c r="BM213" s="739">
        <v>0</v>
      </c>
      <c r="BN213" s="739"/>
      <c r="BO213" s="739"/>
      <c r="BP213" s="739"/>
      <c r="BQ213" s="739"/>
      <c r="BR213" s="739">
        <v>1060.2</v>
      </c>
      <c r="BS213" s="436">
        <v>1066</v>
      </c>
      <c r="BT213" s="269">
        <v>1079.3</v>
      </c>
      <c r="BU213" s="269">
        <v>1418.2</v>
      </c>
      <c r="BV213" s="437">
        <f>BW213</f>
        <v>1437.6</v>
      </c>
      <c r="BW213" s="739">
        <v>1437.6</v>
      </c>
      <c r="BX213" s="436">
        <v>1433</v>
      </c>
      <c r="BY213" s="269">
        <v>1451</v>
      </c>
      <c r="BZ213" s="269">
        <v>1463</v>
      </c>
      <c r="CA213" s="437">
        <f>CB213</f>
        <v>1461</v>
      </c>
      <c r="CB213" s="739">
        <v>1461</v>
      </c>
      <c r="CC213" s="436">
        <v>1467</v>
      </c>
      <c r="CD213" s="269">
        <v>1480</v>
      </c>
      <c r="CE213" s="269">
        <v>1894</v>
      </c>
      <c r="CF213" s="269">
        <v>1282</v>
      </c>
      <c r="CG213" s="790">
        <v>1887</v>
      </c>
      <c r="CH213" s="269">
        <v>1288</v>
      </c>
      <c r="CI213" s="269">
        <v>1295</v>
      </c>
      <c r="CJ213" s="269">
        <v>1283</v>
      </c>
      <c r="CK213" s="269">
        <v>1589</v>
      </c>
      <c r="CL213" s="790">
        <v>2017</v>
      </c>
      <c r="CM213" s="269">
        <v>1606</v>
      </c>
      <c r="CN213" s="269">
        <v>2078</v>
      </c>
      <c r="CO213" s="269">
        <v>1671</v>
      </c>
      <c r="CP213" s="713">
        <v>2161</v>
      </c>
      <c r="CQ213" s="790">
        <f>CP213</f>
        <v>2161</v>
      </c>
      <c r="CR213" s="714">
        <v>2404</v>
      </c>
      <c r="CS213" s="715">
        <v>2387</v>
      </c>
      <c r="CT213" s="283">
        <v>2400</v>
      </c>
      <c r="CU213" s="740">
        <v>2410</v>
      </c>
      <c r="CV213" s="790">
        <f>CU213</f>
        <v>2410</v>
      </c>
      <c r="CW213" s="714">
        <v>2491</v>
      </c>
      <c r="CX213" s="1537">
        <v>2455</v>
      </c>
      <c r="CY213" s="1537">
        <v>2365</v>
      </c>
      <c r="CZ213" s="1551">
        <v>2359</v>
      </c>
      <c r="DA213" s="790">
        <f>CZ213</f>
        <v>2359</v>
      </c>
      <c r="DB213" s="1553">
        <v>2356</v>
      </c>
      <c r="DC213" s="1537">
        <f>17044+12225</f>
        <v>29269</v>
      </c>
      <c r="DD213" s="1537">
        <f>17361+11229</f>
        <v>28590</v>
      </c>
      <c r="DE213" s="1537">
        <f>16372+12351</f>
        <v>28723</v>
      </c>
      <c r="DF213" s="790">
        <f>DE213</f>
        <v>28723</v>
      </c>
      <c r="DG213" s="1537">
        <f>16195+12040</f>
        <v>28235</v>
      </c>
      <c r="DH213" s="1537">
        <f>15796+11122</f>
        <v>26918</v>
      </c>
      <c r="DI213" s="1537">
        <f>16102+11556</f>
        <v>27658</v>
      </c>
      <c r="DJ213" s="1537">
        <f>15527+10302</f>
        <v>25829</v>
      </c>
      <c r="DK213" s="2052">
        <f>DJ213</f>
        <v>25829</v>
      </c>
      <c r="DL213" s="1537">
        <f>15203+9728</f>
        <v>24931</v>
      </c>
      <c r="DM213" s="1537">
        <f>15214+9650</f>
        <v>24864</v>
      </c>
      <c r="DN213" s="1537">
        <f>15516+10208</f>
        <v>25724</v>
      </c>
      <c r="DO213" s="1555">
        <f>15632+10156</f>
        <v>25788</v>
      </c>
      <c r="DP213" s="1555">
        <f>DO213</f>
        <v>25788</v>
      </c>
      <c r="DQ213" s="1537">
        <f>15931+10588</f>
        <v>26519</v>
      </c>
      <c r="DR213" s="1835">
        <f>DQ213</f>
        <v>26519</v>
      </c>
      <c r="DS213" s="1835">
        <f>DR213</f>
        <v>26519</v>
      </c>
      <c r="DT213" s="1680">
        <f>DS213</f>
        <v>26519</v>
      </c>
      <c r="DU213" s="1555">
        <f>DT213</f>
        <v>26519</v>
      </c>
      <c r="DV213" s="1835">
        <f>DU213</f>
        <v>26519</v>
      </c>
      <c r="DW213" s="1835">
        <f>DV213</f>
        <v>26519</v>
      </c>
      <c r="DX213" s="1835">
        <f>DW213</f>
        <v>26519</v>
      </c>
      <c r="DY213" s="1680">
        <f>DX213</f>
        <v>26519</v>
      </c>
      <c r="DZ213" s="1555">
        <f>DY213</f>
        <v>26519</v>
      </c>
      <c r="EA213" s="1835">
        <f>DZ213</f>
        <v>26519</v>
      </c>
      <c r="EB213" s="1835">
        <f>EA213</f>
        <v>26519</v>
      </c>
      <c r="EC213" s="1835">
        <f>EB213</f>
        <v>26519</v>
      </c>
      <c r="ED213" s="1680">
        <f>EC213</f>
        <v>26519</v>
      </c>
      <c r="EE213" s="1555">
        <f>ED213</f>
        <v>26519</v>
      </c>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row>
    <row r="214" spans="2:232" s="419" customFormat="1" ht="11.25" hidden="1" customHeight="1">
      <c r="B214" s="734" t="s">
        <v>372</v>
      </c>
      <c r="C214" s="172"/>
      <c r="D214" s="172"/>
      <c r="E214" s="172"/>
      <c r="F214" s="416"/>
      <c r="G214" s="416"/>
      <c r="H214" s="416"/>
      <c r="I214" s="416"/>
      <c r="J214" s="416"/>
      <c r="K214" s="416"/>
      <c r="L214" s="416"/>
      <c r="M214" s="416"/>
      <c r="N214" s="416"/>
      <c r="O214" s="416"/>
      <c r="P214" s="416"/>
      <c r="Q214" s="416"/>
      <c r="R214" s="416"/>
      <c r="S214" s="416"/>
      <c r="T214" s="416"/>
      <c r="U214" s="416"/>
      <c r="V214" s="416"/>
      <c r="W214" s="416"/>
      <c r="X214" s="416"/>
      <c r="Y214" s="416"/>
      <c r="Z214" s="416"/>
      <c r="AA214" s="416"/>
      <c r="AB214" s="416"/>
      <c r="AC214" s="416"/>
      <c r="AD214" s="416"/>
      <c r="AE214" s="416"/>
      <c r="AF214" s="416"/>
      <c r="AG214" s="416"/>
      <c r="AH214" s="416"/>
      <c r="AI214" s="416"/>
      <c r="AJ214" s="416"/>
      <c r="AK214" s="416"/>
      <c r="AL214" s="416"/>
      <c r="AM214" s="416"/>
      <c r="AN214" s="417">
        <v>0</v>
      </c>
      <c r="AO214" s="417"/>
      <c r="AP214" s="417"/>
      <c r="AQ214" s="417"/>
      <c r="AR214" s="417"/>
      <c r="AS214" s="417">
        <v>0</v>
      </c>
      <c r="AT214" s="417"/>
      <c r="AU214" s="417"/>
      <c r="AV214" s="417"/>
      <c r="AW214" s="417"/>
      <c r="AX214" s="417">
        <v>0</v>
      </c>
      <c r="AY214" s="417"/>
      <c r="AZ214" s="417"/>
      <c r="BA214" s="417"/>
      <c r="BB214" s="417"/>
      <c r="BC214" s="417">
        <v>0</v>
      </c>
      <c r="BD214" s="417"/>
      <c r="BE214" s="417"/>
      <c r="BF214" s="417"/>
      <c r="BG214" s="417"/>
      <c r="BH214" s="417">
        <v>0</v>
      </c>
      <c r="BI214" s="417"/>
      <c r="BJ214" s="417"/>
      <c r="BK214" s="417"/>
      <c r="BL214" s="417"/>
      <c r="BM214" s="417">
        <v>0</v>
      </c>
      <c r="BN214" s="417"/>
      <c r="BO214" s="417"/>
      <c r="BP214" s="417"/>
      <c r="BQ214" s="417"/>
      <c r="BR214" s="417">
        <v>0</v>
      </c>
      <c r="BS214" s="418"/>
      <c r="BT214" s="316"/>
      <c r="BU214" s="316"/>
      <c r="BV214" s="415"/>
      <c r="BW214" s="417">
        <v>0</v>
      </c>
      <c r="BX214" s="418"/>
      <c r="BY214" s="316"/>
      <c r="BZ214" s="316"/>
      <c r="CA214" s="415"/>
      <c r="CB214" s="417">
        <v>0</v>
      </c>
      <c r="CC214" s="418"/>
      <c r="CD214" s="316"/>
      <c r="CE214" s="316"/>
      <c r="CF214" s="316"/>
      <c r="CG214" s="785">
        <v>0</v>
      </c>
      <c r="CH214" s="316"/>
      <c r="CI214" s="316"/>
      <c r="CJ214" s="316"/>
      <c r="CK214" s="316"/>
      <c r="CL214" s="785">
        <v>0</v>
      </c>
      <c r="CM214" s="316"/>
      <c r="CN214" s="316"/>
      <c r="CO214" s="316"/>
      <c r="CP214" s="415"/>
      <c r="CQ214" s="785">
        <v>0</v>
      </c>
      <c r="CR214" s="248"/>
      <c r="CS214" s="189"/>
      <c r="CT214" s="189"/>
      <c r="CU214" s="190"/>
      <c r="CV214" s="785">
        <v>0</v>
      </c>
      <c r="CW214" s="248"/>
      <c r="CX214" s="189"/>
      <c r="CY214" s="189"/>
      <c r="CZ214" s="190"/>
      <c r="DA214" s="785">
        <v>0</v>
      </c>
      <c r="DB214" s="1440"/>
      <c r="DC214" s="189"/>
      <c r="DD214" s="189"/>
      <c r="DE214" s="189"/>
      <c r="DF214" s="785">
        <v>0</v>
      </c>
      <c r="DG214" s="189"/>
      <c r="DH214" s="189"/>
      <c r="DI214" s="189"/>
      <c r="DJ214" s="189"/>
      <c r="DK214" s="1681">
        <v>0</v>
      </c>
      <c r="DL214" s="189"/>
      <c r="DM214" s="189"/>
      <c r="DN214" s="189"/>
      <c r="DO214" s="2272"/>
      <c r="DP214" s="2254">
        <v>0</v>
      </c>
      <c r="DQ214" s="189"/>
      <c r="DR214" s="1836"/>
      <c r="DS214" s="1836"/>
      <c r="DT214" s="1837"/>
      <c r="DU214" s="785">
        <v>0</v>
      </c>
      <c r="DV214" s="1836"/>
      <c r="DW214" s="1836"/>
      <c r="DX214" s="1836"/>
      <c r="DY214" s="1837"/>
      <c r="DZ214" s="2217">
        <v>0</v>
      </c>
      <c r="EA214" s="1836"/>
      <c r="EB214" s="1836"/>
      <c r="EC214" s="1836"/>
      <c r="ED214" s="1837"/>
      <c r="EE214" s="2217">
        <v>0</v>
      </c>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row>
    <row r="215" spans="2:232" s="419" customFormat="1" ht="11.25" hidden="1" customHeight="1">
      <c r="B215" s="734" t="s">
        <v>419</v>
      </c>
      <c r="C215" s="172"/>
      <c r="D215" s="709"/>
      <c r="E215" s="709"/>
      <c r="F215" s="710"/>
      <c r="G215" s="710"/>
      <c r="H215" s="710"/>
      <c r="I215" s="710"/>
      <c r="J215" s="710"/>
      <c r="K215" s="710"/>
      <c r="L215" s="710"/>
      <c r="M215" s="710"/>
      <c r="N215" s="710"/>
      <c r="O215" s="710"/>
      <c r="P215" s="710"/>
      <c r="Q215" s="710"/>
      <c r="R215" s="710"/>
      <c r="S215" s="710"/>
      <c r="T215" s="710"/>
      <c r="U215" s="710"/>
      <c r="V215" s="710"/>
      <c r="W215" s="710"/>
      <c r="X215" s="710"/>
      <c r="Y215" s="710"/>
      <c r="Z215" s="710"/>
      <c r="AA215" s="710"/>
      <c r="AB215" s="710"/>
      <c r="AC215" s="710"/>
      <c r="AD215" s="710"/>
      <c r="AE215" s="710"/>
      <c r="AF215" s="710"/>
      <c r="AG215" s="710"/>
      <c r="AH215" s="710"/>
      <c r="AI215" s="710"/>
      <c r="AJ215" s="710"/>
      <c r="AK215" s="710"/>
      <c r="AL215" s="710"/>
      <c r="AM215" s="710"/>
      <c r="AN215" s="711">
        <v>0</v>
      </c>
      <c r="AO215" s="711"/>
      <c r="AP215" s="711"/>
      <c r="AQ215" s="711"/>
      <c r="AR215" s="711"/>
      <c r="AS215" s="711">
        <v>0</v>
      </c>
      <c r="AT215" s="711"/>
      <c r="AU215" s="711"/>
      <c r="AV215" s="711"/>
      <c r="AW215" s="711"/>
      <c r="AX215" s="711">
        <v>0</v>
      </c>
      <c r="AY215" s="711"/>
      <c r="AZ215" s="711"/>
      <c r="BA215" s="711"/>
      <c r="BB215" s="711"/>
      <c r="BC215" s="711">
        <v>0</v>
      </c>
      <c r="BD215" s="711"/>
      <c r="BE215" s="711"/>
      <c r="BF215" s="711"/>
      <c r="BG215" s="711"/>
      <c r="BH215" s="711">
        <v>0</v>
      </c>
      <c r="BI215" s="711"/>
      <c r="BJ215" s="711"/>
      <c r="BK215" s="711"/>
      <c r="BL215" s="711"/>
      <c r="BM215" s="711">
        <v>0</v>
      </c>
      <c r="BN215" s="711"/>
      <c r="BO215" s="711"/>
      <c r="BP215" s="711"/>
      <c r="BQ215" s="711"/>
      <c r="BR215" s="711">
        <v>0</v>
      </c>
      <c r="BS215" s="712"/>
      <c r="BT215" s="630"/>
      <c r="BU215" s="630"/>
      <c r="BV215" s="713"/>
      <c r="BW215" s="711">
        <v>0</v>
      </c>
      <c r="BX215" s="712"/>
      <c r="BY215" s="630"/>
      <c r="BZ215" s="630"/>
      <c r="CA215" s="713"/>
      <c r="CB215" s="711">
        <v>0</v>
      </c>
      <c r="CC215" s="712"/>
      <c r="CD215" s="630"/>
      <c r="CE215" s="630"/>
      <c r="CF215" s="630"/>
      <c r="CG215" s="786">
        <v>0</v>
      </c>
      <c r="CH215" s="630"/>
      <c r="CI215" s="630"/>
      <c r="CJ215" s="630"/>
      <c r="CK215" s="630"/>
      <c r="CL215" s="786">
        <v>0</v>
      </c>
      <c r="CM215" s="630"/>
      <c r="CN215" s="630"/>
      <c r="CO215" s="630"/>
      <c r="CP215" s="713"/>
      <c r="CQ215" s="786">
        <v>0</v>
      </c>
      <c r="CR215" s="714"/>
      <c r="CS215" s="715"/>
      <c r="CT215" s="715"/>
      <c r="CU215" s="716"/>
      <c r="CV215" s="786">
        <v>0</v>
      </c>
      <c r="CW215" s="714"/>
      <c r="CX215" s="715"/>
      <c r="CY215" s="715"/>
      <c r="CZ215" s="716"/>
      <c r="DA215" s="786">
        <v>0</v>
      </c>
      <c r="DB215" s="1441"/>
      <c r="DC215" s="715"/>
      <c r="DD215" s="715"/>
      <c r="DE215" s="715"/>
      <c r="DF215" s="786">
        <v>0</v>
      </c>
      <c r="DG215" s="715"/>
      <c r="DH215" s="715"/>
      <c r="DI215" s="715"/>
      <c r="DJ215" s="715"/>
      <c r="DK215" s="1682">
        <v>0</v>
      </c>
      <c r="DL215" s="715"/>
      <c r="DM215" s="715"/>
      <c r="DN215" s="715"/>
      <c r="DO215" s="2273"/>
      <c r="DP215" s="2218">
        <v>0</v>
      </c>
      <c r="DQ215" s="715"/>
      <c r="DR215" s="1838"/>
      <c r="DS215" s="1838"/>
      <c r="DT215" s="1839"/>
      <c r="DU215" s="786">
        <v>0</v>
      </c>
      <c r="DV215" s="1838"/>
      <c r="DW215" s="1838"/>
      <c r="DX215" s="1838"/>
      <c r="DY215" s="1839"/>
      <c r="DZ215" s="2218">
        <v>0</v>
      </c>
      <c r="EA215" s="1838"/>
      <c r="EB215" s="1838"/>
      <c r="EC215" s="1838"/>
      <c r="ED215" s="1839"/>
      <c r="EE215" s="2218">
        <v>0</v>
      </c>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row>
    <row r="216" spans="2:232" s="161" customFormat="1">
      <c r="B216" s="735" t="s">
        <v>80</v>
      </c>
      <c r="C216" s="699" t="s">
        <v>414</v>
      </c>
      <c r="D216" s="705"/>
      <c r="E216" s="705"/>
      <c r="F216" s="700">
        <f>F208+F212+F206</f>
        <v>2094.6369999999997</v>
      </c>
      <c r="G216" s="700">
        <f>G208+G212+G206</f>
        <v>2373.5500000000002</v>
      </c>
      <c r="H216" s="700">
        <f>H208+H212+H206</f>
        <v>2535.1909999999998</v>
      </c>
      <c r="I216" s="700">
        <f>I208+I212+I206</f>
        <v>2908.7490000000003</v>
      </c>
      <c r="J216" s="700">
        <f>J208+J212+J206</f>
        <v>3252.607</v>
      </c>
      <c r="K216" s="700"/>
      <c r="L216" s="700"/>
      <c r="M216" s="700"/>
      <c r="N216" s="700"/>
      <c r="O216" s="700">
        <f>O208+O212+O206</f>
        <v>3633.6459999999997</v>
      </c>
      <c r="P216" s="700"/>
      <c r="Q216" s="700"/>
      <c r="R216" s="700"/>
      <c r="S216" s="700"/>
      <c r="T216" s="700">
        <f>T208+T212+T206</f>
        <v>4207.0619999999999</v>
      </c>
      <c r="U216" s="700"/>
      <c r="V216" s="700"/>
      <c r="W216" s="700"/>
      <c r="X216" s="700"/>
      <c r="Y216" s="700">
        <f>Y208+Y212+Y206</f>
        <v>4901.6129999999994</v>
      </c>
      <c r="Z216" s="700"/>
      <c r="AA216" s="700"/>
      <c r="AB216" s="700"/>
      <c r="AC216" s="700"/>
      <c r="AD216" s="700">
        <f>AD208+AD212+AD206</f>
        <v>5906.6999999999989</v>
      </c>
      <c r="AE216" s="700"/>
      <c r="AF216" s="700"/>
      <c r="AG216" s="700"/>
      <c r="AH216" s="700"/>
      <c r="AI216" s="700">
        <f>AI208+AI212+AI206</f>
        <v>7103.7000000000007</v>
      </c>
      <c r="AJ216" s="700"/>
      <c r="AK216" s="700"/>
      <c r="AL216" s="700"/>
      <c r="AM216" s="700"/>
      <c r="AN216" s="700">
        <f>AN208+AN212+AN206</f>
        <v>8833.8000000000011</v>
      </c>
      <c r="AO216" s="700"/>
      <c r="AP216" s="700"/>
      <c r="AQ216" s="700"/>
      <c r="AR216" s="700"/>
      <c r="AS216" s="700">
        <f>AS208+AS212+AS206</f>
        <v>10117.199999999999</v>
      </c>
      <c r="AT216" s="700"/>
      <c r="AU216" s="700"/>
      <c r="AV216" s="700"/>
      <c r="AW216" s="700"/>
      <c r="AX216" s="700">
        <f>AX208+AX212+AX206</f>
        <v>11656.800000000001</v>
      </c>
      <c r="AY216" s="700"/>
      <c r="AZ216" s="700"/>
      <c r="BA216" s="700"/>
      <c r="BB216" s="700"/>
      <c r="BC216" s="700">
        <f>BC208+BC212+BC206</f>
        <v>13342.10000043593</v>
      </c>
      <c r="BD216" s="700"/>
      <c r="BE216" s="700"/>
      <c r="BF216" s="700"/>
      <c r="BG216" s="700"/>
      <c r="BH216" s="700">
        <f>BH208+BH212+BH206</f>
        <v>14608.800000435931</v>
      </c>
      <c r="BI216" s="700"/>
      <c r="BJ216" s="700"/>
      <c r="BK216" s="700"/>
      <c r="BL216" s="700"/>
      <c r="BM216" s="700">
        <f>BM208+BM212+BM206</f>
        <v>17131.100000435934</v>
      </c>
      <c r="BN216" s="700"/>
      <c r="BO216" s="700"/>
      <c r="BP216" s="700"/>
      <c r="BQ216" s="700"/>
      <c r="BR216" s="700">
        <f>BR208+BR212+BR206+BR213+BR211</f>
        <v>19313.60000043593</v>
      </c>
      <c r="BS216" s="706">
        <f>BS206+BS208+BS212+BS213</f>
        <v>20476</v>
      </c>
      <c r="BT216" s="707">
        <f>BT206+BT208+BT212+BT213</f>
        <v>20748.3</v>
      </c>
      <c r="BU216" s="707">
        <f>BU206+BU208+BU212+BU213</f>
        <v>21587.600000000002</v>
      </c>
      <c r="BV216" s="708">
        <f>BV206+BV208+BV212+BV213</f>
        <v>22410.200000435929</v>
      </c>
      <c r="BW216" s="700">
        <f>BW208+BW212+BW206+BW213+BW211</f>
        <v>22410.200000435929</v>
      </c>
      <c r="BX216" s="706">
        <f>BX206+BX208+BX212+BX213</f>
        <v>24512.700000435929</v>
      </c>
      <c r="BY216" s="707">
        <f>BY206+BY208+BY212+BY213</f>
        <v>24824.700000435929</v>
      </c>
      <c r="BZ216" s="707">
        <f>BZ206+BZ208+BZ212+BZ213</f>
        <v>25142.700000435929</v>
      </c>
      <c r="CA216" s="708">
        <f>CA206+CA208+CA212+CA213</f>
        <v>25142.000000435928</v>
      </c>
      <c r="CB216" s="700">
        <f>CB208+CB212+CB206+CB213+CB211</f>
        <v>25142.000000435928</v>
      </c>
      <c r="CC216" s="706">
        <f>CC206+CC208+CC212+CC213</f>
        <v>26547.700000435929</v>
      </c>
      <c r="CD216" s="707">
        <f>CD206+CD208+CD212+CD213</f>
        <v>26333.700000435929</v>
      </c>
      <c r="CE216" s="707">
        <f>CE206+CE208+CE212+CE213</f>
        <v>26706.700000435929</v>
      </c>
      <c r="CF216" s="707">
        <f>CF206+CF208+CF212+CF213</f>
        <v>26274.700000435929</v>
      </c>
      <c r="CG216" s="787">
        <f>CG208+CG212+CG206+CG213+CG211</f>
        <v>26275</v>
      </c>
      <c r="CH216" s="707">
        <f>CH206+CH208+CH212+CH213</f>
        <v>27043.700000435929</v>
      </c>
      <c r="CI216" s="707">
        <f>CI206+CI208+CI212+CI213</f>
        <v>26877.700000435929</v>
      </c>
      <c r="CJ216" s="707">
        <f>CJ206+CJ208+CJ212+CJ213</f>
        <v>27315.700000435929</v>
      </c>
      <c r="CK216" s="707">
        <f>CK206+CK208+CK212+CK213</f>
        <v>27453.700000435929</v>
      </c>
      <c r="CL216" s="787">
        <f>CL208+CL212+CL206+CL213+CL211</f>
        <v>27454</v>
      </c>
      <c r="CM216" s="707">
        <f>CM206+CM208+CM212+CM213+CM211</f>
        <v>27428.700000435929</v>
      </c>
      <c r="CN216" s="707">
        <f>CN206+CN208+CN212+CN213+CN211</f>
        <v>26621.700000435929</v>
      </c>
      <c r="CO216" s="707">
        <f>CO206+CO208+CO212+CO213+CO211</f>
        <v>27198.700000435929</v>
      </c>
      <c r="CP216" s="708">
        <f>CP206+CP208+CP212+CP213+CP211</f>
        <v>33461.700000435929</v>
      </c>
      <c r="CQ216" s="787">
        <f>CQ208+CQ212+CQ206+CQ213+CQ211</f>
        <v>33461.700000435929</v>
      </c>
      <c r="CR216" s="706">
        <f>CR206+CR208+CR212+CR213+CR211</f>
        <v>35258.700000435929</v>
      </c>
      <c r="CS216" s="707">
        <f>CS206+CS208+CS212+CS213+CS211</f>
        <v>35563.700000435929</v>
      </c>
      <c r="CT216" s="707">
        <f>CT206+CT208+CT212+CT213+CT211</f>
        <v>35840.700000435929</v>
      </c>
      <c r="CU216" s="708">
        <f>CU206+CU208+CU212+CU213+CU211</f>
        <v>35481</v>
      </c>
      <c r="CV216" s="787">
        <f>CV208+CV212+CV206+CV213+CV211</f>
        <v>35481</v>
      </c>
      <c r="CW216" s="706">
        <f>CW206+CW208+CW212+CW213+CW211</f>
        <v>36481</v>
      </c>
      <c r="CX216" s="707">
        <f>CX206+CX208+CX212+CX213+CX211</f>
        <v>37081</v>
      </c>
      <c r="CY216" s="707">
        <f>CY206+CY208+CY212+CY213+CY211</f>
        <v>37391</v>
      </c>
      <c r="CZ216" s="708">
        <f>CZ206+CZ208+CZ212+CZ213+CZ211</f>
        <v>37182</v>
      </c>
      <c r="DA216" s="787">
        <f>DA208+DA212+DA206+DA213+DA211</f>
        <v>37182</v>
      </c>
      <c r="DB216" s="1442">
        <f t="shared" ref="DB216:DU216" si="533">DB206+DB208+DB212+DB213+DB211</f>
        <v>48612</v>
      </c>
      <c r="DC216" s="707">
        <f t="shared" si="533"/>
        <v>71357</v>
      </c>
      <c r="DD216" s="707">
        <f t="shared" si="533"/>
        <v>70644</v>
      </c>
      <c r="DE216" s="707">
        <f t="shared" si="533"/>
        <v>68782</v>
      </c>
      <c r="DF216" s="787">
        <f t="shared" si="533"/>
        <v>68782</v>
      </c>
      <c r="DG216" s="707">
        <f t="shared" ref="DG216:DH216" si="534">DG206+DG208+DG212+DG213+DG211</f>
        <v>68657</v>
      </c>
      <c r="DH216" s="707">
        <f t="shared" si="534"/>
        <v>66385</v>
      </c>
      <c r="DI216" s="707">
        <f t="shared" ref="DI216:DJ216" si="535">DI206+DI208+DI212+DI213+DI211</f>
        <v>67333</v>
      </c>
      <c r="DJ216" s="707">
        <f t="shared" si="535"/>
        <v>72688</v>
      </c>
      <c r="DK216" s="2053">
        <f t="shared" si="533"/>
        <v>72688</v>
      </c>
      <c r="DL216" s="707">
        <f t="shared" si="533"/>
        <v>71912</v>
      </c>
      <c r="DM216" s="707">
        <f t="shared" ref="DM216:DN216" si="536">DM206+DM208+DM212+DM213+DM211</f>
        <v>72505</v>
      </c>
      <c r="DN216" s="707">
        <f t="shared" si="536"/>
        <v>74173</v>
      </c>
      <c r="DO216" s="1443">
        <f t="shared" ref="DO216:DQ216" si="537">DO206+DO208+DO212+DO213+DO211</f>
        <v>66009</v>
      </c>
      <c r="DP216" s="1443">
        <f t="shared" si="533"/>
        <v>66009</v>
      </c>
      <c r="DQ216" s="707">
        <f t="shared" si="537"/>
        <v>66618</v>
      </c>
      <c r="DR216" s="1840">
        <f t="shared" ca="1" si="533"/>
        <v>68022.826048802279</v>
      </c>
      <c r="DS216" s="1840">
        <f t="shared" ca="1" si="533"/>
        <v>68732.449216870591</v>
      </c>
      <c r="DT216" s="1674">
        <f t="shared" ca="1" si="533"/>
        <v>70368.946327769518</v>
      </c>
      <c r="DU216" s="1443">
        <f t="shared" ca="1" si="533"/>
        <v>70368.946327769518</v>
      </c>
      <c r="DV216" s="1840">
        <f t="shared" ref="DV216:DZ216" ca="1" si="538">DV206+DV208+DV212+DV213+DV211</f>
        <v>69414.097983949876</v>
      </c>
      <c r="DW216" s="1840">
        <f t="shared" ca="1" si="538"/>
        <v>68220.115054440801</v>
      </c>
      <c r="DX216" s="1840">
        <f t="shared" ca="1" si="538"/>
        <v>67781.172145972349</v>
      </c>
      <c r="DY216" s="1674">
        <f t="shared" ca="1" si="538"/>
        <v>68577.147169295771</v>
      </c>
      <c r="DZ216" s="1443">
        <f t="shared" ca="1" si="538"/>
        <v>68577.147169295771</v>
      </c>
      <c r="EA216" s="1840">
        <f t="shared" ref="EA216:EE216" ca="1" si="539">EA206+EA208+EA212+EA213+EA211</f>
        <v>69288.732493823292</v>
      </c>
      <c r="EB216" s="1840">
        <f t="shared" ca="1" si="539"/>
        <v>68261.487019372173</v>
      </c>
      <c r="EC216" s="1840">
        <f t="shared" ca="1" si="539"/>
        <v>68015.22367728746</v>
      </c>
      <c r="ED216" s="1674">
        <f t="shared" ca="1" si="539"/>
        <v>68669.295954431698</v>
      </c>
      <c r="EE216" s="1443">
        <f t="shared" ca="1" si="539"/>
        <v>68669.295954431698</v>
      </c>
      <c r="EF216" s="704"/>
      <c r="EG216" s="704"/>
      <c r="EH216"/>
      <c r="EI216"/>
      <c r="EJ216"/>
      <c r="EK216"/>
      <c r="EL216"/>
      <c r="EM216"/>
      <c r="EN216" s="704"/>
      <c r="EO216" s="704"/>
      <c r="EP216" s="704"/>
      <c r="EQ216" s="704"/>
      <c r="ER216" s="704"/>
      <c r="ES216" s="704"/>
      <c r="ET216" s="704"/>
      <c r="EU216" s="704"/>
      <c r="EV216" s="704"/>
      <c r="EW216" s="704"/>
      <c r="EX216" s="704"/>
      <c r="EY216" s="704"/>
      <c r="EZ216" s="704"/>
      <c r="FA216" s="704"/>
      <c r="FB216" s="704"/>
      <c r="FC216" s="704"/>
      <c r="FD216" s="704"/>
      <c r="FE216" s="704"/>
      <c r="FF216" s="704"/>
      <c r="FG216" s="704"/>
      <c r="FH216" s="704"/>
      <c r="FI216" s="704"/>
      <c r="FJ216" s="704"/>
      <c r="FK216" s="704"/>
      <c r="FL216" s="704"/>
      <c r="FM216" s="704"/>
      <c r="FN216" s="704"/>
      <c r="FO216" s="704"/>
      <c r="FP216" s="704"/>
      <c r="FQ216" s="704"/>
      <c r="FR216" s="704"/>
      <c r="FS216" s="704"/>
      <c r="FT216" s="704"/>
      <c r="FU216" s="704"/>
      <c r="FV216" s="704"/>
      <c r="FW216" s="704"/>
      <c r="FX216" s="704"/>
      <c r="FY216" s="704"/>
      <c r="FZ216" s="704"/>
      <c r="GA216" s="704"/>
      <c r="GB216" s="704"/>
      <c r="GC216" s="704"/>
      <c r="GD216" s="704"/>
      <c r="GE216" s="704"/>
      <c r="GF216" s="704"/>
      <c r="GG216" s="704"/>
      <c r="GH216" s="704"/>
      <c r="GI216" s="704"/>
      <c r="GJ216" s="704"/>
      <c r="GK216" s="704"/>
      <c r="GL216" s="704"/>
      <c r="GM216" s="704"/>
      <c r="GN216" s="704"/>
      <c r="GO216" s="704"/>
      <c r="GP216" s="704"/>
      <c r="GQ216" s="704"/>
      <c r="GR216" s="704"/>
      <c r="GS216" s="704"/>
      <c r="GT216" s="704"/>
      <c r="GU216" s="704"/>
      <c r="GV216" s="704"/>
      <c r="GW216" s="704"/>
      <c r="GX216" s="704"/>
      <c r="GY216" s="704"/>
      <c r="GZ216" s="704"/>
      <c r="HA216" s="704"/>
      <c r="HB216" s="704"/>
      <c r="HC216" s="704"/>
      <c r="HD216" s="704"/>
      <c r="HE216" s="704"/>
      <c r="HF216" s="704"/>
      <c r="HG216" s="704"/>
      <c r="HH216" s="704"/>
      <c r="HI216" s="704"/>
      <c r="HJ216" s="704"/>
      <c r="HK216" s="704"/>
      <c r="HL216" s="704"/>
      <c r="HM216" s="704"/>
      <c r="HN216" s="704"/>
      <c r="HO216" s="704"/>
      <c r="HP216" s="704"/>
      <c r="HQ216" s="704"/>
      <c r="HR216" s="704"/>
      <c r="HS216" s="704"/>
      <c r="HT216" s="704"/>
      <c r="HU216" s="704"/>
      <c r="HV216" s="704"/>
      <c r="HW216" s="704"/>
      <c r="HX216" s="704"/>
    </row>
    <row r="217" spans="2:232" s="54" customFormat="1">
      <c r="B217" s="538"/>
      <c r="C217" s="64"/>
      <c r="D217" s="64"/>
      <c r="E217" s="64"/>
      <c r="F217" s="73"/>
      <c r="G217" s="73"/>
      <c r="H217" s="279"/>
      <c r="I217" s="73"/>
      <c r="J217" s="73"/>
      <c r="K217" s="73"/>
      <c r="L217" s="73"/>
      <c r="M217" s="73"/>
      <c r="N217" s="73"/>
      <c r="O217" s="73"/>
      <c r="P217" s="73"/>
      <c r="Q217" s="73"/>
      <c r="R217" s="73"/>
      <c r="S217" s="73"/>
      <c r="T217" s="73"/>
      <c r="U217" s="73"/>
      <c r="V217" s="73"/>
      <c r="W217" s="73"/>
      <c r="X217" s="73"/>
      <c r="Y217" s="73"/>
      <c r="Z217" s="73"/>
      <c r="AA217" s="73"/>
      <c r="AB217" s="73"/>
      <c r="AC217" s="73"/>
      <c r="AD217" s="73"/>
      <c r="AE217" s="73"/>
      <c r="AF217" s="73"/>
      <c r="AG217" s="73"/>
      <c r="AH217" s="73"/>
      <c r="AI217" s="119"/>
      <c r="AJ217" s="119"/>
      <c r="AK217" s="119"/>
      <c r="AL217" s="119"/>
      <c r="AM217" s="119"/>
      <c r="AN217" s="119"/>
      <c r="AO217" s="119"/>
      <c r="AP217" s="119"/>
      <c r="AQ217" s="119"/>
      <c r="AR217" s="119"/>
      <c r="AS217" s="119"/>
      <c r="AT217" s="119"/>
      <c r="AU217" s="119"/>
      <c r="AV217" s="119"/>
      <c r="AW217" s="119"/>
      <c r="AX217" s="119"/>
      <c r="AY217" s="119"/>
      <c r="AZ217" s="119"/>
      <c r="BA217" s="119"/>
      <c r="BB217" s="119"/>
      <c r="BC217" s="119"/>
      <c r="BD217" s="119"/>
      <c r="BE217" s="119"/>
      <c r="BF217" s="119"/>
      <c r="BG217" s="119"/>
      <c r="BH217" s="119"/>
      <c r="BI217" s="119"/>
      <c r="BJ217" s="119"/>
      <c r="BK217" s="119"/>
      <c r="BL217" s="119"/>
      <c r="BM217" s="119"/>
      <c r="BN217" s="119"/>
      <c r="BO217" s="119"/>
      <c r="BP217" s="119"/>
      <c r="BQ217" s="119"/>
      <c r="BR217" s="119"/>
      <c r="BS217" s="118"/>
      <c r="BT217" s="119"/>
      <c r="BU217" s="119"/>
      <c r="BV217" s="120"/>
      <c r="BW217" s="119"/>
      <c r="BX217" s="118"/>
      <c r="BY217" s="119"/>
      <c r="BZ217" s="119"/>
      <c r="CA217" s="120"/>
      <c r="CB217" s="420"/>
      <c r="CC217" s="118"/>
      <c r="CD217" s="119"/>
      <c r="CE217" s="119"/>
      <c r="CF217" s="119"/>
      <c r="CG217" s="788"/>
      <c r="CH217" s="421"/>
      <c r="CI217" s="421"/>
      <c r="CJ217" s="421"/>
      <c r="CK217" s="421"/>
      <c r="CL217" s="895"/>
      <c r="CM217" s="421"/>
      <c r="CN217" s="421"/>
      <c r="CO217" s="421"/>
      <c r="CP217" s="422"/>
      <c r="CQ217" s="895"/>
      <c r="CR217" s="423"/>
      <c r="CS217" s="133"/>
      <c r="CT217" s="133"/>
      <c r="CU217" s="424"/>
      <c r="CV217" s="895"/>
      <c r="CW217" s="423"/>
      <c r="CX217" s="133"/>
      <c r="CY217" s="133"/>
      <c r="CZ217" s="424"/>
      <c r="DA217" s="895"/>
      <c r="DB217" s="1444"/>
      <c r="DC217" s="133"/>
      <c r="DD217" s="133"/>
      <c r="DE217" s="133"/>
      <c r="DF217" s="895"/>
      <c r="DG217" s="133"/>
      <c r="DH217" s="133"/>
      <c r="DI217" s="133"/>
      <c r="DJ217" s="133"/>
      <c r="DK217" s="1376"/>
      <c r="DL217" s="133"/>
      <c r="DM217" s="133"/>
      <c r="DN217" s="133"/>
      <c r="DO217" s="2255"/>
      <c r="DP217" s="2255"/>
      <c r="DQ217" s="133"/>
      <c r="DR217" s="829"/>
      <c r="DS217" s="829"/>
      <c r="DT217" s="1677"/>
      <c r="DU217" s="1445"/>
      <c r="DV217" s="829"/>
      <c r="DW217" s="829"/>
      <c r="DX217" s="829"/>
      <c r="DY217" s="1677"/>
      <c r="DZ217" s="1445"/>
      <c r="EA217" s="829"/>
      <c r="EB217" s="829"/>
      <c r="EC217" s="829"/>
      <c r="ED217" s="1677"/>
      <c r="EE217" s="1445"/>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row>
    <row r="218" spans="2:232" s="54" customFormat="1">
      <c r="B218" s="576" t="s">
        <v>78</v>
      </c>
      <c r="C218" s="64"/>
      <c r="D218" s="64"/>
      <c r="E218" s="64"/>
      <c r="F218" s="73"/>
      <c r="G218" s="73"/>
      <c r="H218" s="279"/>
      <c r="I218" s="73"/>
      <c r="J218" s="73"/>
      <c r="K218" s="73"/>
      <c r="L218" s="73"/>
      <c r="M218" s="73"/>
      <c r="N218" s="73"/>
      <c r="O218" s="73"/>
      <c r="P218" s="73"/>
      <c r="Q218" s="73"/>
      <c r="R218" s="73"/>
      <c r="S218" s="73"/>
      <c r="T218" s="73"/>
      <c r="U218" s="73"/>
      <c r="V218" s="73"/>
      <c r="W218" s="73"/>
      <c r="X218" s="73"/>
      <c r="Y218" s="73"/>
      <c r="Z218" s="73"/>
      <c r="AA218" s="73"/>
      <c r="AB218" s="73"/>
      <c r="AC218" s="73"/>
      <c r="AD218" s="73"/>
      <c r="AE218" s="73"/>
      <c r="AF218" s="73"/>
      <c r="AG218" s="73"/>
      <c r="AH218" s="73"/>
      <c r="AI218" s="73"/>
      <c r="AJ218" s="73"/>
      <c r="AK218" s="73"/>
      <c r="AL218" s="73"/>
      <c r="AM218" s="73"/>
      <c r="AN218" s="73"/>
      <c r="AO218" s="73"/>
      <c r="AP218" s="73"/>
      <c r="AQ218" s="73"/>
      <c r="AR218" s="73"/>
      <c r="AS218" s="73"/>
      <c r="AT218" s="73"/>
      <c r="AU218" s="73"/>
      <c r="AV218" s="73"/>
      <c r="AW218" s="73"/>
      <c r="AX218" s="73"/>
      <c r="AY218" s="73"/>
      <c r="AZ218" s="73"/>
      <c r="BA218" s="73"/>
      <c r="BB218" s="73"/>
      <c r="BC218" s="73"/>
      <c r="BD218" s="73"/>
      <c r="BE218" s="73"/>
      <c r="BF218" s="73"/>
      <c r="BG218" s="73"/>
      <c r="BH218" s="73"/>
      <c r="BI218" s="73"/>
      <c r="BJ218" s="73"/>
      <c r="BK218" s="73"/>
      <c r="BL218" s="73"/>
      <c r="BM218" s="73"/>
      <c r="BN218" s="73"/>
      <c r="BO218" s="73"/>
      <c r="BP218" s="73"/>
      <c r="BQ218" s="73"/>
      <c r="BR218" s="73"/>
      <c r="BS218" s="121"/>
      <c r="BT218" s="73"/>
      <c r="BU218" s="73"/>
      <c r="BV218" s="75"/>
      <c r="BW218" s="73"/>
      <c r="BX218" s="121"/>
      <c r="BY218" s="73"/>
      <c r="BZ218" s="73"/>
      <c r="CA218" s="75"/>
      <c r="CB218" s="73"/>
      <c r="CC218" s="121"/>
      <c r="CD218" s="73"/>
      <c r="CE218" s="73"/>
      <c r="CF218" s="73"/>
      <c r="CG218" s="777"/>
      <c r="CH218" s="73"/>
      <c r="CI218" s="73"/>
      <c r="CJ218" s="73"/>
      <c r="CK218" s="73"/>
      <c r="CL218" s="777"/>
      <c r="CM218" s="73"/>
      <c r="CN218" s="73"/>
      <c r="CO218" s="73"/>
      <c r="CP218" s="75"/>
      <c r="CQ218" s="777"/>
      <c r="CR218" s="140"/>
      <c r="CS218" s="76"/>
      <c r="CT218" s="76"/>
      <c r="CU218" s="141"/>
      <c r="CV218" s="777"/>
      <c r="CW218" s="140"/>
      <c r="CX218" s="76"/>
      <c r="CY218" s="76"/>
      <c r="CZ218" s="141"/>
      <c r="DA218" s="777"/>
      <c r="DB218" s="1436"/>
      <c r="DC218" s="76"/>
      <c r="DD218" s="76"/>
      <c r="DE218" s="76"/>
      <c r="DF218" s="777"/>
      <c r="DG218" s="76"/>
      <c r="DH218" s="76"/>
      <c r="DI218" s="76"/>
      <c r="DJ218" s="76"/>
      <c r="DK218" s="1376"/>
      <c r="DL218" s="76"/>
      <c r="DM218" s="76"/>
      <c r="DN218" s="76"/>
      <c r="DO218" s="2252"/>
      <c r="DP218" s="2252"/>
      <c r="DQ218" s="76"/>
      <c r="DR218" s="829"/>
      <c r="DS218" s="829"/>
      <c r="DT218" s="1677"/>
      <c r="DU218" s="1437"/>
      <c r="DV218" s="829"/>
      <c r="DW218" s="829"/>
      <c r="DX218" s="829"/>
      <c r="DY218" s="1677"/>
      <c r="DZ218" s="1437"/>
      <c r="EA218" s="829"/>
      <c r="EB218" s="829"/>
      <c r="EC218" s="829"/>
      <c r="ED218" s="1677"/>
      <c r="EE218" s="1437"/>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row>
    <row r="219" spans="2:232" s="54" customFormat="1">
      <c r="B219" s="561" t="s">
        <v>6</v>
      </c>
      <c r="C219" s="64"/>
      <c r="D219" s="64"/>
      <c r="E219" s="64"/>
      <c r="F219" s="406">
        <v>0</v>
      </c>
      <c r="G219" s="406">
        <v>0</v>
      </c>
      <c r="H219" s="406">
        <v>0</v>
      </c>
      <c r="I219" s="406">
        <v>0</v>
      </c>
      <c r="J219" s="406">
        <v>0</v>
      </c>
      <c r="K219" s="406"/>
      <c r="L219" s="406"/>
      <c r="M219" s="406"/>
      <c r="N219" s="406"/>
      <c r="O219" s="406">
        <v>0</v>
      </c>
      <c r="P219" s="406"/>
      <c r="Q219" s="406"/>
      <c r="R219" s="406"/>
      <c r="S219" s="406"/>
      <c r="T219" s="406">
        <v>0</v>
      </c>
      <c r="U219" s="406"/>
      <c r="V219" s="406"/>
      <c r="W219" s="406"/>
      <c r="X219" s="406"/>
      <c r="Y219" s="406">
        <v>0</v>
      </c>
      <c r="Z219" s="406"/>
      <c r="AA219" s="406"/>
      <c r="AB219" s="406"/>
      <c r="AC219" s="406"/>
      <c r="AD219" s="406">
        <v>0</v>
      </c>
      <c r="AE219" s="406"/>
      <c r="AF219" s="406"/>
      <c r="AG219" s="406"/>
      <c r="AH219" s="406"/>
      <c r="AI219" s="406">
        <v>0</v>
      </c>
      <c r="AJ219" s="406"/>
      <c r="AK219" s="406"/>
      <c r="AL219" s="406"/>
      <c r="AM219" s="406"/>
      <c r="AN219" s="406">
        <v>440.7</v>
      </c>
      <c r="AO219" s="406"/>
      <c r="AP219" s="406"/>
      <c r="AQ219" s="406"/>
      <c r="AR219" s="406"/>
      <c r="AS219" s="406">
        <v>0</v>
      </c>
      <c r="AT219" s="406"/>
      <c r="AU219" s="406"/>
      <c r="AV219" s="406"/>
      <c r="AW219" s="406"/>
      <c r="AX219" s="406">
        <v>0</v>
      </c>
      <c r="AY219" s="406"/>
      <c r="AZ219" s="406"/>
      <c r="BA219" s="406"/>
      <c r="BB219" s="406"/>
      <c r="BC219" s="406">
        <v>0</v>
      </c>
      <c r="BD219" s="406"/>
      <c r="BE219" s="406"/>
      <c r="BF219" s="406"/>
      <c r="BG219" s="406"/>
      <c r="BH219" s="406">
        <v>0</v>
      </c>
      <c r="BI219" s="406"/>
      <c r="BJ219" s="406"/>
      <c r="BK219" s="406"/>
      <c r="BL219" s="406"/>
      <c r="BM219" s="406">
        <v>0</v>
      </c>
      <c r="BN219" s="406"/>
      <c r="BO219" s="406"/>
      <c r="BP219" s="406"/>
      <c r="BQ219" s="406">
        <v>1</v>
      </c>
      <c r="BR219" s="406">
        <v>878.5</v>
      </c>
      <c r="BS219" s="121">
        <v>1176</v>
      </c>
      <c r="BT219" s="73">
        <v>727.8</v>
      </c>
      <c r="BU219" s="73">
        <v>1136.3</v>
      </c>
      <c r="BV219" s="75">
        <f>BW219</f>
        <v>83</v>
      </c>
      <c r="BW219" s="406">
        <v>83</v>
      </c>
      <c r="BX219" s="121">
        <v>1080</v>
      </c>
      <c r="BY219" s="73">
        <v>12</v>
      </c>
      <c r="BZ219" s="73">
        <v>10</v>
      </c>
      <c r="CA219" s="75">
        <f>CB219</f>
        <v>15</v>
      </c>
      <c r="CB219" s="406">
        <v>15</v>
      </c>
      <c r="CC219" s="121">
        <v>13</v>
      </c>
      <c r="CD219" s="73">
        <v>8</v>
      </c>
      <c r="CE219" s="73">
        <v>9</v>
      </c>
      <c r="CF219" s="73">
        <v>12</v>
      </c>
      <c r="CG219" s="783">
        <v>12</v>
      </c>
      <c r="CH219" s="73">
        <v>13</v>
      </c>
      <c r="CI219" s="73">
        <v>13</v>
      </c>
      <c r="CJ219" s="73">
        <v>11</v>
      </c>
      <c r="CK219" s="73">
        <v>13</v>
      </c>
      <c r="CL219" s="783">
        <v>13</v>
      </c>
      <c r="CM219" s="73">
        <v>11</v>
      </c>
      <c r="CN219" s="73">
        <v>12</v>
      </c>
      <c r="CO219" s="73">
        <v>13</v>
      </c>
      <c r="CP219" s="75">
        <v>1319</v>
      </c>
      <c r="CQ219" s="783">
        <f>CP219</f>
        <v>1319</v>
      </c>
      <c r="CR219" s="140">
        <v>1316</v>
      </c>
      <c r="CS219" s="76">
        <v>1299</v>
      </c>
      <c r="CT219" s="76">
        <v>1865</v>
      </c>
      <c r="CU219" s="141">
        <v>570</v>
      </c>
      <c r="CV219" s="783">
        <f>CU219</f>
        <v>570</v>
      </c>
      <c r="CW219" s="140">
        <v>571</v>
      </c>
      <c r="CX219" s="76">
        <v>577</v>
      </c>
      <c r="CY219" s="76">
        <v>780</v>
      </c>
      <c r="CZ219" s="141">
        <v>774</v>
      </c>
      <c r="DA219" s="783">
        <f>CZ219</f>
        <v>774</v>
      </c>
      <c r="DB219" s="1436">
        <v>774</v>
      </c>
      <c r="DC219" s="1706">
        <v>1061</v>
      </c>
      <c r="DD219" s="1706">
        <v>1192</v>
      </c>
      <c r="DE219" s="1706">
        <v>1068</v>
      </c>
      <c r="DF219" s="783">
        <f t="shared" ref="DF219:DU219" si="540">DE219</f>
        <v>1068</v>
      </c>
      <c r="DG219" s="1706">
        <v>1083</v>
      </c>
      <c r="DH219" s="1706">
        <v>1052</v>
      </c>
      <c r="DI219" s="1706">
        <v>374</v>
      </c>
      <c r="DJ219" s="1706">
        <v>323</v>
      </c>
      <c r="DK219" s="1376">
        <f t="shared" si="540"/>
        <v>323</v>
      </c>
      <c r="DL219" s="1706">
        <v>1095</v>
      </c>
      <c r="DM219" s="1706">
        <v>1153</v>
      </c>
      <c r="DN219" s="1706">
        <v>4838</v>
      </c>
      <c r="DO219" s="2289">
        <v>251</v>
      </c>
      <c r="DP219" s="2252">
        <f t="shared" si="540"/>
        <v>251</v>
      </c>
      <c r="DQ219" s="1706">
        <v>1268</v>
      </c>
      <c r="DR219" s="829">
        <f t="shared" si="540"/>
        <v>1268</v>
      </c>
      <c r="DS219" s="829">
        <f t="shared" si="540"/>
        <v>1268</v>
      </c>
      <c r="DT219" s="1677">
        <f t="shared" si="540"/>
        <v>1268</v>
      </c>
      <c r="DU219" s="1437">
        <f t="shared" si="540"/>
        <v>1268</v>
      </c>
      <c r="DV219" s="829">
        <f t="shared" ref="DV219" si="541">DU219</f>
        <v>1268</v>
      </c>
      <c r="DW219" s="829">
        <f t="shared" ref="DW219" si="542">DV219</f>
        <v>1268</v>
      </c>
      <c r="DX219" s="829">
        <f t="shared" ref="DX219" si="543">DW219</f>
        <v>1268</v>
      </c>
      <c r="DY219" s="1677">
        <f t="shared" ref="DY219" si="544">DX219</f>
        <v>1268</v>
      </c>
      <c r="DZ219" s="1437">
        <f t="shared" ref="DZ219" si="545">DY219</f>
        <v>1268</v>
      </c>
      <c r="EA219" s="829">
        <f t="shared" ref="EA219" si="546">DZ219</f>
        <v>1268</v>
      </c>
      <c r="EB219" s="829">
        <f t="shared" ref="EB219" si="547">EA219</f>
        <v>1268</v>
      </c>
      <c r="EC219" s="829">
        <f t="shared" ref="EC219" si="548">EB219</f>
        <v>1268</v>
      </c>
      <c r="ED219" s="1677">
        <f t="shared" ref="ED219" si="549">EC219</f>
        <v>1268</v>
      </c>
      <c r="EE219" s="1437">
        <f t="shared" ref="EE219" si="550">ED219</f>
        <v>1268</v>
      </c>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row>
    <row r="220" spans="2:232" s="54" customFormat="1">
      <c r="B220" s="561" t="s">
        <v>195</v>
      </c>
      <c r="C220" s="164"/>
      <c r="D220" s="164"/>
      <c r="E220" s="164"/>
      <c r="F220" s="399">
        <v>365.54</v>
      </c>
      <c r="G220" s="399">
        <v>411.68299999999999</v>
      </c>
      <c r="H220" s="399">
        <v>427.185</v>
      </c>
      <c r="I220" s="399">
        <v>532.81600000000003</v>
      </c>
      <c r="J220" s="399">
        <v>606.26300000000003</v>
      </c>
      <c r="K220" s="399"/>
      <c r="L220" s="399"/>
      <c r="M220" s="399"/>
      <c r="N220" s="399"/>
      <c r="O220" s="399">
        <v>691.83600000000001</v>
      </c>
      <c r="P220" s="399"/>
      <c r="Q220" s="399"/>
      <c r="R220" s="399"/>
      <c r="S220" s="399"/>
      <c r="T220" s="399">
        <v>812.70699999999999</v>
      </c>
      <c r="U220" s="399"/>
      <c r="V220" s="399"/>
      <c r="W220" s="399"/>
      <c r="X220" s="399"/>
      <c r="Y220" s="399">
        <v>906.86500000000001</v>
      </c>
      <c r="Z220" s="399"/>
      <c r="AA220" s="399"/>
      <c r="AB220" s="399"/>
      <c r="AC220" s="399"/>
      <c r="AD220" s="399">
        <v>1130.3</v>
      </c>
      <c r="AE220" s="399"/>
      <c r="AF220" s="399"/>
      <c r="AG220" s="399"/>
      <c r="AH220" s="399"/>
      <c r="AI220" s="399">
        <v>1364</v>
      </c>
      <c r="AJ220" s="399"/>
      <c r="AK220" s="399"/>
      <c r="AL220" s="399"/>
      <c r="AM220" s="399"/>
      <c r="AN220" s="399">
        <v>1546.8</v>
      </c>
      <c r="AO220" s="399"/>
      <c r="AP220" s="399"/>
      <c r="AQ220" s="399"/>
      <c r="AR220" s="399"/>
      <c r="AS220" s="399">
        <v>1836.4</v>
      </c>
      <c r="AT220" s="399"/>
      <c r="AU220" s="399"/>
      <c r="AV220" s="399"/>
      <c r="AW220" s="399"/>
      <c r="AX220" s="399">
        <v>2407.8000000000002</v>
      </c>
      <c r="AY220" s="399"/>
      <c r="AZ220" s="399"/>
      <c r="BA220" s="399"/>
      <c r="BB220" s="399"/>
      <c r="BC220" s="399">
        <v>2641.5</v>
      </c>
      <c r="BD220" s="399"/>
      <c r="BE220" s="399"/>
      <c r="BF220" s="399"/>
      <c r="BG220" s="399"/>
      <c r="BH220" s="399">
        <v>2918.2</v>
      </c>
      <c r="BI220" s="399"/>
      <c r="BJ220" s="399"/>
      <c r="BK220" s="399"/>
      <c r="BL220" s="399"/>
      <c r="BM220" s="399">
        <v>4039.2</v>
      </c>
      <c r="BN220" s="399"/>
      <c r="BO220" s="399"/>
      <c r="BP220" s="399"/>
      <c r="BQ220" s="399">
        <v>1</v>
      </c>
      <c r="BR220" s="399">
        <v>3733.3</v>
      </c>
      <c r="BS220" s="400">
        <v>4107</v>
      </c>
      <c r="BT220" s="401">
        <v>4185.3</v>
      </c>
      <c r="BU220" s="401">
        <v>4173.3</v>
      </c>
      <c r="BV220" s="402">
        <f>BW220</f>
        <v>4289.3999999999996</v>
      </c>
      <c r="BW220" s="399">
        <v>4289.3999999999996</v>
      </c>
      <c r="BX220" s="400">
        <v>5026</v>
      </c>
      <c r="BY220" s="401">
        <v>4934</v>
      </c>
      <c r="BZ220" s="401">
        <v>4599</v>
      </c>
      <c r="CA220" s="402">
        <f>CB220</f>
        <v>4308</v>
      </c>
      <c r="CB220" s="399">
        <v>4308</v>
      </c>
      <c r="CC220" s="400">
        <v>5043</v>
      </c>
      <c r="CD220" s="401">
        <v>4611</v>
      </c>
      <c r="CE220" s="401">
        <v>4584</v>
      </c>
      <c r="CF220" s="401">
        <v>4585</v>
      </c>
      <c r="CG220" s="782">
        <v>4585</v>
      </c>
      <c r="CH220" s="401">
        <v>4955</v>
      </c>
      <c r="CI220" s="401">
        <v>4890</v>
      </c>
      <c r="CJ220" s="401">
        <v>5015</v>
      </c>
      <c r="CK220" s="401">
        <v>4810</v>
      </c>
      <c r="CL220" s="782">
        <v>4810</v>
      </c>
      <c r="CM220" s="401">
        <v>4778</v>
      </c>
      <c r="CN220" s="401">
        <v>4203</v>
      </c>
      <c r="CO220" s="401">
        <v>4433</v>
      </c>
      <c r="CP220" s="402">
        <v>4384</v>
      </c>
      <c r="CQ220" s="782">
        <f>CP220</f>
        <v>4384</v>
      </c>
      <c r="CR220" s="403">
        <v>4821</v>
      </c>
      <c r="CS220" s="404">
        <v>4388</v>
      </c>
      <c r="CT220" s="404">
        <v>4530</v>
      </c>
      <c r="CU220" s="405">
        <v>4635</v>
      </c>
      <c r="CV220" s="782">
        <f>CU220</f>
        <v>4635</v>
      </c>
      <c r="CW220" s="403">
        <v>4762</v>
      </c>
      <c r="CX220" s="404">
        <v>4488</v>
      </c>
      <c r="CY220" s="404">
        <v>4235</v>
      </c>
      <c r="CZ220" s="405">
        <v>4315</v>
      </c>
      <c r="DA220" s="782">
        <f>CZ220</f>
        <v>4315</v>
      </c>
      <c r="DB220" s="1434">
        <v>5189</v>
      </c>
      <c r="DC220" s="1706">
        <v>10293</v>
      </c>
      <c r="DD220" s="1706">
        <v>9932</v>
      </c>
      <c r="DE220" s="1706">
        <v>10088</v>
      </c>
      <c r="DF220" s="782">
        <f>DE220</f>
        <v>10088</v>
      </c>
      <c r="DG220" s="1706">
        <v>10643</v>
      </c>
      <c r="DH220" s="1706">
        <v>9873</v>
      </c>
      <c r="DI220" s="1706">
        <v>10337</v>
      </c>
      <c r="DJ220" s="1706">
        <v>11000</v>
      </c>
      <c r="DK220" s="2049">
        <f>DJ220</f>
        <v>11000</v>
      </c>
      <c r="DL220" s="1706">
        <v>11372</v>
      </c>
      <c r="DM220" s="1706">
        <v>11264</v>
      </c>
      <c r="DN220" s="1706">
        <v>11528</v>
      </c>
      <c r="DO220" s="2289">
        <v>12494</v>
      </c>
      <c r="DP220" s="2250">
        <f>DO220</f>
        <v>12494</v>
      </c>
      <c r="DQ220" s="1706">
        <v>13570</v>
      </c>
      <c r="DR220" s="1274">
        <f ca="1">DR326*DR327</f>
        <v>12722.99094246194</v>
      </c>
      <c r="DS220" s="1274">
        <f ca="1">DS326*DS327</f>
        <v>12623.170622646321</v>
      </c>
      <c r="DT220" s="1676">
        <f>DT326*DT327</f>
        <v>13539.798349265391</v>
      </c>
      <c r="DU220" s="1435">
        <f>DT220</f>
        <v>13539.798349265391</v>
      </c>
      <c r="DV220" s="1274">
        <f>DV326*DV327</f>
        <v>14389.614862479419</v>
      </c>
      <c r="DW220" s="1274">
        <f ca="1">DW326*DW327</f>
        <v>13011.380094143493</v>
      </c>
      <c r="DX220" s="1274">
        <f ca="1">DX326*DX327</f>
        <v>12778.63339959822</v>
      </c>
      <c r="DY220" s="1676">
        <f>DY326*DY327</f>
        <v>13699.04994590519</v>
      </c>
      <c r="DZ220" s="1435">
        <f>DY220</f>
        <v>13699.04994590519</v>
      </c>
      <c r="EA220" s="1274">
        <f>EA326*EA327</f>
        <v>14621.038062838124</v>
      </c>
      <c r="EB220" s="1274">
        <f ca="1">EB326*EB327</f>
        <v>13224.780992607446</v>
      </c>
      <c r="EC220" s="1274">
        <f ca="1">EC326*EC327</f>
        <v>12995.880071325681</v>
      </c>
      <c r="ED220" s="1676">
        <f>ED326*ED327</f>
        <v>13580.871149002005</v>
      </c>
      <c r="EE220" s="1435">
        <f>ED220</f>
        <v>13580.871149002005</v>
      </c>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row>
    <row r="221" spans="2:232" s="54" customFormat="1">
      <c r="B221" s="561" t="s">
        <v>196</v>
      </c>
      <c r="C221" s="64"/>
      <c r="D221" s="64"/>
      <c r="E221" s="64"/>
      <c r="F221" s="406">
        <v>301.56100000000004</v>
      </c>
      <c r="G221" s="406">
        <v>356.084</v>
      </c>
      <c r="H221" s="406">
        <v>434.64</v>
      </c>
      <c r="I221" s="406">
        <f>517.873-I224</f>
        <v>492.87300000000005</v>
      </c>
      <c r="J221" s="425">
        <v>448.21899999999999</v>
      </c>
      <c r="K221" s="425"/>
      <c r="L221" s="425"/>
      <c r="M221" s="425"/>
      <c r="N221" s="425"/>
      <c r="O221" s="406">
        <v>467.35899999999998</v>
      </c>
      <c r="P221" s="406"/>
      <c r="Q221" s="406"/>
      <c r="R221" s="406"/>
      <c r="S221" s="406"/>
      <c r="T221" s="406">
        <f>625.807-T224</f>
        <v>598.80700000000002</v>
      </c>
      <c r="U221" s="406"/>
      <c r="V221" s="406"/>
      <c r="W221" s="406"/>
      <c r="X221" s="406"/>
      <c r="Y221" s="406">
        <f>673.227-64.8</f>
        <v>608.42700000000002</v>
      </c>
      <c r="Z221" s="406"/>
      <c r="AA221" s="406"/>
      <c r="AB221" s="406"/>
      <c r="AC221" s="406"/>
      <c r="AD221" s="406">
        <v>730.1</v>
      </c>
      <c r="AE221" s="406"/>
      <c r="AF221" s="406"/>
      <c r="AG221" s="406"/>
      <c r="AH221" s="406"/>
      <c r="AI221" s="406">
        <v>847.7</v>
      </c>
      <c r="AJ221" s="406"/>
      <c r="AK221" s="406"/>
      <c r="AL221" s="406"/>
      <c r="AM221" s="406"/>
      <c r="AN221" s="406">
        <v>937.5</v>
      </c>
      <c r="AO221" s="406"/>
      <c r="AP221" s="406"/>
      <c r="AQ221" s="406"/>
      <c r="AR221" s="406"/>
      <c r="AS221" s="406">
        <v>1017.9</v>
      </c>
      <c r="AT221" s="406"/>
      <c r="AU221" s="406"/>
      <c r="AV221" s="406"/>
      <c r="AW221" s="406"/>
      <c r="AX221" s="406">
        <v>1157.8</v>
      </c>
      <c r="AY221" s="406"/>
      <c r="AZ221" s="406"/>
      <c r="BA221" s="406"/>
      <c r="BB221" s="406"/>
      <c r="BC221" s="406">
        <v>1370.5</v>
      </c>
      <c r="BD221" s="406"/>
      <c r="BE221" s="406"/>
      <c r="BF221" s="406"/>
      <c r="BG221" s="406"/>
      <c r="BH221" s="406">
        <v>1491.9</v>
      </c>
      <c r="BI221" s="406"/>
      <c r="BJ221" s="406"/>
      <c r="BK221" s="406"/>
      <c r="BL221" s="406"/>
      <c r="BM221" s="406">
        <v>1713.3</v>
      </c>
      <c r="BN221" s="406"/>
      <c r="BO221" s="406"/>
      <c r="BP221" s="406"/>
      <c r="BQ221" s="406">
        <v>1</v>
      </c>
      <c r="BR221" s="406">
        <v>2104.4</v>
      </c>
      <c r="BS221" s="121">
        <v>2085</v>
      </c>
      <c r="BT221" s="73">
        <v>2095.6</v>
      </c>
      <c r="BU221" s="73">
        <v>2169.5</v>
      </c>
      <c r="BV221" s="75">
        <f>BW221</f>
        <v>2272</v>
      </c>
      <c r="BW221" s="406">
        <v>2272</v>
      </c>
      <c r="BX221" s="121">
        <v>2246</v>
      </c>
      <c r="BY221" s="73">
        <v>2087</v>
      </c>
      <c r="BZ221" s="73">
        <v>2312</v>
      </c>
      <c r="CA221" s="75">
        <f>CB221</f>
        <v>2406</v>
      </c>
      <c r="CB221" s="406">
        <v>2406</v>
      </c>
      <c r="CC221" s="121">
        <v>2446</v>
      </c>
      <c r="CD221" s="73">
        <v>2415</v>
      </c>
      <c r="CE221" s="73">
        <v>2531</v>
      </c>
      <c r="CF221" s="73">
        <v>2763</v>
      </c>
      <c r="CG221" s="783">
        <v>2763</v>
      </c>
      <c r="CH221" s="73">
        <v>2780</v>
      </c>
      <c r="CI221" s="73">
        <v>2492</v>
      </c>
      <c r="CJ221" s="73">
        <v>2809</v>
      </c>
      <c r="CK221" s="73">
        <v>3075</v>
      </c>
      <c r="CL221" s="783">
        <v>3075</v>
      </c>
      <c r="CM221" s="73">
        <v>3091</v>
      </c>
      <c r="CN221" s="73">
        <v>2773</v>
      </c>
      <c r="CO221" s="73">
        <v>2851</v>
      </c>
      <c r="CP221" s="75">
        <v>3019</v>
      </c>
      <c r="CQ221" s="783">
        <f>CP221</f>
        <v>3019</v>
      </c>
      <c r="CR221" s="121">
        <v>3028</v>
      </c>
      <c r="CS221" s="73">
        <v>3229</v>
      </c>
      <c r="CT221" s="73">
        <v>3221</v>
      </c>
      <c r="CU221" s="75">
        <v>3577</v>
      </c>
      <c r="CV221" s="783">
        <f>CU221</f>
        <v>3577</v>
      </c>
      <c r="CW221" s="121">
        <v>3210</v>
      </c>
      <c r="CX221" s="73">
        <v>3280</v>
      </c>
      <c r="CY221" s="73">
        <v>3370</v>
      </c>
      <c r="CZ221" s="75">
        <v>3701</v>
      </c>
      <c r="DA221" s="783">
        <f>CZ221</f>
        <v>3701</v>
      </c>
      <c r="DB221" s="1446">
        <v>3596</v>
      </c>
      <c r="DC221" s="1706">
        <v>5140</v>
      </c>
      <c r="DD221" s="1706">
        <v>4849</v>
      </c>
      <c r="DE221" s="1706">
        <v>5225</v>
      </c>
      <c r="DF221" s="783">
        <f>DE221</f>
        <v>5225</v>
      </c>
      <c r="DG221" s="1706">
        <v>4886</v>
      </c>
      <c r="DH221" s="1706">
        <v>5050</v>
      </c>
      <c r="DI221" s="1706">
        <v>4852</v>
      </c>
      <c r="DJ221" s="1706">
        <v>5484</v>
      </c>
      <c r="DK221" s="1412">
        <f>DJ221</f>
        <v>5484</v>
      </c>
      <c r="DL221" s="1706">
        <v>4880</v>
      </c>
      <c r="DM221" s="1706">
        <v>4935</v>
      </c>
      <c r="DN221" s="1706">
        <v>5065</v>
      </c>
      <c r="DO221" s="2289">
        <v>5473</v>
      </c>
      <c r="DP221" s="2256">
        <f>DO221</f>
        <v>5473</v>
      </c>
      <c r="DQ221" s="1706">
        <f>5183</f>
        <v>5183</v>
      </c>
      <c r="DR221" s="111">
        <f>DR348*DR404*4</f>
        <v>5645.6242516114598</v>
      </c>
      <c r="DS221" s="111">
        <f>DS348*DS404*4</f>
        <v>5636.4240780834562</v>
      </c>
      <c r="DT221" s="1683">
        <f>DT348*DT404*4</f>
        <v>5543.2388391388849</v>
      </c>
      <c r="DU221" s="736">
        <f>DT221</f>
        <v>5543.2388391388849</v>
      </c>
      <c r="DV221" s="111">
        <f>DV348*DV404*4</f>
        <v>5558.7213993555952</v>
      </c>
      <c r="DW221" s="111">
        <f>DW348*DW404*4</f>
        <v>5806.1825195114734</v>
      </c>
      <c r="DX221" s="111">
        <f>DX348*DX404*4</f>
        <v>5638.3717129474107</v>
      </c>
      <c r="DY221" s="1683">
        <f>DY348*DY404*4</f>
        <v>5515.2847158779405</v>
      </c>
      <c r="DZ221" s="736">
        <f>DY221</f>
        <v>5515.2847158779405</v>
      </c>
      <c r="EA221" s="111">
        <f>EA348*EA404*4</f>
        <v>5683.7330466577932</v>
      </c>
      <c r="EB221" s="111">
        <f>EB348*EB404*4</f>
        <v>5937.8770328285855</v>
      </c>
      <c r="EC221" s="111">
        <f>EC348*EC404*4</f>
        <v>5765.9178451544794</v>
      </c>
      <c r="ED221" s="1683">
        <f>ED348*ED404*4</f>
        <v>5639.8508795843427</v>
      </c>
      <c r="EE221" s="736">
        <f>ED221</f>
        <v>5639.8508795843427</v>
      </c>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row>
    <row r="222" spans="2:232" s="54" customFormat="1" ht="11.25" hidden="1" customHeight="1" outlineLevel="1">
      <c r="B222" s="538"/>
      <c r="C222" s="64"/>
      <c r="D222" s="64"/>
      <c r="E222" s="64"/>
      <c r="F222" s="73"/>
      <c r="G222" s="73"/>
      <c r="H222" s="73"/>
      <c r="I222" s="73"/>
      <c r="J222" s="73"/>
      <c r="K222" s="73"/>
      <c r="L222" s="73"/>
      <c r="M222" s="73"/>
      <c r="N222" s="73"/>
      <c r="O222" s="73"/>
      <c r="P222" s="73"/>
      <c r="Q222" s="73"/>
      <c r="R222" s="73"/>
      <c r="S222" s="73"/>
      <c r="T222" s="73"/>
      <c r="U222" s="73"/>
      <c r="V222" s="73"/>
      <c r="W222" s="73"/>
      <c r="X222" s="73"/>
      <c r="Y222" s="73"/>
      <c r="Z222" s="73"/>
      <c r="AA222" s="73"/>
      <c r="AB222" s="73"/>
      <c r="AC222" s="73"/>
      <c r="AD222" s="73"/>
      <c r="AE222" s="73"/>
      <c r="AF222" s="73"/>
      <c r="AG222" s="73"/>
      <c r="AH222" s="73"/>
      <c r="AI222" s="73"/>
      <c r="AJ222" s="73"/>
      <c r="AK222" s="73"/>
      <c r="AL222" s="73"/>
      <c r="AM222" s="73"/>
      <c r="AN222" s="73"/>
      <c r="AO222" s="73"/>
      <c r="AP222" s="73"/>
      <c r="AQ222" s="73"/>
      <c r="AR222" s="73"/>
      <c r="AS222" s="73"/>
      <c r="AT222" s="73"/>
      <c r="AU222" s="73"/>
      <c r="AV222" s="73"/>
      <c r="AW222" s="73"/>
      <c r="AX222" s="73"/>
      <c r="AY222" s="73"/>
      <c r="AZ222" s="73"/>
      <c r="BA222" s="73"/>
      <c r="BB222" s="73"/>
      <c r="BC222" s="73"/>
      <c r="BD222" s="73"/>
      <c r="BE222" s="73"/>
      <c r="BF222" s="73"/>
      <c r="BG222" s="73"/>
      <c r="BH222" s="73"/>
      <c r="BI222" s="73"/>
      <c r="BJ222" s="73"/>
      <c r="BK222" s="73"/>
      <c r="BL222" s="73"/>
      <c r="BM222" s="73"/>
      <c r="BN222" s="73"/>
      <c r="BO222" s="73"/>
      <c r="BP222" s="73"/>
      <c r="BQ222" s="73"/>
      <c r="BR222" s="73"/>
      <c r="BS222" s="121"/>
      <c r="BT222" s="73"/>
      <c r="BU222" s="73"/>
      <c r="BV222" s="75"/>
      <c r="BW222" s="73"/>
      <c r="BX222" s="121"/>
      <c r="BY222" s="73"/>
      <c r="BZ222" s="73"/>
      <c r="CA222" s="75"/>
      <c r="CB222" s="73"/>
      <c r="CC222" s="121"/>
      <c r="CD222" s="73"/>
      <c r="CE222" s="73"/>
      <c r="CF222" s="73"/>
      <c r="CG222" s="777"/>
      <c r="CH222" s="73"/>
      <c r="CI222" s="73"/>
      <c r="CJ222" s="73"/>
      <c r="CK222" s="73"/>
      <c r="CL222" s="777"/>
      <c r="CM222" s="76"/>
      <c r="CN222" s="76"/>
      <c r="CO222" s="76"/>
      <c r="CP222" s="141"/>
      <c r="CQ222" s="777"/>
      <c r="CR222" s="140"/>
      <c r="CS222" s="76"/>
      <c r="CT222" s="76"/>
      <c r="CU222" s="141"/>
      <c r="CV222" s="777"/>
      <c r="CW222" s="140"/>
      <c r="CX222" s="76"/>
      <c r="CY222" s="76"/>
      <c r="CZ222" s="141"/>
      <c r="DA222" s="777"/>
      <c r="DB222" s="1436"/>
      <c r="DC222" s="1203"/>
      <c r="DD222" s="1203"/>
      <c r="DE222" s="1203"/>
      <c r="DF222" s="777"/>
      <c r="DG222" s="1203"/>
      <c r="DH222" s="1203"/>
      <c r="DI222" s="1203"/>
      <c r="DJ222" s="1203"/>
      <c r="DK222" s="1376"/>
      <c r="DL222" s="1203"/>
      <c r="DM222" s="1203"/>
      <c r="DN222" s="1203"/>
      <c r="DO222" s="2274"/>
      <c r="DP222" s="2252"/>
      <c r="DQ222" s="1203"/>
      <c r="DR222" s="829"/>
      <c r="DS222" s="829"/>
      <c r="DT222" s="1677"/>
      <c r="DU222" s="1437"/>
      <c r="DV222" s="829"/>
      <c r="DW222" s="829"/>
      <c r="DX222" s="829"/>
      <c r="DY222" s="1677"/>
      <c r="DZ222" s="1437"/>
      <c r="EA222" s="829"/>
      <c r="EB222" s="829"/>
      <c r="EC222" s="829"/>
      <c r="ED222" s="1677"/>
      <c r="EE222" s="1437"/>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row>
    <row r="223" spans="2:232" s="54" customFormat="1" ht="11.25" hidden="1" customHeight="1" outlineLevel="1">
      <c r="B223" s="561" t="s">
        <v>85</v>
      </c>
      <c r="C223" s="64"/>
      <c r="D223" s="64"/>
      <c r="E223" s="64"/>
      <c r="F223" s="425">
        <v>0</v>
      </c>
      <c r="G223" s="406">
        <v>100</v>
      </c>
      <c r="H223" s="425">
        <v>0</v>
      </c>
      <c r="I223" s="425">
        <v>0</v>
      </c>
      <c r="J223" s="425">
        <v>0</v>
      </c>
      <c r="K223" s="425"/>
      <c r="L223" s="425"/>
      <c r="M223" s="425"/>
      <c r="N223" s="425"/>
      <c r="O223" s="425">
        <v>0</v>
      </c>
      <c r="P223" s="425"/>
      <c r="Q223" s="425"/>
      <c r="R223" s="425"/>
      <c r="S223" s="425"/>
      <c r="T223" s="425">
        <v>0</v>
      </c>
      <c r="U223" s="425"/>
      <c r="V223" s="425"/>
      <c r="W223" s="425"/>
      <c r="X223" s="425"/>
      <c r="Y223" s="425">
        <v>0</v>
      </c>
      <c r="Z223" s="425"/>
      <c r="AA223" s="425"/>
      <c r="AB223" s="425"/>
      <c r="AC223" s="425"/>
      <c r="AD223" s="425">
        <v>0</v>
      </c>
      <c r="AE223" s="425"/>
      <c r="AF223" s="425"/>
      <c r="AG223" s="425"/>
      <c r="AH223" s="425"/>
      <c r="AI223" s="425">
        <v>0</v>
      </c>
      <c r="AJ223" s="425"/>
      <c r="AK223" s="425"/>
      <c r="AL223" s="425"/>
      <c r="AM223" s="425"/>
      <c r="AN223" s="425">
        <v>0</v>
      </c>
      <c r="AO223" s="425"/>
      <c r="AP223" s="425"/>
      <c r="AQ223" s="425"/>
      <c r="AR223" s="425"/>
      <c r="AS223" s="427">
        <v>0</v>
      </c>
      <c r="AT223" s="427"/>
      <c r="AU223" s="427"/>
      <c r="AV223" s="427"/>
      <c r="AW223" s="427"/>
      <c r="AX223" s="427">
        <v>0</v>
      </c>
      <c r="AY223" s="427"/>
      <c r="AZ223" s="427"/>
      <c r="BA223" s="427"/>
      <c r="BB223" s="427"/>
      <c r="BC223" s="427">
        <v>0</v>
      </c>
      <c r="BD223" s="427"/>
      <c r="BE223" s="427"/>
      <c r="BF223" s="427"/>
      <c r="BG223" s="427"/>
      <c r="BH223" s="427">
        <v>0</v>
      </c>
      <c r="BI223" s="427"/>
      <c r="BJ223" s="427"/>
      <c r="BK223" s="427"/>
      <c r="BL223" s="427"/>
      <c r="BM223" s="425">
        <v>0</v>
      </c>
      <c r="BN223" s="425"/>
      <c r="BO223" s="425"/>
      <c r="BP223" s="425"/>
      <c r="BQ223" s="425"/>
      <c r="BR223" s="425">
        <v>0</v>
      </c>
      <c r="BS223" s="428"/>
      <c r="BT223" s="74"/>
      <c r="BU223" s="74"/>
      <c r="BV223" s="429"/>
      <c r="BW223" s="425">
        <v>0</v>
      </c>
      <c r="BX223" s="428"/>
      <c r="BY223" s="74"/>
      <c r="BZ223" s="74"/>
      <c r="CA223" s="429"/>
      <c r="CB223" s="425">
        <v>0</v>
      </c>
      <c r="CC223" s="428"/>
      <c r="CD223" s="74"/>
      <c r="CE223" s="74"/>
      <c r="CF223" s="74"/>
      <c r="CG223" s="789">
        <v>0</v>
      </c>
      <c r="CH223" s="74"/>
      <c r="CI223" s="74"/>
      <c r="CJ223" s="74"/>
      <c r="CK223" s="74"/>
      <c r="CL223" s="789">
        <v>0</v>
      </c>
      <c r="CM223" s="74"/>
      <c r="CN223" s="74"/>
      <c r="CO223" s="74"/>
      <c r="CP223" s="429"/>
      <c r="CQ223" s="789">
        <f>CP223</f>
        <v>0</v>
      </c>
      <c r="CR223" s="430"/>
      <c r="CS223" s="431"/>
      <c r="CT223" s="431"/>
      <c r="CU223" s="432"/>
      <c r="CV223" s="789">
        <f>CU223</f>
        <v>0</v>
      </c>
      <c r="CW223" s="430"/>
      <c r="CX223" s="431"/>
      <c r="CY223" s="431"/>
      <c r="CZ223" s="432"/>
      <c r="DA223" s="789">
        <f>CZ223</f>
        <v>0</v>
      </c>
      <c r="DB223" s="1447"/>
      <c r="DC223" s="1203"/>
      <c r="DD223" s="1203"/>
      <c r="DE223" s="1203"/>
      <c r="DF223" s="789">
        <f>DE223</f>
        <v>0</v>
      </c>
      <c r="DG223" s="1203"/>
      <c r="DH223" s="1203"/>
      <c r="DI223" s="1203"/>
      <c r="DJ223" s="1203"/>
      <c r="DK223" s="1684">
        <f>DJ223</f>
        <v>0</v>
      </c>
      <c r="DL223" s="1203"/>
      <c r="DM223" s="1203"/>
      <c r="DN223" s="1203"/>
      <c r="DO223" s="2274"/>
      <c r="DP223" s="2257">
        <f>DO223</f>
        <v>0</v>
      </c>
      <c r="DQ223" s="1203"/>
      <c r="DR223" s="1841"/>
      <c r="DS223" s="1841"/>
      <c r="DT223" s="1842"/>
      <c r="DU223" s="789">
        <f>DT223</f>
        <v>0</v>
      </c>
      <c r="DV223" s="1841"/>
      <c r="DW223" s="1841"/>
      <c r="DX223" s="1841"/>
      <c r="DY223" s="1842"/>
      <c r="DZ223" s="2219">
        <f>DY223</f>
        <v>0</v>
      </c>
      <c r="EA223" s="1841"/>
      <c r="EB223" s="1841"/>
      <c r="EC223" s="1841"/>
      <c r="ED223" s="1842"/>
      <c r="EE223" s="2219">
        <f>ED223</f>
        <v>0</v>
      </c>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row>
    <row r="224" spans="2:232" s="54" customFormat="1" collapsed="1">
      <c r="B224" s="561" t="s">
        <v>86</v>
      </c>
      <c r="C224" s="64"/>
      <c r="D224" s="64"/>
      <c r="E224" s="64"/>
      <c r="F224" s="406">
        <v>16.696000000000002</v>
      </c>
      <c r="G224" s="406">
        <v>21.498000000000001</v>
      </c>
      <c r="H224" s="406">
        <v>21.681999999999999</v>
      </c>
      <c r="I224" s="406">
        <v>25</v>
      </c>
      <c r="J224" s="425">
        <v>23.28</v>
      </c>
      <c r="K224" s="425"/>
      <c r="L224" s="425"/>
      <c r="M224" s="425"/>
      <c r="N224" s="425"/>
      <c r="O224" s="406">
        <v>22.76</v>
      </c>
      <c r="P224" s="406"/>
      <c r="Q224" s="406"/>
      <c r="R224" s="406"/>
      <c r="S224" s="406"/>
      <c r="T224" s="406">
        <v>27</v>
      </c>
      <c r="U224" s="406"/>
      <c r="V224" s="406"/>
      <c r="W224" s="406"/>
      <c r="X224" s="406"/>
      <c r="Y224" s="406">
        <v>64.8</v>
      </c>
      <c r="Z224" s="406"/>
      <c r="AA224" s="406"/>
      <c r="AB224" s="406"/>
      <c r="AC224" s="406"/>
      <c r="AD224" s="406">
        <v>63.4</v>
      </c>
      <c r="AE224" s="406"/>
      <c r="AF224" s="406"/>
      <c r="AG224" s="406"/>
      <c r="AH224" s="406"/>
      <c r="AI224" s="406">
        <v>92</v>
      </c>
      <c r="AJ224" s="406"/>
      <c r="AK224" s="406"/>
      <c r="AL224" s="406"/>
      <c r="AM224" s="406"/>
      <c r="AN224" s="406">
        <v>86.6</v>
      </c>
      <c r="AO224" s="406"/>
      <c r="AP224" s="406"/>
      <c r="AQ224" s="406"/>
      <c r="AR224" s="406"/>
      <c r="AS224" s="406">
        <v>100.9</v>
      </c>
      <c r="AT224" s="406"/>
      <c r="AU224" s="406"/>
      <c r="AV224" s="406"/>
      <c r="AW224" s="406"/>
      <c r="AX224" s="406">
        <v>105.8</v>
      </c>
      <c r="AY224" s="406"/>
      <c r="AZ224" s="406"/>
      <c r="BA224" s="406"/>
      <c r="BB224" s="406"/>
      <c r="BC224" s="406">
        <v>65.900000000000006</v>
      </c>
      <c r="BD224" s="406"/>
      <c r="BE224" s="406"/>
      <c r="BF224" s="406"/>
      <c r="BG224" s="406"/>
      <c r="BH224" s="406">
        <v>70.900000000000006</v>
      </c>
      <c r="BI224" s="406"/>
      <c r="BJ224" s="406"/>
      <c r="BK224" s="406"/>
      <c r="BL224" s="406"/>
      <c r="BM224" s="406">
        <v>2.8</v>
      </c>
      <c r="BN224" s="406"/>
      <c r="BO224" s="406"/>
      <c r="BP224" s="406"/>
      <c r="BQ224" s="406">
        <v>1</v>
      </c>
      <c r="BR224" s="406">
        <v>28.1</v>
      </c>
      <c r="BS224" s="121">
        <v>178</v>
      </c>
      <c r="BT224" s="73">
        <v>221.8</v>
      </c>
      <c r="BU224" s="73">
        <v>23.2</v>
      </c>
      <c r="BV224" s="75">
        <f>BW224</f>
        <v>0</v>
      </c>
      <c r="BW224" s="406">
        <v>0</v>
      </c>
      <c r="BX224" s="121">
        <v>144</v>
      </c>
      <c r="BY224" s="73">
        <v>228</v>
      </c>
      <c r="BZ224" s="73">
        <v>52</v>
      </c>
      <c r="CA224" s="75">
        <f>CB224</f>
        <v>40</v>
      </c>
      <c r="CB224" s="406">
        <v>40</v>
      </c>
      <c r="CC224" s="121">
        <v>320</v>
      </c>
      <c r="CD224" s="73">
        <v>263</v>
      </c>
      <c r="CE224" s="73">
        <v>217</v>
      </c>
      <c r="CF224" s="73">
        <v>73</v>
      </c>
      <c r="CG224" s="783">
        <v>73</v>
      </c>
      <c r="CH224" s="73">
        <v>401</v>
      </c>
      <c r="CI224" s="73">
        <v>149</v>
      </c>
      <c r="CJ224" s="73">
        <v>83</v>
      </c>
      <c r="CK224" s="73">
        <v>185</v>
      </c>
      <c r="CL224" s="783">
        <v>185</v>
      </c>
      <c r="CM224" s="73">
        <v>349</v>
      </c>
      <c r="CN224" s="73">
        <v>266</v>
      </c>
      <c r="CO224" s="73">
        <v>204</v>
      </c>
      <c r="CP224" s="415">
        <v>0</v>
      </c>
      <c r="CQ224" s="783">
        <f>CP224</f>
        <v>0</v>
      </c>
      <c r="CR224" s="248">
        <v>155</v>
      </c>
      <c r="CS224" s="189">
        <v>109</v>
      </c>
      <c r="CT224" s="76">
        <v>74</v>
      </c>
      <c r="CU224" s="141">
        <v>101</v>
      </c>
      <c r="CV224" s="783">
        <f>CU224</f>
        <v>101</v>
      </c>
      <c r="CW224" s="248">
        <v>278</v>
      </c>
      <c r="CX224" s="1549">
        <v>154</v>
      </c>
      <c r="CY224" s="1549">
        <v>24</v>
      </c>
      <c r="CZ224" s="1550">
        <v>105</v>
      </c>
      <c r="DA224" s="783">
        <f>CZ224</f>
        <v>105</v>
      </c>
      <c r="DB224" s="1552">
        <v>318</v>
      </c>
      <c r="DC224" s="1706">
        <v>196</v>
      </c>
      <c r="DD224" s="1706">
        <v>184</v>
      </c>
      <c r="DE224" s="1706">
        <v>176</v>
      </c>
      <c r="DF224" s="783">
        <f>DE224</f>
        <v>176</v>
      </c>
      <c r="DG224" s="1706">
        <v>262</v>
      </c>
      <c r="DH224" s="1706">
        <v>297</v>
      </c>
      <c r="DI224" s="1706">
        <v>248</v>
      </c>
      <c r="DJ224" s="1706">
        <v>206</v>
      </c>
      <c r="DK224" s="2051">
        <f>DJ224</f>
        <v>206</v>
      </c>
      <c r="DL224" s="1706">
        <v>382</v>
      </c>
      <c r="DM224" s="1706">
        <v>326</v>
      </c>
      <c r="DN224" s="1706">
        <v>282</v>
      </c>
      <c r="DO224" s="2289">
        <v>329</v>
      </c>
      <c r="DP224" s="2216">
        <f>DO224</f>
        <v>329</v>
      </c>
      <c r="DQ224" s="1706">
        <v>496</v>
      </c>
      <c r="DR224" s="1834">
        <f>DQ224</f>
        <v>496</v>
      </c>
      <c r="DS224" s="1834">
        <f>DR224</f>
        <v>496</v>
      </c>
      <c r="DT224" s="1679">
        <f>DS224</f>
        <v>496</v>
      </c>
      <c r="DU224" s="1554">
        <f>DT224</f>
        <v>496</v>
      </c>
      <c r="DV224" s="1834">
        <f>DU224</f>
        <v>496</v>
      </c>
      <c r="DW224" s="1834">
        <f>DV224</f>
        <v>496</v>
      </c>
      <c r="DX224" s="1834">
        <f>DW224</f>
        <v>496</v>
      </c>
      <c r="DY224" s="1679">
        <f>DX224</f>
        <v>496</v>
      </c>
      <c r="DZ224" s="1554">
        <f>DY224</f>
        <v>496</v>
      </c>
      <c r="EA224" s="1834">
        <f>DZ224</f>
        <v>496</v>
      </c>
      <c r="EB224" s="1834">
        <f>EA224</f>
        <v>496</v>
      </c>
      <c r="EC224" s="1834">
        <f>EB224</f>
        <v>496</v>
      </c>
      <c r="ED224" s="1679">
        <f>EC224</f>
        <v>496</v>
      </c>
      <c r="EE224" s="1554">
        <f>ED224</f>
        <v>496</v>
      </c>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row>
    <row r="225" spans="2:232" s="68" customFormat="1">
      <c r="B225" s="576" t="s">
        <v>35</v>
      </c>
      <c r="C225" s="407" t="s">
        <v>414</v>
      </c>
      <c r="D225" s="407"/>
      <c r="E225" s="407"/>
      <c r="F225" s="408">
        <f>F219+F220+F221+F224</f>
        <v>683.79700000000014</v>
      </c>
      <c r="G225" s="408">
        <f>G219+G220+G221+G224</f>
        <v>789.2650000000001</v>
      </c>
      <c r="H225" s="408">
        <f>H219+H220+H221+H224</f>
        <v>883.50700000000006</v>
      </c>
      <c r="I225" s="408">
        <f>I219+I220+I221+I224</f>
        <v>1050.6890000000001</v>
      </c>
      <c r="J225" s="408">
        <f>J219+J220+J221+J224</f>
        <v>1077.7619999999999</v>
      </c>
      <c r="K225" s="408"/>
      <c r="L225" s="408"/>
      <c r="M225" s="408"/>
      <c r="N225" s="408"/>
      <c r="O225" s="408">
        <f>O219+O220+O221+O224</f>
        <v>1181.9549999999999</v>
      </c>
      <c r="P225" s="408"/>
      <c r="Q225" s="408"/>
      <c r="R225" s="408"/>
      <c r="S225" s="408"/>
      <c r="T225" s="408">
        <f>T219+T220+T221+T224</f>
        <v>1438.5140000000001</v>
      </c>
      <c r="U225" s="408"/>
      <c r="V225" s="408"/>
      <c r="W225" s="408"/>
      <c r="X225" s="408"/>
      <c r="Y225" s="408">
        <f>Y219+Y220+Y221+Y224</f>
        <v>1580.0919999999999</v>
      </c>
      <c r="Z225" s="408"/>
      <c r="AA225" s="408"/>
      <c r="AB225" s="408"/>
      <c r="AC225" s="408"/>
      <c r="AD225" s="408">
        <f>AD219+AD220+AD221+AD224</f>
        <v>1923.8000000000002</v>
      </c>
      <c r="AE225" s="408"/>
      <c r="AF225" s="408"/>
      <c r="AG225" s="408"/>
      <c r="AH225" s="408"/>
      <c r="AI225" s="408">
        <f>AI219+AI220+AI221+AI224</f>
        <v>2303.6999999999998</v>
      </c>
      <c r="AJ225" s="408"/>
      <c r="AK225" s="408"/>
      <c r="AL225" s="408"/>
      <c r="AM225" s="408"/>
      <c r="AN225" s="408">
        <f>AN219+AN220+AN221+AN224</f>
        <v>3011.6</v>
      </c>
      <c r="AO225" s="408"/>
      <c r="AP225" s="408"/>
      <c r="AQ225" s="408"/>
      <c r="AR225" s="408"/>
      <c r="AS225" s="408">
        <f>AS219+AS220+AS221+AS224</f>
        <v>2955.2000000000003</v>
      </c>
      <c r="AT225" s="408"/>
      <c r="AU225" s="408"/>
      <c r="AV225" s="408"/>
      <c r="AW225" s="408"/>
      <c r="AX225" s="408">
        <f>AX219+AX220+AX221+AX224</f>
        <v>3671.4000000000005</v>
      </c>
      <c r="AY225" s="408"/>
      <c r="AZ225" s="408"/>
      <c r="BA225" s="408"/>
      <c r="BB225" s="408"/>
      <c r="BC225" s="408">
        <f>BC219+BC220+BC221+BC224</f>
        <v>4077.9</v>
      </c>
      <c r="BD225" s="408"/>
      <c r="BE225" s="408"/>
      <c r="BF225" s="408"/>
      <c r="BG225" s="408"/>
      <c r="BH225" s="408">
        <f>BH219+BH220+BH221+BH224</f>
        <v>4481</v>
      </c>
      <c r="BI225" s="408"/>
      <c r="BJ225" s="408"/>
      <c r="BK225" s="408"/>
      <c r="BL225" s="408"/>
      <c r="BM225" s="408">
        <f>BM219+BM220+BM221+BM224</f>
        <v>5755.3</v>
      </c>
      <c r="BN225" s="408"/>
      <c r="BO225" s="408"/>
      <c r="BP225" s="408"/>
      <c r="BQ225" s="408"/>
      <c r="BR225" s="408">
        <f t="shared" ref="BR225:DF225" si="551">BR219+BR220+BR221+BR224</f>
        <v>6744.3000000000011</v>
      </c>
      <c r="BS225" s="409">
        <f t="shared" si="551"/>
        <v>7546</v>
      </c>
      <c r="BT225" s="410">
        <f t="shared" si="551"/>
        <v>7230.5000000000009</v>
      </c>
      <c r="BU225" s="410">
        <f t="shared" si="551"/>
        <v>7502.3</v>
      </c>
      <c r="BV225" s="411">
        <f t="shared" si="551"/>
        <v>6644.4</v>
      </c>
      <c r="BW225" s="408">
        <f t="shared" si="551"/>
        <v>6644.4</v>
      </c>
      <c r="BX225" s="409">
        <f t="shared" si="551"/>
        <v>8496</v>
      </c>
      <c r="BY225" s="410">
        <f t="shared" si="551"/>
        <v>7261</v>
      </c>
      <c r="BZ225" s="410">
        <f t="shared" si="551"/>
        <v>6973</v>
      </c>
      <c r="CA225" s="411">
        <f t="shared" si="551"/>
        <v>6769</v>
      </c>
      <c r="CB225" s="408">
        <f t="shared" si="551"/>
        <v>6769</v>
      </c>
      <c r="CC225" s="409">
        <f t="shared" si="551"/>
        <v>7822</v>
      </c>
      <c r="CD225" s="410">
        <f t="shared" si="551"/>
        <v>7297</v>
      </c>
      <c r="CE225" s="410">
        <f t="shared" si="551"/>
        <v>7341</v>
      </c>
      <c r="CF225" s="410">
        <f t="shared" si="551"/>
        <v>7433</v>
      </c>
      <c r="CG225" s="784">
        <f t="shared" si="551"/>
        <v>7433</v>
      </c>
      <c r="CH225" s="410">
        <f t="shared" si="551"/>
        <v>8149</v>
      </c>
      <c r="CI225" s="410">
        <f t="shared" si="551"/>
        <v>7544</v>
      </c>
      <c r="CJ225" s="410">
        <f t="shared" si="551"/>
        <v>7918</v>
      </c>
      <c r="CK225" s="410">
        <f t="shared" si="551"/>
        <v>8083</v>
      </c>
      <c r="CL225" s="784">
        <f t="shared" si="551"/>
        <v>8083</v>
      </c>
      <c r="CM225" s="410">
        <f t="shared" si="551"/>
        <v>8229</v>
      </c>
      <c r="CN225" s="410">
        <f t="shared" si="551"/>
        <v>7254</v>
      </c>
      <c r="CO225" s="410">
        <f t="shared" si="551"/>
        <v>7501</v>
      </c>
      <c r="CP225" s="411">
        <f t="shared" si="551"/>
        <v>8722</v>
      </c>
      <c r="CQ225" s="784">
        <f t="shared" si="551"/>
        <v>8722</v>
      </c>
      <c r="CR225" s="409">
        <f t="shared" si="551"/>
        <v>9320</v>
      </c>
      <c r="CS225" s="410">
        <f t="shared" si="551"/>
        <v>9025</v>
      </c>
      <c r="CT225" s="410">
        <f t="shared" si="551"/>
        <v>9690</v>
      </c>
      <c r="CU225" s="411">
        <f t="shared" si="551"/>
        <v>8883</v>
      </c>
      <c r="CV225" s="784">
        <f t="shared" si="551"/>
        <v>8883</v>
      </c>
      <c r="CW225" s="409">
        <f>CW219+CW220+CW221+CW224</f>
        <v>8821</v>
      </c>
      <c r="CX225" s="410">
        <f>CX219+CX220+CX221+CX224</f>
        <v>8499</v>
      </c>
      <c r="CY225" s="410">
        <f>CY219+CY220+CY221+CY224</f>
        <v>8409</v>
      </c>
      <c r="CZ225" s="411">
        <f t="shared" si="551"/>
        <v>8895</v>
      </c>
      <c r="DA225" s="784">
        <f t="shared" si="551"/>
        <v>8895</v>
      </c>
      <c r="DB225" s="1438">
        <f>DB219+DB220+DB221+DB224</f>
        <v>9877</v>
      </c>
      <c r="DC225" s="410">
        <f>DC219+DC220+DC221+DC224</f>
        <v>16690</v>
      </c>
      <c r="DD225" s="410">
        <f t="shared" si="551"/>
        <v>16157</v>
      </c>
      <c r="DE225" s="410">
        <f>DE219+DE220+DE221+DE224</f>
        <v>16557</v>
      </c>
      <c r="DF225" s="784">
        <f t="shared" si="551"/>
        <v>16557</v>
      </c>
      <c r="DG225" s="410">
        <f t="shared" ref="DG225:DL225" si="552">DG219+DG220+DG221+DG224</f>
        <v>16874</v>
      </c>
      <c r="DH225" s="410">
        <f t="shared" si="552"/>
        <v>16272</v>
      </c>
      <c r="DI225" s="410">
        <f t="shared" si="552"/>
        <v>15811</v>
      </c>
      <c r="DJ225" s="410">
        <f t="shared" si="552"/>
        <v>17013</v>
      </c>
      <c r="DK225" s="2050">
        <f t="shared" si="552"/>
        <v>17013</v>
      </c>
      <c r="DL225" s="410">
        <f t="shared" si="552"/>
        <v>17729</v>
      </c>
      <c r="DM225" s="410">
        <f t="shared" ref="DM225:DN225" si="553">DM219+DM220+DM221+DM224</f>
        <v>17678</v>
      </c>
      <c r="DN225" s="410">
        <f t="shared" si="553"/>
        <v>21713</v>
      </c>
      <c r="DO225" s="2290">
        <f t="shared" ref="DO225:DQ225" si="554">DO219+DO220+DO221+DO224</f>
        <v>18547</v>
      </c>
      <c r="DP225" s="2253">
        <f t="shared" ref="DP225:DU225" si="555">DP219+DP220+DP221+DP224</f>
        <v>18547</v>
      </c>
      <c r="DQ225" s="412">
        <f t="shared" si="554"/>
        <v>20517</v>
      </c>
      <c r="DR225" s="1833">
        <f t="shared" ca="1" si="555"/>
        <v>20132.615194073398</v>
      </c>
      <c r="DS225" s="1833">
        <f t="shared" ca="1" si="555"/>
        <v>20023.594700729776</v>
      </c>
      <c r="DT225" s="1678">
        <f t="shared" si="555"/>
        <v>20847.037188404276</v>
      </c>
      <c r="DU225" s="1439">
        <f t="shared" si="555"/>
        <v>20847.037188404276</v>
      </c>
      <c r="DV225" s="1833">
        <f t="shared" ref="DV225:DZ225" si="556">DV219+DV220+DV221+DV224</f>
        <v>21712.336261835015</v>
      </c>
      <c r="DW225" s="1833">
        <f t="shared" ca="1" si="556"/>
        <v>20581.562613654965</v>
      </c>
      <c r="DX225" s="1833">
        <f t="shared" ca="1" si="556"/>
        <v>20181.00511254563</v>
      </c>
      <c r="DY225" s="1678">
        <f t="shared" si="556"/>
        <v>20978.33466178313</v>
      </c>
      <c r="DZ225" s="1439">
        <f t="shared" si="556"/>
        <v>20978.33466178313</v>
      </c>
      <c r="EA225" s="1833">
        <f t="shared" ref="EA225:EE225" si="557">EA219+EA220+EA221+EA224</f>
        <v>22068.771109495916</v>
      </c>
      <c r="EB225" s="1833">
        <f t="shared" ca="1" si="557"/>
        <v>20926.658025436031</v>
      </c>
      <c r="EC225" s="1833">
        <f t="shared" ca="1" si="557"/>
        <v>20525.797916480158</v>
      </c>
      <c r="ED225" s="1678">
        <f t="shared" si="557"/>
        <v>20984.722028586348</v>
      </c>
      <c r="EE225" s="1439">
        <f t="shared" si="557"/>
        <v>20984.722028586348</v>
      </c>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row>
    <row r="226" spans="2:232" s="54" customFormat="1">
      <c r="B226" s="538"/>
      <c r="C226" s="413"/>
      <c r="D226" s="413"/>
      <c r="E226" s="413"/>
      <c r="F226" s="399"/>
      <c r="G226" s="399"/>
      <c r="H226" s="399"/>
      <c r="I226" s="406"/>
      <c r="J226" s="406"/>
      <c r="K226" s="406"/>
      <c r="L226" s="406"/>
      <c r="M226" s="406"/>
      <c r="N226" s="406"/>
      <c r="O226" s="406"/>
      <c r="P226" s="406"/>
      <c r="Q226" s="406"/>
      <c r="R226" s="406"/>
      <c r="S226" s="406"/>
      <c r="T226" s="406"/>
      <c r="U226" s="406"/>
      <c r="V226" s="406"/>
      <c r="W226" s="406"/>
      <c r="X226" s="406"/>
      <c r="Y226" s="406"/>
      <c r="Z226" s="406"/>
      <c r="AA226" s="406"/>
      <c r="AB226" s="406"/>
      <c r="AC226" s="406"/>
      <c r="AD226" s="406"/>
      <c r="AE226" s="406"/>
      <c r="AF226" s="406"/>
      <c r="AG226" s="406"/>
      <c r="AH226" s="406"/>
      <c r="AI226" s="406"/>
      <c r="AJ226" s="406"/>
      <c r="AK226" s="406"/>
      <c r="AL226" s="406"/>
      <c r="AM226" s="406"/>
      <c r="AN226" s="406"/>
      <c r="AO226" s="406"/>
      <c r="AP226" s="406"/>
      <c r="AQ226" s="406"/>
      <c r="AR226" s="406"/>
      <c r="AS226" s="406"/>
      <c r="AT226" s="406"/>
      <c r="AU226" s="406"/>
      <c r="AV226" s="406"/>
      <c r="AW226" s="406"/>
      <c r="AX226" s="406"/>
      <c r="AY226" s="406"/>
      <c r="AZ226" s="406"/>
      <c r="BA226" s="406"/>
      <c r="BB226" s="406"/>
      <c r="BC226" s="406"/>
      <c r="BD226" s="406"/>
      <c r="BE226" s="406"/>
      <c r="BF226" s="406"/>
      <c r="BG226" s="406"/>
      <c r="BH226" s="406"/>
      <c r="BI226" s="406"/>
      <c r="BJ226" s="406"/>
      <c r="BK226" s="406"/>
      <c r="BL226" s="406"/>
      <c r="BM226" s="406"/>
      <c r="BN226" s="406"/>
      <c r="BO226" s="406"/>
      <c r="BP226" s="406"/>
      <c r="BQ226" s="406"/>
      <c r="BR226" s="406"/>
      <c r="BS226" s="121"/>
      <c r="BT226" s="73"/>
      <c r="BU226" s="73"/>
      <c r="BV226" s="75"/>
      <c r="BW226" s="406"/>
      <c r="BX226" s="121"/>
      <c r="BY226" s="73"/>
      <c r="BZ226" s="73"/>
      <c r="CA226" s="75"/>
      <c r="CB226" s="406"/>
      <c r="CC226" s="121"/>
      <c r="CD226" s="73"/>
      <c r="CE226" s="73"/>
      <c r="CF226" s="73"/>
      <c r="CG226" s="783"/>
      <c r="CH226" s="73"/>
      <c r="CI226" s="73"/>
      <c r="CJ226" s="73"/>
      <c r="CK226" s="73"/>
      <c r="CL226" s="783"/>
      <c r="CM226" s="73"/>
      <c r="CN226" s="73"/>
      <c r="CO226" s="73"/>
      <c r="CP226" s="75"/>
      <c r="CQ226" s="783"/>
      <c r="CR226" s="140"/>
      <c r="CS226" s="76"/>
      <c r="CT226" s="76"/>
      <c r="CU226" s="141"/>
      <c r="CV226" s="783"/>
      <c r="CW226" s="140"/>
      <c r="CX226" s="76"/>
      <c r="CY226" s="76"/>
      <c r="CZ226" s="141"/>
      <c r="DA226" s="783"/>
      <c r="DB226" s="1436"/>
      <c r="DC226" s="76"/>
      <c r="DD226" s="76"/>
      <c r="DE226" s="76"/>
      <c r="DF226" s="783"/>
      <c r="DG226" s="76"/>
      <c r="DH226" s="76"/>
      <c r="DI226" s="76"/>
      <c r="DJ226" s="76"/>
      <c r="DK226" s="1376"/>
      <c r="DL226" s="76"/>
      <c r="DM226" s="76"/>
      <c r="DN226" s="76"/>
      <c r="DO226" s="2252"/>
      <c r="DP226" s="2252"/>
      <c r="DQ226" s="76"/>
      <c r="DR226" s="829"/>
      <c r="DS226" s="829"/>
      <c r="DT226" s="1677"/>
      <c r="DU226" s="1437"/>
      <c r="DV226" s="829"/>
      <c r="DW226" s="829"/>
      <c r="DX226" s="829"/>
      <c r="DY226" s="1677"/>
      <c r="DZ226" s="1437"/>
      <c r="EA226" s="829"/>
      <c r="EB226" s="829"/>
      <c r="EC226" s="829"/>
      <c r="ED226" s="1677"/>
      <c r="EE226" s="1437"/>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row>
    <row r="227" spans="2:232" s="54" customFormat="1">
      <c r="B227" s="561" t="s">
        <v>199</v>
      </c>
      <c r="C227" s="164"/>
      <c r="D227" s="164"/>
      <c r="E227" s="164"/>
      <c r="F227" s="399"/>
      <c r="G227" s="399"/>
      <c r="H227" s="399"/>
      <c r="I227" s="406"/>
      <c r="J227" s="406">
        <v>2</v>
      </c>
      <c r="K227" s="406"/>
      <c r="L227" s="406"/>
      <c r="M227" s="406"/>
      <c r="N227" s="406"/>
      <c r="O227" s="406">
        <v>4</v>
      </c>
      <c r="P227" s="406"/>
      <c r="Q227" s="406"/>
      <c r="R227" s="406"/>
      <c r="S227" s="406"/>
      <c r="T227" s="406">
        <v>3</v>
      </c>
      <c r="U227" s="406"/>
      <c r="V227" s="406"/>
      <c r="W227" s="406"/>
      <c r="X227" s="406"/>
      <c r="Y227" s="406">
        <v>13.6</v>
      </c>
      <c r="Z227" s="406"/>
      <c r="AA227" s="406"/>
      <c r="AB227" s="406"/>
      <c r="AC227" s="406"/>
      <c r="AD227" s="406">
        <v>18</v>
      </c>
      <c r="AE227" s="406"/>
      <c r="AF227" s="406"/>
      <c r="AG227" s="406"/>
      <c r="AH227" s="406"/>
      <c r="AI227" s="406">
        <v>18.2</v>
      </c>
      <c r="AJ227" s="406"/>
      <c r="AK227" s="406"/>
      <c r="AL227" s="406"/>
      <c r="AM227" s="406"/>
      <c r="AN227" s="406">
        <v>20.8</v>
      </c>
      <c r="AO227" s="406"/>
      <c r="AP227" s="406"/>
      <c r="AQ227" s="406"/>
      <c r="AR227" s="406"/>
      <c r="AS227" s="406">
        <v>11.2</v>
      </c>
      <c r="AT227" s="406"/>
      <c r="AU227" s="406"/>
      <c r="AV227" s="406"/>
      <c r="AW227" s="406"/>
      <c r="AX227" s="406">
        <v>9.4</v>
      </c>
      <c r="AY227" s="406"/>
      <c r="AZ227" s="406"/>
      <c r="BA227" s="406"/>
      <c r="BB227" s="406"/>
      <c r="BC227" s="406">
        <v>12.4</v>
      </c>
      <c r="BD227" s="406"/>
      <c r="BE227" s="406"/>
      <c r="BF227" s="406"/>
      <c r="BG227" s="406"/>
      <c r="BH227" s="406">
        <v>12</v>
      </c>
      <c r="BI227" s="406"/>
      <c r="BJ227" s="406"/>
      <c r="BK227" s="406"/>
      <c r="BL227" s="406"/>
      <c r="BM227" s="406">
        <v>3.2</v>
      </c>
      <c r="BN227" s="406"/>
      <c r="BO227" s="406"/>
      <c r="BP227" s="406"/>
      <c r="BQ227" s="406">
        <v>1</v>
      </c>
      <c r="BR227" s="406">
        <v>22</v>
      </c>
      <c r="BS227" s="121">
        <v>20</v>
      </c>
      <c r="BT227" s="73"/>
      <c r="BU227" s="73"/>
      <c r="BV227" s="75">
        <f>BW227</f>
        <v>1337</v>
      </c>
      <c r="BW227" s="406">
        <v>1337</v>
      </c>
      <c r="BX227" s="121">
        <v>1337</v>
      </c>
      <c r="BY227" s="73">
        <v>2332</v>
      </c>
      <c r="BZ227" s="73">
        <v>2338</v>
      </c>
      <c r="CA227" s="75">
        <f>CB227</f>
        <v>2336</v>
      </c>
      <c r="CB227" s="406">
        <v>2336</v>
      </c>
      <c r="CC227" s="121">
        <v>2366</v>
      </c>
      <c r="CD227" s="73">
        <v>2347</v>
      </c>
      <c r="CE227" s="73">
        <v>2359</v>
      </c>
      <c r="CF227" s="73">
        <v>2389</v>
      </c>
      <c r="CG227" s="783">
        <v>2389</v>
      </c>
      <c r="CH227" s="73">
        <v>2389</v>
      </c>
      <c r="CI227" s="73">
        <v>2380</v>
      </c>
      <c r="CJ227" s="73">
        <v>2384</v>
      </c>
      <c r="CK227" s="73">
        <v>2396</v>
      </c>
      <c r="CL227" s="783">
        <v>2396</v>
      </c>
      <c r="CM227" s="73">
        <v>2390</v>
      </c>
      <c r="CN227" s="73">
        <v>2381</v>
      </c>
      <c r="CO227" s="73">
        <v>2387</v>
      </c>
      <c r="CP227" s="75">
        <v>4073</v>
      </c>
      <c r="CQ227" s="783">
        <f>CP227</f>
        <v>4073</v>
      </c>
      <c r="CR227" s="248">
        <v>5069</v>
      </c>
      <c r="CS227" s="76">
        <v>5058</v>
      </c>
      <c r="CT227" s="76">
        <v>4501</v>
      </c>
      <c r="CU227" s="141">
        <v>4477</v>
      </c>
      <c r="CV227" s="783">
        <f>CU227</f>
        <v>4477</v>
      </c>
      <c r="CW227" s="248">
        <v>4501</v>
      </c>
      <c r="CX227" s="76">
        <v>4489</v>
      </c>
      <c r="CY227" s="76">
        <v>3747</v>
      </c>
      <c r="CZ227" s="141">
        <v>3736</v>
      </c>
      <c r="DA227" s="783">
        <f>CZ227</f>
        <v>3736</v>
      </c>
      <c r="DB227" s="1436">
        <v>13756</v>
      </c>
      <c r="DC227" s="1706">
        <v>16001</v>
      </c>
      <c r="DD227" s="1706">
        <v>15055</v>
      </c>
      <c r="DE227" s="1706">
        <v>13315</v>
      </c>
      <c r="DF227" s="783">
        <f>DE227</f>
        <v>13315</v>
      </c>
      <c r="DG227" s="1706">
        <v>13194</v>
      </c>
      <c r="DH227" s="1706">
        <v>12974</v>
      </c>
      <c r="DI227" s="1706">
        <v>13151</v>
      </c>
      <c r="DJ227" s="1706">
        <v>18705</v>
      </c>
      <c r="DK227" s="1376">
        <f>DJ227</f>
        <v>18705</v>
      </c>
      <c r="DL227" s="1706">
        <v>17777</v>
      </c>
      <c r="DM227" s="1706">
        <v>17758</v>
      </c>
      <c r="DN227" s="1706">
        <v>14372</v>
      </c>
      <c r="DO227" s="2289">
        <v>12684</v>
      </c>
      <c r="DP227" s="2252">
        <f>DO227</f>
        <v>12684</v>
      </c>
      <c r="DQ227" s="1706">
        <v>12737</v>
      </c>
      <c r="DR227" s="829">
        <f>Debt!DR28</f>
        <v>13669</v>
      </c>
      <c r="DS227" s="829">
        <f>Debt!DS28</f>
        <v>13669</v>
      </c>
      <c r="DT227" s="829">
        <f>Debt!DT28</f>
        <v>13669</v>
      </c>
      <c r="DU227" s="1437">
        <f>DT227</f>
        <v>13669</v>
      </c>
      <c r="DV227" s="829">
        <f>Debt!DV28</f>
        <v>12177</v>
      </c>
      <c r="DW227" s="829">
        <f>Debt!DW28</f>
        <v>12177</v>
      </c>
      <c r="DX227" s="829">
        <f>Debt!DX28</f>
        <v>12177</v>
      </c>
      <c r="DY227" s="1677">
        <f>Debt!DY28</f>
        <v>12177</v>
      </c>
      <c r="DZ227" s="1437">
        <f>DY227</f>
        <v>12177</v>
      </c>
      <c r="EA227" s="829">
        <f>Debt!EA28</f>
        <v>11927</v>
      </c>
      <c r="EB227" s="829">
        <f>Debt!EB28</f>
        <v>11927</v>
      </c>
      <c r="EC227" s="829">
        <f>Debt!EC28</f>
        <v>11927</v>
      </c>
      <c r="ED227" s="1677">
        <f>Debt!ED28</f>
        <v>11927</v>
      </c>
      <c r="EE227" s="1437">
        <f>ED227</f>
        <v>11927</v>
      </c>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row>
    <row r="228" spans="2:232" s="54" customFormat="1">
      <c r="B228" s="561" t="s">
        <v>36</v>
      </c>
      <c r="C228" s="164"/>
      <c r="D228" s="164"/>
      <c r="E228" s="164"/>
      <c r="F228" s="399">
        <v>175.59200000000001</v>
      </c>
      <c r="G228" s="399">
        <v>198.428</v>
      </c>
      <c r="H228" s="399">
        <v>173.34299999999999</v>
      </c>
      <c r="I228" s="399">
        <v>173.649</v>
      </c>
      <c r="J228" s="399">
        <v>142.27799999999999</v>
      </c>
      <c r="K228" s="399"/>
      <c r="L228" s="399"/>
      <c r="M228" s="399"/>
      <c r="N228" s="399"/>
      <c r="O228" s="399">
        <v>145.21799999999999</v>
      </c>
      <c r="P228" s="399"/>
      <c r="Q228" s="399"/>
      <c r="R228" s="399"/>
      <c r="S228" s="399"/>
      <c r="T228" s="399">
        <v>112.83199999999999</v>
      </c>
      <c r="U228" s="399"/>
      <c r="V228" s="399"/>
      <c r="W228" s="399"/>
      <c r="X228" s="399"/>
      <c r="Y228" s="399">
        <v>89.138999999999996</v>
      </c>
      <c r="Z228" s="399"/>
      <c r="AA228" s="399"/>
      <c r="AB228" s="399"/>
      <c r="AC228" s="399"/>
      <c r="AD228" s="399">
        <v>74.8</v>
      </c>
      <c r="AE228" s="399"/>
      <c r="AF228" s="399"/>
      <c r="AG228" s="399"/>
      <c r="AH228" s="399"/>
      <c r="AI228" s="399">
        <v>101.6</v>
      </c>
      <c r="AJ228" s="399"/>
      <c r="AK228" s="399"/>
      <c r="AL228" s="399"/>
      <c r="AM228" s="399"/>
      <c r="AN228" s="399">
        <v>137</v>
      </c>
      <c r="AO228" s="399"/>
      <c r="AP228" s="399"/>
      <c r="AQ228" s="399"/>
      <c r="AR228" s="399"/>
      <c r="AS228" s="399">
        <v>176.5</v>
      </c>
      <c r="AT228" s="399"/>
      <c r="AU228" s="399"/>
      <c r="AV228" s="399"/>
      <c r="AW228" s="399"/>
      <c r="AX228" s="399">
        <v>180.7</v>
      </c>
      <c r="AY228" s="399"/>
      <c r="AZ228" s="399"/>
      <c r="BA228" s="399"/>
      <c r="BB228" s="399"/>
      <c r="BC228" s="399">
        <v>274.10000000000002</v>
      </c>
      <c r="BD228" s="399"/>
      <c r="BE228" s="399"/>
      <c r="BF228" s="399"/>
      <c r="BG228" s="399"/>
      <c r="BH228" s="399">
        <v>240.4</v>
      </c>
      <c r="BI228" s="399"/>
      <c r="BJ228" s="399"/>
      <c r="BK228" s="399"/>
      <c r="BL228" s="399"/>
      <c r="BM228" s="399">
        <v>141.1</v>
      </c>
      <c r="BN228" s="399"/>
      <c r="BO228" s="399"/>
      <c r="BP228" s="399"/>
      <c r="BQ228" s="399">
        <v>1</v>
      </c>
      <c r="BR228" s="399">
        <v>158.19999999999999</v>
      </c>
      <c r="BS228" s="400">
        <v>107</v>
      </c>
      <c r="BT228" s="401">
        <v>77.7</v>
      </c>
      <c r="BU228" s="401">
        <v>149.6</v>
      </c>
      <c r="BV228" s="402">
        <f>BW228</f>
        <v>149.5</v>
      </c>
      <c r="BW228" s="399">
        <v>149.5</v>
      </c>
      <c r="BX228" s="400">
        <v>154</v>
      </c>
      <c r="BY228" s="401">
        <v>166</v>
      </c>
      <c r="BZ228" s="401">
        <v>316</v>
      </c>
      <c r="CA228" s="402">
        <f>CB228</f>
        <v>265</v>
      </c>
      <c r="CB228" s="399">
        <v>265</v>
      </c>
      <c r="CC228" s="400">
        <v>275</v>
      </c>
      <c r="CD228" s="401">
        <v>253</v>
      </c>
      <c r="CE228" s="401">
        <v>268</v>
      </c>
      <c r="CF228" s="401">
        <v>318</v>
      </c>
      <c r="CG228" s="782">
        <v>318</v>
      </c>
      <c r="CH228" s="401">
        <v>360</v>
      </c>
      <c r="CI228" s="401">
        <v>423</v>
      </c>
      <c r="CJ228" s="401">
        <v>419</v>
      </c>
      <c r="CK228" s="401">
        <v>343</v>
      </c>
      <c r="CL228" s="782">
        <v>343</v>
      </c>
      <c r="CM228" s="401">
        <v>284</v>
      </c>
      <c r="CN228" s="401">
        <v>295</v>
      </c>
      <c r="CO228" s="401">
        <v>368</v>
      </c>
      <c r="CP228" s="433">
        <v>545</v>
      </c>
      <c r="CQ228" s="782">
        <f>CP228</f>
        <v>545</v>
      </c>
      <c r="CR228" s="434">
        <v>559</v>
      </c>
      <c r="CS228" s="435">
        <v>517</v>
      </c>
      <c r="CT228" s="404">
        <v>577</v>
      </c>
      <c r="CU228" s="405">
        <v>600</v>
      </c>
      <c r="CV228" s="782">
        <f>CU228</f>
        <v>600</v>
      </c>
      <c r="CW228" s="434">
        <v>778</v>
      </c>
      <c r="CX228" s="1556">
        <v>878</v>
      </c>
      <c r="CY228" s="1556">
        <v>1010</v>
      </c>
      <c r="CZ228" s="1557">
        <v>1048</v>
      </c>
      <c r="DA228" s="1558">
        <f>CZ228</f>
        <v>1048</v>
      </c>
      <c r="DB228" s="1559">
        <v>1131</v>
      </c>
      <c r="DC228" s="1705">
        <v>3689</v>
      </c>
      <c r="DD228" s="1705">
        <v>3532</v>
      </c>
      <c r="DE228" s="1705">
        <v>3538</v>
      </c>
      <c r="DF228" s="782">
        <f>DE228</f>
        <v>3538</v>
      </c>
      <c r="DG228" s="1705">
        <v>3313</v>
      </c>
      <c r="DH228" s="1705">
        <v>3107</v>
      </c>
      <c r="DI228" s="1705">
        <v>3058</v>
      </c>
      <c r="DJ228" s="1705">
        <v>2644</v>
      </c>
      <c r="DK228" s="2054">
        <f>DJ228</f>
        <v>2644</v>
      </c>
      <c r="DL228" s="1705">
        <v>2516</v>
      </c>
      <c r="DM228" s="1705">
        <v>2339</v>
      </c>
      <c r="DN228" s="1705">
        <v>2403</v>
      </c>
      <c r="DO228" s="2288">
        <v>2281</v>
      </c>
      <c r="DP228" s="2258">
        <f>DO228</f>
        <v>2281</v>
      </c>
      <c r="DQ228" s="1705">
        <v>2319</v>
      </c>
      <c r="DR228" s="1843">
        <f>DQ228+DR360</f>
        <v>2319</v>
      </c>
      <c r="DS228" s="1843">
        <f>DR228+DS360</f>
        <v>2319</v>
      </c>
      <c r="DT228" s="1685">
        <f>DS228+DT360</f>
        <v>2319</v>
      </c>
      <c r="DU228" s="1560">
        <f>DT228</f>
        <v>2319</v>
      </c>
      <c r="DV228" s="1843">
        <f>DU228+DV360</f>
        <v>2319</v>
      </c>
      <c r="DW228" s="1843">
        <f>DV228+DW360</f>
        <v>2319</v>
      </c>
      <c r="DX228" s="1843">
        <f>DW228+DX360</f>
        <v>2319</v>
      </c>
      <c r="DY228" s="1685">
        <f>DX228+DY360</f>
        <v>2319</v>
      </c>
      <c r="DZ228" s="1560">
        <f>DY228</f>
        <v>2319</v>
      </c>
      <c r="EA228" s="1843">
        <f>DZ228+EA360</f>
        <v>2319</v>
      </c>
      <c r="EB228" s="1843">
        <f>EA228+EB360</f>
        <v>2319</v>
      </c>
      <c r="EC228" s="1843">
        <f>EB228+EC360</f>
        <v>2319</v>
      </c>
      <c r="ED228" s="1685">
        <f>EC228+ED360</f>
        <v>2319</v>
      </c>
      <c r="EE228" s="1560">
        <f>ED228</f>
        <v>2319</v>
      </c>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row>
    <row r="229" spans="2:232" s="54" customFormat="1">
      <c r="B229" s="623" t="s">
        <v>37</v>
      </c>
      <c r="C229" s="270" t="s">
        <v>414</v>
      </c>
      <c r="D229" s="270"/>
      <c r="E229" s="270"/>
      <c r="F229" s="739">
        <f>17.965+122.96+13.166</f>
        <v>154.09099999999998</v>
      </c>
      <c r="G229" s="739">
        <f>21.943+18.749+11.855</f>
        <v>52.546999999999997</v>
      </c>
      <c r="H229" s="739">
        <f>99.59</f>
        <v>99.59</v>
      </c>
      <c r="I229" s="739">
        <f>110.771</f>
        <v>110.771</v>
      </c>
      <c r="J229" s="739">
        <f>239.981-J227</f>
        <v>237.98099999999999</v>
      </c>
      <c r="K229" s="739"/>
      <c r="L229" s="739"/>
      <c r="M229" s="739"/>
      <c r="N229" s="739"/>
      <c r="O229" s="739">
        <f>263.368-O227</f>
        <v>259.36799999999999</v>
      </c>
      <c r="P229" s="739"/>
      <c r="Q229" s="739"/>
      <c r="R229" s="739"/>
      <c r="S229" s="739"/>
      <c r="T229" s="739">
        <f>282.465-T227</f>
        <v>279.46499999999997</v>
      </c>
      <c r="U229" s="739"/>
      <c r="V229" s="739"/>
      <c r="W229" s="739"/>
      <c r="X229" s="739"/>
      <c r="Y229" s="739">
        <f>383.486-Y227+-0.0310000000008586</f>
        <v>369.85499999999911</v>
      </c>
      <c r="Z229" s="739"/>
      <c r="AA229" s="739"/>
      <c r="AB229" s="739"/>
      <c r="AC229" s="739"/>
      <c r="AD229" s="739">
        <f>423.8-AD227</f>
        <v>405.8</v>
      </c>
      <c r="AE229" s="739"/>
      <c r="AF229" s="739"/>
      <c r="AG229" s="739"/>
      <c r="AH229" s="739"/>
      <c r="AI229" s="739">
        <f>464.4-AI227</f>
        <v>446.2</v>
      </c>
      <c r="AJ229" s="739"/>
      <c r="AK229" s="739"/>
      <c r="AL229" s="739"/>
      <c r="AM229" s="739"/>
      <c r="AN229" s="739">
        <f>478-AN227</f>
        <v>457.2</v>
      </c>
      <c r="AO229" s="739"/>
      <c r="AP229" s="739"/>
      <c r="AQ229" s="739"/>
      <c r="AR229" s="739"/>
      <c r="AS229" s="739">
        <f>516.9-AS227</f>
        <v>505.7</v>
      </c>
      <c r="AT229" s="739"/>
      <c r="AU229" s="739"/>
      <c r="AV229" s="739"/>
      <c r="AW229" s="739"/>
      <c r="AX229" s="739">
        <f>686.9-AX227</f>
        <v>677.5</v>
      </c>
      <c r="AY229" s="739"/>
      <c r="AZ229" s="739"/>
      <c r="BA229" s="739"/>
      <c r="BB229" s="739"/>
      <c r="BC229" s="739">
        <f>850.4-BC227</f>
        <v>838</v>
      </c>
      <c r="BD229" s="739"/>
      <c r="BE229" s="739"/>
      <c r="BF229" s="739"/>
      <c r="BG229" s="739"/>
      <c r="BH229" s="739">
        <f>997.7-BH227</f>
        <v>985.7</v>
      </c>
      <c r="BI229" s="739"/>
      <c r="BJ229" s="739"/>
      <c r="BK229" s="739"/>
      <c r="BL229" s="739"/>
      <c r="BM229" s="739">
        <f>1118.9-BM227</f>
        <v>1115.7</v>
      </c>
      <c r="BN229" s="739"/>
      <c r="BO229" s="739"/>
      <c r="BP229" s="739"/>
      <c r="BQ229" s="739">
        <v>1</v>
      </c>
      <c r="BR229" s="739">
        <f>1306.8-BR227</f>
        <v>1284.8</v>
      </c>
      <c r="BS229" s="436">
        <v>1313</v>
      </c>
      <c r="BT229" s="269">
        <v>1376.8</v>
      </c>
      <c r="BU229" s="269">
        <v>1400.7</v>
      </c>
      <c r="BV229" s="437">
        <f>BW229</f>
        <v>1410.2</v>
      </c>
      <c r="BW229" s="739">
        <v>1410.2</v>
      </c>
      <c r="BX229" s="436">
        <v>1395</v>
      </c>
      <c r="BY229" s="269">
        <v>1387</v>
      </c>
      <c r="BZ229" s="269">
        <v>1329</v>
      </c>
      <c r="CA229" s="437">
        <f>CB229</f>
        <v>1396</v>
      </c>
      <c r="CB229" s="739">
        <v>1396</v>
      </c>
      <c r="CC229" s="436">
        <v>1464</v>
      </c>
      <c r="CD229" s="269">
        <v>1489</v>
      </c>
      <c r="CE229" s="269">
        <v>1627</v>
      </c>
      <c r="CF229" s="269">
        <v>1735</v>
      </c>
      <c r="CG229" s="790">
        <v>1735</v>
      </c>
      <c r="CH229" s="269">
        <v>1783</v>
      </c>
      <c r="CI229" s="269">
        <v>1850</v>
      </c>
      <c r="CJ229" s="269">
        <v>1872</v>
      </c>
      <c r="CK229" s="269">
        <v>1785</v>
      </c>
      <c r="CL229" s="790">
        <v>1785</v>
      </c>
      <c r="CM229" s="269">
        <v>1852</v>
      </c>
      <c r="CN229" s="269">
        <v>1876</v>
      </c>
      <c r="CO229" s="269">
        <v>1903</v>
      </c>
      <c r="CP229" s="437">
        <v>1886</v>
      </c>
      <c r="CQ229" s="790">
        <f>CP229</f>
        <v>1886</v>
      </c>
      <c r="CR229" s="714">
        <v>1932</v>
      </c>
      <c r="CS229" s="283">
        <v>1991</v>
      </c>
      <c r="CT229" s="283">
        <v>2093</v>
      </c>
      <c r="CU229" s="740">
        <v>2067</v>
      </c>
      <c r="CV229" s="790">
        <f>CU229</f>
        <v>2067</v>
      </c>
      <c r="CW229" s="714">
        <v>2325</v>
      </c>
      <c r="CX229" s="283">
        <v>2382</v>
      </c>
      <c r="CY229" s="283">
        <v>2740</v>
      </c>
      <c r="CZ229" s="740">
        <v>2942</v>
      </c>
      <c r="DA229" s="790">
        <f>CZ229</f>
        <v>2942</v>
      </c>
      <c r="DB229" s="1448">
        <v>3081</v>
      </c>
      <c r="DC229" s="1707">
        <v>3951</v>
      </c>
      <c r="DD229" s="1707">
        <v>3971</v>
      </c>
      <c r="DE229" s="1707">
        <v>4072</v>
      </c>
      <c r="DF229" s="790">
        <f>DE229</f>
        <v>4072</v>
      </c>
      <c r="DG229" s="1707">
        <v>4122</v>
      </c>
      <c r="DH229" s="1707">
        <v>4114</v>
      </c>
      <c r="DI229" s="1707">
        <v>3999</v>
      </c>
      <c r="DJ229" s="1707">
        <v>4045</v>
      </c>
      <c r="DK229" s="2055">
        <f>DJ229</f>
        <v>4045</v>
      </c>
      <c r="DL229" s="1707">
        <v>4198</v>
      </c>
      <c r="DM229" s="1707">
        <v>4309</v>
      </c>
      <c r="DN229" s="1707">
        <v>4201</v>
      </c>
      <c r="DO229" s="2291">
        <v>4223</v>
      </c>
      <c r="DP229" s="1449">
        <f>DO229</f>
        <v>4223</v>
      </c>
      <c r="DQ229" s="1707">
        <v>4289</v>
      </c>
      <c r="DR229" s="1844">
        <f>DQ229</f>
        <v>4289</v>
      </c>
      <c r="DS229" s="1844">
        <f>DR229</f>
        <v>4289</v>
      </c>
      <c r="DT229" s="1686">
        <f>DS229</f>
        <v>4289</v>
      </c>
      <c r="DU229" s="1449">
        <f>DT229</f>
        <v>4289</v>
      </c>
      <c r="DV229" s="1844">
        <f>DU229</f>
        <v>4289</v>
      </c>
      <c r="DW229" s="1844">
        <f>DV229</f>
        <v>4289</v>
      </c>
      <c r="DX229" s="1844">
        <f>DW229</f>
        <v>4289</v>
      </c>
      <c r="DY229" s="1686">
        <f>DX229</f>
        <v>4289</v>
      </c>
      <c r="DZ229" s="1449">
        <f>DY229</f>
        <v>4289</v>
      </c>
      <c r="EA229" s="1844">
        <f>DZ229</f>
        <v>4289</v>
      </c>
      <c r="EB229" s="1844">
        <f>EA229</f>
        <v>4289</v>
      </c>
      <c r="EC229" s="1844">
        <f>EB229</f>
        <v>4289</v>
      </c>
      <c r="ED229" s="1686">
        <f>EC229</f>
        <v>4289</v>
      </c>
      <c r="EE229" s="1449">
        <f>ED229</f>
        <v>4289</v>
      </c>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row>
    <row r="230" spans="2:232" s="161" customFormat="1">
      <c r="B230" s="738" t="s">
        <v>379</v>
      </c>
      <c r="C230" s="705"/>
      <c r="D230" s="705"/>
      <c r="E230" s="705"/>
      <c r="F230" s="700">
        <f>F225+F228+F229+F227</f>
        <v>1013.4800000000001</v>
      </c>
      <c r="G230" s="700">
        <f>G225+G228+G229+G227</f>
        <v>1040.24</v>
      </c>
      <c r="H230" s="700">
        <f>H225+H228+H229+H227</f>
        <v>1156.44</v>
      </c>
      <c r="I230" s="700">
        <f>I225+I228+I229+I227</f>
        <v>1335.1090000000002</v>
      </c>
      <c r="J230" s="700">
        <f>J225+J228+J229+J227</f>
        <v>1460.021</v>
      </c>
      <c r="K230" s="700"/>
      <c r="L230" s="700"/>
      <c r="M230" s="700"/>
      <c r="N230" s="700"/>
      <c r="O230" s="700">
        <f>O225+O228+O229+O227</f>
        <v>1590.5409999999999</v>
      </c>
      <c r="P230" s="700"/>
      <c r="Q230" s="700"/>
      <c r="R230" s="700"/>
      <c r="S230" s="700"/>
      <c r="T230" s="700">
        <f>T225+T228+T229+T227</f>
        <v>1833.8109999999999</v>
      </c>
      <c r="U230" s="700"/>
      <c r="V230" s="700"/>
      <c r="W230" s="700"/>
      <c r="X230" s="700"/>
      <c r="Y230" s="700">
        <f>Y225+Y228+Y229+Y227</f>
        <v>2052.6859999999988</v>
      </c>
      <c r="Z230" s="700"/>
      <c r="AA230" s="700"/>
      <c r="AB230" s="700"/>
      <c r="AC230" s="700"/>
      <c r="AD230" s="700">
        <f>AD225+AD228+AD229+AD227</f>
        <v>2422.4</v>
      </c>
      <c r="AE230" s="700"/>
      <c r="AF230" s="700"/>
      <c r="AG230" s="700"/>
      <c r="AH230" s="700"/>
      <c r="AI230" s="700">
        <f>AI225+AI228+AI229+AI227</f>
        <v>2869.6999999999994</v>
      </c>
      <c r="AJ230" s="700"/>
      <c r="AK230" s="700"/>
      <c r="AL230" s="700"/>
      <c r="AM230" s="700"/>
      <c r="AN230" s="700">
        <f>AN225+AN228+AN229+AN227</f>
        <v>3626.6</v>
      </c>
      <c r="AO230" s="700"/>
      <c r="AP230" s="700"/>
      <c r="AQ230" s="700"/>
      <c r="AR230" s="700"/>
      <c r="AS230" s="700">
        <f>AS225+AS228+AS229+AS227</f>
        <v>3648.6</v>
      </c>
      <c r="AT230" s="700"/>
      <c r="AU230" s="700"/>
      <c r="AV230" s="700"/>
      <c r="AW230" s="700"/>
      <c r="AX230" s="700">
        <f>AX225+AX228+AX229+AX227</f>
        <v>4539</v>
      </c>
      <c r="AY230" s="700"/>
      <c r="AZ230" s="700"/>
      <c r="BA230" s="700"/>
      <c r="BB230" s="700"/>
      <c r="BC230" s="700">
        <f>BC225+BC228+BC229+BC227</f>
        <v>5202.3999999999996</v>
      </c>
      <c r="BD230" s="700"/>
      <c r="BE230" s="700"/>
      <c r="BF230" s="700"/>
      <c r="BG230" s="700"/>
      <c r="BH230" s="700">
        <f>BH225+BH228+BH229+BH227</f>
        <v>5719.0999999999995</v>
      </c>
      <c r="BI230" s="700"/>
      <c r="BJ230" s="700"/>
      <c r="BK230" s="700"/>
      <c r="BL230" s="700"/>
      <c r="BM230" s="700">
        <f>BM225+BM228+BM229+BM227</f>
        <v>7015.3</v>
      </c>
      <c r="BN230" s="700"/>
      <c r="BO230" s="700"/>
      <c r="BP230" s="700"/>
      <c r="BQ230" s="700"/>
      <c r="BR230" s="700">
        <f>BR225+BR228+BR229+BR227</f>
        <v>8209.3000000000011</v>
      </c>
      <c r="BS230" s="706">
        <f>SUM(BS225:BS229)</f>
        <v>8986</v>
      </c>
      <c r="BT230" s="707">
        <f>SUM(BT225:BT229)</f>
        <v>8685</v>
      </c>
      <c r="BU230" s="707">
        <f>SUM(BU225:BU229)</f>
        <v>9052.6</v>
      </c>
      <c r="BV230" s="708">
        <f>SUM(BV225:BV229)</f>
        <v>9541.1</v>
      </c>
      <c r="BW230" s="700">
        <f>BW225+BW228+BW229+BW227</f>
        <v>9541.1</v>
      </c>
      <c r="BX230" s="706">
        <f>SUM(BX225:BX229)</f>
        <v>11382</v>
      </c>
      <c r="BY230" s="707">
        <f>SUM(BY225:BY229)</f>
        <v>11146</v>
      </c>
      <c r="BZ230" s="707">
        <f>SUM(BZ225:BZ229)</f>
        <v>10956</v>
      </c>
      <c r="CA230" s="708">
        <f>SUM(CA225:CA229)</f>
        <v>10766</v>
      </c>
      <c r="CB230" s="700">
        <f>CB225+CB228+CB229+CB227</f>
        <v>10766</v>
      </c>
      <c r="CC230" s="706">
        <f>SUM(CC225:CC229)</f>
        <v>11927</v>
      </c>
      <c r="CD230" s="707">
        <f>SUM(CD225:CD229)</f>
        <v>11386</v>
      </c>
      <c r="CE230" s="707">
        <f>SUM(CE225:CE229)</f>
        <v>11595</v>
      </c>
      <c r="CF230" s="707">
        <f>SUM(CF225:CF229)</f>
        <v>11875</v>
      </c>
      <c r="CG230" s="787">
        <f>CG225+CG228+CG229+CG227</f>
        <v>11875</v>
      </c>
      <c r="CH230" s="707">
        <f>SUM(CH225:CH229)</f>
        <v>12681</v>
      </c>
      <c r="CI230" s="707">
        <f>SUM(CI225:CI229)</f>
        <v>12197</v>
      </c>
      <c r="CJ230" s="707">
        <f>SUM(CJ225:CJ229)</f>
        <v>12593</v>
      </c>
      <c r="CK230" s="707">
        <f>SUM(CK225:CK229)</f>
        <v>12607</v>
      </c>
      <c r="CL230" s="787">
        <f>CL225+CL228+CL229+CL227</f>
        <v>12607</v>
      </c>
      <c r="CM230" s="707">
        <f>SUM(CM225:CM229)</f>
        <v>12755</v>
      </c>
      <c r="CN230" s="707">
        <f>SUM(CN225:CN229)</f>
        <v>11806</v>
      </c>
      <c r="CO230" s="707">
        <f>SUM(CO225:CO229)</f>
        <v>12159</v>
      </c>
      <c r="CP230" s="708">
        <f>SUM(CP225:CP229)</f>
        <v>15226</v>
      </c>
      <c r="CQ230" s="787">
        <f>CQ225+CQ228+CQ229+CQ227</f>
        <v>15226</v>
      </c>
      <c r="CR230" s="706">
        <f>SUM(CR225:CR229)</f>
        <v>16880</v>
      </c>
      <c r="CS230" s="707">
        <f>SUM(CS225:CS229)</f>
        <v>16591</v>
      </c>
      <c r="CT230" s="707">
        <f>SUM(CT225:CT229)</f>
        <v>16861</v>
      </c>
      <c r="CU230" s="708">
        <f>SUM(CU225:CU229)</f>
        <v>16027</v>
      </c>
      <c r="CV230" s="787">
        <f>CV225+CV228+CV229+CV227</f>
        <v>16027</v>
      </c>
      <c r="CW230" s="706">
        <f>SUM(CW225:CW229)</f>
        <v>16425</v>
      </c>
      <c r="CX230" s="707">
        <f>SUM(CX225:CX229)</f>
        <v>16248</v>
      </c>
      <c r="CY230" s="707">
        <f>SUM(CY225:CY229)</f>
        <v>15906</v>
      </c>
      <c r="CZ230" s="708">
        <f>SUM(CZ225:CZ229)</f>
        <v>16621</v>
      </c>
      <c r="DA230" s="787">
        <f>DA225+DA228+DA229+DA227</f>
        <v>16621</v>
      </c>
      <c r="DB230" s="1442">
        <f>SUM(DB225:DB229)</f>
        <v>27845</v>
      </c>
      <c r="DC230" s="707">
        <f>SUM(DC225:DC229)</f>
        <v>40331</v>
      </c>
      <c r="DD230" s="707">
        <f>SUM(DD225:DD229)</f>
        <v>38715</v>
      </c>
      <c r="DE230" s="707">
        <f>SUM(DE225:DE229)</f>
        <v>37482</v>
      </c>
      <c r="DF230" s="787">
        <f>DF225+DF228+DF229+DF227</f>
        <v>37482</v>
      </c>
      <c r="DG230" s="707">
        <f>SUM(DG225:DG229)</f>
        <v>37503</v>
      </c>
      <c r="DH230" s="707">
        <f>SUM(DH225:DH229)</f>
        <v>36467</v>
      </c>
      <c r="DI230" s="707">
        <f>SUM(DI225:DI229)</f>
        <v>36019</v>
      </c>
      <c r="DJ230" s="707">
        <f>SUM(DJ225:DJ229)</f>
        <v>42407</v>
      </c>
      <c r="DK230" s="2056">
        <f>DK225+DK228+DK229+DK227</f>
        <v>42407</v>
      </c>
      <c r="DL230" s="707">
        <f>SUM(DL225:DL229)</f>
        <v>42220</v>
      </c>
      <c r="DM230" s="707">
        <f>SUM(DM225:DM229)</f>
        <v>42084</v>
      </c>
      <c r="DN230" s="707">
        <f>SUM(DN225:DN229)</f>
        <v>42689</v>
      </c>
      <c r="DO230" s="1443">
        <f>SUM(DO225:DO229)</f>
        <v>37735</v>
      </c>
      <c r="DP230" s="1443">
        <f>DP225+DP228+DP229+DP227</f>
        <v>37735</v>
      </c>
      <c r="DQ230" s="707">
        <f>SUM(DQ225:DQ229)</f>
        <v>39862</v>
      </c>
      <c r="DR230" s="707">
        <f ca="1">SUM(DR225:DR229)</f>
        <v>40409.615194073398</v>
      </c>
      <c r="DS230" s="707">
        <f ca="1">SUM(DS225:DS229)</f>
        <v>40300.59470072978</v>
      </c>
      <c r="DT230" s="1443">
        <f>SUM(DT225:DT229)</f>
        <v>41124.037188404276</v>
      </c>
      <c r="DU230" s="1443">
        <f>DU225+DU228+DU229+DU227</f>
        <v>41124.037188404276</v>
      </c>
      <c r="DV230" s="707">
        <f>SUM(DV225:DV229)</f>
        <v>40497.336261835015</v>
      </c>
      <c r="DW230" s="707">
        <f ca="1">SUM(DW225:DW229)</f>
        <v>39366.562613654969</v>
      </c>
      <c r="DX230" s="707">
        <f ca="1">SUM(DX225:DX229)</f>
        <v>38966.00511254563</v>
      </c>
      <c r="DY230" s="1443">
        <f>SUM(DY225:DY229)</f>
        <v>39763.334661783127</v>
      </c>
      <c r="DZ230" s="1443">
        <f>DZ225+DZ228+DZ229+DZ227</f>
        <v>39763.334661783127</v>
      </c>
      <c r="EA230" s="707">
        <f>SUM(EA225:EA229)</f>
        <v>40603.771109495916</v>
      </c>
      <c r="EB230" s="707">
        <f ca="1">SUM(EB225:EB229)</f>
        <v>39461.658025436031</v>
      </c>
      <c r="EC230" s="707">
        <f ca="1">SUM(EC225:EC229)</f>
        <v>39060.797916480158</v>
      </c>
      <c r="ED230" s="1443">
        <f>SUM(ED225:ED229)</f>
        <v>39519.722028586344</v>
      </c>
      <c r="EE230" s="1443">
        <f>EE225+EE228+EE229+EE227</f>
        <v>39519.722028586344</v>
      </c>
      <c r="EF230" s="704"/>
      <c r="EG230" s="704"/>
      <c r="EH230"/>
      <c r="EI230"/>
      <c r="EJ230"/>
      <c r="EK230"/>
      <c r="EL230"/>
      <c r="EM230"/>
      <c r="EN230" s="704"/>
      <c r="EO230" s="704"/>
      <c r="EP230" s="704"/>
      <c r="EQ230" s="704"/>
      <c r="ER230" s="704"/>
      <c r="ES230" s="704"/>
      <c r="ET230" s="704"/>
      <c r="EU230" s="704"/>
      <c r="EV230" s="704"/>
      <c r="EW230" s="704"/>
      <c r="EX230" s="704"/>
      <c r="EY230" s="704"/>
      <c r="EZ230" s="704"/>
      <c r="FA230" s="704"/>
      <c r="FB230" s="704"/>
      <c r="FC230" s="704"/>
      <c r="FD230" s="704"/>
      <c r="FE230" s="704"/>
      <c r="FF230" s="704"/>
      <c r="FG230" s="704"/>
      <c r="FH230" s="704"/>
      <c r="FI230" s="704"/>
      <c r="FJ230" s="704"/>
      <c r="FK230" s="704"/>
      <c r="FL230" s="704"/>
      <c r="FM230" s="704"/>
      <c r="FN230" s="704"/>
      <c r="FO230" s="704"/>
      <c r="FP230" s="704"/>
      <c r="FQ230" s="704"/>
      <c r="FR230" s="704"/>
      <c r="FS230" s="704"/>
      <c r="FT230" s="704"/>
      <c r="FU230" s="704"/>
      <c r="FV230" s="704"/>
      <c r="FW230" s="704"/>
      <c r="FX230" s="704"/>
      <c r="FY230" s="704"/>
      <c r="FZ230" s="704"/>
      <c r="GA230" s="704"/>
      <c r="GB230" s="704"/>
      <c r="GC230" s="704"/>
      <c r="GD230" s="704"/>
      <c r="GE230" s="704"/>
      <c r="GF230" s="704"/>
      <c r="GG230" s="704"/>
      <c r="GH230" s="704"/>
      <c r="GI230" s="704"/>
      <c r="GJ230" s="704"/>
      <c r="GK230" s="704"/>
      <c r="GL230" s="704"/>
      <c r="GM230" s="704"/>
      <c r="GN230" s="704"/>
      <c r="GO230" s="704"/>
      <c r="GP230" s="704"/>
      <c r="GQ230" s="704"/>
      <c r="GR230" s="704"/>
      <c r="GS230" s="704"/>
      <c r="GT230" s="704"/>
      <c r="GU230" s="704"/>
      <c r="GV230" s="704"/>
      <c r="GW230" s="704"/>
      <c r="GX230" s="704"/>
      <c r="GY230" s="704"/>
      <c r="GZ230" s="704"/>
      <c r="HA230" s="704"/>
      <c r="HB230" s="704"/>
      <c r="HC230" s="704"/>
      <c r="HD230" s="704"/>
      <c r="HE230" s="704"/>
      <c r="HF230" s="704"/>
      <c r="HG230" s="704"/>
      <c r="HH230" s="704"/>
      <c r="HI230" s="704"/>
      <c r="HJ230" s="704"/>
      <c r="HK230" s="704"/>
      <c r="HL230" s="704"/>
      <c r="HM230" s="704"/>
      <c r="HN230" s="704"/>
      <c r="HO230" s="704"/>
      <c r="HP230" s="704"/>
      <c r="HQ230" s="704"/>
      <c r="HR230" s="704"/>
      <c r="HS230" s="704"/>
      <c r="HT230" s="704"/>
      <c r="HU230" s="704"/>
      <c r="HV230" s="704"/>
      <c r="HW230" s="704"/>
      <c r="HX230" s="704"/>
    </row>
    <row r="231" spans="2:232" s="54" customFormat="1">
      <c r="B231" s="553"/>
      <c r="C231" s="64"/>
      <c r="D231" s="64"/>
      <c r="E231" s="64"/>
      <c r="F231" s="406"/>
      <c r="G231" s="406"/>
      <c r="H231" s="406"/>
      <c r="I231" s="406"/>
      <c r="J231" s="406"/>
      <c r="K231" s="406"/>
      <c r="L231" s="406"/>
      <c r="M231" s="406"/>
      <c r="N231" s="406"/>
      <c r="O231" s="406"/>
      <c r="P231" s="406"/>
      <c r="Q231" s="406"/>
      <c r="R231" s="406"/>
      <c r="S231" s="406"/>
      <c r="T231" s="406"/>
      <c r="U231" s="406"/>
      <c r="V231" s="406"/>
      <c r="W231" s="406"/>
      <c r="X231" s="406"/>
      <c r="Y231" s="406"/>
      <c r="Z231" s="406"/>
      <c r="AA231" s="406"/>
      <c r="AB231" s="406"/>
      <c r="AC231" s="406"/>
      <c r="AD231" s="406"/>
      <c r="AE231" s="406"/>
      <c r="AF231" s="406"/>
      <c r="AG231" s="406"/>
      <c r="AH231" s="406"/>
      <c r="AI231" s="406"/>
      <c r="AJ231" s="406"/>
      <c r="AK231" s="406"/>
      <c r="AL231" s="406"/>
      <c r="AM231" s="406"/>
      <c r="AN231" s="406"/>
      <c r="AO231" s="406"/>
      <c r="AP231" s="406"/>
      <c r="AQ231" s="406"/>
      <c r="AR231" s="406"/>
      <c r="AS231" s="406"/>
      <c r="AT231" s="406"/>
      <c r="AU231" s="406"/>
      <c r="AV231" s="406"/>
      <c r="AW231" s="406"/>
      <c r="AX231" s="414"/>
      <c r="AY231" s="414"/>
      <c r="AZ231" s="414"/>
      <c r="BA231" s="414"/>
      <c r="BB231" s="414"/>
      <c r="BC231" s="406"/>
      <c r="BD231" s="406"/>
      <c r="BE231" s="406"/>
      <c r="BF231" s="406"/>
      <c r="BG231" s="406"/>
      <c r="BH231" s="406"/>
      <c r="BI231" s="406"/>
      <c r="BJ231" s="406"/>
      <c r="BK231" s="406"/>
      <c r="BL231" s="406"/>
      <c r="BM231" s="406"/>
      <c r="BN231" s="406"/>
      <c r="BO231" s="406"/>
      <c r="BP231" s="406"/>
      <c r="BQ231" s="406"/>
      <c r="BR231" s="406"/>
      <c r="BS231" s="121"/>
      <c r="BT231" s="73"/>
      <c r="BU231" s="73"/>
      <c r="BV231" s="75"/>
      <c r="BW231" s="406"/>
      <c r="BX231" s="121"/>
      <c r="BY231" s="73"/>
      <c r="BZ231" s="73"/>
      <c r="CA231" s="75"/>
      <c r="CB231" s="406"/>
      <c r="CC231" s="121"/>
      <c r="CD231" s="73"/>
      <c r="CE231" s="73"/>
      <c r="CF231" s="73"/>
      <c r="CG231" s="783"/>
      <c r="CH231" s="73"/>
      <c r="CI231" s="73"/>
      <c r="CJ231" s="73"/>
      <c r="CK231" s="73"/>
      <c r="CL231" s="783"/>
      <c r="CM231" s="73"/>
      <c r="CN231" s="73"/>
      <c r="CO231" s="73"/>
      <c r="CP231" s="75"/>
      <c r="CQ231" s="783"/>
      <c r="CR231" s="248"/>
      <c r="CS231" s="76"/>
      <c r="CT231" s="76"/>
      <c r="CU231" s="141"/>
      <c r="CV231" s="783"/>
      <c r="CW231" s="140"/>
      <c r="CX231" s="76"/>
      <c r="CY231" s="76"/>
      <c r="CZ231" s="141"/>
      <c r="DA231" s="783"/>
      <c r="DB231" s="1436"/>
      <c r="DC231" s="76"/>
      <c r="DD231" s="76"/>
      <c r="DE231" s="76"/>
      <c r="DF231" s="783"/>
      <c r="DG231" s="76"/>
      <c r="DH231" s="76"/>
      <c r="DI231" s="76"/>
      <c r="DJ231" s="76"/>
      <c r="DK231" s="1376"/>
      <c r="DL231" s="76"/>
      <c r="DM231" s="76"/>
      <c r="DN231" s="76"/>
      <c r="DO231" s="2252"/>
      <c r="DP231" s="2252"/>
      <c r="DQ231" s="76"/>
      <c r="DR231" s="829"/>
      <c r="DS231" s="829"/>
      <c r="DT231" s="1677"/>
      <c r="DU231" s="1437"/>
      <c r="DV231" s="829"/>
      <c r="DW231" s="829"/>
      <c r="DX231" s="829"/>
      <c r="DY231" s="1677"/>
      <c r="DZ231" s="1437"/>
      <c r="EA231" s="829"/>
      <c r="EB231" s="829"/>
      <c r="EC231" s="829"/>
      <c r="ED231" s="1677"/>
      <c r="EE231" s="1437"/>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row>
    <row r="232" spans="2:232" s="438" customFormat="1">
      <c r="B232" s="737" t="s">
        <v>283</v>
      </c>
      <c r="F232" s="439"/>
      <c r="G232" s="439"/>
      <c r="H232" s="439"/>
      <c r="I232" s="439"/>
      <c r="J232" s="439"/>
      <c r="K232" s="439"/>
      <c r="L232" s="439"/>
      <c r="M232" s="439"/>
      <c r="N232" s="439"/>
      <c r="O232" s="439"/>
      <c r="P232" s="439"/>
      <c r="Q232" s="439"/>
      <c r="R232" s="439"/>
      <c r="S232" s="439"/>
      <c r="T232" s="439">
        <v>77</v>
      </c>
      <c r="U232" s="439"/>
      <c r="V232" s="439"/>
      <c r="W232" s="439"/>
      <c r="X232" s="439"/>
      <c r="Y232" s="439">
        <v>78</v>
      </c>
      <c r="Z232" s="439"/>
      <c r="AA232" s="439"/>
      <c r="AB232" s="439"/>
      <c r="AC232" s="439"/>
      <c r="AD232" s="439">
        <v>78.400000000000006</v>
      </c>
      <c r="AE232" s="439"/>
      <c r="AF232" s="439"/>
      <c r="AG232" s="439"/>
      <c r="AH232" s="439"/>
      <c r="AI232" s="439">
        <v>79</v>
      </c>
      <c r="AJ232" s="439"/>
      <c r="AK232" s="439"/>
      <c r="AL232" s="439"/>
      <c r="AM232" s="439"/>
      <c r="AN232" s="439">
        <v>79.599999999999994</v>
      </c>
      <c r="AO232" s="439"/>
      <c r="AP232" s="439"/>
      <c r="AQ232" s="439"/>
      <c r="AR232" s="439"/>
      <c r="AS232" s="439">
        <v>80.099999999999994</v>
      </c>
      <c r="AT232" s="439"/>
      <c r="AU232" s="439"/>
      <c r="AV232" s="439"/>
      <c r="AW232" s="439"/>
      <c r="AX232" s="439">
        <v>80.099999999999994</v>
      </c>
      <c r="AY232" s="439"/>
      <c r="AZ232" s="439"/>
      <c r="BA232" s="439"/>
      <c r="BB232" s="439"/>
      <c r="BC232" s="439">
        <v>80.100000435931719</v>
      </c>
      <c r="BD232" s="439"/>
      <c r="BE232" s="439"/>
      <c r="BF232" s="439"/>
      <c r="BG232" s="439"/>
      <c r="BH232" s="439">
        <f>BC232</f>
        <v>80.100000435931719</v>
      </c>
      <c r="BI232" s="439"/>
      <c r="BJ232" s="439"/>
      <c r="BK232" s="439"/>
      <c r="BL232" s="439"/>
      <c r="BM232" s="439">
        <f>BH232</f>
        <v>80.100000435931719</v>
      </c>
      <c r="BN232" s="439"/>
      <c r="BO232" s="439"/>
      <c r="BP232" s="439"/>
      <c r="BQ232" s="439"/>
      <c r="BR232" s="439">
        <f>BM232</f>
        <v>80.100000435931719</v>
      </c>
      <c r="BS232" s="440">
        <f>BR232</f>
        <v>80.100000435931719</v>
      </c>
      <c r="BT232" s="441">
        <f>BS232</f>
        <v>80.100000435931719</v>
      </c>
      <c r="BU232" s="441">
        <f>BT232</f>
        <v>80.100000435931719</v>
      </c>
      <c r="BV232" s="442">
        <f>BW232</f>
        <v>80.100000435928081</v>
      </c>
      <c r="BW232" s="439">
        <v>80.100000435928081</v>
      </c>
      <c r="BX232" s="440">
        <f>79.7+4.35928086517379E-07</f>
        <v>79.700000435928089</v>
      </c>
      <c r="BY232" s="441">
        <f>BX232</f>
        <v>79.700000435928089</v>
      </c>
      <c r="BZ232" s="441">
        <f>BY232</f>
        <v>79.700000435928089</v>
      </c>
      <c r="CA232" s="442">
        <f>CB232</f>
        <v>80.000000435928087</v>
      </c>
      <c r="CB232" s="439">
        <f>80+4.35928086517379E-07</f>
        <v>80.000000435928087</v>
      </c>
      <c r="CC232" s="440">
        <f>80-0.299999564071186</f>
        <v>79.700000435928814</v>
      </c>
      <c r="CD232" s="441">
        <v>80</v>
      </c>
      <c r="CE232" s="441">
        <f>80-0.299999564071186</f>
        <v>79.700000435928814</v>
      </c>
      <c r="CF232" s="441">
        <f>80-0.299999564071</f>
        <v>79.700000435928999</v>
      </c>
      <c r="CG232" s="791">
        <v>80</v>
      </c>
      <c r="CH232" s="441">
        <v>80</v>
      </c>
      <c r="CI232" s="441">
        <v>80</v>
      </c>
      <c r="CJ232" s="441">
        <v>80</v>
      </c>
      <c r="CK232" s="441">
        <v>80</v>
      </c>
      <c r="CL232" s="791">
        <v>80</v>
      </c>
      <c r="CM232" s="441">
        <v>80</v>
      </c>
      <c r="CN232" s="441">
        <v>80</v>
      </c>
      <c r="CO232" s="441">
        <f>CN232</f>
        <v>80</v>
      </c>
      <c r="CP232" s="442">
        <f>CO232</f>
        <v>80</v>
      </c>
      <c r="CQ232" s="791">
        <f>CP232</f>
        <v>80</v>
      </c>
      <c r="CR232" s="440">
        <v>80</v>
      </c>
      <c r="CS232" s="441">
        <f>CR232</f>
        <v>80</v>
      </c>
      <c r="CT232" s="441">
        <f>CS232</f>
        <v>80</v>
      </c>
      <c r="CU232" s="442">
        <v>80</v>
      </c>
      <c r="CV232" s="791">
        <f t="shared" ref="CV232:CV237" si="558">CU232</f>
        <v>80</v>
      </c>
      <c r="CW232" s="440">
        <v>80</v>
      </c>
      <c r="CX232" s="441">
        <v>80</v>
      </c>
      <c r="CY232" s="441">
        <v>80</v>
      </c>
      <c r="CZ232" s="442">
        <v>80</v>
      </c>
      <c r="DA232" s="791">
        <f t="shared" ref="DA232:DA237" si="559">CZ232</f>
        <v>80</v>
      </c>
      <c r="DB232" s="1450">
        <v>80</v>
      </c>
      <c r="DC232" s="1708">
        <v>12</v>
      </c>
      <c r="DD232" s="1708">
        <v>12</v>
      </c>
      <c r="DE232" s="1708">
        <v>12</v>
      </c>
      <c r="DF232" s="791">
        <f t="shared" ref="DF232:DU232" si="560">DE232</f>
        <v>12</v>
      </c>
      <c r="DG232" s="1708">
        <v>12</v>
      </c>
      <c r="DH232" s="1708">
        <v>12</v>
      </c>
      <c r="DI232" s="1708">
        <v>12</v>
      </c>
      <c r="DJ232" s="1708">
        <v>12</v>
      </c>
      <c r="DK232" s="2057">
        <f t="shared" si="560"/>
        <v>12</v>
      </c>
      <c r="DL232" s="1708">
        <v>12</v>
      </c>
      <c r="DM232" s="1708">
        <v>12</v>
      </c>
      <c r="DN232" s="1708">
        <v>12</v>
      </c>
      <c r="DO232" s="2289">
        <v>12</v>
      </c>
      <c r="DP232" s="2259">
        <f t="shared" si="560"/>
        <v>12</v>
      </c>
      <c r="DQ232" s="2397">
        <v>12</v>
      </c>
      <c r="DR232" s="1845">
        <f t="shared" si="560"/>
        <v>12</v>
      </c>
      <c r="DS232" s="1845">
        <f t="shared" si="560"/>
        <v>12</v>
      </c>
      <c r="DT232" s="1687">
        <f t="shared" si="560"/>
        <v>12</v>
      </c>
      <c r="DU232" s="1451">
        <f t="shared" si="560"/>
        <v>12</v>
      </c>
      <c r="DV232" s="1845">
        <f t="shared" ref="DV232" si="561">DU232</f>
        <v>12</v>
      </c>
      <c r="DW232" s="1845">
        <f t="shared" ref="DW232" si="562">DV232</f>
        <v>12</v>
      </c>
      <c r="DX232" s="1845">
        <f t="shared" ref="DX232" si="563">DW232</f>
        <v>12</v>
      </c>
      <c r="DY232" s="1687">
        <f t="shared" ref="DY232" si="564">DX232</f>
        <v>12</v>
      </c>
      <c r="DZ232" s="1451">
        <f t="shared" ref="DZ232" si="565">DY232</f>
        <v>12</v>
      </c>
      <c r="EA232" s="1845">
        <f t="shared" ref="EA232" si="566">DZ232</f>
        <v>12</v>
      </c>
      <c r="EB232" s="1845">
        <f t="shared" ref="EB232" si="567">EA232</f>
        <v>12</v>
      </c>
      <c r="EC232" s="1845">
        <f t="shared" ref="EC232" si="568">EB232</f>
        <v>12</v>
      </c>
      <c r="ED232" s="1687">
        <f t="shared" ref="ED232" si="569">EC232</f>
        <v>12</v>
      </c>
      <c r="EE232" s="1451">
        <f t="shared" ref="EE232" si="570">ED232</f>
        <v>12</v>
      </c>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row>
    <row r="233" spans="2:232" s="438" customFormat="1">
      <c r="B233" s="737" t="s">
        <v>320</v>
      </c>
      <c r="F233" s="439"/>
      <c r="G233" s="439"/>
      <c r="H233" s="439"/>
      <c r="I233" s="439"/>
      <c r="J233" s="439"/>
      <c r="K233" s="439"/>
      <c r="L233" s="439"/>
      <c r="M233" s="439"/>
      <c r="N233" s="439"/>
      <c r="O233" s="439"/>
      <c r="P233" s="439"/>
      <c r="Q233" s="439"/>
      <c r="R233" s="439"/>
      <c r="S233" s="439"/>
      <c r="T233" s="439">
        <v>30</v>
      </c>
      <c r="U233" s="439"/>
      <c r="V233" s="439"/>
      <c r="W233" s="439"/>
      <c r="X233" s="439"/>
      <c r="Y233" s="439">
        <v>118</v>
      </c>
      <c r="Z233" s="439"/>
      <c r="AA233" s="439"/>
      <c r="AB233" s="439"/>
      <c r="AC233" s="439"/>
      <c r="AD233" s="439">
        <v>258.89999999999998</v>
      </c>
      <c r="AE233" s="439"/>
      <c r="AF233" s="439"/>
      <c r="AG233" s="439"/>
      <c r="AH233" s="439"/>
      <c r="AI233" s="439">
        <v>367.2</v>
      </c>
      <c r="AJ233" s="439"/>
      <c r="AK233" s="439"/>
      <c r="AL233" s="439"/>
      <c r="AM233" s="439"/>
      <c r="AN233" s="439">
        <v>596.70000000000005</v>
      </c>
      <c r="AO233" s="439"/>
      <c r="AP233" s="439"/>
      <c r="AQ233" s="439"/>
      <c r="AR233" s="439"/>
      <c r="AS233" s="439">
        <v>748.4</v>
      </c>
      <c r="AT233" s="439"/>
      <c r="AU233" s="439"/>
      <c r="AV233" s="439"/>
      <c r="AW233" s="439"/>
      <c r="AX233" s="439">
        <v>697.8</v>
      </c>
      <c r="AY233" s="439"/>
      <c r="AZ233" s="439"/>
      <c r="BA233" s="439"/>
      <c r="BB233" s="439"/>
      <c r="BC233" s="439">
        <v>632.6</v>
      </c>
      <c r="BD233" s="439"/>
      <c r="BE233" s="439"/>
      <c r="BF233" s="439"/>
      <c r="BG233" s="439"/>
      <c r="BH233" s="439">
        <v>565</v>
      </c>
      <c r="BI233" s="439"/>
      <c r="BJ233" s="439"/>
      <c r="BK233" s="439"/>
      <c r="BL233" s="439"/>
      <c r="BM233" s="439">
        <v>558.5</v>
      </c>
      <c r="BN233" s="439"/>
      <c r="BO233" s="439"/>
      <c r="BP233" s="439"/>
      <c r="BQ233" s="439"/>
      <c r="BR233" s="439">
        <v>558.79999999999995</v>
      </c>
      <c r="BS233" s="440">
        <f>BR233</f>
        <v>558.79999999999995</v>
      </c>
      <c r="BT233" s="441">
        <v>572.6</v>
      </c>
      <c r="BU233" s="441">
        <v>573.4</v>
      </c>
      <c r="BV233" s="442">
        <f>BW233</f>
        <v>575</v>
      </c>
      <c r="BW233" s="439">
        <v>575</v>
      </c>
      <c r="BX233" s="440">
        <v>593</v>
      </c>
      <c r="BY233" s="441">
        <v>577</v>
      </c>
      <c r="BZ233" s="441">
        <v>591</v>
      </c>
      <c r="CA233" s="442">
        <f>CB233</f>
        <v>605</v>
      </c>
      <c r="CB233" s="439">
        <v>605</v>
      </c>
      <c r="CC233" s="440">
        <v>633</v>
      </c>
      <c r="CD233" s="441">
        <f>653-0.299999564071186</f>
        <v>652.70000043592881</v>
      </c>
      <c r="CE233" s="441">
        <v>669</v>
      </c>
      <c r="CF233" s="441">
        <v>684</v>
      </c>
      <c r="CG233" s="791">
        <v>684</v>
      </c>
      <c r="CH233" s="441">
        <v>707.70000043592881</v>
      </c>
      <c r="CI233" s="441">
        <f>725-0.299999564071186</f>
        <v>724.70000043592881</v>
      </c>
      <c r="CJ233" s="441">
        <f>741-0.299999564071186</f>
        <v>740.70000043592881</v>
      </c>
      <c r="CK233" s="441">
        <f>834-0.299999564071186</f>
        <v>833.70000043592881</v>
      </c>
      <c r="CL233" s="791">
        <v>834</v>
      </c>
      <c r="CM233" s="441">
        <f>834-0.299999564071186</f>
        <v>833.70000043592881</v>
      </c>
      <c r="CN233" s="441">
        <v>834</v>
      </c>
      <c r="CO233" s="441">
        <f>CN233+CO381</f>
        <v>869</v>
      </c>
      <c r="CP233" s="442">
        <f>CO233+CP381+CP384+CP361+2970</f>
        <v>3906</v>
      </c>
      <c r="CQ233" s="791">
        <f>CP233</f>
        <v>3906</v>
      </c>
      <c r="CR233" s="440">
        <v>930</v>
      </c>
      <c r="CS233" s="441">
        <v>979</v>
      </c>
      <c r="CT233" s="441">
        <v>1029</v>
      </c>
      <c r="CU233" s="442">
        <v>1074</v>
      </c>
      <c r="CV233" s="791">
        <f t="shared" si="558"/>
        <v>1074</v>
      </c>
      <c r="CW233" s="440">
        <v>1053</v>
      </c>
      <c r="CX233" s="441">
        <v>1086</v>
      </c>
      <c r="CY233" s="441">
        <v>1128</v>
      </c>
      <c r="CZ233" s="442">
        <v>1172</v>
      </c>
      <c r="DA233" s="791">
        <f t="shared" si="559"/>
        <v>1172</v>
      </c>
      <c r="DB233" s="1450">
        <v>1179</v>
      </c>
      <c r="DC233" s="1708">
        <v>9838</v>
      </c>
      <c r="DD233" s="1708">
        <v>9889</v>
      </c>
      <c r="DE233" s="1708">
        <v>9953</v>
      </c>
      <c r="DF233" s="791">
        <f>DE233</f>
        <v>9953</v>
      </c>
      <c r="DG233" s="1708">
        <v>9997</v>
      </c>
      <c r="DH233" s="1708">
        <v>10041</v>
      </c>
      <c r="DI233" s="1708">
        <v>10061</v>
      </c>
      <c r="DJ233" s="1708">
        <v>10111</v>
      </c>
      <c r="DK233" s="2057">
        <f>DJ233</f>
        <v>10111</v>
      </c>
      <c r="DL233" s="1708">
        <v>10132</v>
      </c>
      <c r="DM233" s="1708">
        <v>10162</v>
      </c>
      <c r="DN233" s="1708">
        <v>10389</v>
      </c>
      <c r="DO233" s="2289">
        <v>10339</v>
      </c>
      <c r="DP233" s="2259">
        <f>DO233</f>
        <v>10339</v>
      </c>
      <c r="DQ233" s="1706">
        <v>10359</v>
      </c>
      <c r="DR233" s="1845">
        <f>DQ233+DR381+DR384+DR361</f>
        <v>10384</v>
      </c>
      <c r="DS233" s="1845">
        <f>DR233+DS381+DS384+DS361</f>
        <v>10409</v>
      </c>
      <c r="DT233" s="1687">
        <f>DS233+DT381+DT384+DT361</f>
        <v>10434</v>
      </c>
      <c r="DU233" s="1451">
        <f>DT233</f>
        <v>10434</v>
      </c>
      <c r="DV233" s="1845">
        <f>DU233+DV381+DV384+DV361</f>
        <v>10459</v>
      </c>
      <c r="DW233" s="1845">
        <f>DV233+DW381+DW384+DW361</f>
        <v>10484</v>
      </c>
      <c r="DX233" s="1845">
        <f>DW233+DX381+DX384+DX361</f>
        <v>10509</v>
      </c>
      <c r="DY233" s="1687">
        <f>DX233+DY381+DY384+DY361</f>
        <v>10534</v>
      </c>
      <c r="DZ233" s="1451">
        <f>DY233</f>
        <v>10534</v>
      </c>
      <c r="EA233" s="1845">
        <f>DZ233+EA381+EA384+EA361</f>
        <v>10559</v>
      </c>
      <c r="EB233" s="1845">
        <f>EA233+EB381+EB384+EB361</f>
        <v>10584</v>
      </c>
      <c r="EC233" s="1845">
        <f>EB233+EC381+EC384+EC361</f>
        <v>10609</v>
      </c>
      <c r="ED233" s="1687">
        <f>EC233+ED381+ED384+ED361</f>
        <v>10634</v>
      </c>
      <c r="EE233" s="1451">
        <f>ED233</f>
        <v>10634</v>
      </c>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row>
    <row r="234" spans="2:232" s="438" customFormat="1">
      <c r="B234" s="737" t="s">
        <v>84</v>
      </c>
      <c r="F234" s="439"/>
      <c r="G234" s="439"/>
      <c r="H234" s="439"/>
      <c r="I234" s="439"/>
      <c r="J234" s="439"/>
      <c r="K234" s="439"/>
      <c r="L234" s="439"/>
      <c r="M234" s="439"/>
      <c r="N234" s="439"/>
      <c r="O234" s="439"/>
      <c r="P234" s="439"/>
      <c r="Q234" s="439"/>
      <c r="R234" s="439"/>
      <c r="S234" s="439"/>
      <c r="T234" s="439"/>
      <c r="U234" s="439"/>
      <c r="V234" s="439"/>
      <c r="W234" s="439"/>
      <c r="X234" s="439"/>
      <c r="Y234" s="439"/>
      <c r="Z234" s="439"/>
      <c r="AA234" s="439"/>
      <c r="AB234" s="439"/>
      <c r="AC234" s="439"/>
      <c r="AD234" s="439"/>
      <c r="AE234" s="439"/>
      <c r="AF234" s="439"/>
      <c r="AG234" s="439"/>
      <c r="AH234" s="439"/>
      <c r="AI234" s="439"/>
      <c r="AJ234" s="439"/>
      <c r="AK234" s="439"/>
      <c r="AL234" s="439"/>
      <c r="AM234" s="439"/>
      <c r="AN234" s="439"/>
      <c r="AO234" s="439"/>
      <c r="AP234" s="439"/>
      <c r="AQ234" s="439"/>
      <c r="AR234" s="439"/>
      <c r="AS234" s="439"/>
      <c r="AT234" s="439"/>
      <c r="AU234" s="439"/>
      <c r="AV234" s="439"/>
      <c r="AW234" s="439"/>
      <c r="AX234" s="439"/>
      <c r="AY234" s="439"/>
      <c r="AZ234" s="439"/>
      <c r="BA234" s="439"/>
      <c r="BB234" s="439"/>
      <c r="BC234" s="439"/>
      <c r="BD234" s="439"/>
      <c r="BE234" s="439"/>
      <c r="BF234" s="439"/>
      <c r="BG234" s="439"/>
      <c r="BH234" s="439"/>
      <c r="BI234" s="439"/>
      <c r="BJ234" s="439"/>
      <c r="BK234" s="439"/>
      <c r="BL234" s="439"/>
      <c r="BM234" s="439"/>
      <c r="BN234" s="439"/>
      <c r="BO234" s="439"/>
      <c r="BP234" s="439"/>
      <c r="BQ234" s="439"/>
      <c r="BR234" s="439"/>
      <c r="BS234" s="440"/>
      <c r="BT234" s="441"/>
      <c r="BU234" s="441"/>
      <c r="BV234" s="442"/>
      <c r="BW234" s="439">
        <v>-36</v>
      </c>
      <c r="BX234" s="440">
        <v>-47</v>
      </c>
      <c r="BY234" s="441">
        <v>-168</v>
      </c>
      <c r="BZ234" s="441">
        <v>-155</v>
      </c>
      <c r="CA234" s="442">
        <v>-140</v>
      </c>
      <c r="CB234" s="439">
        <v>-140</v>
      </c>
      <c r="CC234" s="440">
        <v>-127</v>
      </c>
      <c r="CD234" s="441">
        <v>-114</v>
      </c>
      <c r="CE234" s="441">
        <v>-101</v>
      </c>
      <c r="CF234" s="441">
        <v>-87</v>
      </c>
      <c r="CG234" s="791">
        <v>-87</v>
      </c>
      <c r="CH234" s="441">
        <v>-74</v>
      </c>
      <c r="CI234" s="441">
        <v>-59</v>
      </c>
      <c r="CJ234" s="441">
        <v>-46</v>
      </c>
      <c r="CK234" s="441">
        <v>-34</v>
      </c>
      <c r="CL234" s="791">
        <v>-34</v>
      </c>
      <c r="CM234" s="441">
        <v>-22</v>
      </c>
      <c r="CN234" s="441">
        <v>-22</v>
      </c>
      <c r="CO234" s="441">
        <f>CN234</f>
        <v>-22</v>
      </c>
      <c r="CP234" s="442">
        <f>CO234</f>
        <v>-22</v>
      </c>
      <c r="CQ234" s="791">
        <f>CP234</f>
        <v>-22</v>
      </c>
      <c r="CR234" s="440">
        <v>-15</v>
      </c>
      <c r="CS234" s="441">
        <v>-13</v>
      </c>
      <c r="CT234" s="441">
        <v>-12</v>
      </c>
      <c r="CU234" s="442">
        <v>-11</v>
      </c>
      <c r="CV234" s="791">
        <f t="shared" si="558"/>
        <v>-11</v>
      </c>
      <c r="CW234" s="440">
        <v>-10</v>
      </c>
      <c r="CX234" s="441">
        <v>-9</v>
      </c>
      <c r="CY234" s="441">
        <v>-7</v>
      </c>
      <c r="CZ234" s="442">
        <v>-5</v>
      </c>
      <c r="DA234" s="791">
        <f t="shared" si="559"/>
        <v>-5</v>
      </c>
      <c r="DB234" s="1450">
        <v>-4</v>
      </c>
      <c r="DC234" s="1708">
        <v>-3</v>
      </c>
      <c r="DD234" s="1708">
        <v>-3</v>
      </c>
      <c r="DE234" s="1708">
        <v>-2</v>
      </c>
      <c r="DF234" s="791">
        <f>DE234</f>
        <v>-2</v>
      </c>
      <c r="DG234" s="1708">
        <v>-2</v>
      </c>
      <c r="DH234" s="1708">
        <v>-1</v>
      </c>
      <c r="DI234" s="1708">
        <v>-1</v>
      </c>
      <c r="DJ234" s="1708">
        <v>-1</v>
      </c>
      <c r="DK234" s="2057">
        <f>DJ234</f>
        <v>-1</v>
      </c>
      <c r="DL234" s="1708">
        <v>0</v>
      </c>
      <c r="DM234" s="1708">
        <v>0</v>
      </c>
      <c r="DN234" s="1708">
        <v>0</v>
      </c>
      <c r="DO234" s="2289">
        <v>0</v>
      </c>
      <c r="DP234" s="2259">
        <f>DO234</f>
        <v>0</v>
      </c>
      <c r="DQ234" s="1706">
        <v>0</v>
      </c>
      <c r="DR234" s="1845">
        <f>DQ234</f>
        <v>0</v>
      </c>
      <c r="DS234" s="1845">
        <f>DR234</f>
        <v>0</v>
      </c>
      <c r="DT234" s="1687">
        <f>DS234</f>
        <v>0</v>
      </c>
      <c r="DU234" s="1451">
        <f>DT234</f>
        <v>0</v>
      </c>
      <c r="DV234" s="1845">
        <f>DU234</f>
        <v>0</v>
      </c>
      <c r="DW234" s="1845">
        <f>DV234</f>
        <v>0</v>
      </c>
      <c r="DX234" s="1845">
        <f>DW234</f>
        <v>0</v>
      </c>
      <c r="DY234" s="1687">
        <f>DX234</f>
        <v>0</v>
      </c>
      <c r="DZ234" s="1451">
        <f>DY234</f>
        <v>0</v>
      </c>
      <c r="EA234" s="1845">
        <f>DZ234</f>
        <v>0</v>
      </c>
      <c r="EB234" s="1845">
        <f>EA234</f>
        <v>0</v>
      </c>
      <c r="EC234" s="1845">
        <f>EB234</f>
        <v>0</v>
      </c>
      <c r="ED234" s="1687">
        <f>EC234</f>
        <v>0</v>
      </c>
      <c r="EE234" s="1451">
        <f>ED234</f>
        <v>0</v>
      </c>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row>
    <row r="235" spans="2:232" s="438" customFormat="1">
      <c r="B235" s="737" t="s">
        <v>1</v>
      </c>
      <c r="F235" s="439"/>
      <c r="G235" s="439"/>
      <c r="H235" s="439"/>
      <c r="I235" s="439"/>
      <c r="J235" s="439"/>
      <c r="K235" s="439"/>
      <c r="L235" s="439"/>
      <c r="M235" s="439"/>
      <c r="N235" s="439"/>
      <c r="O235" s="439"/>
      <c r="P235" s="439"/>
      <c r="Q235" s="439"/>
      <c r="R235" s="439"/>
      <c r="S235" s="439"/>
      <c r="T235" s="439">
        <f>2266+0.251</f>
        <v>2266.2510000000002</v>
      </c>
      <c r="U235" s="439"/>
      <c r="V235" s="439"/>
      <c r="W235" s="439"/>
      <c r="X235" s="439"/>
      <c r="Y235" s="439">
        <f>2652.927</f>
        <v>2652.9270000000001</v>
      </c>
      <c r="Z235" s="439"/>
      <c r="AA235" s="439"/>
      <c r="AB235" s="439"/>
      <c r="AC235" s="439"/>
      <c r="AD235" s="439">
        <v>3147</v>
      </c>
      <c r="AE235" s="439"/>
      <c r="AF235" s="439"/>
      <c r="AG235" s="439"/>
      <c r="AH235" s="439"/>
      <c r="AI235" s="439">
        <v>3787.8</v>
      </c>
      <c r="AJ235" s="439"/>
      <c r="AK235" s="439"/>
      <c r="AL235" s="439"/>
      <c r="AM235" s="439"/>
      <c r="AN235" s="439">
        <v>4530.8999999999996</v>
      </c>
      <c r="AO235" s="439"/>
      <c r="AP235" s="439"/>
      <c r="AQ235" s="439"/>
      <c r="AR235" s="439"/>
      <c r="AS235" s="439">
        <f>5401.7+238.4</f>
        <v>5640.0999999999995</v>
      </c>
      <c r="AT235" s="439"/>
      <c r="AU235" s="439"/>
      <c r="AV235" s="439"/>
      <c r="AW235" s="439"/>
      <c r="AX235" s="439">
        <v>6339.9</v>
      </c>
      <c r="AY235" s="439"/>
      <c r="AZ235" s="439"/>
      <c r="BA235" s="439"/>
      <c r="BB235" s="439"/>
      <c r="BC235" s="439">
        <v>7503.3</v>
      </c>
      <c r="BD235" s="439"/>
      <c r="BE235" s="439"/>
      <c r="BF235" s="439"/>
      <c r="BG235" s="439"/>
      <c r="BH235" s="439">
        <f>8836.3-76.8</f>
        <v>8759.5</v>
      </c>
      <c r="BI235" s="439"/>
      <c r="BJ235" s="439"/>
      <c r="BK235" s="439"/>
      <c r="BL235" s="439"/>
      <c r="BM235" s="439">
        <f>10311.7-70.3</f>
        <v>10241.400000000001</v>
      </c>
      <c r="BN235" s="439"/>
      <c r="BO235" s="439"/>
      <c r="BP235" s="439"/>
      <c r="BQ235" s="439"/>
      <c r="BR235" s="439">
        <f>12026.8-51.6-3.9</f>
        <v>11971.3</v>
      </c>
      <c r="BS235" s="440">
        <f>BS238-SUM(BS232:BS233,BS237)</f>
        <v>12434.999999564068</v>
      </c>
      <c r="BT235" s="441">
        <f>BT238-SUM(BT232:BT233,BT237)</f>
        <v>12923.099999564067</v>
      </c>
      <c r="BU235" s="441">
        <f>BU238-SUM(BU232:BU233,BU237)</f>
        <v>13411.299999564068</v>
      </c>
      <c r="BV235" s="442">
        <f>BW235</f>
        <v>13792</v>
      </c>
      <c r="BW235" s="439">
        <v>13792</v>
      </c>
      <c r="BX235" s="440">
        <v>14088</v>
      </c>
      <c r="BY235" s="441">
        <v>14617</v>
      </c>
      <c r="BZ235" s="441">
        <v>15027</v>
      </c>
      <c r="CA235" s="442">
        <f>CB235</f>
        <v>15327</v>
      </c>
      <c r="CB235" s="439">
        <v>15327</v>
      </c>
      <c r="CC235" s="440">
        <v>15679</v>
      </c>
      <c r="CD235" s="441">
        <v>16215</v>
      </c>
      <c r="CE235" s="441">
        <v>16543</v>
      </c>
      <c r="CF235" s="441">
        <v>16848</v>
      </c>
      <c r="CG235" s="791">
        <v>16848</v>
      </c>
      <c r="CH235" s="441">
        <v>17266</v>
      </c>
      <c r="CI235" s="441">
        <v>17845</v>
      </c>
      <c r="CJ235" s="441">
        <v>18289</v>
      </c>
      <c r="CK235" s="441">
        <v>18877</v>
      </c>
      <c r="CL235" s="791">
        <v>18877</v>
      </c>
      <c r="CM235" s="441">
        <v>19234</v>
      </c>
      <c r="CN235" s="441">
        <f>CN238-SUM(CN232:CN234)-CN236-CN237</f>
        <v>19782.700000435929</v>
      </c>
      <c r="CO235" s="441">
        <f>CN235+CO356+CO380</f>
        <v>20124.700000435929</v>
      </c>
      <c r="CP235" s="442">
        <f>CO235+CP356+CP380</f>
        <v>20283.700000435929</v>
      </c>
      <c r="CQ235" s="791">
        <f>CP235</f>
        <v>20283.700000435929</v>
      </c>
      <c r="CR235" s="440">
        <v>20308</v>
      </c>
      <c r="CS235" s="441">
        <v>20804</v>
      </c>
      <c r="CT235" s="441">
        <v>21166</v>
      </c>
      <c r="CU235" s="442">
        <v>21523</v>
      </c>
      <c r="CV235" s="791">
        <f t="shared" si="558"/>
        <v>21523</v>
      </c>
      <c r="CW235" s="440">
        <v>21918</v>
      </c>
      <c r="CX235" s="441">
        <v>22370</v>
      </c>
      <c r="CY235" s="441">
        <v>22790</v>
      </c>
      <c r="CZ235" s="442">
        <v>22229</v>
      </c>
      <c r="DA235" s="791">
        <f t="shared" si="559"/>
        <v>22229</v>
      </c>
      <c r="DB235" s="1450">
        <v>22717</v>
      </c>
      <c r="DC235" s="1708">
        <v>24526</v>
      </c>
      <c r="DD235" s="1708">
        <v>25460</v>
      </c>
      <c r="DE235" s="1708">
        <v>25089</v>
      </c>
      <c r="DF235" s="791">
        <f>DE235</f>
        <v>25089</v>
      </c>
      <c r="DG235" s="1708">
        <v>25806</v>
      </c>
      <c r="DH235" s="1708">
        <v>26348</v>
      </c>
      <c r="DI235" s="1708">
        <v>27061</v>
      </c>
      <c r="DJ235" s="1708">
        <v>27684</v>
      </c>
      <c r="DK235" s="2057">
        <f>DJ235</f>
        <v>27684</v>
      </c>
      <c r="DL235" s="1708">
        <v>28332</v>
      </c>
      <c r="DM235" s="1708">
        <v>28987</v>
      </c>
      <c r="DN235" s="1708">
        <v>29744</v>
      </c>
      <c r="DO235" s="2289">
        <f>30137</f>
        <v>30137</v>
      </c>
      <c r="DP235" s="2259">
        <f>DO235</f>
        <v>30137</v>
      </c>
      <c r="DQ235" s="1706">
        <v>30560</v>
      </c>
      <c r="DR235" s="1845">
        <f ca="1">DQ235+DR356+DR380</f>
        <v>31392.510854292948</v>
      </c>
      <c r="DS235" s="1845">
        <f ca="1">DR235+DS356+DS380</f>
        <v>32186.154515704897</v>
      </c>
      <c r="DT235" s="1687">
        <f ca="1">DS235+DT356+DT380</f>
        <v>32974.209138929305</v>
      </c>
      <c r="DU235" s="1451">
        <f ca="1">DT235</f>
        <v>32974.209138929305</v>
      </c>
      <c r="DV235" s="1845">
        <f ca="1">DU235+DV356+DV380</f>
        <v>33621.061721678947</v>
      </c>
      <c r="DW235" s="1845">
        <f ca="1">DV235+DW356+DW380</f>
        <v>34532.85244034991</v>
      </c>
      <c r="DX235" s="1845">
        <f ca="1">DW235+DX356+DX380</f>
        <v>35469.467032990789</v>
      </c>
      <c r="DY235" s="1687">
        <f ca="1">DX235+DY356+DY380</f>
        <v>36443.112507076716</v>
      </c>
      <c r="DZ235" s="1451">
        <f ca="1">DY235</f>
        <v>36443.112507076716</v>
      </c>
      <c r="EA235" s="1845">
        <f ca="1">DZ235+EA356+EA380</f>
        <v>37289.261383891448</v>
      </c>
      <c r="EB235" s="1845">
        <f ca="1">EA235+EB356+EB380</f>
        <v>38379.128993500221</v>
      </c>
      <c r="EC235" s="1845">
        <f ca="1">EB235+EC356+EC380</f>
        <v>39508.725760371388</v>
      </c>
      <c r="ED235" s="1687">
        <f ca="1">EC235+ED356+ED380</f>
        <v>40678.873925409418</v>
      </c>
      <c r="EE235" s="1451">
        <f ca="1">ED235</f>
        <v>40678.873925409418</v>
      </c>
      <c r="EF235" s="2310">
        <f>DO235-DN235</f>
        <v>393</v>
      </c>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row>
    <row r="236" spans="2:232" s="438" customFormat="1">
      <c r="B236" s="737" t="s">
        <v>122</v>
      </c>
      <c r="F236" s="439"/>
      <c r="G236" s="439"/>
      <c r="H236" s="439"/>
      <c r="I236" s="439"/>
      <c r="J236" s="439"/>
      <c r="K236" s="439"/>
      <c r="L236" s="439"/>
      <c r="M236" s="439"/>
      <c r="N236" s="439"/>
      <c r="O236" s="439"/>
      <c r="P236" s="439"/>
      <c r="Q236" s="439"/>
      <c r="R236" s="439"/>
      <c r="S236" s="439"/>
      <c r="T236" s="439"/>
      <c r="U236" s="439"/>
      <c r="V236" s="439"/>
      <c r="W236" s="439"/>
      <c r="X236" s="439"/>
      <c r="Y236" s="439"/>
      <c r="Z236" s="439"/>
      <c r="AA236" s="439"/>
      <c r="AB236" s="439"/>
      <c r="AC236" s="439"/>
      <c r="AD236" s="439"/>
      <c r="AE236" s="439"/>
      <c r="AF236" s="439"/>
      <c r="AG236" s="439"/>
      <c r="AH236" s="439"/>
      <c r="AI236" s="439"/>
      <c r="AJ236" s="439"/>
      <c r="AK236" s="439"/>
      <c r="AL236" s="439"/>
      <c r="AM236" s="439"/>
      <c r="AN236" s="439"/>
      <c r="AO236" s="439"/>
      <c r="AP236" s="439"/>
      <c r="AQ236" s="439"/>
      <c r="AR236" s="439"/>
      <c r="AS236" s="439"/>
      <c r="AT236" s="439"/>
      <c r="AU236" s="439"/>
      <c r="AV236" s="439"/>
      <c r="AW236" s="439"/>
      <c r="AX236" s="439"/>
      <c r="AY236" s="439"/>
      <c r="AZ236" s="439"/>
      <c r="BA236" s="439"/>
      <c r="BB236" s="439"/>
      <c r="BC236" s="439"/>
      <c r="BD236" s="439"/>
      <c r="BE236" s="439"/>
      <c r="BF236" s="439"/>
      <c r="BG236" s="439"/>
      <c r="BH236" s="439"/>
      <c r="BI236" s="439"/>
      <c r="BJ236" s="439"/>
      <c r="BK236" s="439"/>
      <c r="BL236" s="439"/>
      <c r="BM236" s="439"/>
      <c r="BN236" s="439"/>
      <c r="BO236" s="439"/>
      <c r="BP236" s="439"/>
      <c r="BQ236" s="439"/>
      <c r="BR236" s="439"/>
      <c r="BS236" s="440"/>
      <c r="BT236" s="441"/>
      <c r="BU236" s="441"/>
      <c r="BV236" s="442"/>
      <c r="BW236" s="439">
        <v>9</v>
      </c>
      <c r="BX236" s="440">
        <v>9</v>
      </c>
      <c r="BY236" s="441">
        <v>9</v>
      </c>
      <c r="BZ236" s="441">
        <v>59</v>
      </c>
      <c r="CA236" s="442">
        <v>37</v>
      </c>
      <c r="CB236" s="439">
        <v>37</v>
      </c>
      <c r="CC236" s="440">
        <v>36</v>
      </c>
      <c r="CD236" s="441">
        <v>36</v>
      </c>
      <c r="CE236" s="441">
        <v>35</v>
      </c>
      <c r="CF236" s="441">
        <v>-24</v>
      </c>
      <c r="CG236" s="791">
        <v>-24</v>
      </c>
      <c r="CH236" s="441">
        <v>-23</v>
      </c>
      <c r="CI236" s="441">
        <v>-22</v>
      </c>
      <c r="CJ236" s="441">
        <v>-22</v>
      </c>
      <c r="CK236" s="441">
        <v>16</v>
      </c>
      <c r="CL236" s="791">
        <v>16</v>
      </c>
      <c r="CM236" s="441">
        <v>15</v>
      </c>
      <c r="CN236" s="441">
        <v>15</v>
      </c>
      <c r="CO236" s="441">
        <f>15039.7000004359-SUM(CO232:CO235,CO237)</f>
        <v>37.999999999970896</v>
      </c>
      <c r="CP236" s="442">
        <f>CO236+2.91038304567337E-11</f>
        <v>38</v>
      </c>
      <c r="CQ236" s="791">
        <f>CP236</f>
        <v>38</v>
      </c>
      <c r="CR236" s="440">
        <f>45-0.3</f>
        <v>44.7</v>
      </c>
      <c r="CS236" s="441">
        <f>35-0.3</f>
        <v>34.700000000000003</v>
      </c>
      <c r="CT236" s="441">
        <f>-121-0.3</f>
        <v>-121.3</v>
      </c>
      <c r="CU236" s="442">
        <v>-98</v>
      </c>
      <c r="CV236" s="791">
        <f t="shared" si="558"/>
        <v>-98</v>
      </c>
      <c r="CW236" s="440">
        <f>22+35</f>
        <v>57</v>
      </c>
      <c r="CX236" s="441">
        <v>126</v>
      </c>
      <c r="CY236" s="441">
        <v>202</v>
      </c>
      <c r="CZ236" s="442">
        <v>178</v>
      </c>
      <c r="DA236" s="791">
        <f t="shared" si="559"/>
        <v>178</v>
      </c>
      <c r="DB236" s="1450">
        <v>222</v>
      </c>
      <c r="DC236" s="1708">
        <v>-68</v>
      </c>
      <c r="DD236" s="1708">
        <v>-141</v>
      </c>
      <c r="DE236" s="1708">
        <v>-214</v>
      </c>
      <c r="DF236" s="791">
        <f>DE236</f>
        <v>-214</v>
      </c>
      <c r="DG236" s="1708">
        <v>-658</v>
      </c>
      <c r="DH236" s="1708">
        <v>-1868</v>
      </c>
      <c r="DI236" s="1708">
        <v>-1277</v>
      </c>
      <c r="DJ236" s="1708">
        <v>-2992</v>
      </c>
      <c r="DK236" s="2057">
        <f>DJ236</f>
        <v>-2992</v>
      </c>
      <c r="DL236" s="1708">
        <v>-3810</v>
      </c>
      <c r="DM236" s="1708">
        <v>-3809</v>
      </c>
      <c r="DN236" s="1708">
        <v>-3303</v>
      </c>
      <c r="DO236" s="2289">
        <v>-3051</v>
      </c>
      <c r="DP236" s="2259">
        <f>DO236</f>
        <v>-3051</v>
      </c>
      <c r="DQ236" s="1706">
        <v>-2543</v>
      </c>
      <c r="DR236" s="1845">
        <f>DQ236</f>
        <v>-2543</v>
      </c>
      <c r="DS236" s="1845">
        <f>DR236</f>
        <v>-2543</v>
      </c>
      <c r="DT236" s="1687">
        <f>DS236</f>
        <v>-2543</v>
      </c>
      <c r="DU236" s="1451">
        <f>DT236</f>
        <v>-2543</v>
      </c>
      <c r="DV236" s="1845">
        <f>DU236</f>
        <v>-2543</v>
      </c>
      <c r="DW236" s="1845">
        <f>DV236</f>
        <v>-2543</v>
      </c>
      <c r="DX236" s="1845">
        <f>DW236</f>
        <v>-2543</v>
      </c>
      <c r="DY236" s="1687">
        <f>DX236</f>
        <v>-2543</v>
      </c>
      <c r="DZ236" s="1451">
        <f>DY236</f>
        <v>-2543</v>
      </c>
      <c r="EA236" s="1845">
        <f>DZ236</f>
        <v>-2543</v>
      </c>
      <c r="EB236" s="1845">
        <f>EA236</f>
        <v>-2543</v>
      </c>
      <c r="EC236" s="1845">
        <f>EB236</f>
        <v>-2543</v>
      </c>
      <c r="ED236" s="1687">
        <f>EC236</f>
        <v>-2543</v>
      </c>
      <c r="EE236" s="1451">
        <f>ED236</f>
        <v>-2543</v>
      </c>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row>
    <row r="237" spans="2:232" s="438" customFormat="1">
      <c r="B237" s="742" t="s">
        <v>83</v>
      </c>
      <c r="C237" s="743"/>
      <c r="D237" s="743"/>
      <c r="E237" s="743"/>
      <c r="F237" s="744"/>
      <c r="G237" s="744"/>
      <c r="H237" s="744"/>
      <c r="I237" s="744"/>
      <c r="J237" s="744"/>
      <c r="K237" s="744"/>
      <c r="L237" s="744"/>
      <c r="M237" s="744"/>
      <c r="N237" s="744"/>
      <c r="O237" s="744"/>
      <c r="P237" s="744"/>
      <c r="Q237" s="744"/>
      <c r="R237" s="744"/>
      <c r="S237" s="744"/>
      <c r="T237" s="744"/>
      <c r="U237" s="744"/>
      <c r="V237" s="744"/>
      <c r="W237" s="744"/>
      <c r="X237" s="744"/>
      <c r="Y237" s="744"/>
      <c r="Z237" s="744"/>
      <c r="AA237" s="744"/>
      <c r="AB237" s="744"/>
      <c r="AC237" s="744"/>
      <c r="AD237" s="744"/>
      <c r="AE237" s="744"/>
      <c r="AF237" s="744"/>
      <c r="AG237" s="744"/>
      <c r="AH237" s="744"/>
      <c r="AI237" s="744"/>
      <c r="AJ237" s="744"/>
      <c r="AK237" s="744"/>
      <c r="AL237" s="744"/>
      <c r="AM237" s="744"/>
      <c r="AN237" s="744"/>
      <c r="AO237" s="744"/>
      <c r="AP237" s="744"/>
      <c r="AQ237" s="744"/>
      <c r="AR237" s="744"/>
      <c r="AS237" s="744">
        <v>0</v>
      </c>
      <c r="AT237" s="744"/>
      <c r="AU237" s="744"/>
      <c r="AV237" s="744"/>
      <c r="AW237" s="744"/>
      <c r="AX237" s="744">
        <v>0</v>
      </c>
      <c r="AY237" s="744"/>
      <c r="AZ237" s="744"/>
      <c r="BA237" s="744"/>
      <c r="BB237" s="744"/>
      <c r="BC237" s="744">
        <v>-76.3</v>
      </c>
      <c r="BD237" s="744"/>
      <c r="BE237" s="744"/>
      <c r="BF237" s="744"/>
      <c r="BG237" s="744"/>
      <c r="BH237" s="744">
        <v>-514.9</v>
      </c>
      <c r="BI237" s="744"/>
      <c r="BJ237" s="744"/>
      <c r="BK237" s="744"/>
      <c r="BL237" s="744"/>
      <c r="BM237" s="744">
        <v>-764.2</v>
      </c>
      <c r="BN237" s="744"/>
      <c r="BO237" s="744"/>
      <c r="BP237" s="744"/>
      <c r="BQ237" s="744"/>
      <c r="BR237" s="744">
        <v>-1505.9</v>
      </c>
      <c r="BS237" s="745">
        <f>BR237+BS382</f>
        <v>-1583.9</v>
      </c>
      <c r="BT237" s="746">
        <v>-1512.5</v>
      </c>
      <c r="BU237" s="746">
        <v>-1529.8</v>
      </c>
      <c r="BV237" s="747">
        <f>BW237</f>
        <v>-1551</v>
      </c>
      <c r="BW237" s="744">
        <v>-1551</v>
      </c>
      <c r="BX237" s="745">
        <v>-1592</v>
      </c>
      <c r="BY237" s="746">
        <v>-1436</v>
      </c>
      <c r="BZ237" s="746">
        <v>-1415</v>
      </c>
      <c r="CA237" s="747">
        <f>CB237</f>
        <v>-1533</v>
      </c>
      <c r="CB237" s="744">
        <v>-1533</v>
      </c>
      <c r="CC237" s="745">
        <v>-1680</v>
      </c>
      <c r="CD237" s="746">
        <v>-1922</v>
      </c>
      <c r="CE237" s="746">
        <v>-2114</v>
      </c>
      <c r="CF237" s="746">
        <v>-3101</v>
      </c>
      <c r="CG237" s="792">
        <v>-3101</v>
      </c>
      <c r="CH237" s="746">
        <v>-3594</v>
      </c>
      <c r="CI237" s="746">
        <v>-3888</v>
      </c>
      <c r="CJ237" s="746">
        <v>-4319</v>
      </c>
      <c r="CK237" s="746">
        <v>-4926</v>
      </c>
      <c r="CL237" s="792">
        <v>-4926</v>
      </c>
      <c r="CM237" s="746">
        <v>-5467</v>
      </c>
      <c r="CN237" s="746">
        <f>CM237+CN382</f>
        <v>-5874</v>
      </c>
      <c r="CO237" s="746">
        <f>CN237+CO382</f>
        <v>-6050</v>
      </c>
      <c r="CP237" s="747">
        <f>CO237+CP382</f>
        <v>-6050</v>
      </c>
      <c r="CQ237" s="792">
        <f>CP237</f>
        <v>-6050</v>
      </c>
      <c r="CR237" s="745">
        <v>-2969</v>
      </c>
      <c r="CS237" s="746">
        <v>-2912</v>
      </c>
      <c r="CT237" s="746">
        <v>-3162</v>
      </c>
      <c r="CU237" s="747">
        <v>-3114</v>
      </c>
      <c r="CV237" s="792">
        <f t="shared" si="558"/>
        <v>-3114</v>
      </c>
      <c r="CW237" s="745">
        <v>-3042</v>
      </c>
      <c r="CX237" s="746">
        <f>-2869+49</f>
        <v>-2820</v>
      </c>
      <c r="CY237" s="746">
        <f>-2776+68</f>
        <v>-2708</v>
      </c>
      <c r="CZ237" s="747">
        <f>-3197+104</f>
        <v>-3093</v>
      </c>
      <c r="DA237" s="792">
        <f t="shared" si="559"/>
        <v>-3093</v>
      </c>
      <c r="DB237" s="1452">
        <f>-3558+131</f>
        <v>-3427</v>
      </c>
      <c r="DC237" s="1668">
        <f>-3491+212</f>
        <v>-3279</v>
      </c>
      <c r="DD237" s="1668">
        <f>-3654+366</f>
        <v>-3288</v>
      </c>
      <c r="DE237" s="1668">
        <f>-3977+439</f>
        <v>-3538</v>
      </c>
      <c r="DF237" s="792">
        <f>DE237</f>
        <v>-3538</v>
      </c>
      <c r="DG237" s="1668">
        <f>-4446+445</f>
        <v>-4001</v>
      </c>
      <c r="DH237" s="1668">
        <f>-5026+412</f>
        <v>-4614</v>
      </c>
      <c r="DI237" s="1668">
        <f>-4975+433</f>
        <v>-4542</v>
      </c>
      <c r="DJ237" s="1668">
        <f>-4934+401</f>
        <v>-4533</v>
      </c>
      <c r="DK237" s="2058">
        <f>DJ237</f>
        <v>-4533</v>
      </c>
      <c r="DL237" s="1668">
        <f>-5341+367</f>
        <v>-4974</v>
      </c>
      <c r="DM237" s="1668">
        <f>-5285+354</f>
        <v>-4931</v>
      </c>
      <c r="DN237" s="1668">
        <f>-6242+884</f>
        <v>-5358</v>
      </c>
      <c r="DO237" s="2275">
        <f>-9971+808</f>
        <v>-9163</v>
      </c>
      <c r="DP237" s="1453">
        <f>DO237</f>
        <v>-9163</v>
      </c>
      <c r="DQ237" s="1668">
        <f>-12459+827</f>
        <v>-11632</v>
      </c>
      <c r="DR237" s="1846">
        <f>DQ237+DR382</f>
        <v>-11632</v>
      </c>
      <c r="DS237" s="1846">
        <f>DR237+DS382</f>
        <v>-11632</v>
      </c>
      <c r="DT237" s="1688">
        <f>DS237+DT382</f>
        <v>-11632</v>
      </c>
      <c r="DU237" s="1453">
        <f>DT237</f>
        <v>-11632</v>
      </c>
      <c r="DV237" s="1846">
        <f>DU237+DV382</f>
        <v>-12632</v>
      </c>
      <c r="DW237" s="1846">
        <f>DV237+DW382</f>
        <v>-13632</v>
      </c>
      <c r="DX237" s="1846">
        <f>DW237+DX382</f>
        <v>-14632</v>
      </c>
      <c r="DY237" s="1688">
        <f>DX237+DY382</f>
        <v>-15632</v>
      </c>
      <c r="DZ237" s="1453">
        <f>DY237</f>
        <v>-15632</v>
      </c>
      <c r="EA237" s="1846">
        <f>DZ237+EA382</f>
        <v>-16632</v>
      </c>
      <c r="EB237" s="1846">
        <f>EA237+EB382</f>
        <v>-17632</v>
      </c>
      <c r="EC237" s="1846">
        <f>EB237+EC382</f>
        <v>-18632</v>
      </c>
      <c r="ED237" s="1688">
        <f>EC237+ED382</f>
        <v>-19632</v>
      </c>
      <c r="EE237" s="1453">
        <f>ED237</f>
        <v>-19632</v>
      </c>
      <c r="EF237"/>
      <c r="EG237" s="704"/>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row>
    <row r="238" spans="2:232" s="161" customFormat="1">
      <c r="B238" s="738" t="s">
        <v>38</v>
      </c>
      <c r="C238" s="705"/>
      <c r="D238" s="705"/>
      <c r="E238" s="705"/>
      <c r="F238" s="700">
        <v>1081.1569999999999</v>
      </c>
      <c r="G238" s="700">
        <v>1233.31</v>
      </c>
      <c r="H238" s="700">
        <v>1378.751</v>
      </c>
      <c r="I238" s="700">
        <v>1573.64</v>
      </c>
      <c r="J238" s="700">
        <v>1792.586</v>
      </c>
      <c r="K238" s="700"/>
      <c r="L238" s="700"/>
      <c r="M238" s="700"/>
      <c r="N238" s="700"/>
      <c r="O238" s="700">
        <v>2043.105</v>
      </c>
      <c r="P238" s="700"/>
      <c r="Q238" s="700"/>
      <c r="R238" s="700"/>
      <c r="S238" s="700"/>
      <c r="T238" s="700">
        <f>SUM(T232:T237)</f>
        <v>2373.2510000000002</v>
      </c>
      <c r="U238" s="700"/>
      <c r="V238" s="700"/>
      <c r="W238" s="700"/>
      <c r="X238" s="700"/>
      <c r="Y238" s="700">
        <f>SUM(Y232:Y237)</f>
        <v>2848.9270000000001</v>
      </c>
      <c r="Z238" s="700"/>
      <c r="AA238" s="700"/>
      <c r="AB238" s="700"/>
      <c r="AC238" s="700"/>
      <c r="AD238" s="700">
        <f>SUM(AD232:AD237)</f>
        <v>3484.3</v>
      </c>
      <c r="AE238" s="700"/>
      <c r="AF238" s="700"/>
      <c r="AG238" s="700"/>
      <c r="AH238" s="700"/>
      <c r="AI238" s="700">
        <f>SUM(AI232:AI237)</f>
        <v>4234</v>
      </c>
      <c r="AJ238" s="700"/>
      <c r="AK238" s="700"/>
      <c r="AL238" s="700"/>
      <c r="AM238" s="700"/>
      <c r="AN238" s="700">
        <f>SUM(AN232:AN237)</f>
        <v>5207.2</v>
      </c>
      <c r="AO238" s="700"/>
      <c r="AP238" s="700"/>
      <c r="AQ238" s="700"/>
      <c r="AR238" s="700"/>
      <c r="AS238" s="700">
        <f>SUM(AS232:AS237)</f>
        <v>6468.5999999999995</v>
      </c>
      <c r="AT238" s="700"/>
      <c r="AU238" s="700"/>
      <c r="AV238" s="700"/>
      <c r="AW238" s="700"/>
      <c r="AX238" s="700">
        <f>SUM(AX232:AX237)</f>
        <v>7117.7999999999993</v>
      </c>
      <c r="AY238" s="700"/>
      <c r="AZ238" s="700"/>
      <c r="BA238" s="700"/>
      <c r="BB238" s="700"/>
      <c r="BC238" s="700">
        <f>SUM(BC232:BC237)</f>
        <v>8139.7000004359315</v>
      </c>
      <c r="BD238" s="700"/>
      <c r="BE238" s="700"/>
      <c r="BF238" s="700"/>
      <c r="BG238" s="700"/>
      <c r="BH238" s="700">
        <f>SUM(BH232:BH237)</f>
        <v>8889.7000004359325</v>
      </c>
      <c r="BI238" s="700"/>
      <c r="BJ238" s="700"/>
      <c r="BK238" s="700"/>
      <c r="BL238" s="700"/>
      <c r="BM238" s="700">
        <f>SUM(BM232:BM237)</f>
        <v>10115.800000435933</v>
      </c>
      <c r="BN238" s="700"/>
      <c r="BO238" s="700"/>
      <c r="BP238" s="700"/>
      <c r="BQ238" s="700"/>
      <c r="BR238" s="700">
        <f>SUM(BR232:BR237)</f>
        <v>11104.300000435931</v>
      </c>
      <c r="BS238" s="706">
        <v>11490</v>
      </c>
      <c r="BT238" s="707">
        <v>12063.3</v>
      </c>
      <c r="BU238" s="707">
        <v>12535</v>
      </c>
      <c r="BV238" s="708">
        <f>BW238</f>
        <v>12869.100000435928</v>
      </c>
      <c r="BW238" s="700">
        <f t="shared" ref="BW238:CM238" si="571">SUM(BW232:BW237)</f>
        <v>12869.100000435928</v>
      </c>
      <c r="BX238" s="706">
        <f t="shared" si="571"/>
        <v>13130.700000435929</v>
      </c>
      <c r="BY238" s="707">
        <f t="shared" si="571"/>
        <v>13678.700000435929</v>
      </c>
      <c r="BZ238" s="707">
        <f t="shared" si="571"/>
        <v>14186.700000435929</v>
      </c>
      <c r="CA238" s="708">
        <f t="shared" si="571"/>
        <v>14376.000000435928</v>
      </c>
      <c r="CB238" s="700">
        <f t="shared" si="571"/>
        <v>14376.000000435928</v>
      </c>
      <c r="CC238" s="706">
        <f t="shared" si="571"/>
        <v>14620.700000435929</v>
      </c>
      <c r="CD238" s="707">
        <f t="shared" si="571"/>
        <v>14947.700000435929</v>
      </c>
      <c r="CE238" s="707">
        <f t="shared" si="571"/>
        <v>15111.700000435929</v>
      </c>
      <c r="CF238" s="707">
        <f t="shared" si="571"/>
        <v>14399.700000435929</v>
      </c>
      <c r="CG238" s="787">
        <f t="shared" si="571"/>
        <v>14400</v>
      </c>
      <c r="CH238" s="707">
        <f t="shared" si="571"/>
        <v>14362.700000435929</v>
      </c>
      <c r="CI238" s="707">
        <f t="shared" si="571"/>
        <v>14680.700000435929</v>
      </c>
      <c r="CJ238" s="707">
        <f t="shared" si="571"/>
        <v>14722.700000435929</v>
      </c>
      <c r="CK238" s="707">
        <f t="shared" si="571"/>
        <v>14846.700000435929</v>
      </c>
      <c r="CL238" s="787">
        <f t="shared" si="571"/>
        <v>14847</v>
      </c>
      <c r="CM238" s="707">
        <f t="shared" si="571"/>
        <v>14673.700000435929</v>
      </c>
      <c r="CN238" s="707">
        <f>14815.7+4.35928086517379E-07</f>
        <v>14815.700000435929</v>
      </c>
      <c r="CO238" s="707">
        <f>15040-0.299999564071186</f>
        <v>15039.700000435929</v>
      </c>
      <c r="CP238" s="708">
        <f t="shared" ref="CP238:DF238" si="572">SUM(CP232:CP237)</f>
        <v>18235.700000435929</v>
      </c>
      <c r="CQ238" s="787">
        <f t="shared" si="572"/>
        <v>18235.700000435929</v>
      </c>
      <c r="CR238" s="706">
        <f t="shared" si="572"/>
        <v>18378.7</v>
      </c>
      <c r="CS238" s="707">
        <f t="shared" si="572"/>
        <v>18972.7</v>
      </c>
      <c r="CT238" s="707">
        <f t="shared" si="572"/>
        <v>18979.7</v>
      </c>
      <c r="CU238" s="708">
        <f t="shared" si="572"/>
        <v>19454</v>
      </c>
      <c r="CV238" s="787">
        <f t="shared" si="572"/>
        <v>19454</v>
      </c>
      <c r="CW238" s="706">
        <f t="shared" si="572"/>
        <v>20056</v>
      </c>
      <c r="CX238" s="707">
        <f t="shared" si="572"/>
        <v>20833</v>
      </c>
      <c r="CY238" s="707">
        <f t="shared" si="572"/>
        <v>21485</v>
      </c>
      <c r="CZ238" s="708">
        <f t="shared" si="572"/>
        <v>20561</v>
      </c>
      <c r="DA238" s="787">
        <f t="shared" si="572"/>
        <v>20561</v>
      </c>
      <c r="DB238" s="1442">
        <f t="shared" si="572"/>
        <v>20767</v>
      </c>
      <c r="DC238" s="707">
        <f>SUM(DC232:DC237)</f>
        <v>31026</v>
      </c>
      <c r="DD238" s="707">
        <f t="shared" si="572"/>
        <v>31929</v>
      </c>
      <c r="DE238" s="707">
        <f>SUM(DE232:DE237)</f>
        <v>31300</v>
      </c>
      <c r="DF238" s="787">
        <f t="shared" si="572"/>
        <v>31300</v>
      </c>
      <c r="DG238" s="707">
        <f t="shared" ref="DG238:DL238" si="573">SUM(DG232:DG237)</f>
        <v>31154</v>
      </c>
      <c r="DH238" s="707">
        <f t="shared" si="573"/>
        <v>29918</v>
      </c>
      <c r="DI238" s="707">
        <f t="shared" si="573"/>
        <v>31314</v>
      </c>
      <c r="DJ238" s="707">
        <f t="shared" si="573"/>
        <v>30281</v>
      </c>
      <c r="DK238" s="2056">
        <f t="shared" si="573"/>
        <v>30281</v>
      </c>
      <c r="DL238" s="707">
        <f t="shared" si="573"/>
        <v>29692</v>
      </c>
      <c r="DM238" s="707">
        <f t="shared" ref="DM238:DN238" si="574">SUM(DM232:DM237)</f>
        <v>30421</v>
      </c>
      <c r="DN238" s="707">
        <f t="shared" si="574"/>
        <v>31484</v>
      </c>
      <c r="DO238" s="1443">
        <f t="shared" ref="DO238:DQ238" si="575">SUM(DO232:DO237)</f>
        <v>28274</v>
      </c>
      <c r="DP238" s="1443">
        <f t="shared" ref="DP238:DU238" si="576">SUM(DP232:DP237)</f>
        <v>28274</v>
      </c>
      <c r="DQ238" s="707">
        <f t="shared" si="575"/>
        <v>26756</v>
      </c>
      <c r="DR238" s="707">
        <f t="shared" ca="1" si="576"/>
        <v>27613.510854292952</v>
      </c>
      <c r="DS238" s="707">
        <f t="shared" ca="1" si="576"/>
        <v>28432.154515704897</v>
      </c>
      <c r="DT238" s="1443">
        <f t="shared" ca="1" si="576"/>
        <v>29245.209138929305</v>
      </c>
      <c r="DU238" s="1443">
        <f t="shared" ca="1" si="576"/>
        <v>29245.209138929305</v>
      </c>
      <c r="DV238" s="707">
        <f t="shared" ref="DV238:DZ238" ca="1" si="577">SUM(DV232:DV237)</f>
        <v>28917.061721678947</v>
      </c>
      <c r="DW238" s="707">
        <f t="shared" ca="1" si="577"/>
        <v>28853.85244034991</v>
      </c>
      <c r="DX238" s="707">
        <f t="shared" ca="1" si="577"/>
        <v>28815.467032990789</v>
      </c>
      <c r="DY238" s="1443">
        <f t="shared" ca="1" si="577"/>
        <v>28814.112507076716</v>
      </c>
      <c r="DZ238" s="1443">
        <f t="shared" ca="1" si="577"/>
        <v>28814.112507076716</v>
      </c>
      <c r="EA238" s="707">
        <f t="shared" ref="EA238:EE238" ca="1" si="578">SUM(EA232:EA237)</f>
        <v>28685.261383891448</v>
      </c>
      <c r="EB238" s="707">
        <f t="shared" ca="1" si="578"/>
        <v>28800.128993500221</v>
      </c>
      <c r="EC238" s="707">
        <f t="shared" ca="1" si="578"/>
        <v>28954.725760371388</v>
      </c>
      <c r="ED238" s="1443">
        <f t="shared" ca="1" si="578"/>
        <v>29149.873925409418</v>
      </c>
      <c r="EE238" s="1443">
        <f t="shared" ca="1" si="578"/>
        <v>29149.873925409418</v>
      </c>
      <c r="EF238" s="704"/>
      <c r="EH238"/>
      <c r="EI238"/>
      <c r="EJ238"/>
      <c r="EK238"/>
      <c r="EL238"/>
      <c r="EM238"/>
      <c r="EN238" s="704"/>
      <c r="EO238" s="704"/>
      <c r="EP238" s="704"/>
      <c r="EQ238" s="704"/>
      <c r="ER238" s="704"/>
      <c r="ES238" s="704"/>
      <c r="ET238" s="704"/>
      <c r="EU238" s="704"/>
      <c r="EV238" s="704"/>
      <c r="EW238" s="704"/>
      <c r="EX238" s="704"/>
      <c r="EY238" s="704"/>
      <c r="EZ238" s="704"/>
      <c r="FA238" s="704"/>
      <c r="FB238" s="704"/>
      <c r="FC238" s="704"/>
      <c r="FD238" s="704"/>
      <c r="FE238" s="704"/>
      <c r="FF238" s="704"/>
      <c r="FG238" s="704"/>
      <c r="FH238" s="704"/>
      <c r="FI238" s="704"/>
      <c r="FJ238" s="704"/>
      <c r="FK238" s="704"/>
      <c r="FL238" s="704"/>
      <c r="FM238" s="704"/>
      <c r="FN238" s="704"/>
      <c r="FO238" s="704"/>
      <c r="FP238" s="704"/>
      <c r="FQ238" s="704"/>
      <c r="FR238" s="704"/>
      <c r="FS238" s="704"/>
      <c r="FT238" s="704"/>
      <c r="FU238" s="704"/>
      <c r="FV238" s="704"/>
      <c r="FW238" s="704"/>
      <c r="FX238" s="704"/>
      <c r="FY238" s="704"/>
      <c r="FZ238" s="704"/>
      <c r="GA238" s="704"/>
      <c r="GB238" s="704"/>
      <c r="GC238" s="704"/>
      <c r="GD238" s="704"/>
      <c r="GE238" s="704"/>
      <c r="GF238" s="704"/>
      <c r="GG238" s="704"/>
      <c r="GH238" s="704"/>
      <c r="GI238" s="704"/>
      <c r="GJ238" s="704"/>
      <c r="GK238" s="704"/>
      <c r="GL238" s="704"/>
      <c r="GM238" s="704"/>
      <c r="GN238" s="704"/>
      <c r="GO238" s="704"/>
      <c r="GP238" s="704"/>
      <c r="GQ238" s="704"/>
      <c r="GR238" s="704"/>
      <c r="GS238" s="704"/>
      <c r="GT238" s="704"/>
      <c r="GU238" s="704"/>
      <c r="GV238" s="704"/>
      <c r="GW238" s="704"/>
      <c r="GX238" s="704"/>
      <c r="GY238" s="704"/>
      <c r="GZ238" s="704"/>
      <c r="HA238" s="704"/>
      <c r="HB238" s="704"/>
      <c r="HC238" s="704"/>
      <c r="HD238" s="704"/>
      <c r="HE238" s="704"/>
      <c r="HF238" s="704"/>
      <c r="HG238" s="704"/>
      <c r="HH238" s="704"/>
      <c r="HI238" s="704"/>
      <c r="HJ238" s="704"/>
      <c r="HK238" s="704"/>
      <c r="HL238" s="704"/>
      <c r="HM238" s="704"/>
      <c r="HN238" s="704"/>
      <c r="HO238" s="704"/>
      <c r="HP238" s="704"/>
      <c r="HQ238" s="704"/>
      <c r="HR238" s="704"/>
      <c r="HS238" s="704"/>
      <c r="HT238" s="704"/>
      <c r="HU238" s="704"/>
      <c r="HV238" s="704"/>
      <c r="HW238" s="704"/>
      <c r="HX238" s="704"/>
    </row>
    <row r="239" spans="2:232" s="161" customFormat="1" ht="12" thickBot="1">
      <c r="B239" s="748" t="s">
        <v>194</v>
      </c>
      <c r="C239" s="749" t="s">
        <v>414</v>
      </c>
      <c r="D239" s="749"/>
      <c r="E239" s="749"/>
      <c r="F239" s="750">
        <f>F230+F238</f>
        <v>2094.6370000000002</v>
      </c>
      <c r="G239" s="750">
        <f>G230+G238</f>
        <v>2273.5500000000002</v>
      </c>
      <c r="H239" s="750">
        <f>H230+H238</f>
        <v>2535.1909999999998</v>
      </c>
      <c r="I239" s="750">
        <f>I230+I238</f>
        <v>2908.7490000000003</v>
      </c>
      <c r="J239" s="750">
        <f>J230+J238</f>
        <v>3252.607</v>
      </c>
      <c r="K239" s="750"/>
      <c r="L239" s="750"/>
      <c r="M239" s="750"/>
      <c r="N239" s="750"/>
      <c r="O239" s="750">
        <f>O230+O238</f>
        <v>3633.6459999999997</v>
      </c>
      <c r="P239" s="750"/>
      <c r="Q239" s="750"/>
      <c r="R239" s="750"/>
      <c r="S239" s="750"/>
      <c r="T239" s="750">
        <f>T230+T238</f>
        <v>4207.0619999999999</v>
      </c>
      <c r="U239" s="750"/>
      <c r="V239" s="750"/>
      <c r="W239" s="750"/>
      <c r="X239" s="750"/>
      <c r="Y239" s="750">
        <f>Y230+Y238</f>
        <v>4901.6129999999994</v>
      </c>
      <c r="Z239" s="750"/>
      <c r="AA239" s="750"/>
      <c r="AB239" s="750"/>
      <c r="AC239" s="750"/>
      <c r="AD239" s="750">
        <f>AD230+AD238</f>
        <v>5906.7000000000007</v>
      </c>
      <c r="AE239" s="750"/>
      <c r="AF239" s="750"/>
      <c r="AG239" s="750"/>
      <c r="AH239" s="750"/>
      <c r="AI239" s="750">
        <f>AI230+AI238</f>
        <v>7103.6999999999989</v>
      </c>
      <c r="AJ239" s="750"/>
      <c r="AK239" s="750"/>
      <c r="AL239" s="750"/>
      <c r="AM239" s="750"/>
      <c r="AN239" s="750">
        <f>AN230+AN238</f>
        <v>8833.7999999999993</v>
      </c>
      <c r="AO239" s="750"/>
      <c r="AP239" s="750"/>
      <c r="AQ239" s="750"/>
      <c r="AR239" s="750"/>
      <c r="AS239" s="750">
        <f>AS230+AS238</f>
        <v>10117.199999999999</v>
      </c>
      <c r="AT239" s="750"/>
      <c r="AU239" s="750"/>
      <c r="AV239" s="750"/>
      <c r="AW239" s="750"/>
      <c r="AX239" s="750">
        <f>AX230+AX238</f>
        <v>11656.8</v>
      </c>
      <c r="AY239" s="750"/>
      <c r="AZ239" s="750"/>
      <c r="BA239" s="750"/>
      <c r="BB239" s="750"/>
      <c r="BC239" s="750">
        <f>BC230+BC238</f>
        <v>13342.10000043593</v>
      </c>
      <c r="BD239" s="750"/>
      <c r="BE239" s="750"/>
      <c r="BF239" s="750"/>
      <c r="BG239" s="750"/>
      <c r="BH239" s="750">
        <f>BH230+BH238</f>
        <v>14608.800000435931</v>
      </c>
      <c r="BI239" s="750"/>
      <c r="BJ239" s="750"/>
      <c r="BK239" s="750"/>
      <c r="BL239" s="750"/>
      <c r="BM239" s="750">
        <f>BM230+BM238</f>
        <v>17131.100000435934</v>
      </c>
      <c r="BN239" s="750"/>
      <c r="BO239" s="750"/>
      <c r="BP239" s="750"/>
      <c r="BQ239" s="750"/>
      <c r="BR239" s="750">
        <f>BR230+BR238</f>
        <v>19313.60000043593</v>
      </c>
      <c r="BS239" s="751">
        <f>BS238+BS230</f>
        <v>20476</v>
      </c>
      <c r="BT239" s="752">
        <f>BT238+BT230</f>
        <v>20748.3</v>
      </c>
      <c r="BU239" s="752">
        <f>BU238+BU230</f>
        <v>21587.599999999999</v>
      </c>
      <c r="BV239" s="753">
        <f>BW239</f>
        <v>22410.200000435929</v>
      </c>
      <c r="BW239" s="750">
        <f>BW230+BW238</f>
        <v>22410.200000435929</v>
      </c>
      <c r="BX239" s="751">
        <f>BX238+BX230</f>
        <v>24512.700000435929</v>
      </c>
      <c r="BY239" s="752">
        <f>BY238+BY230</f>
        <v>24824.700000435929</v>
      </c>
      <c r="BZ239" s="752">
        <f>BZ238+BZ230</f>
        <v>25142.700000435929</v>
      </c>
      <c r="CA239" s="753">
        <f>CB239</f>
        <v>25142.000000435928</v>
      </c>
      <c r="CB239" s="750">
        <f>CB230+CB238</f>
        <v>25142.000000435928</v>
      </c>
      <c r="CC239" s="751">
        <f>CC238+CC230</f>
        <v>26547.700000435929</v>
      </c>
      <c r="CD239" s="752">
        <f>CD238+CD230</f>
        <v>26333.700000435929</v>
      </c>
      <c r="CE239" s="752">
        <f>CE238+CE230</f>
        <v>26706.700000435929</v>
      </c>
      <c r="CF239" s="752">
        <f>CF238+CF230</f>
        <v>26274.700000435929</v>
      </c>
      <c r="CG239" s="793">
        <f>CG230+CG238</f>
        <v>26275</v>
      </c>
      <c r="CH239" s="752">
        <f>CH238+CH230</f>
        <v>27043.700000435929</v>
      </c>
      <c r="CI239" s="752">
        <f>CI238+CI230</f>
        <v>26877.700000435929</v>
      </c>
      <c r="CJ239" s="752">
        <f>CJ238+CJ230</f>
        <v>27315.700000435929</v>
      </c>
      <c r="CK239" s="752">
        <f>CK238+CK230</f>
        <v>27453.700000435929</v>
      </c>
      <c r="CL239" s="793">
        <f>CL230+CL238</f>
        <v>27454</v>
      </c>
      <c r="CM239" s="752">
        <f>CM238+CM230</f>
        <v>27428.700000435929</v>
      </c>
      <c r="CN239" s="752">
        <f>CN238+CN230</f>
        <v>26621.700000435929</v>
      </c>
      <c r="CO239" s="752">
        <f>CO238+CO230</f>
        <v>27198.700000435929</v>
      </c>
      <c r="CP239" s="753">
        <f>CP238+CP230</f>
        <v>33461.700000435929</v>
      </c>
      <c r="CQ239" s="793">
        <f>CQ230+CQ238</f>
        <v>33461.700000435929</v>
      </c>
      <c r="CR239" s="751">
        <f>CR238+CR230</f>
        <v>35258.699999999997</v>
      </c>
      <c r="CS239" s="752">
        <f>CS238+CS230</f>
        <v>35563.699999999997</v>
      </c>
      <c r="CT239" s="752">
        <f>CT238+CT230</f>
        <v>35840.699999999997</v>
      </c>
      <c r="CU239" s="753">
        <f>CU238+CU230</f>
        <v>35481</v>
      </c>
      <c r="CV239" s="793">
        <f>CV230+CV238</f>
        <v>35481</v>
      </c>
      <c r="CW239" s="751">
        <f>CW238+CW230</f>
        <v>36481</v>
      </c>
      <c r="CX239" s="752">
        <f>CX238+CX230</f>
        <v>37081</v>
      </c>
      <c r="CY239" s="752">
        <f>CY238+CY230</f>
        <v>37391</v>
      </c>
      <c r="CZ239" s="753">
        <f>CZ238+CZ230</f>
        <v>37182</v>
      </c>
      <c r="DA239" s="793">
        <f>DA230+DA238</f>
        <v>37182</v>
      </c>
      <c r="DB239" s="1454">
        <f>DB238+DB230</f>
        <v>48612</v>
      </c>
      <c r="DC239" s="752">
        <f>DC238+DC230</f>
        <v>71357</v>
      </c>
      <c r="DD239" s="752">
        <f>DD238+DD230</f>
        <v>70644</v>
      </c>
      <c r="DE239" s="752">
        <f>DE238+DE230</f>
        <v>68782</v>
      </c>
      <c r="DF239" s="793">
        <f>DF230+DF238</f>
        <v>68782</v>
      </c>
      <c r="DG239" s="752">
        <f>DG238+DG230</f>
        <v>68657</v>
      </c>
      <c r="DH239" s="752">
        <f>DH238+DH230</f>
        <v>66385</v>
      </c>
      <c r="DI239" s="752">
        <f>DI238+DI230</f>
        <v>67333</v>
      </c>
      <c r="DJ239" s="752">
        <f>DJ238+DJ230</f>
        <v>72688</v>
      </c>
      <c r="DK239" s="2059">
        <f>DK230+DK238</f>
        <v>72688</v>
      </c>
      <c r="DL239" s="752">
        <f>DL238+DL230</f>
        <v>71912</v>
      </c>
      <c r="DM239" s="752">
        <f>DM238+DM230</f>
        <v>72505</v>
      </c>
      <c r="DN239" s="752">
        <f>DN238+DN230</f>
        <v>74173</v>
      </c>
      <c r="DO239" s="1455">
        <f>DO238+DO230</f>
        <v>66009</v>
      </c>
      <c r="DP239" s="1455">
        <f>DP230+DP238</f>
        <v>66009</v>
      </c>
      <c r="DQ239" s="752">
        <f>DQ238+DQ230</f>
        <v>66618</v>
      </c>
      <c r="DR239" s="1847">
        <f ca="1">DR238+DR230</f>
        <v>68023.12604836635</v>
      </c>
      <c r="DS239" s="1847">
        <f ca="1">DS238+DS230</f>
        <v>68732.749216434677</v>
      </c>
      <c r="DT239" s="1675">
        <f ca="1">DT238+DT230</f>
        <v>70369.246327333589</v>
      </c>
      <c r="DU239" s="1455">
        <f ca="1">DU230+DU238</f>
        <v>70369.246327333589</v>
      </c>
      <c r="DV239" s="1847">
        <f ca="1">DV238+DV230</f>
        <v>69414.397983513962</v>
      </c>
      <c r="DW239" s="1847">
        <f ca="1">DW238+DW230</f>
        <v>68220.415054004872</v>
      </c>
      <c r="DX239" s="1847">
        <f ca="1">DX238+DX230</f>
        <v>67781.47214553642</v>
      </c>
      <c r="DY239" s="1675">
        <f ca="1">DY238+DY230</f>
        <v>68577.447168859842</v>
      </c>
      <c r="DZ239" s="1455">
        <f ca="1">DZ230+DZ238</f>
        <v>68577.447168859842</v>
      </c>
      <c r="EA239" s="1847">
        <f ca="1">EA238+EA230</f>
        <v>69289.032493387364</v>
      </c>
      <c r="EB239" s="1847">
        <f ca="1">EB238+EB230</f>
        <v>68261.787018936244</v>
      </c>
      <c r="EC239" s="1847">
        <f ca="1">EC238+EC230</f>
        <v>68015.523676851546</v>
      </c>
      <c r="ED239" s="1675">
        <f ca="1">ED238+ED230</f>
        <v>68669.595953995769</v>
      </c>
      <c r="EE239" s="1455">
        <f ca="1">EE230+EE238</f>
        <v>68669.595953995769</v>
      </c>
      <c r="EF239" s="704"/>
      <c r="EG239" s="704"/>
      <c r="EH239"/>
      <c r="EI239"/>
      <c r="EJ239"/>
      <c r="EK239"/>
      <c r="EL239"/>
      <c r="EM239"/>
      <c r="EN239" s="704"/>
      <c r="EO239" s="704"/>
      <c r="EP239" s="704"/>
      <c r="EQ239" s="704"/>
      <c r="ER239" s="704"/>
      <c r="ES239" s="704"/>
      <c r="ET239" s="704"/>
      <c r="EU239" s="704"/>
      <c r="EV239" s="704"/>
      <c r="EW239" s="704"/>
      <c r="EX239" s="704"/>
      <c r="EY239" s="704"/>
      <c r="EZ239" s="704"/>
      <c r="FA239" s="704"/>
      <c r="FB239" s="704"/>
      <c r="FC239" s="704"/>
      <c r="FD239" s="704"/>
      <c r="FE239" s="704"/>
      <c r="FF239" s="704"/>
      <c r="FG239" s="704"/>
      <c r="FH239" s="704"/>
      <c r="FI239" s="704"/>
      <c r="FJ239" s="704"/>
      <c r="FK239" s="704"/>
      <c r="FL239" s="704"/>
      <c r="FM239" s="704"/>
      <c r="FN239" s="704"/>
      <c r="FO239" s="704"/>
      <c r="FP239" s="704"/>
      <c r="FQ239" s="704"/>
      <c r="FR239" s="704"/>
      <c r="FS239" s="704"/>
      <c r="FT239" s="704"/>
      <c r="FU239" s="704"/>
      <c r="FV239" s="704"/>
      <c r="FW239" s="704"/>
      <c r="FX239" s="704"/>
      <c r="FY239" s="704"/>
      <c r="FZ239" s="704"/>
      <c r="GA239" s="704"/>
      <c r="GB239" s="704"/>
      <c r="GC239" s="704"/>
      <c r="GD239" s="704"/>
      <c r="GE239" s="704"/>
      <c r="GF239" s="704"/>
      <c r="GG239" s="704"/>
      <c r="GH239" s="704"/>
      <c r="GI239" s="704"/>
      <c r="GJ239" s="704"/>
      <c r="GK239" s="704"/>
      <c r="GL239" s="704"/>
      <c r="GM239" s="704"/>
      <c r="GN239" s="704"/>
      <c r="GO239" s="704"/>
      <c r="GP239" s="704"/>
      <c r="GQ239" s="704"/>
      <c r="GR239" s="704"/>
      <c r="GS239" s="704"/>
      <c r="GT239" s="704"/>
      <c r="GU239" s="704"/>
      <c r="GV239" s="704"/>
      <c r="GW239" s="704"/>
      <c r="GX239" s="704"/>
      <c r="GY239" s="704"/>
      <c r="GZ239" s="704"/>
      <c r="HA239" s="704"/>
      <c r="HB239" s="704"/>
      <c r="HC239" s="704"/>
      <c r="HD239" s="704"/>
      <c r="HE239" s="704"/>
      <c r="HF239" s="704"/>
      <c r="HG239" s="704"/>
      <c r="HH239" s="704"/>
      <c r="HI239" s="704"/>
      <c r="HJ239" s="704"/>
      <c r="HK239" s="704"/>
      <c r="HL239" s="704"/>
      <c r="HM239" s="704"/>
      <c r="HN239" s="704"/>
      <c r="HO239" s="704"/>
      <c r="HP239" s="704"/>
      <c r="HQ239" s="704"/>
      <c r="HR239" s="704"/>
      <c r="HS239" s="704"/>
      <c r="HT239" s="704"/>
      <c r="HU239" s="704"/>
      <c r="HV239" s="704"/>
      <c r="HW239" s="704"/>
      <c r="HX239" s="704"/>
    </row>
    <row r="240" spans="2:232" s="419" customFormat="1" ht="11.25" customHeight="1" outlineLevel="1">
      <c r="B240" s="443" t="s">
        <v>274</v>
      </c>
      <c r="C240" s="444"/>
      <c r="D240" s="444"/>
      <c r="E240" s="444"/>
      <c r="F240" s="445"/>
      <c r="G240" s="445"/>
      <c r="H240" s="445"/>
      <c r="I240" s="445"/>
      <c r="J240" s="445"/>
      <c r="K240" s="445"/>
      <c r="L240" s="445"/>
      <c r="M240" s="445"/>
      <c r="N240" s="445"/>
      <c r="O240" s="445"/>
      <c r="P240" s="445"/>
      <c r="Q240" s="445"/>
      <c r="R240" s="445"/>
      <c r="S240" s="445"/>
      <c r="T240" s="445"/>
      <c r="U240" s="445"/>
      <c r="V240" s="445"/>
      <c r="W240" s="445"/>
      <c r="X240" s="445"/>
      <c r="Y240" s="445"/>
      <c r="Z240" s="445"/>
      <c r="AA240" s="445"/>
      <c r="AB240" s="445"/>
      <c r="AC240" s="445"/>
      <c r="AD240" s="445"/>
      <c r="AE240" s="445"/>
      <c r="AF240" s="445"/>
      <c r="AG240" s="445"/>
      <c r="AH240" s="445"/>
      <c r="AI240" s="445">
        <f>0.6+108.3</f>
        <v>108.89999999999999</v>
      </c>
      <c r="AJ240" s="445"/>
      <c r="AK240" s="445"/>
      <c r="AL240" s="445"/>
      <c r="AM240" s="445"/>
      <c r="AN240" s="446">
        <f>0.6+229.5</f>
        <v>230.1</v>
      </c>
      <c r="AO240" s="446"/>
      <c r="AP240" s="446"/>
      <c r="AQ240" s="446"/>
      <c r="AR240" s="446"/>
      <c r="AS240" s="446">
        <f>0.5+151.7+238.4</f>
        <v>390.6</v>
      </c>
      <c r="AT240" s="446"/>
      <c r="AU240" s="446"/>
      <c r="AV240" s="446"/>
      <c r="AW240" s="446"/>
      <c r="AX240" s="446">
        <f>-50.6-216.1</f>
        <v>-266.7</v>
      </c>
      <c r="AY240" s="446"/>
      <c r="AZ240" s="446"/>
      <c r="BA240" s="446"/>
      <c r="BB240" s="446"/>
      <c r="BC240" s="447">
        <f>BC381+BC382</f>
        <v>-154.1</v>
      </c>
      <c r="BD240" s="447"/>
      <c r="BE240" s="447"/>
      <c r="BF240" s="447"/>
      <c r="BG240" s="447"/>
      <c r="BH240" s="447">
        <f>BH381+BH382+BH373</f>
        <v>-594.19999999999993</v>
      </c>
      <c r="BI240" s="447"/>
      <c r="BJ240" s="447"/>
      <c r="BK240" s="447"/>
      <c r="BL240" s="447"/>
      <c r="BM240" s="447">
        <f>BM381+BM382+BM373</f>
        <v>-380.59999999999997</v>
      </c>
      <c r="BN240" s="447"/>
      <c r="BO240" s="447"/>
      <c r="BP240" s="447"/>
      <c r="BQ240" s="447"/>
      <c r="BR240" s="447">
        <f>BR381+BR382+BR373+BR384</f>
        <v>-791.69999999999993</v>
      </c>
      <c r="BS240" s="448"/>
      <c r="BT240" s="448"/>
      <c r="BU240" s="448"/>
      <c r="BV240" s="448"/>
      <c r="BW240" s="447">
        <f>BW381+BW382+BW373+BW384</f>
        <v>-66.899999999999991</v>
      </c>
      <c r="BX240" s="447"/>
      <c r="BY240" s="448"/>
      <c r="BZ240" s="448"/>
      <c r="CA240" s="448"/>
      <c r="CB240" s="447">
        <f t="shared" ref="CB240:CL240" si="579">CB381+CB382+CB373+CB384</f>
        <v>-137</v>
      </c>
      <c r="CC240" s="447">
        <f t="shared" si="579"/>
        <v>-232</v>
      </c>
      <c r="CD240" s="447">
        <f t="shared" si="579"/>
        <v>-213</v>
      </c>
      <c r="CE240" s="447">
        <f t="shared" si="579"/>
        <v>-203</v>
      </c>
      <c r="CF240" s="447">
        <f t="shared" si="579"/>
        <v>-375</v>
      </c>
      <c r="CG240" s="447">
        <f t="shared" si="579"/>
        <v>-1023</v>
      </c>
      <c r="CH240" s="447">
        <f t="shared" si="579"/>
        <v>-481</v>
      </c>
      <c r="CI240" s="447">
        <f t="shared" si="579"/>
        <v>-286</v>
      </c>
      <c r="CJ240" s="447">
        <f t="shared" si="579"/>
        <v>-423</v>
      </c>
      <c r="CK240" s="447">
        <f t="shared" si="579"/>
        <v>-603</v>
      </c>
      <c r="CL240" s="447">
        <f t="shared" si="579"/>
        <v>-1793</v>
      </c>
      <c r="CM240" s="448"/>
      <c r="CN240" s="448"/>
      <c r="CO240" s="448"/>
      <c r="CP240" s="448"/>
      <c r="CQ240" s="447">
        <f>CQ381+CQ382+CQ373+CQ384</f>
        <v>-1026</v>
      </c>
      <c r="CR240" s="448"/>
      <c r="CS240" s="448"/>
      <c r="CT240" s="448"/>
      <c r="CU240" s="448"/>
      <c r="CV240" s="447">
        <f>CV381+CV382+CV373+CV384</f>
        <v>-129</v>
      </c>
      <c r="CW240" s="448"/>
      <c r="CX240" s="448"/>
      <c r="CY240" s="448"/>
      <c r="CZ240" s="448"/>
      <c r="DA240" s="447">
        <f>DA381+DA382+DA373+DA384</f>
        <v>-94</v>
      </c>
      <c r="DB240" s="448"/>
      <c r="DC240" s="448"/>
      <c r="DD240" s="448"/>
      <c r="DE240" s="448"/>
      <c r="DF240" s="447">
        <f>DF381+DF382+DF373+DF384</f>
        <v>-723</v>
      </c>
      <c r="DG240" s="448"/>
      <c r="DH240" s="448"/>
      <c r="DI240" s="448"/>
      <c r="DJ240" s="448"/>
      <c r="DK240" s="2060">
        <f>DK381+DK382+DK373+DK384</f>
        <v>-762</v>
      </c>
      <c r="DL240" s="1792"/>
      <c r="DM240" s="1792"/>
      <c r="DN240" s="1792"/>
      <c r="DO240" s="2276"/>
      <c r="DP240" s="447">
        <f>DP381+DP382+DP373+DP384</f>
        <v>-5220</v>
      </c>
      <c r="DQ240" s="1792"/>
      <c r="DR240" s="1792"/>
      <c r="DS240" s="1792"/>
      <c r="DT240" s="1792"/>
      <c r="DU240" s="447">
        <f>DU381+DU382+DU373+DU384</f>
        <v>32</v>
      </c>
      <c r="DV240" s="1792"/>
      <c r="DW240" s="1792"/>
      <c r="DX240" s="1792"/>
      <c r="DY240" s="1792"/>
      <c r="DZ240" s="447">
        <f>DZ381+DZ382+DZ373+DZ384</f>
        <v>-4000</v>
      </c>
      <c r="EA240" s="1792"/>
      <c r="EB240" s="1792"/>
      <c r="EC240" s="1792"/>
      <c r="ED240" s="1792"/>
      <c r="EE240" s="447">
        <f>EE381+EE382+EE373+EE384</f>
        <v>-4000</v>
      </c>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row>
    <row r="241" spans="2:232" s="449" customFormat="1" outlineLevel="1">
      <c r="B241" s="449" t="s">
        <v>348</v>
      </c>
      <c r="C241" s="450"/>
      <c r="D241" s="450"/>
      <c r="E241" s="450"/>
      <c r="F241" s="451">
        <f>F216-F239</f>
        <v>0</v>
      </c>
      <c r="G241" s="451">
        <f>G216-G239</f>
        <v>100</v>
      </c>
      <c r="H241" s="451">
        <f>H216-H239</f>
        <v>0</v>
      </c>
      <c r="I241" s="451">
        <f>I216-I239</f>
        <v>0</v>
      </c>
      <c r="J241" s="451">
        <f>J216-J239</f>
        <v>0</v>
      </c>
      <c r="K241" s="451"/>
      <c r="L241" s="451"/>
      <c r="M241" s="451"/>
      <c r="N241" s="451"/>
      <c r="O241" s="451">
        <f>O216-O239</f>
        <v>0</v>
      </c>
      <c r="P241" s="451"/>
      <c r="Q241" s="451"/>
      <c r="R241" s="451"/>
      <c r="S241" s="451"/>
      <c r="T241" s="452">
        <f>T216-T239</f>
        <v>0</v>
      </c>
      <c r="U241" s="452"/>
      <c r="V241" s="452"/>
      <c r="W241" s="452"/>
      <c r="X241" s="452"/>
      <c r="Y241" s="452">
        <f>Y216-Y239</f>
        <v>0</v>
      </c>
      <c r="Z241" s="452"/>
      <c r="AA241" s="452"/>
      <c r="AB241" s="452"/>
      <c r="AC241" s="452"/>
      <c r="AD241" s="451">
        <f>AD216-AD239</f>
        <v>0</v>
      </c>
      <c r="AE241" s="451"/>
      <c r="AF241" s="451"/>
      <c r="AG241" s="451"/>
      <c r="AH241" s="451"/>
      <c r="AI241" s="451">
        <f>AI216-AI239</f>
        <v>0</v>
      </c>
      <c r="AJ241" s="451"/>
      <c r="AK241" s="451"/>
      <c r="AL241" s="451"/>
      <c r="AM241" s="451"/>
      <c r="AN241" s="451">
        <f>AN216-AN239</f>
        <v>0</v>
      </c>
      <c r="AO241" s="451"/>
      <c r="AP241" s="451"/>
      <c r="AQ241" s="451"/>
      <c r="AR241" s="451"/>
      <c r="AS241" s="451">
        <f>AS216-AS239</f>
        <v>0</v>
      </c>
      <c r="AT241" s="451"/>
      <c r="AU241" s="451"/>
      <c r="AV241" s="451"/>
      <c r="AW241" s="451"/>
      <c r="AX241" s="451">
        <f>AX216-AX239</f>
        <v>0</v>
      </c>
      <c r="AY241" s="451"/>
      <c r="AZ241" s="451"/>
      <c r="BA241" s="451"/>
      <c r="BB241" s="451"/>
      <c r="BC241" s="451">
        <f>BC216-BC239</f>
        <v>0</v>
      </c>
      <c r="BD241" s="451"/>
      <c r="BE241" s="451"/>
      <c r="BF241" s="451"/>
      <c r="BG241" s="451"/>
      <c r="BH241" s="451">
        <f>BH216-BH239</f>
        <v>0</v>
      </c>
      <c r="BI241" s="451"/>
      <c r="BJ241" s="451"/>
      <c r="BK241" s="451"/>
      <c r="BL241" s="451"/>
      <c r="BM241" s="451">
        <f>BM216-BM239</f>
        <v>0</v>
      </c>
      <c r="BN241" s="451"/>
      <c r="BO241" s="451"/>
      <c r="BP241" s="451"/>
      <c r="BQ241" s="451"/>
      <c r="BR241" s="451">
        <f t="shared" ref="BR241:CW241" si="580">BR216-BR239</f>
        <v>0</v>
      </c>
      <c r="BS241" s="453">
        <f t="shared" si="580"/>
        <v>0</v>
      </c>
      <c r="BT241" s="453">
        <f t="shared" si="580"/>
        <v>0</v>
      </c>
      <c r="BU241" s="453">
        <f t="shared" si="580"/>
        <v>0</v>
      </c>
      <c r="BV241" s="453">
        <f t="shared" si="580"/>
        <v>0</v>
      </c>
      <c r="BW241" s="451">
        <f t="shared" si="580"/>
        <v>0</v>
      </c>
      <c r="BX241" s="453">
        <f t="shared" si="580"/>
        <v>0</v>
      </c>
      <c r="BY241" s="453">
        <f t="shared" si="580"/>
        <v>0</v>
      </c>
      <c r="BZ241" s="453">
        <f t="shared" si="580"/>
        <v>0</v>
      </c>
      <c r="CA241" s="453">
        <f t="shared" si="580"/>
        <v>0</v>
      </c>
      <c r="CB241" s="451">
        <f t="shared" si="580"/>
        <v>0</v>
      </c>
      <c r="CC241" s="453">
        <f t="shared" si="580"/>
        <v>0</v>
      </c>
      <c r="CD241" s="453">
        <f t="shared" si="580"/>
        <v>0</v>
      </c>
      <c r="CE241" s="453">
        <f t="shared" si="580"/>
        <v>0</v>
      </c>
      <c r="CF241" s="453">
        <f t="shared" si="580"/>
        <v>0</v>
      </c>
      <c r="CG241" s="451">
        <f t="shared" si="580"/>
        <v>0</v>
      </c>
      <c r="CH241" s="453">
        <f t="shared" si="580"/>
        <v>0</v>
      </c>
      <c r="CI241" s="453">
        <f t="shared" si="580"/>
        <v>0</v>
      </c>
      <c r="CJ241" s="453">
        <f t="shared" si="580"/>
        <v>0</v>
      </c>
      <c r="CK241" s="453">
        <f t="shared" si="580"/>
        <v>0</v>
      </c>
      <c r="CL241" s="451">
        <f t="shared" si="580"/>
        <v>0</v>
      </c>
      <c r="CM241" s="453">
        <f t="shared" si="580"/>
        <v>0</v>
      </c>
      <c r="CN241" s="453">
        <f t="shared" si="580"/>
        <v>0</v>
      </c>
      <c r="CO241" s="453">
        <f t="shared" si="580"/>
        <v>0</v>
      </c>
      <c r="CP241" s="454">
        <f t="shared" si="580"/>
        <v>0</v>
      </c>
      <c r="CQ241" s="451">
        <f t="shared" si="580"/>
        <v>0</v>
      </c>
      <c r="CR241" s="455">
        <f t="shared" si="580"/>
        <v>4.3593172449618578E-7</v>
      </c>
      <c r="CS241" s="455">
        <f t="shared" si="580"/>
        <v>4.3593172449618578E-7</v>
      </c>
      <c r="CT241" s="455">
        <f t="shared" si="580"/>
        <v>4.3593172449618578E-7</v>
      </c>
      <c r="CU241" s="455">
        <f t="shared" si="580"/>
        <v>0</v>
      </c>
      <c r="CV241" s="451">
        <f t="shared" si="580"/>
        <v>0</v>
      </c>
      <c r="CW241" s="455">
        <f t="shared" si="580"/>
        <v>0</v>
      </c>
      <c r="CX241" s="455">
        <f t="shared" ref="CX241:DF241" si="581">CX216-CX239</f>
        <v>0</v>
      </c>
      <c r="CY241" s="455">
        <f t="shared" si="581"/>
        <v>0</v>
      </c>
      <c r="CZ241" s="455">
        <f t="shared" si="581"/>
        <v>0</v>
      </c>
      <c r="DA241" s="455">
        <f t="shared" si="581"/>
        <v>0</v>
      </c>
      <c r="DB241" s="455">
        <f t="shared" si="581"/>
        <v>0</v>
      </c>
      <c r="DC241" s="455">
        <f t="shared" si="581"/>
        <v>0</v>
      </c>
      <c r="DD241" s="455">
        <f t="shared" si="581"/>
        <v>0</v>
      </c>
      <c r="DE241" s="455">
        <f t="shared" si="581"/>
        <v>0</v>
      </c>
      <c r="DF241" s="1565">
        <f t="shared" si="581"/>
        <v>0</v>
      </c>
      <c r="DG241" s="455">
        <f t="shared" ref="DG241:DU241" si="582">DG216-DG239</f>
        <v>0</v>
      </c>
      <c r="DH241" s="455">
        <f t="shared" ref="DH241" si="583">DH216-DH239</f>
        <v>0</v>
      </c>
      <c r="DI241" s="455">
        <f t="shared" si="582"/>
        <v>0</v>
      </c>
      <c r="DJ241" s="455">
        <f t="shared" ref="DJ241" si="584">DJ216-DJ239</f>
        <v>0</v>
      </c>
      <c r="DK241" s="2061">
        <f t="shared" si="582"/>
        <v>0</v>
      </c>
      <c r="DL241" s="1793">
        <f t="shared" si="582"/>
        <v>0</v>
      </c>
      <c r="DM241" s="1793">
        <f t="shared" si="582"/>
        <v>0</v>
      </c>
      <c r="DN241" s="1793">
        <f t="shared" si="582"/>
        <v>0</v>
      </c>
      <c r="DO241" s="2277">
        <f t="shared" ref="DO241:DQ241" si="585">DO216-DO239</f>
        <v>0</v>
      </c>
      <c r="DP241" s="1565">
        <f t="shared" si="582"/>
        <v>0</v>
      </c>
      <c r="DQ241" s="1793">
        <f t="shared" si="585"/>
        <v>0</v>
      </c>
      <c r="DR241" s="1793">
        <f t="shared" ca="1" si="582"/>
        <v>-0.29999956407118589</v>
      </c>
      <c r="DS241" s="1793">
        <f t="shared" ca="1" si="582"/>
        <v>-0.2999995640857378</v>
      </c>
      <c r="DT241" s="1793">
        <f t="shared" ca="1" si="582"/>
        <v>-0.29999956407118589</v>
      </c>
      <c r="DU241" s="1565">
        <f t="shared" ca="1" si="582"/>
        <v>-0.29999956407118589</v>
      </c>
      <c r="DV241" s="1793">
        <f t="shared" ref="DV241:DZ241" ca="1" si="586">DV216-DV239</f>
        <v>-0.2999995640857378</v>
      </c>
      <c r="DW241" s="1793">
        <f t="shared" ca="1" si="586"/>
        <v>-0.29999956407118589</v>
      </c>
      <c r="DX241" s="1793">
        <f t="shared" ca="1" si="586"/>
        <v>-0.29999956407118589</v>
      </c>
      <c r="DY241" s="1793">
        <f t="shared" ca="1" si="586"/>
        <v>-0.29999956407118589</v>
      </c>
      <c r="DZ241" s="1565">
        <f t="shared" ca="1" si="586"/>
        <v>-0.29999956407118589</v>
      </c>
      <c r="EA241" s="1793">
        <f t="shared" ref="EA241:EE241" ca="1" si="587">EA216-EA239</f>
        <v>-0.29999956407118589</v>
      </c>
      <c r="EB241" s="1793">
        <f t="shared" ca="1" si="587"/>
        <v>-0.29999956407118589</v>
      </c>
      <c r="EC241" s="1793">
        <f t="shared" ca="1" si="587"/>
        <v>-0.2999995640857378</v>
      </c>
      <c r="ED241" s="1793">
        <f t="shared" ca="1" si="587"/>
        <v>-0.29999956407118589</v>
      </c>
      <c r="EE241" s="1565">
        <f t="shared" ca="1" si="587"/>
        <v>-0.29999956407118589</v>
      </c>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row>
    <row r="242" spans="2:232" s="54" customFormat="1">
      <c r="B242" s="55" t="s">
        <v>193</v>
      </c>
      <c r="F242" s="426"/>
      <c r="G242" s="426"/>
      <c r="H242" s="456"/>
      <c r="I242" s="426"/>
      <c r="J242" s="426"/>
      <c r="K242" s="426"/>
      <c r="L242" s="426"/>
      <c r="M242" s="426"/>
      <c r="N242" s="426"/>
      <c r="O242" s="426"/>
      <c r="P242" s="426"/>
      <c r="Q242" s="426"/>
      <c r="R242" s="426"/>
      <c r="S242" s="426"/>
      <c r="T242" s="426"/>
      <c r="U242" s="426"/>
      <c r="V242" s="426"/>
      <c r="W242" s="426"/>
      <c r="X242" s="426"/>
      <c r="Y242" s="426"/>
      <c r="Z242" s="426"/>
      <c r="AA242" s="426"/>
      <c r="AB242" s="426"/>
      <c r="AC242" s="426"/>
      <c r="AD242" s="426"/>
      <c r="AE242" s="426"/>
      <c r="AF242" s="426"/>
      <c r="AG242" s="426"/>
      <c r="AH242" s="426"/>
      <c r="AI242" s="426"/>
      <c r="AJ242" s="426"/>
      <c r="AK242" s="426"/>
      <c r="AL242" s="426"/>
      <c r="AM242" s="426"/>
      <c r="AN242" s="457"/>
      <c r="AO242" s="457"/>
      <c r="AP242" s="457"/>
      <c r="AQ242" s="457"/>
      <c r="AR242" s="457"/>
      <c r="AS242" s="426"/>
      <c r="AT242" s="426"/>
      <c r="AU242" s="426"/>
      <c r="AV242" s="426"/>
      <c r="AW242" s="426"/>
      <c r="AX242" s="426"/>
      <c r="AY242" s="426"/>
      <c r="AZ242" s="426"/>
      <c r="BA242" s="426"/>
      <c r="BB242" s="426"/>
      <c r="BC242" s="426"/>
      <c r="BD242" s="426"/>
      <c r="BE242" s="426"/>
      <c r="BF242" s="426"/>
      <c r="BG242" s="426"/>
      <c r="BH242" s="426"/>
      <c r="BI242" s="426"/>
      <c r="BJ242" s="426"/>
      <c r="BK242" s="426"/>
      <c r="BL242" s="426"/>
      <c r="BM242" s="426"/>
      <c r="BN242" s="426"/>
      <c r="BO242" s="426"/>
      <c r="BP242" s="426"/>
      <c r="BQ242" s="426"/>
      <c r="BR242" s="426"/>
      <c r="BS242" s="426"/>
      <c r="BT242" s="426"/>
      <c r="BU242" s="426"/>
      <c r="BV242" s="426"/>
      <c r="BW242" s="456"/>
      <c r="BX242" s="426"/>
      <c r="BY242" s="426"/>
      <c r="BZ242" s="426"/>
      <c r="CA242" s="426"/>
      <c r="CB242" s="458"/>
      <c r="CC242" s="426"/>
      <c r="CD242" s="426"/>
      <c r="CE242" s="426"/>
      <c r="CF242" s="426"/>
      <c r="CG242" s="458"/>
      <c r="CH242" s="426"/>
      <c r="CI242" s="426"/>
      <c r="CJ242" s="426"/>
      <c r="CK242" s="426"/>
      <c r="CL242" s="458"/>
      <c r="CM242" s="76"/>
      <c r="CN242" s="76"/>
      <c r="CO242" s="76"/>
      <c r="CP242" s="76"/>
      <c r="CQ242" s="458"/>
      <c r="CR242" s="76"/>
      <c r="CS242" s="76"/>
      <c r="CT242" s="76"/>
      <c r="CU242" s="76"/>
      <c r="CV242" s="458"/>
      <c r="CW242" s="76"/>
      <c r="CX242" s="76"/>
      <c r="CY242" s="76"/>
      <c r="CZ242" s="76"/>
      <c r="DA242" s="459"/>
      <c r="DB242" s="76"/>
      <c r="DC242" s="76"/>
      <c r="DD242" s="76"/>
      <c r="DE242" s="76"/>
      <c r="DF242" s="458"/>
      <c r="DG242" s="76"/>
      <c r="DH242" s="76"/>
      <c r="DI242" s="76"/>
      <c r="DJ242" s="76"/>
      <c r="DK242" s="2062"/>
      <c r="DL242" s="459"/>
      <c r="DM242" s="459"/>
      <c r="DN242" s="459"/>
      <c r="DO242" s="2278"/>
      <c r="DP242" s="458"/>
      <c r="DQ242" s="459"/>
      <c r="DR242" s="459"/>
      <c r="DS242" s="459"/>
      <c r="DT242" s="459"/>
      <c r="DU242" s="458"/>
      <c r="DV242" s="459"/>
      <c r="DW242" s="459"/>
      <c r="DX242" s="459"/>
      <c r="DY242" s="459"/>
      <c r="DZ242" s="458"/>
      <c r="EA242" s="459"/>
      <c r="EB242" s="459"/>
      <c r="EC242" s="459"/>
      <c r="ED242" s="459"/>
      <c r="EE242" s="458"/>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row>
    <row r="243" spans="2:232" s="54" customFormat="1" ht="11.25" customHeight="1" outlineLevel="1">
      <c r="F243" s="426"/>
      <c r="G243" s="426"/>
      <c r="H243" s="456"/>
      <c r="I243" s="426"/>
      <c r="J243" s="426"/>
      <c r="K243" s="426"/>
      <c r="L243" s="426"/>
      <c r="M243" s="426"/>
      <c r="N243" s="426"/>
      <c r="O243" s="426"/>
      <c r="P243" s="426"/>
      <c r="Q243" s="426"/>
      <c r="R243" s="426"/>
      <c r="S243" s="426"/>
      <c r="T243" s="426"/>
      <c r="U243" s="426"/>
      <c r="V243" s="426"/>
      <c r="W243" s="426"/>
      <c r="X243" s="426"/>
      <c r="Y243" s="426"/>
      <c r="Z243" s="426"/>
      <c r="AA243" s="426"/>
      <c r="AB243" s="426"/>
      <c r="AC243" s="426"/>
      <c r="AD243" s="426"/>
      <c r="AE243" s="426"/>
      <c r="AF243" s="426"/>
      <c r="AG243" s="426"/>
      <c r="AH243" s="426"/>
      <c r="AI243" s="426"/>
      <c r="AJ243" s="426"/>
      <c r="AK243" s="426"/>
      <c r="AL243" s="426"/>
      <c r="AM243" s="426"/>
      <c r="AN243" s="457"/>
      <c r="AO243" s="457"/>
      <c r="AP243" s="457"/>
      <c r="AQ243" s="457"/>
      <c r="AR243" s="457"/>
      <c r="AS243" s="457"/>
      <c r="AT243" s="457"/>
      <c r="AU243" s="457"/>
      <c r="AV243" s="457"/>
      <c r="AW243" s="457"/>
      <c r="AX243" s="457"/>
      <c r="AY243" s="457"/>
      <c r="AZ243" s="457"/>
      <c r="BA243" s="457"/>
      <c r="BB243" s="457"/>
      <c r="BC243" s="460"/>
      <c r="BD243" s="460"/>
      <c r="BE243" s="460"/>
      <c r="BF243" s="460"/>
      <c r="BG243" s="460"/>
      <c r="BH243" s="426"/>
      <c r="BI243" s="426"/>
      <c r="BJ243" s="426"/>
      <c r="BK243" s="426"/>
      <c r="BL243" s="426"/>
      <c r="BM243" s="426"/>
      <c r="BN243" s="426"/>
      <c r="BO243" s="426"/>
      <c r="BP243" s="426"/>
      <c r="BQ243" s="426"/>
      <c r="BR243" s="426"/>
      <c r="BS243" s="461"/>
      <c r="BT243" s="461"/>
      <c r="BU243" s="461"/>
      <c r="BV243" s="461"/>
      <c r="BW243" s="461"/>
      <c r="BX243" s="461"/>
      <c r="BY243" s="461"/>
      <c r="BZ243" s="461"/>
      <c r="CA243" s="461"/>
      <c r="CB243" s="461"/>
      <c r="CC243" s="461"/>
      <c r="CD243" s="461"/>
      <c r="CE243" s="461"/>
      <c r="CF243" s="461"/>
      <c r="CG243" s="461"/>
      <c r="CH243" s="461"/>
      <c r="CI243" s="461"/>
      <c r="CJ243" s="461"/>
      <c r="CK243" s="461"/>
      <c r="CL243" s="461"/>
      <c r="CM243" s="76"/>
      <c r="CN243" s="76"/>
      <c r="CO243" s="76"/>
      <c r="CP243" s="76"/>
      <c r="CQ243" s="461"/>
      <c r="CR243" s="76"/>
      <c r="CS243" s="76"/>
      <c r="CT243" s="76"/>
      <c r="CU243" s="76"/>
      <c r="CV243" s="462"/>
      <c r="CW243" s="76"/>
      <c r="CX243" s="76"/>
      <c r="CY243" s="76"/>
      <c r="CZ243" s="76"/>
      <c r="DA243" s="463"/>
      <c r="DB243" s="76"/>
      <c r="DC243" s="76"/>
      <c r="DD243" s="76"/>
      <c r="DE243" s="76"/>
      <c r="DF243" s="462"/>
      <c r="DG243" s="76"/>
      <c r="DH243" s="76"/>
      <c r="DI243" s="76"/>
      <c r="DJ243" s="76"/>
      <c r="DK243" s="2063"/>
      <c r="DL243" s="463"/>
      <c r="DM243" s="463"/>
      <c r="DN243" s="463"/>
      <c r="DO243" s="2279"/>
      <c r="DP243" s="462"/>
      <c r="DQ243" s="463"/>
      <c r="DR243" s="463"/>
      <c r="DS243" s="463"/>
      <c r="DT243" s="463"/>
      <c r="DU243" s="462"/>
      <c r="DV243" s="463"/>
      <c r="DW243" s="463"/>
      <c r="DX243" s="463"/>
      <c r="DY243" s="463"/>
      <c r="DZ243" s="462"/>
      <c r="EA243" s="463"/>
      <c r="EB243" s="463"/>
      <c r="EC243" s="463"/>
      <c r="ED243" s="463"/>
      <c r="EE243" s="462"/>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row>
    <row r="244" spans="2:232" s="54" customFormat="1" ht="11.25" customHeight="1" outlineLevel="1" thickBot="1">
      <c r="F244" s="426"/>
      <c r="G244" s="426"/>
      <c r="H244" s="456"/>
      <c r="I244" s="426"/>
      <c r="J244" s="426"/>
      <c r="K244" s="426"/>
      <c r="L244" s="426"/>
      <c r="M244" s="426"/>
      <c r="N244" s="426"/>
      <c r="O244" s="426"/>
      <c r="P244" s="426"/>
      <c r="Q244" s="426"/>
      <c r="R244" s="426"/>
      <c r="S244" s="426"/>
      <c r="T244" s="426"/>
      <c r="U244" s="426"/>
      <c r="V244" s="426"/>
      <c r="W244" s="426"/>
      <c r="X244" s="426"/>
      <c r="Y244" s="426"/>
      <c r="Z244" s="426"/>
      <c r="AA244" s="426"/>
      <c r="AB244" s="426"/>
      <c r="AC244" s="426"/>
      <c r="AD244" s="426"/>
      <c r="AE244" s="426"/>
      <c r="AF244" s="426"/>
      <c r="AG244" s="426"/>
      <c r="AH244" s="426"/>
      <c r="AI244" s="426"/>
      <c r="AJ244" s="426"/>
      <c r="AK244" s="426"/>
      <c r="AL244" s="426"/>
      <c r="AM244" s="426"/>
      <c r="AN244" s="426"/>
      <c r="AO244" s="426"/>
      <c r="AP244" s="426"/>
      <c r="AQ244" s="426"/>
      <c r="AR244" s="426"/>
      <c r="AS244" s="426"/>
      <c r="AT244" s="426"/>
      <c r="AU244" s="426"/>
      <c r="AV244" s="426"/>
      <c r="AW244" s="426"/>
      <c r="AX244" s="426"/>
      <c r="AY244" s="426"/>
      <c r="AZ244" s="426"/>
      <c r="BA244" s="426"/>
      <c r="BB244" s="426"/>
      <c r="BC244" s="464"/>
      <c r="BD244" s="464"/>
      <c r="BE244" s="464"/>
      <c r="BF244" s="464"/>
      <c r="BG244" s="464"/>
      <c r="BH244" s="426"/>
      <c r="BI244" s="426"/>
      <c r="BJ244" s="426"/>
      <c r="BK244" s="426"/>
      <c r="BL244" s="426"/>
      <c r="BM244" s="426"/>
      <c r="BN244" s="426"/>
      <c r="BO244" s="426"/>
      <c r="BP244" s="426"/>
      <c r="BQ244" s="426"/>
      <c r="BR244" s="426"/>
      <c r="BS244" s="461"/>
      <c r="BT244" s="461"/>
      <c r="BU244" s="461"/>
      <c r="BV244" s="461"/>
      <c r="BW244" s="461"/>
      <c r="BX244" s="461"/>
      <c r="BY244" s="461"/>
      <c r="BZ244" s="461"/>
      <c r="CA244" s="461"/>
      <c r="CB244" s="461"/>
      <c r="CC244" s="461"/>
      <c r="CD244" s="461"/>
      <c r="CE244" s="461"/>
      <c r="CF244" s="461"/>
      <c r="CG244" s="461"/>
      <c r="CH244" s="461"/>
      <c r="CI244" s="461"/>
      <c r="CJ244" s="461"/>
      <c r="CK244" s="461"/>
      <c r="CL244" s="461"/>
      <c r="CM244" s="76"/>
      <c r="CN244" s="76"/>
      <c r="CO244" s="76"/>
      <c r="CP244" s="76"/>
      <c r="CQ244" s="461"/>
      <c r="CR244" s="76"/>
      <c r="CS244" s="76"/>
      <c r="CT244" s="76"/>
      <c r="CU244" s="76"/>
      <c r="CV244" s="461"/>
      <c r="CW244" s="76"/>
      <c r="CX244" s="76"/>
      <c r="CY244" s="76"/>
      <c r="CZ244" s="76"/>
      <c r="DA244" s="76"/>
      <c r="DB244" s="76"/>
      <c r="DC244" s="76"/>
      <c r="DD244" s="76"/>
      <c r="DE244" s="76"/>
      <c r="DF244" s="461"/>
      <c r="DG244" s="76"/>
      <c r="DH244" s="76"/>
      <c r="DI244" s="76"/>
      <c r="DJ244" s="76"/>
      <c r="DK244" s="807"/>
      <c r="DL244" s="76"/>
      <c r="DM244" s="76"/>
      <c r="DN244" s="76"/>
      <c r="DO244" s="2252"/>
      <c r="DP244" s="461"/>
      <c r="DQ244" s="76"/>
      <c r="DR244" s="76"/>
      <c r="DS244" s="76"/>
      <c r="DT244" s="76"/>
      <c r="DU244" s="461"/>
      <c r="DV244" s="76"/>
      <c r="DW244" s="76"/>
      <c r="DX244" s="76"/>
      <c r="DY244" s="76"/>
      <c r="DZ244" s="461"/>
      <c r="EA244" s="76"/>
      <c r="EB244" s="76"/>
      <c r="EC244" s="76"/>
      <c r="ED244" s="76"/>
      <c r="EE244" s="461"/>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row>
    <row r="245" spans="2:232" s="68" customFormat="1" ht="12" customHeight="1" outlineLevel="1" thickBot="1">
      <c r="B245" s="754" t="s">
        <v>74</v>
      </c>
      <c r="C245" s="684"/>
      <c r="D245" s="684"/>
      <c r="E245" s="684"/>
      <c r="F245" s="755"/>
      <c r="G245" s="755"/>
      <c r="H245" s="756"/>
      <c r="I245" s="755"/>
      <c r="J245" s="755"/>
      <c r="K245" s="755"/>
      <c r="L245" s="755"/>
      <c r="M245" s="755"/>
      <c r="N245" s="755"/>
      <c r="O245" s="755"/>
      <c r="P245" s="755"/>
      <c r="Q245" s="755"/>
      <c r="R245" s="755"/>
      <c r="S245" s="755"/>
      <c r="T245" s="757"/>
      <c r="U245" s="757"/>
      <c r="V245" s="757"/>
      <c r="W245" s="757"/>
      <c r="X245" s="757"/>
      <c r="Y245" s="757"/>
      <c r="Z245" s="757"/>
      <c r="AA245" s="757"/>
      <c r="AB245" s="757"/>
      <c r="AC245" s="757"/>
      <c r="AD245" s="757"/>
      <c r="AE245" s="757"/>
      <c r="AF245" s="757"/>
      <c r="AG245" s="757"/>
      <c r="AH245" s="757"/>
      <c r="AI245" s="757"/>
      <c r="AJ245" s="757"/>
      <c r="AK245" s="757"/>
      <c r="AL245" s="757"/>
      <c r="AM245" s="757"/>
      <c r="AN245" s="757"/>
      <c r="AO245" s="757"/>
      <c r="AP245" s="757"/>
      <c r="AQ245" s="757"/>
      <c r="AR245" s="757"/>
      <c r="AS245" s="755"/>
      <c r="AT245" s="755"/>
      <c r="AU245" s="755"/>
      <c r="AV245" s="755"/>
      <c r="AW245" s="755"/>
      <c r="AX245" s="755"/>
      <c r="AY245" s="755"/>
      <c r="AZ245" s="755"/>
      <c r="BA245" s="755"/>
      <c r="BB245" s="755"/>
      <c r="BC245" s="755"/>
      <c r="BD245" s="755"/>
      <c r="BE245" s="755"/>
      <c r="BF245" s="755"/>
      <c r="BG245" s="755"/>
      <c r="BH245" s="755"/>
      <c r="BI245" s="755"/>
      <c r="BJ245" s="755"/>
      <c r="BK245" s="755"/>
      <c r="BL245" s="755"/>
      <c r="BM245" s="755"/>
      <c r="BN245" s="755"/>
      <c r="BO245" s="755"/>
      <c r="BP245" s="755"/>
      <c r="BQ245" s="755"/>
      <c r="BR245" s="755"/>
      <c r="BS245" s="755"/>
      <c r="BT245" s="755"/>
      <c r="BU245" s="755"/>
      <c r="BV245" s="755"/>
      <c r="BW245" s="755"/>
      <c r="BX245" s="755"/>
      <c r="BY245" s="755"/>
      <c r="BZ245" s="755"/>
      <c r="CA245" s="755"/>
      <c r="CB245" s="755"/>
      <c r="CC245" s="755"/>
      <c r="CD245" s="755"/>
      <c r="CE245" s="755"/>
      <c r="CF245" s="755"/>
      <c r="CG245" s="755"/>
      <c r="CH245" s="755"/>
      <c r="CI245" s="755"/>
      <c r="CJ245" s="755"/>
      <c r="CK245" s="755"/>
      <c r="CL245" s="755"/>
      <c r="CM245" s="755"/>
      <c r="CN245" s="755"/>
      <c r="CO245" s="755"/>
      <c r="CP245" s="755"/>
      <c r="CQ245" s="755"/>
      <c r="CR245" s="755"/>
      <c r="CS245" s="755"/>
      <c r="CT245" s="755"/>
      <c r="CU245" s="755"/>
      <c r="CV245" s="755"/>
      <c r="CW245" s="755"/>
      <c r="CX245" s="755"/>
      <c r="CY245" s="755"/>
      <c r="CZ245" s="755"/>
      <c r="DA245" s="755"/>
      <c r="DB245" s="755"/>
      <c r="DC245" s="755"/>
      <c r="DD245" s="755"/>
      <c r="DE245" s="755"/>
      <c r="DF245" s="755"/>
      <c r="DG245" s="755"/>
      <c r="DH245" s="755"/>
      <c r="DI245" s="755"/>
      <c r="DJ245" s="755"/>
      <c r="DK245" s="938"/>
      <c r="DL245" s="755"/>
      <c r="DM245" s="755"/>
      <c r="DN245" s="755"/>
      <c r="DO245" s="758"/>
      <c r="DP245" s="755"/>
      <c r="DQ245" s="755"/>
      <c r="DR245" s="755"/>
      <c r="DS245" s="755"/>
      <c r="DT245" s="755"/>
      <c r="DU245" s="755"/>
      <c r="DV245" s="755"/>
      <c r="DW245" s="755"/>
      <c r="DX245" s="755"/>
      <c r="DY245" s="755"/>
      <c r="DZ245" s="755"/>
      <c r="EA245" s="755"/>
      <c r="EB245" s="755"/>
      <c r="EC245" s="755"/>
      <c r="ED245" s="755"/>
      <c r="EE245" s="75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row>
    <row r="246" spans="2:232" s="54" customFormat="1" ht="11.25" customHeight="1" outlineLevel="1">
      <c r="B246" s="759" t="s">
        <v>74</v>
      </c>
      <c r="C246" s="477"/>
      <c r="D246" s="477"/>
      <c r="E246" s="477"/>
      <c r="F246" s="478"/>
      <c r="G246" s="478"/>
      <c r="H246" s="760"/>
      <c r="I246" s="478"/>
      <c r="J246" s="478"/>
      <c r="K246" s="478"/>
      <c r="L246" s="478"/>
      <c r="M246" s="478"/>
      <c r="N246" s="478"/>
      <c r="O246" s="478"/>
      <c r="P246" s="478"/>
      <c r="Q246" s="478"/>
      <c r="R246" s="478"/>
      <c r="S246" s="478"/>
      <c r="T246" s="478"/>
      <c r="U246" s="478"/>
      <c r="V246" s="478"/>
      <c r="W246" s="478"/>
      <c r="X246" s="478"/>
      <c r="Y246" s="478"/>
      <c r="Z246" s="478"/>
      <c r="AA246" s="478"/>
      <c r="AB246" s="478"/>
      <c r="AC246" s="478"/>
      <c r="AD246" s="478"/>
      <c r="AE246" s="478"/>
      <c r="AF246" s="478"/>
      <c r="AG246" s="478"/>
      <c r="AH246" s="478"/>
      <c r="AI246" s="478"/>
      <c r="AJ246" s="478"/>
      <c r="AK246" s="478"/>
      <c r="AL246" s="478"/>
      <c r="AM246" s="478"/>
      <c r="AN246" s="478"/>
      <c r="AO246" s="478"/>
      <c r="AP246" s="478"/>
      <c r="AQ246" s="478"/>
      <c r="AR246" s="478"/>
      <c r="AS246" s="478"/>
      <c r="AT246" s="478"/>
      <c r="AU246" s="478"/>
      <c r="AV246" s="478"/>
      <c r="AW246" s="478"/>
      <c r="AX246" s="478"/>
      <c r="AY246" s="478"/>
      <c r="AZ246" s="478"/>
      <c r="BA246" s="478"/>
      <c r="BB246" s="478"/>
      <c r="BC246" s="478"/>
      <c r="BD246" s="478"/>
      <c r="BE246" s="478"/>
      <c r="BF246" s="478"/>
      <c r="BG246" s="478"/>
      <c r="BH246" s="478"/>
      <c r="BI246" s="478"/>
      <c r="BJ246" s="478"/>
      <c r="BK246" s="478"/>
      <c r="BL246" s="478"/>
      <c r="BM246" s="478"/>
      <c r="BN246" s="478"/>
      <c r="BO246" s="478"/>
      <c r="BP246" s="478"/>
      <c r="BQ246" s="478"/>
      <c r="BR246" s="478"/>
      <c r="BS246" s="761"/>
      <c r="BT246" s="761"/>
      <c r="BU246" s="761"/>
      <c r="BV246" s="761"/>
      <c r="BW246" s="761"/>
      <c r="BX246" s="761"/>
      <c r="BY246" s="761"/>
      <c r="BZ246" s="761"/>
      <c r="CA246" s="761"/>
      <c r="CB246" s="761"/>
      <c r="CC246" s="761"/>
      <c r="CD246" s="761"/>
      <c r="CE246" s="761"/>
      <c r="CF246" s="761"/>
      <c r="CG246" s="773"/>
      <c r="CH246" s="761"/>
      <c r="CI246" s="761"/>
      <c r="CJ246" s="761"/>
      <c r="CK246" s="761"/>
      <c r="CL246" s="773"/>
      <c r="CM246" s="761"/>
      <c r="CN246" s="761"/>
      <c r="CO246" s="761"/>
      <c r="CP246" s="761"/>
      <c r="CQ246" s="773"/>
      <c r="CR246" s="761"/>
      <c r="CS246" s="761"/>
      <c r="CT246" s="761"/>
      <c r="CU246" s="761"/>
      <c r="CV246" s="773"/>
      <c r="CW246" s="761"/>
      <c r="CX246" s="761"/>
      <c r="CY246" s="761"/>
      <c r="CZ246" s="761"/>
      <c r="DA246" s="773"/>
      <c r="DB246" s="761"/>
      <c r="DC246" s="761"/>
      <c r="DD246" s="761"/>
      <c r="DE246" s="761"/>
      <c r="DF246" s="773"/>
      <c r="DG246" s="761"/>
      <c r="DH246" s="761"/>
      <c r="DI246" s="761"/>
      <c r="DJ246" s="761"/>
      <c r="DK246" s="773"/>
      <c r="DL246" s="761"/>
      <c r="DM246" s="761"/>
      <c r="DN246" s="761"/>
      <c r="DO246" s="1794"/>
      <c r="DP246" s="1794"/>
      <c r="DQ246" s="761"/>
      <c r="DR246" s="761"/>
      <c r="DS246" s="761"/>
      <c r="DT246" s="1794"/>
      <c r="DU246" s="773"/>
      <c r="DV246" s="761"/>
      <c r="DW246" s="761"/>
      <c r="DX246" s="761"/>
      <c r="DY246" s="1794"/>
      <c r="DZ246" s="773"/>
      <c r="EA246" s="761"/>
      <c r="EB246" s="761"/>
      <c r="EC246" s="761"/>
      <c r="ED246" s="1794"/>
      <c r="EE246" s="773"/>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row>
    <row r="247" spans="2:232" s="54" customFormat="1" ht="11.25" customHeight="1" outlineLevel="1">
      <c r="B247" s="762" t="s">
        <v>75</v>
      </c>
      <c r="C247" s="64"/>
      <c r="D247" s="64"/>
      <c r="E247" s="64"/>
      <c r="F247" s="73">
        <f>(F227+F219)-(F201+F202)</f>
        <v>-135.137</v>
      </c>
      <c r="G247" s="73">
        <f>(G227+G219)-(G201+G202)</f>
        <v>-225.584</v>
      </c>
      <c r="H247" s="279">
        <f>(H227+H219)-(H201+H202)</f>
        <v>-121.292</v>
      </c>
      <c r="I247" s="73">
        <f>(I227+I219)-(I201+I202)</f>
        <v>-108.425</v>
      </c>
      <c r="J247" s="73">
        <f>(J227+J219)-(J201+J202)</f>
        <v>-20.245000000000001</v>
      </c>
      <c r="K247" s="73"/>
      <c r="L247" s="73"/>
      <c r="M247" s="73"/>
      <c r="N247" s="73"/>
      <c r="O247" s="73">
        <f>(O227+O219)-(O201+O202)</f>
        <v>-4.8190000000000008</v>
      </c>
      <c r="P247" s="73"/>
      <c r="Q247" s="73"/>
      <c r="R247" s="73"/>
      <c r="S247" s="73"/>
      <c r="T247" s="471">
        <f>(T227+T219)-(T201+T202)</f>
        <v>-69.878</v>
      </c>
      <c r="U247" s="471"/>
      <c r="V247" s="471"/>
      <c r="W247" s="471"/>
      <c r="X247" s="471"/>
      <c r="Y247" s="471">
        <f>(Y227+Y219)-(Y201+Y202)</f>
        <v>-130.785</v>
      </c>
      <c r="Z247" s="471"/>
      <c r="AA247" s="471"/>
      <c r="AB247" s="471"/>
      <c r="AC247" s="471"/>
      <c r="AD247" s="471">
        <f>(AD227+AD219)-(AD201+AD202)</f>
        <v>-123.80000000000001</v>
      </c>
      <c r="AE247" s="471"/>
      <c r="AF247" s="471"/>
      <c r="AG247" s="471"/>
      <c r="AH247" s="471"/>
      <c r="AI247" s="471">
        <f>(AI227+AI219)-(AI201+AI202)</f>
        <v>5.3999999999999986</v>
      </c>
      <c r="AJ247" s="471"/>
      <c r="AK247" s="471"/>
      <c r="AL247" s="471"/>
      <c r="AM247" s="471"/>
      <c r="AN247" s="471">
        <f>(AN227+AN219)-(AN201+AN202)</f>
        <v>444.6</v>
      </c>
      <c r="AO247" s="471"/>
      <c r="AP247" s="471"/>
      <c r="AQ247" s="471"/>
      <c r="AR247" s="471"/>
      <c r="AS247" s="471">
        <f>(AS227+AS219)-(AS201+AS202)</f>
        <v>-677.1</v>
      </c>
      <c r="AT247" s="471"/>
      <c r="AU247" s="471"/>
      <c r="AV247" s="471"/>
      <c r="AW247" s="471"/>
      <c r="AX247" s="471">
        <f>(AX227+AX219)-(AX201+AX202)</f>
        <v>-1258.6000000000013</v>
      </c>
      <c r="AY247" s="471"/>
      <c r="AZ247" s="471"/>
      <c r="BA247" s="471"/>
      <c r="BB247" s="471"/>
      <c r="BC247" s="471">
        <f>(BC227+BC219)-(BC201+BC202)</f>
        <v>-1683.1000004359294</v>
      </c>
      <c r="BD247" s="471"/>
      <c r="BE247" s="471"/>
      <c r="BF247" s="471"/>
      <c r="BG247" s="471"/>
      <c r="BH247" s="471">
        <f>(BH227+BH219)-(BH201+BH202)</f>
        <v>-1059.6000004359294</v>
      </c>
      <c r="BI247" s="471"/>
      <c r="BJ247" s="471"/>
      <c r="BK247" s="471"/>
      <c r="BL247" s="471"/>
      <c r="BM247" s="471">
        <f>(BM227+BM219)-(BM201+BM202)</f>
        <v>-1331.8000004359353</v>
      </c>
      <c r="BN247" s="471"/>
      <c r="BO247" s="471"/>
      <c r="BP247" s="471"/>
      <c r="BQ247" s="471"/>
      <c r="BR247" s="471">
        <f t="shared" ref="BR247:CV247" si="588">(BR227+BR219)-(BR201+BR202)</f>
        <v>645.69999956407128</v>
      </c>
      <c r="BS247" s="466">
        <f t="shared" si="588"/>
        <v>901</v>
      </c>
      <c r="BT247" s="466">
        <f t="shared" si="588"/>
        <v>472.49999999999994</v>
      </c>
      <c r="BU247" s="466">
        <f t="shared" si="588"/>
        <v>664.5</v>
      </c>
      <c r="BV247" s="466">
        <f t="shared" si="588"/>
        <v>977.29999956407084</v>
      </c>
      <c r="BW247" s="466">
        <f t="shared" si="588"/>
        <v>977.29999956407084</v>
      </c>
      <c r="BX247" s="466">
        <f t="shared" si="588"/>
        <v>1531.2999995640707</v>
      </c>
      <c r="BY247" s="466">
        <f t="shared" si="588"/>
        <v>785.29999956407073</v>
      </c>
      <c r="BZ247" s="466">
        <f t="shared" si="588"/>
        <v>-51.700000435929269</v>
      </c>
      <c r="CA247" s="466">
        <f t="shared" si="588"/>
        <v>-235.70000043592927</v>
      </c>
      <c r="CB247" s="466">
        <f t="shared" si="588"/>
        <v>-235.70000043592927</v>
      </c>
      <c r="CC247" s="466">
        <f t="shared" si="588"/>
        <v>-772.70000043592927</v>
      </c>
      <c r="CD247" s="466">
        <f t="shared" si="588"/>
        <v>-745.70000043592927</v>
      </c>
      <c r="CE247" s="466">
        <f t="shared" si="588"/>
        <v>56.299999564070731</v>
      </c>
      <c r="CF247" s="466">
        <f t="shared" si="588"/>
        <v>521.29999956407073</v>
      </c>
      <c r="CG247" s="774">
        <f t="shared" si="588"/>
        <v>521</v>
      </c>
      <c r="CH247" s="466">
        <f t="shared" si="588"/>
        <v>340.29999956407073</v>
      </c>
      <c r="CI247" s="466">
        <f t="shared" si="588"/>
        <v>150.29999956407073</v>
      </c>
      <c r="CJ247" s="466">
        <f t="shared" si="588"/>
        <v>-256.70000043592927</v>
      </c>
      <c r="CK247" s="466">
        <f t="shared" si="588"/>
        <v>853.29999956407073</v>
      </c>
      <c r="CL247" s="774">
        <f t="shared" si="588"/>
        <v>853</v>
      </c>
      <c r="CM247" s="466">
        <f t="shared" si="588"/>
        <v>1307.2999995640707</v>
      </c>
      <c r="CN247" s="466">
        <f t="shared" si="588"/>
        <v>1309.2999995640707</v>
      </c>
      <c r="CO247" s="466">
        <f t="shared" si="588"/>
        <v>405.29999956407073</v>
      </c>
      <c r="CP247" s="466">
        <f t="shared" si="588"/>
        <v>4095.2999995640707</v>
      </c>
      <c r="CQ247" s="774">
        <f t="shared" si="588"/>
        <v>4095.2999995640707</v>
      </c>
      <c r="CR247" s="466">
        <f t="shared" si="588"/>
        <v>4556.2999995640712</v>
      </c>
      <c r="CS247" s="466">
        <f t="shared" si="588"/>
        <v>3926.2999995640707</v>
      </c>
      <c r="CT247" s="466">
        <f t="shared" si="588"/>
        <v>3372.2999995640707</v>
      </c>
      <c r="CU247" s="466">
        <f t="shared" si="588"/>
        <v>2941</v>
      </c>
      <c r="CV247" s="774">
        <f t="shared" si="588"/>
        <v>2941</v>
      </c>
      <c r="CW247" s="466">
        <f t="shared" ref="CW247:DF247" si="589">(CW227+CW219)-(CW201+CW202)</f>
        <v>4103</v>
      </c>
      <c r="CX247" s="466">
        <f t="shared" si="589"/>
        <v>3289</v>
      </c>
      <c r="CY247" s="466">
        <f t="shared" si="589"/>
        <v>2401</v>
      </c>
      <c r="CZ247" s="466">
        <f t="shared" si="589"/>
        <v>1864</v>
      </c>
      <c r="DA247" s="774">
        <f t="shared" si="589"/>
        <v>1864</v>
      </c>
      <c r="DB247" s="466">
        <f t="shared" si="589"/>
        <v>1669</v>
      </c>
      <c r="DC247" s="466">
        <f t="shared" si="589"/>
        <v>14057</v>
      </c>
      <c r="DD247" s="466">
        <f t="shared" si="589"/>
        <v>11798</v>
      </c>
      <c r="DE247" s="466">
        <f t="shared" si="589"/>
        <v>11383</v>
      </c>
      <c r="DF247" s="774">
        <f t="shared" si="589"/>
        <v>11383</v>
      </c>
      <c r="DG247" s="466">
        <f t="shared" ref="DG247:DU247" si="590">(DG227+DG219)-(DG201+DG202)</f>
        <v>11707</v>
      </c>
      <c r="DH247" s="466">
        <f t="shared" ref="DH247" si="591">(DH227+DH219)-(DH201+DH202)</f>
        <v>10440</v>
      </c>
      <c r="DI247" s="466">
        <f t="shared" si="590"/>
        <v>10234</v>
      </c>
      <c r="DJ247" s="466">
        <f t="shared" ref="DJ247" si="592">(DJ227+DJ219)-(DJ201+DJ202)</f>
        <v>9221</v>
      </c>
      <c r="DK247" s="774">
        <f t="shared" si="590"/>
        <v>9221</v>
      </c>
      <c r="DL247" s="466">
        <f t="shared" si="590"/>
        <v>9274</v>
      </c>
      <c r="DM247" s="466">
        <f t="shared" si="590"/>
        <v>7089</v>
      </c>
      <c r="DN247" s="466">
        <f t="shared" si="590"/>
        <v>6957</v>
      </c>
      <c r="DO247" s="2260">
        <f t="shared" ref="DO247:DQ247" si="593">(DO227+DO219)-(DO201+DO202)</f>
        <v>9634</v>
      </c>
      <c r="DP247" s="2260">
        <f t="shared" si="590"/>
        <v>9634</v>
      </c>
      <c r="DQ247" s="466">
        <f t="shared" si="593"/>
        <v>12175</v>
      </c>
      <c r="DR247" s="466">
        <f t="shared" ca="1" si="590"/>
        <v>12473.675196985381</v>
      </c>
      <c r="DS247" s="466">
        <f t="shared" ca="1" si="590"/>
        <v>11100.232023054477</v>
      </c>
      <c r="DT247" s="1795">
        <f t="shared" ca="1" si="590"/>
        <v>9590.6904737242367</v>
      </c>
      <c r="DU247" s="774">
        <f t="shared" ca="1" si="590"/>
        <v>9590.6904737242367</v>
      </c>
      <c r="DV247" s="466">
        <f t="shared" ref="DV247:DZ247" ca="1" si="594">(DV227+DV219)-(DV201+DV202)</f>
        <v>10034.204324024016</v>
      </c>
      <c r="DW247" s="466">
        <f t="shared" ca="1" si="594"/>
        <v>11115.806317276876</v>
      </c>
      <c r="DX247" s="466">
        <f t="shared" ca="1" si="594"/>
        <v>10442.379477558223</v>
      </c>
      <c r="DY247" s="1795">
        <f t="shared" ca="1" si="594"/>
        <v>9776.6455292290193</v>
      </c>
      <c r="DZ247" s="774">
        <f t="shared" ca="1" si="594"/>
        <v>9776.6455292290193</v>
      </c>
      <c r="EA247" s="466">
        <f t="shared" ref="EA247:EE247" ca="1" si="595">(EA227+EA219)-(EA201+EA202)</f>
        <v>9870.2981585154885</v>
      </c>
      <c r="EB247" s="466">
        <f t="shared" ca="1" si="595"/>
        <v>10776.861342768598</v>
      </c>
      <c r="EC247" s="466">
        <f t="shared" ca="1" si="595"/>
        <v>9901.1770041385953</v>
      </c>
      <c r="ED247" s="1795">
        <f t="shared" ca="1" si="595"/>
        <v>9401.4421248015242</v>
      </c>
      <c r="EE247" s="774">
        <f t="shared" ca="1" si="595"/>
        <v>9401.4421248015242</v>
      </c>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row>
    <row r="248" spans="2:232" s="54" customFormat="1" ht="11.25" customHeight="1" outlineLevel="1">
      <c r="B248" s="763" t="s">
        <v>42</v>
      </c>
      <c r="C248" s="64"/>
      <c r="D248" s="64"/>
      <c r="E248" s="64"/>
      <c r="F248" s="73"/>
      <c r="G248" s="73"/>
      <c r="H248" s="279"/>
      <c r="I248" s="73"/>
      <c r="J248" s="73"/>
      <c r="K248" s="73"/>
      <c r="L248" s="73"/>
      <c r="M248" s="73"/>
      <c r="N248" s="73"/>
      <c r="O248" s="73"/>
      <c r="P248" s="73"/>
      <c r="Q248" s="73"/>
      <c r="R248" s="73"/>
      <c r="S248" s="73"/>
      <c r="T248" s="471">
        <v>3544.3357278009062</v>
      </c>
      <c r="U248" s="471"/>
      <c r="V248" s="471"/>
      <c r="W248" s="471"/>
      <c r="X248" s="471"/>
      <c r="Y248" s="471">
        <v>4410.1884033213901</v>
      </c>
      <c r="Z248" s="471"/>
      <c r="AA248" s="471"/>
      <c r="AB248" s="471"/>
      <c r="AC248" s="471"/>
      <c r="AD248" s="471">
        <v>5424.3590396562668</v>
      </c>
      <c r="AE248" s="471"/>
      <c r="AF248" s="471"/>
      <c r="AG248" s="471"/>
      <c r="AH248" s="471"/>
      <c r="AI248" s="471">
        <v>6778.946120013321</v>
      </c>
      <c r="AJ248" s="471"/>
      <c r="AK248" s="471"/>
      <c r="AL248" s="471"/>
      <c r="AM248" s="471"/>
      <c r="AN248" s="471">
        <v>7977.6160438097077</v>
      </c>
      <c r="AO248" s="471"/>
      <c r="AP248" s="471"/>
      <c r="AQ248" s="471"/>
      <c r="AR248" s="471"/>
      <c r="AS248" s="471">
        <v>9521.9715689219902</v>
      </c>
      <c r="AT248" s="471"/>
      <c r="AU248" s="471"/>
      <c r="AV248" s="471"/>
      <c r="AW248" s="471"/>
      <c r="AX248" s="471">
        <v>12198.59257772166</v>
      </c>
      <c r="AY248" s="471"/>
      <c r="AZ248" s="471"/>
      <c r="BA248" s="471"/>
      <c r="BB248" s="471"/>
      <c r="BC248" s="471">
        <v>13927.688123240943</v>
      </c>
      <c r="BD248" s="471"/>
      <c r="BE248" s="471"/>
      <c r="BF248" s="471"/>
      <c r="BG248" s="471"/>
      <c r="BH248" s="471">
        <v>15249.342819699579</v>
      </c>
      <c r="BI248" s="471"/>
      <c r="BJ248" s="471"/>
      <c r="BK248" s="471"/>
      <c r="BL248" s="471"/>
      <c r="BM248" s="471">
        <v>16679.82875197985</v>
      </c>
      <c r="BN248" s="471"/>
      <c r="BO248" s="471"/>
      <c r="BP248" s="471"/>
      <c r="BQ248" s="471"/>
      <c r="BR248" s="471">
        <v>18808.079182052024</v>
      </c>
      <c r="BS248" s="466">
        <f>BW248</f>
        <v>21327.588812175207</v>
      </c>
      <c r="BT248" s="466">
        <f>BS248</f>
        <v>21327.588812175207</v>
      </c>
      <c r="BU248" s="466">
        <f>BT248</f>
        <v>21327.588812175207</v>
      </c>
      <c r="BV248" s="466">
        <f>BU248</f>
        <v>21327.588812175207</v>
      </c>
      <c r="BW248" s="466">
        <v>21327.588812175207</v>
      </c>
      <c r="BX248" s="466">
        <f>CB248</f>
        <v>22658.830725588337</v>
      </c>
      <c r="BY248" s="466">
        <f>BX248</f>
        <v>22658.830725588337</v>
      </c>
      <c r="BZ248" s="466">
        <f>BY248</f>
        <v>22658.830725588337</v>
      </c>
      <c r="CA248" s="466">
        <f>BZ248</f>
        <v>22658.830725588337</v>
      </c>
      <c r="CB248" s="466">
        <v>22658.830725588337</v>
      </c>
      <c r="CC248" s="466">
        <f>CG248</f>
        <v>27718.743874776465</v>
      </c>
      <c r="CD248" s="466">
        <f>CC248</f>
        <v>27718.743874776465</v>
      </c>
      <c r="CE248" s="466">
        <f>CD248</f>
        <v>27718.743874776465</v>
      </c>
      <c r="CF248" s="466">
        <f>CE248</f>
        <v>27718.743874776465</v>
      </c>
      <c r="CG248" s="774">
        <v>27718.743874776465</v>
      </c>
      <c r="CH248" s="466">
        <f>CL248</f>
        <v>28309.567085292612</v>
      </c>
      <c r="CI248" s="466">
        <f>CH248</f>
        <v>28309.567085292612</v>
      </c>
      <c r="CJ248" s="466">
        <f>CI248</f>
        <v>28309.567085292612</v>
      </c>
      <c r="CK248" s="466">
        <f>CJ248</f>
        <v>28309.567085292612</v>
      </c>
      <c r="CL248" s="774">
        <v>28309.567085292612</v>
      </c>
      <c r="CM248" s="466">
        <f>CQ248</f>
        <v>29035.254784010245</v>
      </c>
      <c r="CN248" s="466">
        <f>CM248</f>
        <v>29035.254784010245</v>
      </c>
      <c r="CO248" s="466">
        <f>CN248</f>
        <v>29035.254784010245</v>
      </c>
      <c r="CP248" s="466">
        <f>CO248</f>
        <v>29035.254784010245</v>
      </c>
      <c r="CQ248" s="774">
        <v>29035.254784010245</v>
      </c>
      <c r="CR248" s="466">
        <f>CV248</f>
        <v>29741.564166135431</v>
      </c>
      <c r="CS248" s="466">
        <f>CR248</f>
        <v>29741.564166135431</v>
      </c>
      <c r="CT248" s="466">
        <f>CS248</f>
        <v>29741.564166135431</v>
      </c>
      <c r="CU248" s="466">
        <f>CT248</f>
        <v>29741.564166135431</v>
      </c>
      <c r="CV248" s="774">
        <v>29741.564166135431</v>
      </c>
      <c r="CW248" s="466">
        <f>DA248</f>
        <v>30537.347252359927</v>
      </c>
      <c r="CX248" s="466">
        <f>CW248</f>
        <v>30537.347252359927</v>
      </c>
      <c r="CY248" s="466">
        <f>CX248</f>
        <v>30537.347252359927</v>
      </c>
      <c r="CZ248" s="466">
        <f>CY248</f>
        <v>30537.347252359927</v>
      </c>
      <c r="DA248" s="774">
        <v>30537.347252359927</v>
      </c>
      <c r="DB248" s="466">
        <f>DF248</f>
        <v>31351.495745977983</v>
      </c>
      <c r="DC248" s="466">
        <f>DB248</f>
        <v>31351.495745977983</v>
      </c>
      <c r="DD248" s="466">
        <f>DC248</f>
        <v>31351.495745977983</v>
      </c>
      <c r="DE248" s="466">
        <f>DD248</f>
        <v>31351.495745977983</v>
      </c>
      <c r="DF248" s="774">
        <v>31351.495745977983</v>
      </c>
      <c r="DG248" s="466">
        <f>DF248</f>
        <v>31351.495745977983</v>
      </c>
      <c r="DH248" s="466">
        <f>DG248</f>
        <v>31351.495745977983</v>
      </c>
      <c r="DI248" s="466">
        <f>DH248</f>
        <v>31351.495745977983</v>
      </c>
      <c r="DJ248" s="466">
        <f>DI248</f>
        <v>31351.495745977983</v>
      </c>
      <c r="DK248" s="774">
        <v>35705.585736835674</v>
      </c>
      <c r="DL248" s="466">
        <f>DK248</f>
        <v>35705.585736835674</v>
      </c>
      <c r="DM248" s="466">
        <f>DL248</f>
        <v>35705.585736835674</v>
      </c>
      <c r="DN248" s="466">
        <f>DM248</f>
        <v>35705.585736835674</v>
      </c>
      <c r="DO248" s="2260">
        <f>DN248</f>
        <v>35705.585736835674</v>
      </c>
      <c r="DP248" s="2260">
        <v>40548.551927704953</v>
      </c>
      <c r="DQ248" s="466">
        <f>DP248</f>
        <v>40548.551927704953</v>
      </c>
      <c r="DR248" s="466">
        <f>DQ248</f>
        <v>40548.551927704953</v>
      </c>
      <c r="DS248" s="466">
        <f>DR248</f>
        <v>40548.551927704953</v>
      </c>
      <c r="DT248" s="1795">
        <f>DS248</f>
        <v>40548.551927704953</v>
      </c>
      <c r="DU248" s="774">
        <v>0</v>
      </c>
      <c r="DV248" s="466">
        <f>DU248</f>
        <v>0</v>
      </c>
      <c r="DW248" s="466">
        <f>DV248</f>
        <v>0</v>
      </c>
      <c r="DX248" s="466">
        <f>DW248</f>
        <v>0</v>
      </c>
      <c r="DY248" s="1795">
        <f>DX248</f>
        <v>0</v>
      </c>
      <c r="DZ248" s="774" t="b">
        <v>0</v>
      </c>
      <c r="EA248" s="466" t="b">
        <f>DZ248</f>
        <v>0</v>
      </c>
      <c r="EB248" s="466" t="b">
        <f>EA248</f>
        <v>0</v>
      </c>
      <c r="EC248" s="466" t="b">
        <f>EB248</f>
        <v>0</v>
      </c>
      <c r="ED248" s="1795" t="b">
        <f>EC248</f>
        <v>0</v>
      </c>
      <c r="EE248" s="774">
        <v>0</v>
      </c>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row>
    <row r="249" spans="2:232" s="467" customFormat="1" ht="11.25" customHeight="1" outlineLevel="1">
      <c r="B249" s="764" t="s">
        <v>43</v>
      </c>
      <c r="F249" s="81"/>
      <c r="G249" s="81"/>
      <c r="H249" s="468"/>
      <c r="I249" s="81"/>
      <c r="J249" s="81"/>
      <c r="K249" s="81"/>
      <c r="L249" s="81"/>
      <c r="M249" s="81"/>
      <c r="N249" s="81"/>
      <c r="O249" s="81"/>
      <c r="P249" s="81"/>
      <c r="Q249" s="81"/>
      <c r="R249" s="81"/>
      <c r="S249" s="81"/>
      <c r="T249" s="469">
        <f>+T247+T248</f>
        <v>3474.457727800906</v>
      </c>
      <c r="U249" s="469"/>
      <c r="V249" s="469"/>
      <c r="W249" s="469"/>
      <c r="X249" s="469"/>
      <c r="Y249" s="469">
        <f>+Y247+Y248</f>
        <v>4279.4034033213902</v>
      </c>
      <c r="Z249" s="469"/>
      <c r="AA249" s="469"/>
      <c r="AB249" s="469"/>
      <c r="AC249" s="469"/>
      <c r="AD249" s="469">
        <f>+AD247+AD248</f>
        <v>5300.5590396562666</v>
      </c>
      <c r="AE249" s="469"/>
      <c r="AF249" s="469"/>
      <c r="AG249" s="469"/>
      <c r="AH249" s="469"/>
      <c r="AI249" s="469">
        <f>+AI247+AI248</f>
        <v>6784.3461200133206</v>
      </c>
      <c r="AJ249" s="469"/>
      <c r="AK249" s="469"/>
      <c r="AL249" s="469"/>
      <c r="AM249" s="469"/>
      <c r="AN249" s="469">
        <f>+AN247+AN248</f>
        <v>8422.2160438097071</v>
      </c>
      <c r="AO249" s="469"/>
      <c r="AP249" s="469"/>
      <c r="AQ249" s="469"/>
      <c r="AR249" s="469"/>
      <c r="AS249" s="469">
        <f>+AS247+AS248</f>
        <v>8844.8715689219898</v>
      </c>
      <c r="AT249" s="469"/>
      <c r="AU249" s="469"/>
      <c r="AV249" s="469"/>
      <c r="AW249" s="469"/>
      <c r="AX249" s="469">
        <f>+AX247+AX248</f>
        <v>10939.992577721659</v>
      </c>
      <c r="AY249" s="469"/>
      <c r="AZ249" s="469"/>
      <c r="BA249" s="469"/>
      <c r="BB249" s="469"/>
      <c r="BC249" s="469">
        <f>+BC247+BC248</f>
        <v>12244.588122805013</v>
      </c>
      <c r="BD249" s="469"/>
      <c r="BE249" s="469"/>
      <c r="BF249" s="469"/>
      <c r="BG249" s="469"/>
      <c r="BH249" s="469">
        <f>+BH247+BH248</f>
        <v>14189.742819263651</v>
      </c>
      <c r="BI249" s="469"/>
      <c r="BJ249" s="469"/>
      <c r="BK249" s="469"/>
      <c r="BL249" s="469"/>
      <c r="BM249" s="469">
        <f>+BM247+BM248</f>
        <v>15348.028751543916</v>
      </c>
      <c r="BN249" s="469"/>
      <c r="BO249" s="469"/>
      <c r="BP249" s="469"/>
      <c r="BQ249" s="469"/>
      <c r="BR249" s="469">
        <f t="shared" ref="BR249:CV249" si="596">+BR247+BR248</f>
        <v>19453.779181616097</v>
      </c>
      <c r="BS249" s="470">
        <f t="shared" si="596"/>
        <v>22228.588812175207</v>
      </c>
      <c r="BT249" s="470">
        <f t="shared" si="596"/>
        <v>21800.088812175207</v>
      </c>
      <c r="BU249" s="470">
        <f t="shared" si="596"/>
        <v>21992.088812175207</v>
      </c>
      <c r="BV249" s="470">
        <f t="shared" si="596"/>
        <v>22304.888811739278</v>
      </c>
      <c r="BW249" s="470">
        <f t="shared" si="596"/>
        <v>22304.888811739278</v>
      </c>
      <c r="BX249" s="470">
        <f t="shared" si="596"/>
        <v>24190.130725152409</v>
      </c>
      <c r="BY249" s="470">
        <f t="shared" si="596"/>
        <v>23444.130725152409</v>
      </c>
      <c r="BZ249" s="470">
        <f t="shared" si="596"/>
        <v>22607.130725152409</v>
      </c>
      <c r="CA249" s="470">
        <f t="shared" si="596"/>
        <v>22423.130725152409</v>
      </c>
      <c r="CB249" s="470">
        <f t="shared" si="596"/>
        <v>22423.130725152409</v>
      </c>
      <c r="CC249" s="470">
        <f t="shared" si="596"/>
        <v>26946.043874340536</v>
      </c>
      <c r="CD249" s="470">
        <f t="shared" si="596"/>
        <v>26973.043874340536</v>
      </c>
      <c r="CE249" s="470">
        <f t="shared" si="596"/>
        <v>27775.043874340536</v>
      </c>
      <c r="CF249" s="470">
        <f t="shared" si="596"/>
        <v>28240.043874340536</v>
      </c>
      <c r="CG249" s="775">
        <f t="shared" si="596"/>
        <v>28239.743874776465</v>
      </c>
      <c r="CH249" s="470">
        <f t="shared" si="596"/>
        <v>28649.867084856684</v>
      </c>
      <c r="CI249" s="470">
        <f t="shared" si="596"/>
        <v>28459.867084856684</v>
      </c>
      <c r="CJ249" s="470">
        <f t="shared" si="596"/>
        <v>28052.867084856684</v>
      </c>
      <c r="CK249" s="470">
        <f t="shared" si="596"/>
        <v>29162.867084856684</v>
      </c>
      <c r="CL249" s="775">
        <f t="shared" si="596"/>
        <v>29162.567085292612</v>
      </c>
      <c r="CM249" s="470">
        <f t="shared" si="596"/>
        <v>30342.554783574316</v>
      </c>
      <c r="CN249" s="470">
        <f t="shared" si="596"/>
        <v>30344.554783574316</v>
      </c>
      <c r="CO249" s="470">
        <f t="shared" si="596"/>
        <v>29440.554783574316</v>
      </c>
      <c r="CP249" s="470">
        <f t="shared" si="596"/>
        <v>33130.554783574313</v>
      </c>
      <c r="CQ249" s="775">
        <f t="shared" si="596"/>
        <v>33130.554783574313</v>
      </c>
      <c r="CR249" s="470">
        <f t="shared" si="596"/>
        <v>34297.864165699502</v>
      </c>
      <c r="CS249" s="470">
        <f t="shared" si="596"/>
        <v>33667.864165699502</v>
      </c>
      <c r="CT249" s="470">
        <f t="shared" si="596"/>
        <v>33113.864165699502</v>
      </c>
      <c r="CU249" s="470">
        <f t="shared" si="596"/>
        <v>32682.564166135431</v>
      </c>
      <c r="CV249" s="775">
        <f t="shared" si="596"/>
        <v>32682.564166135431</v>
      </c>
      <c r="CW249" s="470">
        <f t="shared" ref="CW249:DF249" si="597">+CW247+CW248</f>
        <v>34640.347252359927</v>
      </c>
      <c r="CX249" s="470">
        <f t="shared" si="597"/>
        <v>33826.347252359927</v>
      </c>
      <c r="CY249" s="470">
        <f t="shared" si="597"/>
        <v>32938.347252359927</v>
      </c>
      <c r="CZ249" s="470">
        <f t="shared" si="597"/>
        <v>32401.347252359927</v>
      </c>
      <c r="DA249" s="775">
        <f t="shared" si="597"/>
        <v>32401.347252359927</v>
      </c>
      <c r="DB249" s="470">
        <f t="shared" si="597"/>
        <v>33020.495745977983</v>
      </c>
      <c r="DC249" s="470">
        <f t="shared" si="597"/>
        <v>45408.495745977983</v>
      </c>
      <c r="DD249" s="470">
        <f t="shared" si="597"/>
        <v>43149.495745977983</v>
      </c>
      <c r="DE249" s="470">
        <f t="shared" si="597"/>
        <v>42734.495745977983</v>
      </c>
      <c r="DF249" s="775">
        <f t="shared" si="597"/>
        <v>42734.495745977983</v>
      </c>
      <c r="DG249" s="470">
        <f t="shared" ref="DG249:DU249" si="598">+DG247+DG248</f>
        <v>43058.495745977983</v>
      </c>
      <c r="DH249" s="470">
        <f t="shared" ref="DH249" si="599">+DH247+DH248</f>
        <v>41791.495745977983</v>
      </c>
      <c r="DI249" s="470">
        <f t="shared" si="598"/>
        <v>41585.495745977983</v>
      </c>
      <c r="DJ249" s="470">
        <f t="shared" ref="DJ249" si="600">+DJ247+DJ248</f>
        <v>40572.495745977983</v>
      </c>
      <c r="DK249" s="775">
        <f t="shared" si="598"/>
        <v>44926.585736835674</v>
      </c>
      <c r="DL249" s="470">
        <f t="shared" si="598"/>
        <v>44979.585736835674</v>
      </c>
      <c r="DM249" s="470">
        <f t="shared" si="598"/>
        <v>42794.585736835674</v>
      </c>
      <c r="DN249" s="470">
        <f t="shared" si="598"/>
        <v>42662.585736835674</v>
      </c>
      <c r="DO249" s="1796">
        <f t="shared" ref="DO249:DQ249" si="601">+DO247+DO248</f>
        <v>45339.585736835674</v>
      </c>
      <c r="DP249" s="1796">
        <f t="shared" si="598"/>
        <v>50182.551927704953</v>
      </c>
      <c r="DQ249" s="470">
        <f t="shared" si="601"/>
        <v>52723.551927704953</v>
      </c>
      <c r="DR249" s="470">
        <f t="shared" ca="1" si="598"/>
        <v>53022.227124690333</v>
      </c>
      <c r="DS249" s="470">
        <f t="shared" ca="1" si="598"/>
        <v>51648.783950759433</v>
      </c>
      <c r="DT249" s="1796">
        <f t="shared" ca="1" si="598"/>
        <v>50139.24240142919</v>
      </c>
      <c r="DU249" s="775">
        <f t="shared" ca="1" si="598"/>
        <v>9590.6904737242367</v>
      </c>
      <c r="DV249" s="470">
        <f t="shared" ref="DV249:DZ249" ca="1" si="602">+DV247+DV248</f>
        <v>10034.204324024016</v>
      </c>
      <c r="DW249" s="470">
        <f t="shared" ca="1" si="602"/>
        <v>11115.806317276876</v>
      </c>
      <c r="DX249" s="470">
        <f t="shared" ca="1" si="602"/>
        <v>10442.379477558223</v>
      </c>
      <c r="DY249" s="1796">
        <f t="shared" ca="1" si="602"/>
        <v>9776.6455292290193</v>
      </c>
      <c r="DZ249" s="775">
        <f t="shared" ca="1" si="602"/>
        <v>9776.6455292290193</v>
      </c>
      <c r="EA249" s="470">
        <f t="shared" ref="EA249:EE249" ca="1" si="603">+EA247+EA248</f>
        <v>9870.2981585154885</v>
      </c>
      <c r="EB249" s="470">
        <f t="shared" ca="1" si="603"/>
        <v>10776.861342768598</v>
      </c>
      <c r="EC249" s="470">
        <f t="shared" ca="1" si="603"/>
        <v>9901.1770041385953</v>
      </c>
      <c r="ED249" s="1796">
        <f t="shared" ca="1" si="603"/>
        <v>9401.4421248015242</v>
      </c>
      <c r="EE249" s="775">
        <f t="shared" ca="1" si="603"/>
        <v>9401.4421248015242</v>
      </c>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row>
    <row r="250" spans="2:232" s="54" customFormat="1" ht="11.25" customHeight="1" outlineLevel="1">
      <c r="B250" s="762"/>
      <c r="C250" s="64"/>
      <c r="D250" s="64"/>
      <c r="E250" s="64"/>
      <c r="F250" s="73"/>
      <c r="G250" s="73"/>
      <c r="H250" s="279"/>
      <c r="I250" s="73"/>
      <c r="J250" s="73"/>
      <c r="K250" s="73"/>
      <c r="L250" s="73"/>
      <c r="M250" s="73"/>
      <c r="N250" s="73"/>
      <c r="O250" s="73"/>
      <c r="P250" s="73"/>
      <c r="Q250" s="73"/>
      <c r="R250" s="73"/>
      <c r="S250" s="73"/>
      <c r="T250" s="471"/>
      <c r="U250" s="471"/>
      <c r="V250" s="471"/>
      <c r="W250" s="471"/>
      <c r="X250" s="471"/>
      <c r="Y250" s="471"/>
      <c r="Z250" s="471"/>
      <c r="AA250" s="471"/>
      <c r="AB250" s="471"/>
      <c r="AC250" s="471"/>
      <c r="AD250" s="471"/>
      <c r="AE250" s="471"/>
      <c r="AF250" s="471"/>
      <c r="AG250" s="471"/>
      <c r="AH250" s="471"/>
      <c r="AI250" s="471"/>
      <c r="AJ250" s="471"/>
      <c r="AK250" s="471"/>
      <c r="AL250" s="471"/>
      <c r="AM250" s="471"/>
      <c r="AN250" s="471"/>
      <c r="AO250" s="471"/>
      <c r="AP250" s="471"/>
      <c r="AQ250" s="471"/>
      <c r="AR250" s="471"/>
      <c r="AS250" s="471"/>
      <c r="AT250" s="471"/>
      <c r="AU250" s="471"/>
      <c r="AV250" s="471"/>
      <c r="AW250" s="471"/>
      <c r="AX250" s="471"/>
      <c r="AY250" s="471"/>
      <c r="AZ250" s="471"/>
      <c r="BA250" s="471"/>
      <c r="BB250" s="471"/>
      <c r="BC250" s="471"/>
      <c r="BD250" s="471"/>
      <c r="BE250" s="471"/>
      <c r="BF250" s="471"/>
      <c r="BG250" s="471"/>
      <c r="BH250" s="471"/>
      <c r="BI250" s="471"/>
      <c r="BJ250" s="471"/>
      <c r="BK250" s="471"/>
      <c r="BL250" s="471"/>
      <c r="BM250" s="471"/>
      <c r="BN250" s="471"/>
      <c r="BO250" s="471"/>
      <c r="BP250" s="471"/>
      <c r="BQ250" s="471"/>
      <c r="BR250" s="471"/>
      <c r="BS250" s="466"/>
      <c r="BT250" s="466"/>
      <c r="BU250" s="466"/>
      <c r="BV250" s="466"/>
      <c r="BW250" s="466"/>
      <c r="BX250" s="466"/>
      <c r="BY250" s="466"/>
      <c r="BZ250" s="466"/>
      <c r="CA250" s="466"/>
      <c r="CB250" s="466"/>
      <c r="CC250" s="466"/>
      <c r="CD250" s="466"/>
      <c r="CE250" s="466"/>
      <c r="CF250" s="466"/>
      <c r="CG250" s="774"/>
      <c r="CH250" s="466"/>
      <c r="CI250" s="466"/>
      <c r="CJ250" s="466"/>
      <c r="CK250" s="466"/>
      <c r="CL250" s="774"/>
      <c r="CM250" s="466"/>
      <c r="CN250" s="466"/>
      <c r="CO250" s="466"/>
      <c r="CP250" s="466"/>
      <c r="CQ250" s="774"/>
      <c r="CR250" s="466"/>
      <c r="CS250" s="466"/>
      <c r="CT250" s="466"/>
      <c r="CU250" s="466"/>
      <c r="CV250" s="774"/>
      <c r="CW250" s="466"/>
      <c r="CX250" s="466"/>
      <c r="CY250" s="466"/>
      <c r="CZ250" s="466"/>
      <c r="DA250" s="774"/>
      <c r="DB250" s="466"/>
      <c r="DC250" s="466"/>
      <c r="DD250" s="466"/>
      <c r="DE250" s="466"/>
      <c r="DF250" s="774"/>
      <c r="DG250" s="466"/>
      <c r="DH250" s="466"/>
      <c r="DI250" s="466"/>
      <c r="DJ250" s="466"/>
      <c r="DK250" s="774"/>
      <c r="DL250" s="466"/>
      <c r="DM250" s="466"/>
      <c r="DN250" s="466"/>
      <c r="DO250" s="2260"/>
      <c r="DP250" s="2260"/>
      <c r="DQ250" s="466"/>
      <c r="DR250" s="466"/>
      <c r="DS250" s="466"/>
      <c r="DT250" s="1795"/>
      <c r="DU250" s="774"/>
      <c r="DV250" s="466"/>
      <c r="DW250" s="466"/>
      <c r="DX250" s="466"/>
      <c r="DY250" s="1795"/>
      <c r="DZ250" s="774"/>
      <c r="EA250" s="466"/>
      <c r="EB250" s="466"/>
      <c r="EC250" s="466"/>
      <c r="ED250" s="1795"/>
      <c r="EE250" s="774"/>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row>
    <row r="251" spans="2:232" s="54" customFormat="1" ht="11.25" customHeight="1" outlineLevel="1">
      <c r="B251" s="762" t="s">
        <v>38</v>
      </c>
      <c r="C251" s="64"/>
      <c r="D251" s="64"/>
      <c r="E251" s="64"/>
      <c r="F251" s="73"/>
      <c r="G251" s="73"/>
      <c r="H251" s="279"/>
      <c r="I251" s="73"/>
      <c r="J251" s="73"/>
      <c r="K251" s="73"/>
      <c r="L251" s="73"/>
      <c r="M251" s="73"/>
      <c r="N251" s="73"/>
      <c r="O251" s="73"/>
      <c r="P251" s="73"/>
      <c r="Q251" s="73"/>
      <c r="R251" s="73"/>
      <c r="S251" s="73"/>
      <c r="T251" s="471">
        <v>2373.2510000000002</v>
      </c>
      <c r="U251" s="471"/>
      <c r="V251" s="471"/>
      <c r="W251" s="471"/>
      <c r="X251" s="471"/>
      <c r="Y251" s="471">
        <v>2848.9270000000001</v>
      </c>
      <c r="Z251" s="471"/>
      <c r="AA251" s="471"/>
      <c r="AB251" s="471"/>
      <c r="AC251" s="471"/>
      <c r="AD251" s="471">
        <v>3484.3</v>
      </c>
      <c r="AE251" s="471"/>
      <c r="AF251" s="471"/>
      <c r="AG251" s="471"/>
      <c r="AH251" s="471"/>
      <c r="AI251" s="471">
        <v>4234</v>
      </c>
      <c r="AJ251" s="471"/>
      <c r="AK251" s="471"/>
      <c r="AL251" s="471"/>
      <c r="AM251" s="471"/>
      <c r="AN251" s="471">
        <f>AN238</f>
        <v>5207.2</v>
      </c>
      <c r="AO251" s="471"/>
      <c r="AP251" s="471"/>
      <c r="AQ251" s="471"/>
      <c r="AR251" s="471"/>
      <c r="AS251" s="471">
        <f>AS238</f>
        <v>6468.5999999999995</v>
      </c>
      <c r="AT251" s="471"/>
      <c r="AU251" s="471"/>
      <c r="AV251" s="471"/>
      <c r="AW251" s="471"/>
      <c r="AX251" s="471">
        <f>AX238</f>
        <v>7117.7999999999993</v>
      </c>
      <c r="AY251" s="471"/>
      <c r="AZ251" s="471"/>
      <c r="BA251" s="471"/>
      <c r="BB251" s="471"/>
      <c r="BC251" s="471">
        <f>BC238</f>
        <v>8139.7000004359315</v>
      </c>
      <c r="BD251" s="471"/>
      <c r="BE251" s="471"/>
      <c r="BF251" s="471"/>
      <c r="BG251" s="471"/>
      <c r="BH251" s="471">
        <f>BH238</f>
        <v>8889.7000004359325</v>
      </c>
      <c r="BI251" s="471"/>
      <c r="BJ251" s="471"/>
      <c r="BK251" s="471"/>
      <c r="BL251" s="471"/>
      <c r="BM251" s="471">
        <f>BM238</f>
        <v>10115.800000435933</v>
      </c>
      <c r="BN251" s="471"/>
      <c r="BO251" s="471"/>
      <c r="BP251" s="471"/>
      <c r="BQ251" s="471"/>
      <c r="BR251" s="471">
        <f t="shared" ref="BR251:CW251" si="604">BR238</f>
        <v>11104.300000435931</v>
      </c>
      <c r="BS251" s="466">
        <f t="shared" si="604"/>
        <v>11490</v>
      </c>
      <c r="BT251" s="466">
        <f t="shared" si="604"/>
        <v>12063.3</v>
      </c>
      <c r="BU251" s="466">
        <f t="shared" si="604"/>
        <v>12535</v>
      </c>
      <c r="BV251" s="466">
        <f t="shared" si="604"/>
        <v>12869.100000435928</v>
      </c>
      <c r="BW251" s="466">
        <f t="shared" si="604"/>
        <v>12869.100000435928</v>
      </c>
      <c r="BX251" s="466">
        <f t="shared" si="604"/>
        <v>13130.700000435929</v>
      </c>
      <c r="BY251" s="466">
        <f t="shared" si="604"/>
        <v>13678.700000435929</v>
      </c>
      <c r="BZ251" s="466">
        <f t="shared" si="604"/>
        <v>14186.700000435929</v>
      </c>
      <c r="CA251" s="466">
        <f t="shared" si="604"/>
        <v>14376.000000435928</v>
      </c>
      <c r="CB251" s="466">
        <f t="shared" si="604"/>
        <v>14376.000000435928</v>
      </c>
      <c r="CC251" s="466">
        <f t="shared" si="604"/>
        <v>14620.700000435929</v>
      </c>
      <c r="CD251" s="466">
        <f t="shared" si="604"/>
        <v>14947.700000435929</v>
      </c>
      <c r="CE251" s="466">
        <f t="shared" si="604"/>
        <v>15111.700000435929</v>
      </c>
      <c r="CF251" s="466">
        <f t="shared" si="604"/>
        <v>14399.700000435929</v>
      </c>
      <c r="CG251" s="774">
        <f t="shared" si="604"/>
        <v>14400</v>
      </c>
      <c r="CH251" s="466">
        <f t="shared" si="604"/>
        <v>14362.700000435929</v>
      </c>
      <c r="CI251" s="466">
        <f t="shared" si="604"/>
        <v>14680.700000435929</v>
      </c>
      <c r="CJ251" s="466">
        <f t="shared" si="604"/>
        <v>14722.700000435929</v>
      </c>
      <c r="CK251" s="466">
        <f t="shared" si="604"/>
        <v>14846.700000435929</v>
      </c>
      <c r="CL251" s="774">
        <f t="shared" si="604"/>
        <v>14847</v>
      </c>
      <c r="CM251" s="466">
        <f t="shared" si="604"/>
        <v>14673.700000435929</v>
      </c>
      <c r="CN251" s="466">
        <f t="shared" si="604"/>
        <v>14815.700000435929</v>
      </c>
      <c r="CO251" s="466">
        <f t="shared" si="604"/>
        <v>15039.700000435929</v>
      </c>
      <c r="CP251" s="466">
        <f t="shared" si="604"/>
        <v>18235.700000435929</v>
      </c>
      <c r="CQ251" s="774">
        <f t="shared" si="604"/>
        <v>18235.700000435929</v>
      </c>
      <c r="CR251" s="466">
        <f t="shared" si="604"/>
        <v>18378.7</v>
      </c>
      <c r="CS251" s="466">
        <f t="shared" si="604"/>
        <v>18972.7</v>
      </c>
      <c r="CT251" s="466">
        <f t="shared" si="604"/>
        <v>18979.7</v>
      </c>
      <c r="CU251" s="466">
        <f t="shared" si="604"/>
        <v>19454</v>
      </c>
      <c r="CV251" s="774">
        <f t="shared" si="604"/>
        <v>19454</v>
      </c>
      <c r="CW251" s="466">
        <f t="shared" si="604"/>
        <v>20056</v>
      </c>
      <c r="CX251" s="466">
        <f t="shared" ref="CX251:DF251" si="605">CX238</f>
        <v>20833</v>
      </c>
      <c r="CY251" s="466">
        <f t="shared" si="605"/>
        <v>21485</v>
      </c>
      <c r="CZ251" s="466">
        <f t="shared" si="605"/>
        <v>20561</v>
      </c>
      <c r="DA251" s="774">
        <f t="shared" si="605"/>
        <v>20561</v>
      </c>
      <c r="DB251" s="466">
        <f t="shared" si="605"/>
        <v>20767</v>
      </c>
      <c r="DC251" s="466">
        <f t="shared" si="605"/>
        <v>31026</v>
      </c>
      <c r="DD251" s="466">
        <f t="shared" si="605"/>
        <v>31929</v>
      </c>
      <c r="DE251" s="466">
        <f t="shared" si="605"/>
        <v>31300</v>
      </c>
      <c r="DF251" s="774">
        <f t="shared" si="605"/>
        <v>31300</v>
      </c>
      <c r="DG251" s="466">
        <f t="shared" ref="DG251:DU251" si="606">DG238</f>
        <v>31154</v>
      </c>
      <c r="DH251" s="466">
        <f t="shared" ref="DH251" si="607">DH238</f>
        <v>29918</v>
      </c>
      <c r="DI251" s="466">
        <f t="shared" si="606"/>
        <v>31314</v>
      </c>
      <c r="DJ251" s="466">
        <f t="shared" ref="DJ251" si="608">DJ238</f>
        <v>30281</v>
      </c>
      <c r="DK251" s="774">
        <f t="shared" si="606"/>
        <v>30281</v>
      </c>
      <c r="DL251" s="466">
        <f t="shared" si="606"/>
        <v>29692</v>
      </c>
      <c r="DM251" s="466">
        <f t="shared" si="606"/>
        <v>30421</v>
      </c>
      <c r="DN251" s="466">
        <f t="shared" si="606"/>
        <v>31484</v>
      </c>
      <c r="DO251" s="2260">
        <f t="shared" ref="DO251:DQ251" si="609">DO238</f>
        <v>28274</v>
      </c>
      <c r="DP251" s="2260">
        <f t="shared" si="606"/>
        <v>28274</v>
      </c>
      <c r="DQ251" s="466">
        <f t="shared" si="609"/>
        <v>26756</v>
      </c>
      <c r="DR251" s="466">
        <f t="shared" ca="1" si="606"/>
        <v>27613.510854292952</v>
      </c>
      <c r="DS251" s="466">
        <f t="shared" ca="1" si="606"/>
        <v>28432.154515704897</v>
      </c>
      <c r="DT251" s="1795">
        <f t="shared" ca="1" si="606"/>
        <v>29245.209138929305</v>
      </c>
      <c r="DU251" s="774">
        <f t="shared" ca="1" si="606"/>
        <v>29245.209138929305</v>
      </c>
      <c r="DV251" s="466">
        <f t="shared" ref="DV251:DZ251" ca="1" si="610">DV238</f>
        <v>28917.061721678947</v>
      </c>
      <c r="DW251" s="466">
        <f t="shared" ca="1" si="610"/>
        <v>28853.85244034991</v>
      </c>
      <c r="DX251" s="466">
        <f t="shared" ca="1" si="610"/>
        <v>28815.467032990789</v>
      </c>
      <c r="DY251" s="1795">
        <f t="shared" ca="1" si="610"/>
        <v>28814.112507076716</v>
      </c>
      <c r="DZ251" s="774">
        <f t="shared" ca="1" si="610"/>
        <v>28814.112507076716</v>
      </c>
      <c r="EA251" s="466">
        <f t="shared" ref="EA251:EE251" ca="1" si="611">EA238</f>
        <v>28685.261383891448</v>
      </c>
      <c r="EB251" s="466">
        <f t="shared" ca="1" si="611"/>
        <v>28800.128993500221</v>
      </c>
      <c r="EC251" s="466">
        <f t="shared" ca="1" si="611"/>
        <v>28954.725760371388</v>
      </c>
      <c r="ED251" s="1795">
        <f t="shared" ca="1" si="611"/>
        <v>29149.873925409418</v>
      </c>
      <c r="EE251" s="774">
        <f t="shared" ca="1" si="611"/>
        <v>29149.873925409418</v>
      </c>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row>
    <row r="252" spans="2:232" s="54" customFormat="1" ht="11.25" customHeight="1" outlineLevel="1">
      <c r="B252" s="765" t="s">
        <v>7</v>
      </c>
      <c r="C252" s="64"/>
      <c r="D252" s="64"/>
      <c r="E252" s="64"/>
      <c r="F252" s="73"/>
      <c r="G252" s="73"/>
      <c r="H252" s="279"/>
      <c r="I252" s="73"/>
      <c r="J252" s="73"/>
      <c r="K252" s="73"/>
      <c r="L252" s="73"/>
      <c r="M252" s="73"/>
      <c r="N252" s="73"/>
      <c r="O252" s="73"/>
      <c r="P252" s="73"/>
      <c r="Q252" s="73"/>
      <c r="R252" s="73"/>
      <c r="S252" s="73"/>
      <c r="T252" s="471">
        <v>-562.13449748446362</v>
      </c>
      <c r="U252" s="471"/>
      <c r="V252" s="471"/>
      <c r="W252" s="471"/>
      <c r="X252" s="471"/>
      <c r="Y252" s="471">
        <v>-666.46942109495501</v>
      </c>
      <c r="Z252" s="471"/>
      <c r="AA252" s="471"/>
      <c r="AB252" s="471"/>
      <c r="AC252" s="471"/>
      <c r="AD252" s="471">
        <v>-791.90395186131616</v>
      </c>
      <c r="AE252" s="471"/>
      <c r="AF252" s="471"/>
      <c r="AG252" s="471"/>
      <c r="AH252" s="471"/>
      <c r="AI252" s="471">
        <v>-951.2872204836076</v>
      </c>
      <c r="AJ252" s="471"/>
      <c r="AK252" s="471"/>
      <c r="AL252" s="471"/>
      <c r="AM252" s="471"/>
      <c r="AN252" s="471">
        <f>AN253-AN251</f>
        <v>-699.15307475855388</v>
      </c>
      <c r="AO252" s="471"/>
      <c r="AP252" s="471"/>
      <c r="AQ252" s="471"/>
      <c r="AR252" s="471"/>
      <c r="AS252" s="471">
        <f>AS253-AS251</f>
        <v>-845.03375052447245</v>
      </c>
      <c r="AT252" s="471"/>
      <c r="AU252" s="471"/>
      <c r="AV252" s="471"/>
      <c r="AW252" s="471"/>
      <c r="AX252" s="471">
        <f>AX253-AX251</f>
        <v>-1092.3318471212215</v>
      </c>
      <c r="AY252" s="471"/>
      <c r="AZ252" s="471"/>
      <c r="BA252" s="471"/>
      <c r="BB252" s="471"/>
      <c r="BC252" s="471">
        <f>BC253-BC251</f>
        <v>-1318.7249327183836</v>
      </c>
      <c r="BD252" s="471"/>
      <c r="BE252" s="471"/>
      <c r="BF252" s="471"/>
      <c r="BG252" s="471"/>
      <c r="BH252" s="471">
        <f>BH253-BH251</f>
        <v>-1173.4262369709022</v>
      </c>
      <c r="BI252" s="471"/>
      <c r="BJ252" s="471"/>
      <c r="BK252" s="471"/>
      <c r="BL252" s="471"/>
      <c r="BM252" s="471">
        <f>BM253-BM251</f>
        <v>-1215.5435488541771</v>
      </c>
      <c r="BN252" s="471"/>
      <c r="BO252" s="471"/>
      <c r="BP252" s="471"/>
      <c r="BQ252" s="471"/>
      <c r="BR252" s="471">
        <f t="shared" ref="BR252:CW252" si="612">BR253-BR251</f>
        <v>-848.13848573616633</v>
      </c>
      <c r="BS252" s="466">
        <f t="shared" si="612"/>
        <v>1600.7277358231495</v>
      </c>
      <c r="BT252" s="466">
        <f t="shared" si="612"/>
        <v>1531.8255736798455</v>
      </c>
      <c r="BU252" s="466">
        <f t="shared" si="612"/>
        <v>1539.9056942619354</v>
      </c>
      <c r="BV252" s="466">
        <f t="shared" si="612"/>
        <v>1593.6869999999999</v>
      </c>
      <c r="BW252" s="466">
        <f t="shared" si="612"/>
        <v>-1122.0368786291656</v>
      </c>
      <c r="BX252" s="466">
        <f t="shared" si="612"/>
        <v>1659.9449541284412</v>
      </c>
      <c r="BY252" s="466">
        <f t="shared" si="612"/>
        <v>1626.0495049504952</v>
      </c>
      <c r="BZ252" s="466">
        <f t="shared" si="612"/>
        <v>1531.3459196102322</v>
      </c>
      <c r="CA252" s="466">
        <f t="shared" si="612"/>
        <v>1666.8217967599412</v>
      </c>
      <c r="CB252" s="466">
        <f t="shared" si="612"/>
        <v>-1506.0308268154913</v>
      </c>
      <c r="CC252" s="466">
        <f t="shared" si="612"/>
        <v>1792.4252577319567</v>
      </c>
      <c r="CD252" s="466">
        <f t="shared" si="612"/>
        <v>2016.976503759397</v>
      </c>
      <c r="CE252" s="466">
        <f t="shared" si="612"/>
        <v>2190.3527950310563</v>
      </c>
      <c r="CF252" s="466">
        <f t="shared" si="612"/>
        <v>3251.3818681318699</v>
      </c>
      <c r="CG252" s="774">
        <f t="shared" si="612"/>
        <v>-472.40873520241439</v>
      </c>
      <c r="CH252" s="466">
        <f t="shared" si="612"/>
        <v>3717.4495114006531</v>
      </c>
      <c r="CI252" s="466">
        <f t="shared" si="612"/>
        <v>4003.8057190916734</v>
      </c>
      <c r="CJ252" s="466">
        <f t="shared" si="612"/>
        <v>4419.3151125401928</v>
      </c>
      <c r="CK252" s="466">
        <f t="shared" si="612"/>
        <v>4981.9856115107905</v>
      </c>
      <c r="CL252" s="774">
        <f t="shared" si="612"/>
        <v>706.03632996156011</v>
      </c>
      <c r="CM252" s="466">
        <f t="shared" si="612"/>
        <v>5502.2332955832389</v>
      </c>
      <c r="CN252" s="466">
        <f t="shared" si="612"/>
        <v>5926.1985294117658</v>
      </c>
      <c r="CO252" s="466">
        <f t="shared" si="612"/>
        <v>6071.6401869158872</v>
      </c>
      <c r="CP252" s="466">
        <f t="shared" si="612"/>
        <v>6118.8743169398913</v>
      </c>
      <c r="CQ252" s="774">
        <f t="shared" si="612"/>
        <v>1379.6850443951553</v>
      </c>
      <c r="CR252" s="466">
        <f t="shared" si="612"/>
        <v>2973.3044910179633</v>
      </c>
      <c r="CS252" s="466">
        <f t="shared" si="612"/>
        <v>2935.9644295302023</v>
      </c>
      <c r="CT252" s="466">
        <f t="shared" si="612"/>
        <v>3368.8559921414526</v>
      </c>
      <c r="CU252" s="466">
        <f t="shared" si="612"/>
        <v>3217.8318584070803</v>
      </c>
      <c r="CV252" s="774">
        <f t="shared" si="612"/>
        <v>-1916.4602361050202</v>
      </c>
      <c r="CW252" s="466">
        <f t="shared" si="612"/>
        <v>3035.0288808664263</v>
      </c>
      <c r="CX252" s="466">
        <f t="shared" ref="CX252:DF252" si="613">CX253-CX251</f>
        <v>2736.2213740458028</v>
      </c>
      <c r="CY252" s="466">
        <f t="shared" si="613"/>
        <v>2541.0932735425995</v>
      </c>
      <c r="CZ252" s="466">
        <f t="shared" si="613"/>
        <v>2907.7419999999984</v>
      </c>
      <c r="DA252" s="774">
        <f t="shared" si="613"/>
        <v>-2246.6862107361048</v>
      </c>
      <c r="DB252" s="466">
        <f t="shared" si="613"/>
        <v>3247.0667779632713</v>
      </c>
      <c r="DC252" s="466">
        <f t="shared" si="613"/>
        <v>3396.1972984036038</v>
      </c>
      <c r="DD252" s="466">
        <f t="shared" si="613"/>
        <v>3484.546464056104</v>
      </c>
      <c r="DE252" s="466">
        <f t="shared" si="613"/>
        <v>3692.8536585365873</v>
      </c>
      <c r="DF252" s="774">
        <f t="shared" si="613"/>
        <v>-4085.1129829550737</v>
      </c>
      <c r="DG252" s="466">
        <f t="shared" ref="DG252:DU252" si="614">DG253-DG251</f>
        <v>4700.9654359780034</v>
      </c>
      <c r="DH252" s="466">
        <f t="shared" ref="DH252" si="615">DH253-DH251</f>
        <v>6534.277777777781</v>
      </c>
      <c r="DI252" s="466">
        <f t="shared" si="614"/>
        <v>5891.0495049504971</v>
      </c>
      <c r="DJ252" s="466">
        <f t="shared" ref="DJ252" si="616">DJ253-DJ251</f>
        <v>7532.6569343065712</v>
      </c>
      <c r="DK252" s="774">
        <f t="shared" si="614"/>
        <v>-4203.3130659553208</v>
      </c>
      <c r="DL252" s="466">
        <f t="shared" si="614"/>
        <v>8831.9921568627469</v>
      </c>
      <c r="DM252" s="466">
        <f t="shared" si="614"/>
        <v>8779.6702786377718</v>
      </c>
      <c r="DN252" s="466">
        <f t="shared" si="614"/>
        <v>8703.9202363367804</v>
      </c>
      <c r="DO252" s="2260">
        <f t="shared" ref="DO252:DQ252" si="617">DO253-DO251</f>
        <v>12181.137339055793</v>
      </c>
      <c r="DP252" s="2260">
        <f t="shared" si="614"/>
        <v>-3563.9927361781993</v>
      </c>
      <c r="DQ252" s="466">
        <f t="shared" si="617"/>
        <v>14217.314585319349</v>
      </c>
      <c r="DR252" s="466">
        <f t="shared" ca="1" si="614"/>
        <v>14213.220000000001</v>
      </c>
      <c r="DS252" s="466">
        <f t="shared" ca="1" si="614"/>
        <v>14215.425000000003</v>
      </c>
      <c r="DT252" s="1795">
        <f t="shared" ca="1" si="614"/>
        <v>14143.650000000001</v>
      </c>
      <c r="DU252" s="774">
        <f t="shared" ca="1" si="614"/>
        <v>16600.312132183339</v>
      </c>
      <c r="DV252" s="466">
        <f t="shared" ref="DV252:DZ252" ca="1" si="618">DV253-DV251</f>
        <v>15219.550000000003</v>
      </c>
      <c r="DW252" s="466">
        <f t="shared" ca="1" si="618"/>
        <v>16215.425000000003</v>
      </c>
      <c r="DX252" s="466">
        <f t="shared" ca="1" si="618"/>
        <v>17215.425000000003</v>
      </c>
      <c r="DY252" s="1795">
        <f t="shared" ca="1" si="618"/>
        <v>18143.650000000001</v>
      </c>
      <c r="DZ252" s="774">
        <f t="shared" ca="1" si="618"/>
        <v>20746.772499999999</v>
      </c>
      <c r="EA252" s="466">
        <f t="shared" ref="EA252:EE252" ca="1" si="619">EA253-EA251</f>
        <v>19219.550000000003</v>
      </c>
      <c r="EB252" s="466">
        <f t="shared" ca="1" si="619"/>
        <v>20215.425000000003</v>
      </c>
      <c r="EC252" s="466">
        <f t="shared" ca="1" si="619"/>
        <v>21215.425000000003</v>
      </c>
      <c r="ED252" s="1795">
        <f t="shared" ca="1" si="619"/>
        <v>22143.65</v>
      </c>
      <c r="EE252" s="774">
        <f t="shared" ca="1" si="619"/>
        <v>24840.822500000002</v>
      </c>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row>
    <row r="253" spans="2:232" s="54" customFormat="1" ht="11.25" customHeight="1" outlineLevel="1">
      <c r="B253" s="765" t="s">
        <v>398</v>
      </c>
      <c r="C253" s="64"/>
      <c r="D253" s="64"/>
      <c r="E253" s="64"/>
      <c r="F253" s="73"/>
      <c r="G253" s="73"/>
      <c r="H253" s="279"/>
      <c r="I253" s="73"/>
      <c r="J253" s="73"/>
      <c r="K253" s="73"/>
      <c r="L253" s="73"/>
      <c r="M253" s="73"/>
      <c r="N253" s="73"/>
      <c r="O253" s="73"/>
      <c r="P253" s="73"/>
      <c r="Q253" s="73"/>
      <c r="R253" s="73"/>
      <c r="S253" s="73"/>
      <c r="T253" s="471"/>
      <c r="U253" s="471"/>
      <c r="V253" s="471"/>
      <c r="W253" s="471"/>
      <c r="X253" s="471"/>
      <c r="Y253" s="471"/>
      <c r="Z253" s="471"/>
      <c r="AA253" s="471"/>
      <c r="AB253" s="471"/>
      <c r="AC253" s="471"/>
      <c r="AD253" s="471"/>
      <c r="AE253" s="471"/>
      <c r="AF253" s="471"/>
      <c r="AG253" s="471"/>
      <c r="AH253" s="471"/>
      <c r="AI253" s="471"/>
      <c r="AJ253" s="471"/>
      <c r="AK253" s="471"/>
      <c r="AL253" s="471"/>
      <c r="AM253" s="471"/>
      <c r="AN253" s="471">
        <f>AN254+AN255-AN256-AN258+AN257</f>
        <v>4508.0469252414459</v>
      </c>
      <c r="AO253" s="471"/>
      <c r="AP253" s="471"/>
      <c r="AQ253" s="471"/>
      <c r="AR253" s="471"/>
      <c r="AS253" s="471">
        <f>AS254+AS255-AS256-AS258+AS257</f>
        <v>5623.566249475527</v>
      </c>
      <c r="AT253" s="471"/>
      <c r="AU253" s="471"/>
      <c r="AV253" s="471"/>
      <c r="AW253" s="471"/>
      <c r="AX253" s="471">
        <f>AX254+AX255-AX256-AX258+AX257</f>
        <v>6025.4681528787778</v>
      </c>
      <c r="AY253" s="471"/>
      <c r="AZ253" s="471"/>
      <c r="BA253" s="471"/>
      <c r="BB253" s="471"/>
      <c r="BC253" s="471">
        <f>BC254+BC255-BC256-BC258+BC257</f>
        <v>6820.975067717548</v>
      </c>
      <c r="BD253" s="471"/>
      <c r="BE253" s="471"/>
      <c r="BF253" s="471"/>
      <c r="BG253" s="471"/>
      <c r="BH253" s="471">
        <f>BH254+BH255-BH256-BH258+BH257</f>
        <v>7716.2737634650302</v>
      </c>
      <c r="BI253" s="471"/>
      <c r="BJ253" s="471"/>
      <c r="BK253" s="471"/>
      <c r="BL253" s="471"/>
      <c r="BM253" s="471">
        <f>BM254+BM255-BM256-BM258+BM257</f>
        <v>8900.2564515817558</v>
      </c>
      <c r="BN253" s="471"/>
      <c r="BO253" s="471"/>
      <c r="BP253" s="471"/>
      <c r="BQ253" s="471"/>
      <c r="BR253" s="471">
        <f t="shared" ref="BR253:CW253" si="620">BR254+BR255-BR256-BR258+BR257</f>
        <v>10256.161514699765</v>
      </c>
      <c r="BS253" s="466">
        <f t="shared" si="620"/>
        <v>13090.727735823149</v>
      </c>
      <c r="BT253" s="466">
        <f t="shared" si="620"/>
        <v>13595.125573679845</v>
      </c>
      <c r="BU253" s="466">
        <f t="shared" si="620"/>
        <v>14074.905694261935</v>
      </c>
      <c r="BV253" s="466">
        <f t="shared" si="620"/>
        <v>14462.787000435928</v>
      </c>
      <c r="BW253" s="466">
        <f t="shared" si="620"/>
        <v>11747.063121806763</v>
      </c>
      <c r="BX253" s="466">
        <f t="shared" si="620"/>
        <v>14790.64495456437</v>
      </c>
      <c r="BY253" s="466">
        <f t="shared" si="620"/>
        <v>15304.749505386424</v>
      </c>
      <c r="BZ253" s="466">
        <f t="shared" si="620"/>
        <v>15718.045920046161</v>
      </c>
      <c r="CA253" s="466">
        <f t="shared" si="620"/>
        <v>16042.821797195869</v>
      </c>
      <c r="CB253" s="466">
        <f t="shared" si="620"/>
        <v>12869.969173620437</v>
      </c>
      <c r="CC253" s="466">
        <f t="shared" si="620"/>
        <v>16413.125258167885</v>
      </c>
      <c r="CD253" s="466">
        <f t="shared" si="620"/>
        <v>16964.676504195326</v>
      </c>
      <c r="CE253" s="466">
        <f t="shared" si="620"/>
        <v>17302.052795466985</v>
      </c>
      <c r="CF253" s="466">
        <f t="shared" si="620"/>
        <v>17651.081868567799</v>
      </c>
      <c r="CG253" s="774">
        <f t="shared" si="620"/>
        <v>13927.591264797586</v>
      </c>
      <c r="CH253" s="466">
        <f t="shared" si="620"/>
        <v>18080.149511836582</v>
      </c>
      <c r="CI253" s="466">
        <f t="shared" si="620"/>
        <v>18684.505719527602</v>
      </c>
      <c r="CJ253" s="466">
        <f t="shared" si="620"/>
        <v>19142.015112976122</v>
      </c>
      <c r="CK253" s="466">
        <f t="shared" si="620"/>
        <v>19828.685611946719</v>
      </c>
      <c r="CL253" s="774">
        <f t="shared" si="620"/>
        <v>15553.03632996156</v>
      </c>
      <c r="CM253" s="466">
        <f t="shared" si="620"/>
        <v>20175.933296019168</v>
      </c>
      <c r="CN253" s="466">
        <f t="shared" si="620"/>
        <v>20741.898529847695</v>
      </c>
      <c r="CO253" s="466">
        <f t="shared" si="620"/>
        <v>21111.340187351816</v>
      </c>
      <c r="CP253" s="466">
        <f t="shared" si="620"/>
        <v>24354.57431737582</v>
      </c>
      <c r="CQ253" s="774">
        <f t="shared" si="620"/>
        <v>19615.385044831084</v>
      </c>
      <c r="CR253" s="466">
        <f t="shared" si="620"/>
        <v>21352.004491017964</v>
      </c>
      <c r="CS253" s="466">
        <f t="shared" si="620"/>
        <v>21908.664429530203</v>
      </c>
      <c r="CT253" s="466">
        <f t="shared" si="620"/>
        <v>22348.555992141453</v>
      </c>
      <c r="CU253" s="466">
        <f t="shared" si="620"/>
        <v>22671.83185840708</v>
      </c>
      <c r="CV253" s="774">
        <f t="shared" si="620"/>
        <v>17537.53976389498</v>
      </c>
      <c r="CW253" s="466">
        <f t="shared" si="620"/>
        <v>23091.028880866426</v>
      </c>
      <c r="CX253" s="466">
        <f t="shared" ref="CX253:DF253" si="621">CX254+CX255-CX256-CX258+CX257</f>
        <v>23569.221374045803</v>
      </c>
      <c r="CY253" s="466">
        <f t="shared" si="621"/>
        <v>24026.093273542599</v>
      </c>
      <c r="CZ253" s="466">
        <f t="shared" si="621"/>
        <v>23468.741999999998</v>
      </c>
      <c r="DA253" s="774">
        <f t="shared" si="621"/>
        <v>18314.313789263895</v>
      </c>
      <c r="DB253" s="466">
        <f t="shared" si="621"/>
        <v>24014.066777963271</v>
      </c>
      <c r="DC253" s="466">
        <f t="shared" si="621"/>
        <v>34422.197298403604</v>
      </c>
      <c r="DD253" s="466">
        <f t="shared" si="621"/>
        <v>35413.546464056104</v>
      </c>
      <c r="DE253" s="466">
        <f t="shared" si="621"/>
        <v>34992.853658536587</v>
      </c>
      <c r="DF253" s="774">
        <f t="shared" si="621"/>
        <v>27214.887017044926</v>
      </c>
      <c r="DG253" s="466">
        <f t="shared" ref="DG253:DU253" si="622">DG254+DG255-DG256-DG258+DG257</f>
        <v>35854.965435978003</v>
      </c>
      <c r="DH253" s="466">
        <f t="shared" ref="DH253" si="623">DH254+DH255-DH256-DH258+DH257</f>
        <v>36452.277777777781</v>
      </c>
      <c r="DI253" s="466">
        <f t="shared" si="622"/>
        <v>37205.049504950497</v>
      </c>
      <c r="DJ253" s="466">
        <f t="shared" ref="DJ253" si="624">DJ254+DJ255-DJ256-DJ258+DJ257</f>
        <v>37813.656934306571</v>
      </c>
      <c r="DK253" s="774">
        <f t="shared" si="622"/>
        <v>26077.686934044679</v>
      </c>
      <c r="DL253" s="466">
        <f t="shared" si="622"/>
        <v>38523.992156862747</v>
      </c>
      <c r="DM253" s="466">
        <f t="shared" si="622"/>
        <v>39200.670278637772</v>
      </c>
      <c r="DN253" s="466">
        <f t="shared" si="622"/>
        <v>40187.92023633678</v>
      </c>
      <c r="DO253" s="2260">
        <f t="shared" ref="DO253:DQ253" si="625">DO254+DO255-DO256-DO258+DO257</f>
        <v>40455.137339055793</v>
      </c>
      <c r="DP253" s="2260">
        <f t="shared" si="622"/>
        <v>24710.007263821801</v>
      </c>
      <c r="DQ253" s="466">
        <f t="shared" si="625"/>
        <v>40973.314585319349</v>
      </c>
      <c r="DR253" s="466">
        <f t="shared" ca="1" si="622"/>
        <v>41826.730854292953</v>
      </c>
      <c r="DS253" s="466">
        <f t="shared" ca="1" si="622"/>
        <v>42647.5795157049</v>
      </c>
      <c r="DT253" s="1795">
        <f t="shared" ca="1" si="622"/>
        <v>43388.859138929307</v>
      </c>
      <c r="DU253" s="774">
        <f t="shared" ca="1" si="622"/>
        <v>45845.521271112644</v>
      </c>
      <c r="DV253" s="466">
        <f t="shared" ref="DV253:DZ253" ca="1" si="626">DV254+DV255-DV256-DV258+DV257</f>
        <v>44136.61172167895</v>
      </c>
      <c r="DW253" s="466">
        <f t="shared" ca="1" si="626"/>
        <v>45069.277440349913</v>
      </c>
      <c r="DX253" s="466">
        <f t="shared" ca="1" si="626"/>
        <v>46030.892032990792</v>
      </c>
      <c r="DY253" s="1795">
        <f t="shared" ca="1" si="626"/>
        <v>46957.762507076717</v>
      </c>
      <c r="DZ253" s="774">
        <f t="shared" ca="1" si="626"/>
        <v>49560.885007076715</v>
      </c>
      <c r="EA253" s="466">
        <f t="shared" ref="EA253:EE253" ca="1" si="627">EA254+EA255-EA256-EA258+EA257</f>
        <v>47904.811383891451</v>
      </c>
      <c r="EB253" s="466">
        <f t="shared" ca="1" si="627"/>
        <v>49015.553993500223</v>
      </c>
      <c r="EC253" s="466">
        <f t="shared" ca="1" si="627"/>
        <v>50170.150760371391</v>
      </c>
      <c r="ED253" s="1795">
        <f t="shared" ca="1" si="627"/>
        <v>51293.523925409419</v>
      </c>
      <c r="EE253" s="774">
        <f t="shared" ca="1" si="627"/>
        <v>53990.69642540942</v>
      </c>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row>
    <row r="254" spans="2:232" s="54" customFormat="1" ht="11.25" customHeight="1" outlineLevel="1">
      <c r="B254" s="765" t="s">
        <v>399</v>
      </c>
      <c r="C254" s="64"/>
      <c r="D254" s="64"/>
      <c r="E254" s="64"/>
      <c r="F254" s="73"/>
      <c r="G254" s="73"/>
      <c r="H254" s="279"/>
      <c r="I254" s="73"/>
      <c r="J254" s="73"/>
      <c r="K254" s="73"/>
      <c r="L254" s="73"/>
      <c r="M254" s="73"/>
      <c r="N254" s="73"/>
      <c r="O254" s="73"/>
      <c r="P254" s="73"/>
      <c r="Q254" s="73"/>
      <c r="R254" s="73"/>
      <c r="S254" s="73"/>
      <c r="T254" s="471"/>
      <c r="U254" s="471"/>
      <c r="V254" s="471"/>
      <c r="W254" s="471"/>
      <c r="X254" s="471"/>
      <c r="Y254" s="471"/>
      <c r="Z254" s="471"/>
      <c r="AA254" s="471"/>
      <c r="AB254" s="471"/>
      <c r="AC254" s="471"/>
      <c r="AD254" s="471"/>
      <c r="AE254" s="471"/>
      <c r="AF254" s="471"/>
      <c r="AG254" s="471"/>
      <c r="AH254" s="471"/>
      <c r="AI254" s="471"/>
      <c r="AJ254" s="471"/>
      <c r="AK254" s="471"/>
      <c r="AL254" s="471"/>
      <c r="AM254" s="471"/>
      <c r="AN254" s="471">
        <f>AN232+AN233+AN235</f>
        <v>5207.2</v>
      </c>
      <c r="AO254" s="471"/>
      <c r="AP254" s="471"/>
      <c r="AQ254" s="471"/>
      <c r="AR254" s="471"/>
      <c r="AS254" s="471">
        <f>AS232+AS233+AS235</f>
        <v>6468.5999999999995</v>
      </c>
      <c r="AT254" s="471"/>
      <c r="AU254" s="471"/>
      <c r="AV254" s="471"/>
      <c r="AW254" s="471"/>
      <c r="AX254" s="471">
        <f>AX232+AX233+AX235</f>
        <v>7117.7999999999993</v>
      </c>
      <c r="AY254" s="471"/>
      <c r="AZ254" s="471"/>
      <c r="BA254" s="471"/>
      <c r="BB254" s="471"/>
      <c r="BC254" s="471">
        <f>BC232+BC233+BC235</f>
        <v>8216.0000004359317</v>
      </c>
      <c r="BD254" s="471"/>
      <c r="BE254" s="471"/>
      <c r="BF254" s="471"/>
      <c r="BG254" s="471"/>
      <c r="BH254" s="471">
        <f>BH232+BH233+BH235</f>
        <v>9404.6000004359321</v>
      </c>
      <c r="BI254" s="471"/>
      <c r="BJ254" s="471"/>
      <c r="BK254" s="471"/>
      <c r="BL254" s="471"/>
      <c r="BM254" s="471">
        <f>BM232+BM233+BM235</f>
        <v>10880.000000435934</v>
      </c>
      <c r="BN254" s="471"/>
      <c r="BO254" s="471"/>
      <c r="BP254" s="471"/>
      <c r="BQ254" s="471"/>
      <c r="BR254" s="471">
        <f t="shared" ref="BR254:CW254" si="628">BR232+BR233+BR235</f>
        <v>12610.200000435931</v>
      </c>
      <c r="BS254" s="466">
        <f t="shared" si="628"/>
        <v>13073.9</v>
      </c>
      <c r="BT254" s="466">
        <f t="shared" si="628"/>
        <v>13575.8</v>
      </c>
      <c r="BU254" s="466">
        <f t="shared" si="628"/>
        <v>14064.8</v>
      </c>
      <c r="BV254" s="466">
        <f t="shared" si="628"/>
        <v>14447.100000435928</v>
      </c>
      <c r="BW254" s="466">
        <f t="shared" si="628"/>
        <v>14447.100000435928</v>
      </c>
      <c r="BX254" s="466">
        <f t="shared" si="628"/>
        <v>14760.700000435929</v>
      </c>
      <c r="BY254" s="466">
        <f t="shared" si="628"/>
        <v>15273.700000435929</v>
      </c>
      <c r="BZ254" s="466">
        <f t="shared" si="628"/>
        <v>15697.700000435929</v>
      </c>
      <c r="CA254" s="466">
        <f t="shared" si="628"/>
        <v>16012.000000435928</v>
      </c>
      <c r="CB254" s="466">
        <f t="shared" si="628"/>
        <v>16012.000000435928</v>
      </c>
      <c r="CC254" s="466">
        <f t="shared" si="628"/>
        <v>16391.700000435929</v>
      </c>
      <c r="CD254" s="466">
        <f t="shared" si="628"/>
        <v>16947.700000435929</v>
      </c>
      <c r="CE254" s="466">
        <f t="shared" si="628"/>
        <v>17291.700000435929</v>
      </c>
      <c r="CF254" s="466">
        <f t="shared" si="628"/>
        <v>17611.700000435929</v>
      </c>
      <c r="CG254" s="774">
        <f t="shared" si="628"/>
        <v>17612</v>
      </c>
      <c r="CH254" s="466">
        <f t="shared" si="628"/>
        <v>18053.700000435929</v>
      </c>
      <c r="CI254" s="466">
        <f t="shared" si="628"/>
        <v>18649.700000435929</v>
      </c>
      <c r="CJ254" s="466">
        <f t="shared" si="628"/>
        <v>19109.700000435929</v>
      </c>
      <c r="CK254" s="466">
        <f t="shared" si="628"/>
        <v>19790.700000435929</v>
      </c>
      <c r="CL254" s="774">
        <f t="shared" si="628"/>
        <v>19791</v>
      </c>
      <c r="CM254" s="466">
        <f t="shared" si="628"/>
        <v>20147.700000435929</v>
      </c>
      <c r="CN254" s="466">
        <f t="shared" si="628"/>
        <v>20696.700000435929</v>
      </c>
      <c r="CO254" s="466">
        <f t="shared" si="628"/>
        <v>21073.700000435929</v>
      </c>
      <c r="CP254" s="466">
        <f t="shared" si="628"/>
        <v>24269.700000435929</v>
      </c>
      <c r="CQ254" s="774">
        <f t="shared" si="628"/>
        <v>24269.700000435929</v>
      </c>
      <c r="CR254" s="466">
        <f t="shared" si="628"/>
        <v>21318</v>
      </c>
      <c r="CS254" s="466">
        <f t="shared" si="628"/>
        <v>21863</v>
      </c>
      <c r="CT254" s="466">
        <f t="shared" si="628"/>
        <v>22275</v>
      </c>
      <c r="CU254" s="466">
        <f t="shared" si="628"/>
        <v>22677</v>
      </c>
      <c r="CV254" s="774">
        <f t="shared" si="628"/>
        <v>22677</v>
      </c>
      <c r="CW254" s="466">
        <f t="shared" si="628"/>
        <v>23051</v>
      </c>
      <c r="CX254" s="466">
        <f t="shared" ref="CX254:DF254" si="629">CX232+CX233+CX235</f>
        <v>23536</v>
      </c>
      <c r="CY254" s="466">
        <f t="shared" si="629"/>
        <v>23998</v>
      </c>
      <c r="CZ254" s="466">
        <f t="shared" si="629"/>
        <v>23481</v>
      </c>
      <c r="DA254" s="774">
        <f t="shared" si="629"/>
        <v>23481</v>
      </c>
      <c r="DB254" s="466">
        <f t="shared" si="629"/>
        <v>23976</v>
      </c>
      <c r="DC254" s="466">
        <f t="shared" si="629"/>
        <v>34376</v>
      </c>
      <c r="DD254" s="466">
        <f t="shared" si="629"/>
        <v>35361</v>
      </c>
      <c r="DE254" s="466">
        <f t="shared" si="629"/>
        <v>35054</v>
      </c>
      <c r="DF254" s="774">
        <f t="shared" si="629"/>
        <v>35054</v>
      </c>
      <c r="DG254" s="466">
        <f t="shared" ref="DG254:DU254" si="630">DG232+DG233+DG235</f>
        <v>35815</v>
      </c>
      <c r="DH254" s="466">
        <f t="shared" ref="DH254" si="631">DH232+DH233+DH235</f>
        <v>36401</v>
      </c>
      <c r="DI254" s="466">
        <f t="shared" si="630"/>
        <v>37134</v>
      </c>
      <c r="DJ254" s="466">
        <f t="shared" ref="DJ254" si="632">DJ232+DJ233+DJ235</f>
        <v>37807</v>
      </c>
      <c r="DK254" s="774">
        <f t="shared" si="630"/>
        <v>37807</v>
      </c>
      <c r="DL254" s="466">
        <f t="shared" si="630"/>
        <v>38476</v>
      </c>
      <c r="DM254" s="466">
        <f t="shared" si="630"/>
        <v>39161</v>
      </c>
      <c r="DN254" s="466">
        <f t="shared" si="630"/>
        <v>40145</v>
      </c>
      <c r="DO254" s="2260">
        <f t="shared" ref="DO254:DQ254" si="633">DO232+DO233+DO235</f>
        <v>40488</v>
      </c>
      <c r="DP254" s="2260">
        <f t="shared" si="630"/>
        <v>40488</v>
      </c>
      <c r="DQ254" s="466">
        <f t="shared" si="633"/>
        <v>40931</v>
      </c>
      <c r="DR254" s="466">
        <f t="shared" ca="1" si="630"/>
        <v>41788.510854292952</v>
      </c>
      <c r="DS254" s="466">
        <f t="shared" ca="1" si="630"/>
        <v>42607.154515704897</v>
      </c>
      <c r="DT254" s="1795">
        <f t="shared" ca="1" si="630"/>
        <v>43420.209138929305</v>
      </c>
      <c r="DU254" s="774">
        <f t="shared" ca="1" si="630"/>
        <v>43420.209138929305</v>
      </c>
      <c r="DV254" s="466">
        <f t="shared" ref="DV254:DZ254" ca="1" si="634">DV232+DV233+DV235</f>
        <v>44092.061721678947</v>
      </c>
      <c r="DW254" s="466">
        <f t="shared" ca="1" si="634"/>
        <v>45028.85244034991</v>
      </c>
      <c r="DX254" s="466">
        <f t="shared" ca="1" si="634"/>
        <v>45990.467032990789</v>
      </c>
      <c r="DY254" s="1795">
        <f t="shared" ca="1" si="634"/>
        <v>46989.112507076716</v>
      </c>
      <c r="DZ254" s="774">
        <f t="shared" ca="1" si="634"/>
        <v>46989.112507076716</v>
      </c>
      <c r="EA254" s="466">
        <f t="shared" ref="EA254:EE254" ca="1" si="635">EA232+EA233+EA235</f>
        <v>47860.261383891448</v>
      </c>
      <c r="EB254" s="466">
        <f t="shared" ca="1" si="635"/>
        <v>48975.128993500221</v>
      </c>
      <c r="EC254" s="466">
        <f t="shared" ca="1" si="635"/>
        <v>50129.725760371388</v>
      </c>
      <c r="ED254" s="1795">
        <f t="shared" ca="1" si="635"/>
        <v>51324.873925409418</v>
      </c>
      <c r="EE254" s="774">
        <f t="shared" ca="1" si="635"/>
        <v>51324.873925409418</v>
      </c>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row>
    <row r="255" spans="2:232" s="54" customFormat="1" ht="11.25" customHeight="1" outlineLevel="1">
      <c r="B255" s="538" t="s">
        <v>104</v>
      </c>
      <c r="C255" s="64"/>
      <c r="D255" s="64"/>
      <c r="E255" s="64"/>
      <c r="F255" s="73"/>
      <c r="G255" s="73"/>
      <c r="H255" s="279"/>
      <c r="I255" s="73"/>
      <c r="J255" s="73"/>
      <c r="K255" s="73"/>
      <c r="L255" s="73"/>
      <c r="M255" s="73"/>
      <c r="N255" s="73"/>
      <c r="O255" s="73"/>
      <c r="P255" s="73"/>
      <c r="Q255" s="73"/>
      <c r="R255" s="73"/>
      <c r="S255" s="73"/>
      <c r="T255" s="471"/>
      <c r="U255" s="471"/>
      <c r="V255" s="471"/>
      <c r="W255" s="471"/>
      <c r="X255" s="471"/>
      <c r="Y255" s="471"/>
      <c r="Z255" s="471"/>
      <c r="AA255" s="471"/>
      <c r="AB255" s="471"/>
      <c r="AC255" s="471"/>
      <c r="AD255" s="471"/>
      <c r="AE255" s="471"/>
      <c r="AF255" s="471"/>
      <c r="AG255" s="471"/>
      <c r="AH255" s="471"/>
      <c r="AI255" s="471"/>
      <c r="AJ255" s="471"/>
      <c r="AK255" s="471"/>
      <c r="AL255" s="471"/>
      <c r="AM255" s="471"/>
      <c r="AN255" s="471">
        <v>6216.8395764892539</v>
      </c>
      <c r="AO255" s="471"/>
      <c r="AP255" s="471"/>
      <c r="AQ255" s="471"/>
      <c r="AR255" s="471"/>
      <c r="AS255" s="471">
        <v>7471.0192768881352</v>
      </c>
      <c r="AT255" s="471"/>
      <c r="AU255" s="471"/>
      <c r="AV255" s="471"/>
      <c r="AW255" s="471"/>
      <c r="AX255" s="471">
        <v>9708.1431066138539</v>
      </c>
      <c r="AY255" s="471"/>
      <c r="AZ255" s="471"/>
      <c r="BA255" s="471"/>
      <c r="BB255" s="471"/>
      <c r="BC255" s="471">
        <v>10961.029851244388</v>
      </c>
      <c r="BD255" s="471"/>
      <c r="BE255" s="471"/>
      <c r="BF255" s="471"/>
      <c r="BG255" s="471"/>
      <c r="BH255" s="471">
        <v>11786.692093501601</v>
      </c>
      <c r="BI255" s="471"/>
      <c r="BJ255" s="471"/>
      <c r="BK255" s="471"/>
      <c r="BL255" s="471"/>
      <c r="BM255" s="471">
        <v>12665.732780370523</v>
      </c>
      <c r="BN255" s="471"/>
      <c r="BO255" s="471"/>
      <c r="BP255" s="471"/>
      <c r="BQ255" s="471"/>
      <c r="BR255" s="471">
        <v>14161.231004666688</v>
      </c>
      <c r="BS255" s="466">
        <v>0</v>
      </c>
      <c r="BT255" s="466">
        <v>0</v>
      </c>
      <c r="BU255" s="466">
        <v>0</v>
      </c>
      <c r="BV255" s="466">
        <v>0</v>
      </c>
      <c r="BW255" s="466">
        <v>15906.425755181544</v>
      </c>
      <c r="BX255" s="466">
        <v>0</v>
      </c>
      <c r="BY255" s="466">
        <v>0</v>
      </c>
      <c r="BZ255" s="466">
        <v>0</v>
      </c>
      <c r="CA255" s="466">
        <v>0</v>
      </c>
      <c r="CB255" s="466">
        <v>16463.705433442668</v>
      </c>
      <c r="CC255" s="466">
        <v>0</v>
      </c>
      <c r="CD255" s="466">
        <v>0</v>
      </c>
      <c r="CE255" s="466">
        <v>0</v>
      </c>
      <c r="CF255" s="466">
        <v>0</v>
      </c>
      <c r="CG255" s="774">
        <v>20396.110223969321</v>
      </c>
      <c r="CH255" s="466">
        <v>0</v>
      </c>
      <c r="CI255" s="466">
        <v>0</v>
      </c>
      <c r="CJ255" s="466">
        <v>0</v>
      </c>
      <c r="CK255" s="466">
        <v>0</v>
      </c>
      <c r="CL255" s="774">
        <v>20017.102752519932</v>
      </c>
      <c r="CM255" s="466">
        <v>0</v>
      </c>
      <c r="CN255" s="466">
        <v>0</v>
      </c>
      <c r="CO255" s="466">
        <v>0</v>
      </c>
      <c r="CP255" s="466">
        <v>0</v>
      </c>
      <c r="CQ255" s="774">
        <v>19751.570068391084</v>
      </c>
      <c r="CR255" s="466">
        <v>0</v>
      </c>
      <c r="CS255" s="466">
        <v>0</v>
      </c>
      <c r="CT255" s="466">
        <v>0</v>
      </c>
      <c r="CU255" s="466">
        <v>0</v>
      </c>
      <c r="CV255" s="774">
        <v>19435.57126016439</v>
      </c>
      <c r="CW255" s="466">
        <v>0</v>
      </c>
      <c r="CX255" s="466">
        <v>0</v>
      </c>
      <c r="CY255" s="466">
        <v>0</v>
      </c>
      <c r="CZ255" s="466">
        <v>0</v>
      </c>
      <c r="DA255" s="774">
        <v>19216.350624300689</v>
      </c>
      <c r="DB255" s="466">
        <v>0</v>
      </c>
      <c r="DC255" s="466">
        <v>0</v>
      </c>
      <c r="DD255" s="466">
        <v>0</v>
      </c>
      <c r="DE255" s="466">
        <v>0</v>
      </c>
      <c r="DF255" s="774">
        <v>19009.582572658503</v>
      </c>
      <c r="DG255" s="466">
        <v>0</v>
      </c>
      <c r="DH255" s="466">
        <v>0</v>
      </c>
      <c r="DI255" s="466">
        <v>0</v>
      </c>
      <c r="DJ255" s="466">
        <v>0</v>
      </c>
      <c r="DK255" s="774">
        <v>18385.07271265575</v>
      </c>
      <c r="DL255" s="466">
        <v>0</v>
      </c>
      <c r="DM255" s="466">
        <v>0</v>
      </c>
      <c r="DN255" s="466">
        <v>0</v>
      </c>
      <c r="DO255" s="2260">
        <v>0</v>
      </c>
      <c r="DP255" s="2260">
        <v>18851.629459466258</v>
      </c>
      <c r="DQ255" s="466">
        <v>0</v>
      </c>
      <c r="DR255" s="466">
        <v>0</v>
      </c>
      <c r="DS255" s="466">
        <v>0</v>
      </c>
      <c r="DT255" s="1795">
        <v>0</v>
      </c>
      <c r="DU255" s="774">
        <v>0</v>
      </c>
      <c r="DV255" s="466">
        <v>0</v>
      </c>
      <c r="DW255" s="466">
        <v>0</v>
      </c>
      <c r="DX255" s="466">
        <v>0</v>
      </c>
      <c r="DY255" s="1795">
        <v>0</v>
      </c>
      <c r="DZ255" s="774" t="b">
        <v>0</v>
      </c>
      <c r="EA255" s="466">
        <v>0</v>
      </c>
      <c r="EB255" s="466">
        <v>0</v>
      </c>
      <c r="EC255" s="466">
        <v>0</v>
      </c>
      <c r="ED255" s="1795">
        <v>0</v>
      </c>
      <c r="EE255" s="774">
        <v>0</v>
      </c>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row>
    <row r="256" spans="2:232" s="54" customFormat="1" ht="11.25" customHeight="1" outlineLevel="1">
      <c r="B256" s="538" t="s">
        <v>125</v>
      </c>
      <c r="C256" s="64"/>
      <c r="D256" s="64"/>
      <c r="E256" s="64"/>
      <c r="F256" s="73"/>
      <c r="G256" s="73"/>
      <c r="H256" s="279"/>
      <c r="I256" s="73"/>
      <c r="J256" s="73"/>
      <c r="K256" s="73"/>
      <c r="L256" s="73"/>
      <c r="M256" s="73"/>
      <c r="N256" s="73"/>
      <c r="O256" s="73"/>
      <c r="P256" s="73"/>
      <c r="Q256" s="73"/>
      <c r="R256" s="73"/>
      <c r="S256" s="73"/>
      <c r="T256" s="471"/>
      <c r="U256" s="471"/>
      <c r="V256" s="471"/>
      <c r="W256" s="471"/>
      <c r="X256" s="471"/>
      <c r="Y256" s="471"/>
      <c r="Z256" s="471"/>
      <c r="AA256" s="471"/>
      <c r="AB256" s="471"/>
      <c r="AC256" s="471"/>
      <c r="AD256" s="471"/>
      <c r="AE256" s="471"/>
      <c r="AF256" s="471"/>
      <c r="AG256" s="471"/>
      <c r="AH256" s="471"/>
      <c r="AI256" s="471"/>
      <c r="AJ256" s="471"/>
      <c r="AK256" s="471"/>
      <c r="AL256" s="471"/>
      <c r="AM256" s="471"/>
      <c r="AN256" s="471">
        <v>7977.6160438097077</v>
      </c>
      <c r="AO256" s="471"/>
      <c r="AP256" s="471"/>
      <c r="AQ256" s="471"/>
      <c r="AR256" s="471"/>
      <c r="AS256" s="471">
        <v>9521.9715689219902</v>
      </c>
      <c r="AT256" s="471"/>
      <c r="AU256" s="471"/>
      <c r="AV256" s="471"/>
      <c r="AW256" s="471"/>
      <c r="AX256" s="471">
        <v>12198.59257772166</v>
      </c>
      <c r="AY256" s="471"/>
      <c r="AZ256" s="471"/>
      <c r="BA256" s="471"/>
      <c r="BB256" s="471"/>
      <c r="BC256" s="471">
        <v>13927.688123240943</v>
      </c>
      <c r="BD256" s="471"/>
      <c r="BE256" s="471"/>
      <c r="BF256" s="471"/>
      <c r="BG256" s="471"/>
      <c r="BH256" s="471">
        <v>15249.342819699579</v>
      </c>
      <c r="BI256" s="471"/>
      <c r="BJ256" s="471"/>
      <c r="BK256" s="471"/>
      <c r="BL256" s="471"/>
      <c r="BM256" s="471">
        <v>16679.82875197985</v>
      </c>
      <c r="BN256" s="471"/>
      <c r="BO256" s="471"/>
      <c r="BP256" s="471"/>
      <c r="BQ256" s="471"/>
      <c r="BR256" s="471">
        <v>18808.079182052024</v>
      </c>
      <c r="BS256" s="466">
        <v>0</v>
      </c>
      <c r="BT256" s="466">
        <v>0</v>
      </c>
      <c r="BU256" s="466">
        <v>0</v>
      </c>
      <c r="BV256" s="466">
        <v>0</v>
      </c>
      <c r="BW256" s="466">
        <v>21327.588812175207</v>
      </c>
      <c r="BX256" s="466">
        <v>0</v>
      </c>
      <c r="BY256" s="466">
        <v>0</v>
      </c>
      <c r="BZ256" s="466">
        <v>0</v>
      </c>
      <c r="CA256" s="466">
        <v>0</v>
      </c>
      <c r="CB256" s="466">
        <v>22658.830725588337</v>
      </c>
      <c r="CC256" s="466">
        <v>0</v>
      </c>
      <c r="CD256" s="466">
        <v>0</v>
      </c>
      <c r="CE256" s="466">
        <v>0</v>
      </c>
      <c r="CF256" s="466">
        <v>0</v>
      </c>
      <c r="CG256" s="774">
        <v>27718.743874776465</v>
      </c>
      <c r="CH256" s="466">
        <v>0</v>
      </c>
      <c r="CI256" s="466">
        <v>0</v>
      </c>
      <c r="CJ256" s="466">
        <v>0</v>
      </c>
      <c r="CK256" s="466">
        <v>0</v>
      </c>
      <c r="CL256" s="774">
        <v>28309.567085292612</v>
      </c>
      <c r="CM256" s="466">
        <v>0</v>
      </c>
      <c r="CN256" s="466">
        <v>0</v>
      </c>
      <c r="CO256" s="466">
        <v>0</v>
      </c>
      <c r="CP256" s="466">
        <v>0</v>
      </c>
      <c r="CQ256" s="774">
        <v>29035.254784010245</v>
      </c>
      <c r="CR256" s="466">
        <v>0</v>
      </c>
      <c r="CS256" s="466">
        <v>0</v>
      </c>
      <c r="CT256" s="466">
        <v>0</v>
      </c>
      <c r="CU256" s="466">
        <v>0</v>
      </c>
      <c r="CV256" s="774">
        <v>29741.564166135431</v>
      </c>
      <c r="CW256" s="466">
        <v>0</v>
      </c>
      <c r="CX256" s="466">
        <v>0</v>
      </c>
      <c r="CY256" s="466">
        <v>0</v>
      </c>
      <c r="CZ256" s="466">
        <v>0</v>
      </c>
      <c r="DA256" s="774">
        <v>30537.347252359927</v>
      </c>
      <c r="DB256" s="466">
        <v>0</v>
      </c>
      <c r="DC256" s="466">
        <v>0</v>
      </c>
      <c r="DD256" s="466">
        <v>0</v>
      </c>
      <c r="DE256" s="466">
        <v>0</v>
      </c>
      <c r="DF256" s="774">
        <v>31351.495745977983</v>
      </c>
      <c r="DG256" s="466">
        <v>0</v>
      </c>
      <c r="DH256" s="466">
        <v>0</v>
      </c>
      <c r="DI256" s="466">
        <v>0</v>
      </c>
      <c r="DJ256" s="466">
        <v>0</v>
      </c>
      <c r="DK256" s="774">
        <v>35705.585736835674</v>
      </c>
      <c r="DL256" s="466">
        <v>0</v>
      </c>
      <c r="DM256" s="466">
        <v>0</v>
      </c>
      <c r="DN256" s="466">
        <v>0</v>
      </c>
      <c r="DO256" s="2260">
        <v>0</v>
      </c>
      <c r="DP256" s="2260">
        <v>40548.551927704953</v>
      </c>
      <c r="DQ256" s="466">
        <v>0</v>
      </c>
      <c r="DR256" s="466">
        <v>0</v>
      </c>
      <c r="DS256" s="466">
        <v>0</v>
      </c>
      <c r="DT256" s="1795">
        <v>0</v>
      </c>
      <c r="DU256" s="774">
        <v>0</v>
      </c>
      <c r="DV256" s="466">
        <v>0</v>
      </c>
      <c r="DW256" s="466">
        <v>0</v>
      </c>
      <c r="DX256" s="466">
        <v>0</v>
      </c>
      <c r="DY256" s="1795">
        <v>0</v>
      </c>
      <c r="DZ256" s="774" t="b">
        <v>0</v>
      </c>
      <c r="EA256" s="466">
        <v>0</v>
      </c>
      <c r="EB256" s="466">
        <v>0</v>
      </c>
      <c r="EC256" s="466">
        <v>0</v>
      </c>
      <c r="ED256" s="1795">
        <v>0</v>
      </c>
      <c r="EE256" s="774">
        <v>0</v>
      </c>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row>
    <row r="257" spans="2:232" s="54" customFormat="1" ht="11.25" customHeight="1" outlineLevel="1">
      <c r="B257" s="538" t="s">
        <v>9</v>
      </c>
      <c r="C257" s="64"/>
      <c r="D257" s="64"/>
      <c r="E257" s="64"/>
      <c r="F257" s="73"/>
      <c r="G257" s="73"/>
      <c r="H257" s="279"/>
      <c r="I257" s="73"/>
      <c r="J257" s="73"/>
      <c r="K257" s="73"/>
      <c r="L257" s="73"/>
      <c r="M257" s="73"/>
      <c r="N257" s="73"/>
      <c r="O257" s="73"/>
      <c r="P257" s="73"/>
      <c r="Q257" s="73"/>
      <c r="R257" s="73"/>
      <c r="S257" s="73"/>
      <c r="T257" s="471"/>
      <c r="U257" s="471"/>
      <c r="V257" s="471"/>
      <c r="W257" s="471"/>
      <c r="X257" s="471"/>
      <c r="Y257" s="471"/>
      <c r="Z257" s="471"/>
      <c r="AA257" s="471"/>
      <c r="AB257" s="471"/>
      <c r="AC257" s="471"/>
      <c r="AD257" s="471"/>
      <c r="AE257" s="471"/>
      <c r="AF257" s="471"/>
      <c r="AG257" s="471"/>
      <c r="AH257" s="471"/>
      <c r="AI257" s="471"/>
      <c r="AJ257" s="471"/>
      <c r="AK257" s="471"/>
      <c r="AL257" s="471"/>
      <c r="AM257" s="471"/>
      <c r="AN257" s="471">
        <f>AN342</f>
        <v>637.6</v>
      </c>
      <c r="AO257" s="471"/>
      <c r="AP257" s="471"/>
      <c r="AQ257" s="471"/>
      <c r="AR257" s="471"/>
      <c r="AS257" s="471">
        <f>AS342</f>
        <v>693.5</v>
      </c>
      <c r="AT257" s="471"/>
      <c r="AU257" s="471"/>
      <c r="AV257" s="471"/>
      <c r="AW257" s="471"/>
      <c r="AX257" s="471">
        <f>AX342</f>
        <v>729.7</v>
      </c>
      <c r="AY257" s="471"/>
      <c r="AZ257" s="471"/>
      <c r="BA257" s="471"/>
      <c r="BB257" s="471"/>
      <c r="BC257" s="471">
        <f>BC342</f>
        <v>734.6</v>
      </c>
      <c r="BD257" s="471"/>
      <c r="BE257" s="471"/>
      <c r="BF257" s="471"/>
      <c r="BG257" s="471"/>
      <c r="BH257" s="471">
        <f>BH342</f>
        <v>804.2</v>
      </c>
      <c r="BI257" s="471"/>
      <c r="BJ257" s="471"/>
      <c r="BK257" s="471"/>
      <c r="BL257" s="471"/>
      <c r="BM257" s="471">
        <f>BM342</f>
        <v>899.5</v>
      </c>
      <c r="BN257" s="471"/>
      <c r="BO257" s="471"/>
      <c r="BP257" s="471"/>
      <c r="BQ257" s="471"/>
      <c r="BR257" s="471">
        <f>BR342</f>
        <v>968.8</v>
      </c>
      <c r="BS257" s="466">
        <f>BS341</f>
        <v>26.9</v>
      </c>
      <c r="BT257" s="466">
        <f>BT341</f>
        <v>30.6</v>
      </c>
      <c r="BU257" s="466">
        <f>BU341</f>
        <v>16.100000000000001</v>
      </c>
      <c r="BV257" s="466">
        <f>BV341</f>
        <v>24.9</v>
      </c>
      <c r="BW257" s="471">
        <f>BW342</f>
        <v>1067.3</v>
      </c>
      <c r="BX257" s="466">
        <f>BX341</f>
        <v>48</v>
      </c>
      <c r="BY257" s="466">
        <f>BY341</f>
        <v>49</v>
      </c>
      <c r="BZ257" s="466">
        <f>BZ341</f>
        <v>32</v>
      </c>
      <c r="CA257" s="466">
        <f>CA341</f>
        <v>48</v>
      </c>
      <c r="CB257" s="471">
        <f>CB342</f>
        <v>1239.3</v>
      </c>
      <c r="CC257" s="466">
        <f>CC341</f>
        <v>34</v>
      </c>
      <c r="CD257" s="466">
        <f>CD341</f>
        <v>27</v>
      </c>
      <c r="CE257" s="466">
        <f>CE341</f>
        <v>18</v>
      </c>
      <c r="CF257" s="466">
        <f>CF341</f>
        <v>61</v>
      </c>
      <c r="CG257" s="776">
        <f>CG342</f>
        <v>1379.3</v>
      </c>
      <c r="CH257" s="466">
        <f>CH341</f>
        <v>42</v>
      </c>
      <c r="CI257" s="466">
        <f>CI341</f>
        <v>56</v>
      </c>
      <c r="CJ257" s="466">
        <f>CJ341</f>
        <v>50</v>
      </c>
      <c r="CK257" s="466">
        <f>CK341</f>
        <v>60</v>
      </c>
      <c r="CL257" s="776">
        <f>CL342</f>
        <v>1587.3</v>
      </c>
      <c r="CM257" s="466">
        <f>CM341</f>
        <v>45</v>
      </c>
      <c r="CN257" s="466">
        <f>CN341</f>
        <v>72</v>
      </c>
      <c r="CO257" s="466">
        <f>CO341</f>
        <v>60</v>
      </c>
      <c r="CP257" s="466">
        <f>CP341</f>
        <v>132</v>
      </c>
      <c r="CQ257" s="776">
        <f>CQ342</f>
        <v>1896.3</v>
      </c>
      <c r="CR257" s="466">
        <f>CR341</f>
        <v>55</v>
      </c>
      <c r="CS257" s="466">
        <f>CS341</f>
        <v>72</v>
      </c>
      <c r="CT257" s="466">
        <f>CT341</f>
        <v>120</v>
      </c>
      <c r="CU257" s="466">
        <f>CU341</f>
        <v>-8</v>
      </c>
      <c r="CV257" s="776">
        <f>CV342</f>
        <v>2135.3000000000002</v>
      </c>
      <c r="CW257" s="466">
        <f>CW341</f>
        <v>63</v>
      </c>
      <c r="CX257" s="466">
        <f>CX341</f>
        <v>51</v>
      </c>
      <c r="CY257" s="466">
        <f>CY341</f>
        <v>41</v>
      </c>
      <c r="CZ257" s="466">
        <f>CZ341</f>
        <v>-18</v>
      </c>
      <c r="DA257" s="776">
        <f>DA342</f>
        <v>2272.3000000000002</v>
      </c>
      <c r="DB257" s="466">
        <f>DB341</f>
        <v>52</v>
      </c>
      <c r="DC257" s="466">
        <f>DC341</f>
        <v>55</v>
      </c>
      <c r="DD257" s="466">
        <f>DD341</f>
        <v>69</v>
      </c>
      <c r="DE257" s="466">
        <f>DE341</f>
        <v>109</v>
      </c>
      <c r="DF257" s="776">
        <f>DF342</f>
        <v>2557.3000000000002</v>
      </c>
      <c r="DG257" s="466">
        <f>DG341</f>
        <v>46</v>
      </c>
      <c r="DH257" s="466">
        <f>DH341</f>
        <v>68</v>
      </c>
      <c r="DI257" s="466">
        <f>DI341</f>
        <v>92</v>
      </c>
      <c r="DJ257" s="466">
        <f>DJ341</f>
        <v>8</v>
      </c>
      <c r="DK257" s="776">
        <f>DK342</f>
        <v>2771.3</v>
      </c>
      <c r="DL257" s="471">
        <f>DL341</f>
        <v>58</v>
      </c>
      <c r="DM257" s="471">
        <f>DM341</f>
        <v>49</v>
      </c>
      <c r="DN257" s="471">
        <f>DN341</f>
        <v>49</v>
      </c>
      <c r="DO257" s="2261">
        <f>DO341</f>
        <v>-38</v>
      </c>
      <c r="DP257" s="2261">
        <f>DP342</f>
        <v>2889.3</v>
      </c>
      <c r="DQ257" s="471">
        <f>DQ341</f>
        <v>54</v>
      </c>
      <c r="DR257" s="471">
        <f>DR341</f>
        <v>49</v>
      </c>
      <c r="DS257" s="471">
        <f>DS341</f>
        <v>49</v>
      </c>
      <c r="DT257" s="1480">
        <f>DT341</f>
        <v>-38</v>
      </c>
      <c r="DU257" s="776">
        <f>DU342</f>
        <v>3003.3</v>
      </c>
      <c r="DV257" s="471">
        <f>DV341</f>
        <v>54</v>
      </c>
      <c r="DW257" s="471">
        <f>DW341</f>
        <v>49</v>
      </c>
      <c r="DX257" s="471">
        <f>DX341</f>
        <v>49</v>
      </c>
      <c r="DY257" s="1480">
        <f>DY341</f>
        <v>-38</v>
      </c>
      <c r="DZ257" s="776">
        <f>DZ342</f>
        <v>3117.3</v>
      </c>
      <c r="EA257" s="471">
        <f>EA341</f>
        <v>54</v>
      </c>
      <c r="EB257" s="471">
        <f>EB341</f>
        <v>49</v>
      </c>
      <c r="EC257" s="471">
        <f>EC341</f>
        <v>49</v>
      </c>
      <c r="ED257" s="1480">
        <f>ED341</f>
        <v>-38</v>
      </c>
      <c r="EE257" s="776">
        <f>EE342</f>
        <v>3231.3</v>
      </c>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row>
    <row r="258" spans="2:232" s="54" customFormat="1" ht="11.25" customHeight="1" outlineLevel="1">
      <c r="B258" s="765" t="s">
        <v>126</v>
      </c>
      <c r="C258" s="64"/>
      <c r="D258" s="64"/>
      <c r="E258" s="64"/>
      <c r="F258" s="73"/>
      <c r="G258" s="73"/>
      <c r="H258" s="279"/>
      <c r="I258" s="73"/>
      <c r="J258" s="73"/>
      <c r="K258" s="73"/>
      <c r="L258" s="73"/>
      <c r="M258" s="73"/>
      <c r="N258" s="73"/>
      <c r="O258" s="73"/>
      <c r="P258" s="73"/>
      <c r="Q258" s="73"/>
      <c r="R258" s="73"/>
      <c r="S258" s="73"/>
      <c r="T258" s="471"/>
      <c r="U258" s="471"/>
      <c r="V258" s="471"/>
      <c r="W258" s="471"/>
      <c r="X258" s="471"/>
      <c r="Y258" s="471"/>
      <c r="Z258" s="471"/>
      <c r="AA258" s="471"/>
      <c r="AB258" s="471"/>
      <c r="AC258" s="471"/>
      <c r="AD258" s="471"/>
      <c r="AE258" s="471"/>
      <c r="AF258" s="471"/>
      <c r="AG258" s="471"/>
      <c r="AH258" s="471"/>
      <c r="AI258" s="471"/>
      <c r="AJ258" s="471"/>
      <c r="AK258" s="471"/>
      <c r="AL258" s="471"/>
      <c r="AM258" s="471"/>
      <c r="AN258" s="471">
        <f>(AN255-AN256+AN257)*Model!AN30</f>
        <v>-424.02339256190095</v>
      </c>
      <c r="AO258" s="471"/>
      <c r="AP258" s="471"/>
      <c r="AQ258" s="471"/>
      <c r="AR258" s="471"/>
      <c r="AS258" s="471">
        <f>(AS255-AS256+AS257)*Model!AS30</f>
        <v>-512.41854150938343</v>
      </c>
      <c r="AT258" s="471"/>
      <c r="AU258" s="471"/>
      <c r="AV258" s="471"/>
      <c r="AW258" s="471"/>
      <c r="AX258" s="471">
        <f>(AX255-AX256+AX257)*Model!AX30</f>
        <v>-668.417623986585</v>
      </c>
      <c r="AY258" s="471"/>
      <c r="AZ258" s="471"/>
      <c r="BA258" s="471"/>
      <c r="BB258" s="471"/>
      <c r="BC258" s="471">
        <f>(BC255-BC256+BC257)*Model!BC30</f>
        <v>-837.03333927817118</v>
      </c>
      <c r="BD258" s="471"/>
      <c r="BE258" s="471"/>
      <c r="BF258" s="471"/>
      <c r="BG258" s="471"/>
      <c r="BH258" s="471">
        <f>(BH255-BH256+BH257)*Model!BH30</f>
        <v>-970.12448922707654</v>
      </c>
      <c r="BI258" s="471"/>
      <c r="BJ258" s="471"/>
      <c r="BK258" s="471"/>
      <c r="BL258" s="471"/>
      <c r="BM258" s="471">
        <f>(BM255-BM256+BM257)*Model!BM30</f>
        <v>-1134.8524227551484</v>
      </c>
      <c r="BN258" s="471"/>
      <c r="BO258" s="471"/>
      <c r="BP258" s="471"/>
      <c r="BQ258" s="471"/>
      <c r="BR258" s="471">
        <f>(BR255-BR256+BR257)*Model!BR30</f>
        <v>-1324.0096916491721</v>
      </c>
      <c r="BS258" s="466">
        <f>(BS255-BS256+BS257)*Model!BS30</f>
        <v>10.072264176850204</v>
      </c>
      <c r="BT258" s="466">
        <f>(BT255-BT256+BT257)*Model!BT30</f>
        <v>11.274426320154822</v>
      </c>
      <c r="BU258" s="466">
        <f>(BU255-BU256+BU257)*Model!BU30</f>
        <v>5.9943057380639466</v>
      </c>
      <c r="BV258" s="466">
        <f>(BV255-BV256+BV257)*Model!BV30</f>
        <v>9.2129999999999992</v>
      </c>
      <c r="BW258" s="466">
        <f>(BW255-BW256+BW257)*Model!BW30</f>
        <v>-1653.8261783644978</v>
      </c>
      <c r="BX258" s="466">
        <f>(BX255-BX256+BX257)*Model!BX30</f>
        <v>18.055045871559635</v>
      </c>
      <c r="BY258" s="466">
        <f>(BY255-BY256+BY257)*Model!BY30</f>
        <v>17.950495049504951</v>
      </c>
      <c r="BZ258" s="466">
        <f>(BZ255-BZ256+BZ257)*Model!BZ30</f>
        <v>11.654080389768575</v>
      </c>
      <c r="CA258" s="466">
        <f>(CA255-CA256+CA257)*Model!CA30</f>
        <v>17.17820324005891</v>
      </c>
      <c r="CB258" s="466">
        <f>(CB255-CB256+CB257)*Model!CB30</f>
        <v>-1813.7944653301786</v>
      </c>
      <c r="CC258" s="466">
        <f>(CC255-CC256+CC257)*Model!CC30</f>
        <v>12.574742268041238</v>
      </c>
      <c r="CD258" s="466">
        <f>(CD255-CD256+CD257)*Model!CD30</f>
        <v>10.023496240601503</v>
      </c>
      <c r="CE258" s="466">
        <f>(CE255-CE256+CE257)*Model!CE30</f>
        <v>7.6472049689440995</v>
      </c>
      <c r="CF258" s="466">
        <f>(CF255-CF256+CF257)*Model!CF30</f>
        <v>21.618131868131869</v>
      </c>
      <c r="CG258" s="774">
        <f>(CG255-CG256+CG257)*Model!CG30</f>
        <v>-2258.9249156047308</v>
      </c>
      <c r="CH258" s="466">
        <f>(CH255-CH256+CH257)*Model!CH30</f>
        <v>15.550488599348535</v>
      </c>
      <c r="CI258" s="466">
        <f>(CI255-CI256+CI257)*Model!CI30</f>
        <v>21.194280908326323</v>
      </c>
      <c r="CJ258" s="466">
        <f>(CJ255-CJ256+CJ257)*Model!CJ30</f>
        <v>17.684887459807076</v>
      </c>
      <c r="CK258" s="466">
        <f>(CK255-CK256+CK257)*Model!CK30</f>
        <v>22.014388489208631</v>
      </c>
      <c r="CL258" s="774">
        <f>(CL255-CL256+CL257)*Model!CL30</f>
        <v>-2467.2006627342421</v>
      </c>
      <c r="CM258" s="466">
        <f>(CM255-CM256+CM257)*Model!CM30</f>
        <v>16.766704416761041</v>
      </c>
      <c r="CN258" s="466">
        <f>(CN255-CN256+CN257)*Model!CN30</f>
        <v>26.801470588235293</v>
      </c>
      <c r="CO258" s="466">
        <f>(CO255-CO256+CO257)*Model!CO30</f>
        <v>22.359813084112151</v>
      </c>
      <c r="CP258" s="466">
        <f>(CP255-CP256+CP257)*Model!CP30</f>
        <v>47.125683060109289</v>
      </c>
      <c r="CQ258" s="774">
        <f>(CQ255-CQ256+CQ257)*Model!CQ30</f>
        <v>-2733.0697600143167</v>
      </c>
      <c r="CR258" s="466">
        <f>(CR255-CR256+CR257)*Model!CR30</f>
        <v>20.995508982035926</v>
      </c>
      <c r="CS258" s="466">
        <f>(CS255-CS256+CS257)*Model!CS30</f>
        <v>26.335570469798661</v>
      </c>
      <c r="CT258" s="466">
        <f>(CT255-CT256+CT257)*Model!CT30</f>
        <v>46.444007858546165</v>
      </c>
      <c r="CU258" s="466">
        <f>(CU255-CU256+CU257)*Model!CU30</f>
        <v>-2.831858407079646</v>
      </c>
      <c r="CV258" s="774">
        <f>(CV255-CV256+CV257)*Model!CV30</f>
        <v>-3031.2326698660218</v>
      </c>
      <c r="CW258" s="466">
        <f>(CW255-CW256+CW257)*Model!CW30</f>
        <v>22.971119133574007</v>
      </c>
      <c r="CX258" s="466">
        <f>(CX255-CX256+CX257)*Model!CX30</f>
        <v>17.778625954198475</v>
      </c>
      <c r="CY258" s="466">
        <f>(CY255-CY256+CY257)*Model!CY30</f>
        <v>12.906726457399103</v>
      </c>
      <c r="CZ258" s="466">
        <f>(CZ255-CZ256+CZ257)*Model!CZ30</f>
        <v>-5.742</v>
      </c>
      <c r="DA258" s="774">
        <f>(DA255-DA256+DA257)*Model!DA30</f>
        <v>-3882.0104173231371</v>
      </c>
      <c r="DB258" s="466">
        <f>(DB255-DB256+DB257)*Model!DB30</f>
        <v>13.933222036727878</v>
      </c>
      <c r="DC258" s="466">
        <f>(DC255-DC256+DC257)*Model!DC30</f>
        <v>8.8027015963978723</v>
      </c>
      <c r="DD258" s="466">
        <f>(DD255-DD256+DD257)*Model!DD30</f>
        <v>16.453535943892462</v>
      </c>
      <c r="DE258" s="466">
        <f>(DE255-DE256+DE257)*Model!DE30</f>
        <v>170.14634146341464</v>
      </c>
      <c r="DF258" s="774">
        <f>(DF255-DF256+DF257)*Model!DF30</f>
        <v>-1945.5001903644084</v>
      </c>
      <c r="DG258" s="466">
        <f>(DG255-DG256+DG257)*Model!DG30</f>
        <v>6.034564021995287</v>
      </c>
      <c r="DH258" s="466">
        <f>(DH255-DH256+DH257)*Model!DH30</f>
        <v>16.722222222222221</v>
      </c>
      <c r="DI258" s="466">
        <f>(DI255-DI256+DI257)*Model!DI30</f>
        <v>20.950495049504951</v>
      </c>
      <c r="DJ258" s="466">
        <f>(DJ255-DJ256+DJ257)*Model!DJ30</f>
        <v>1.3430656934306568</v>
      </c>
      <c r="DK258" s="774">
        <f>(DK255-DK256+DK257)*Model!DK30</f>
        <v>-2819.8999582246079</v>
      </c>
      <c r="DL258" s="466">
        <f>(DL255-DL256+DL257)*Model!DL30</f>
        <v>10.007843137254902</v>
      </c>
      <c r="DM258" s="466">
        <f>(DM255-DM256+DM257)*Model!DM30</f>
        <v>9.3297213622291029</v>
      </c>
      <c r="DN258" s="466">
        <f>(DN255-DN256+DN257)*Model!DN30</f>
        <v>6.0797636632200884</v>
      </c>
      <c r="DO258" s="2260">
        <f>(DO255-DO256+DO257)*Model!DO30</f>
        <v>-5.1373390557939915</v>
      </c>
      <c r="DP258" s="2260">
        <f>(DP255-DP256+DP257)*Model!DP30</f>
        <v>-3029.629732060494</v>
      </c>
      <c r="DQ258" s="466">
        <f>(DQ255-DQ256+DQ257)*Model!DQ30</f>
        <v>11.685414680648236</v>
      </c>
      <c r="DR258" s="466">
        <f>(DR255-DR256+DR257)*Model!DR30</f>
        <v>10.78</v>
      </c>
      <c r="DS258" s="466">
        <f>(DS255-DS256+DS257)*Model!DS30</f>
        <v>8.5749999999999993</v>
      </c>
      <c r="DT258" s="1795">
        <f>(DT255-DT256+DT257)*Model!DT30</f>
        <v>-6.6499999999999995</v>
      </c>
      <c r="DU258" s="774">
        <f ca="1">(DU255-DU256+DU257)*Model!DU30</f>
        <v>577.98786781666115</v>
      </c>
      <c r="DV258" s="466">
        <f>(DV255-DV256+DV257)*Model!DV30</f>
        <v>9.4499999999999993</v>
      </c>
      <c r="DW258" s="466">
        <f>(DW255-DW256+DW257)*Model!DW30</f>
        <v>8.5749999999999993</v>
      </c>
      <c r="DX258" s="466">
        <f>(DX255-DX256+DX257)*Model!DX30</f>
        <v>8.5749999999999993</v>
      </c>
      <c r="DY258" s="1795">
        <f>(DY255-DY256+DY257)*Model!DY30</f>
        <v>-6.6499999999999995</v>
      </c>
      <c r="DZ258" s="774">
        <f ca="1">(DZ255-DZ256+DZ257)*Model!DZ30</f>
        <v>545.52750000000196</v>
      </c>
      <c r="EA258" s="466">
        <f ca="1">(EA255-EA256+EA257)*Model!EA30</f>
        <v>9.450000000000033</v>
      </c>
      <c r="EB258" s="466">
        <f ca="1">(EB255-EB256+EB257)*Model!EB30</f>
        <v>8.5750000000000313</v>
      </c>
      <c r="EC258" s="466">
        <f ca="1">(EC255-EC256+EC257)*Model!EC30</f>
        <v>8.5750000000000313</v>
      </c>
      <c r="ED258" s="1795">
        <f ca="1">(ED255-ED256+ED257)*Model!ED30</f>
        <v>-6.6500000000000234</v>
      </c>
      <c r="EE258" s="774">
        <f ca="1">(EE255-EE256+EE257)*Model!EE30</f>
        <v>565.4775000000011</v>
      </c>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row>
    <row r="259" spans="2:232" s="467" customFormat="1" ht="11.25" customHeight="1" outlineLevel="1">
      <c r="B259" s="766" t="s">
        <v>186</v>
      </c>
      <c r="F259" s="81"/>
      <c r="G259" s="81"/>
      <c r="H259" s="468"/>
      <c r="I259" s="81"/>
      <c r="J259" s="81"/>
      <c r="K259" s="81"/>
      <c r="L259" s="81"/>
      <c r="M259" s="81"/>
      <c r="N259" s="81"/>
      <c r="O259" s="81"/>
      <c r="P259" s="81"/>
      <c r="Q259" s="81"/>
      <c r="R259" s="81"/>
      <c r="S259" s="81"/>
      <c r="T259" s="469">
        <f>+T251+T252</f>
        <v>1811.1165025155365</v>
      </c>
      <c r="U259" s="469"/>
      <c r="V259" s="469"/>
      <c r="W259" s="469"/>
      <c r="X259" s="469"/>
      <c r="Y259" s="469">
        <f>+Y251+Y252</f>
        <v>2182.457578905045</v>
      </c>
      <c r="Z259" s="469"/>
      <c r="AA259" s="469"/>
      <c r="AB259" s="469"/>
      <c r="AC259" s="469"/>
      <c r="AD259" s="469">
        <f>+AD251+AD252</f>
        <v>2692.3960481386839</v>
      </c>
      <c r="AE259" s="469"/>
      <c r="AF259" s="469"/>
      <c r="AG259" s="469"/>
      <c r="AH259" s="469"/>
      <c r="AI259" s="469">
        <f>+AI251+AI252</f>
        <v>3282.7127795163924</v>
      </c>
      <c r="AJ259" s="469"/>
      <c r="AK259" s="469"/>
      <c r="AL259" s="469"/>
      <c r="AM259" s="469"/>
      <c r="AN259" s="469">
        <f>+AN251+AN252</f>
        <v>4508.0469252414459</v>
      </c>
      <c r="AO259" s="469"/>
      <c r="AP259" s="469"/>
      <c r="AQ259" s="469"/>
      <c r="AR259" s="469"/>
      <c r="AS259" s="469">
        <f>+AS251+AS252</f>
        <v>5623.566249475527</v>
      </c>
      <c r="AT259" s="469"/>
      <c r="AU259" s="469"/>
      <c r="AV259" s="469"/>
      <c r="AW259" s="469"/>
      <c r="AX259" s="469">
        <f>+AX251+AX252</f>
        <v>6025.4681528787778</v>
      </c>
      <c r="AY259" s="469"/>
      <c r="AZ259" s="469"/>
      <c r="BA259" s="469"/>
      <c r="BB259" s="469"/>
      <c r="BC259" s="469">
        <f>+BC251+BC252</f>
        <v>6820.975067717548</v>
      </c>
      <c r="BD259" s="469"/>
      <c r="BE259" s="469"/>
      <c r="BF259" s="469"/>
      <c r="BG259" s="469"/>
      <c r="BH259" s="469">
        <f>+BH251+BH252</f>
        <v>7716.2737634650302</v>
      </c>
      <c r="BI259" s="469"/>
      <c r="BJ259" s="469"/>
      <c r="BK259" s="469"/>
      <c r="BL259" s="469"/>
      <c r="BM259" s="469">
        <f>+BM251+BM252</f>
        <v>8900.2564515817558</v>
      </c>
      <c r="BN259" s="469"/>
      <c r="BO259" s="469"/>
      <c r="BP259" s="469"/>
      <c r="BQ259" s="469"/>
      <c r="BR259" s="469">
        <f t="shared" ref="BR259:CW259" si="636">+BR251+BR252</f>
        <v>10256.161514699765</v>
      </c>
      <c r="BS259" s="470">
        <f t="shared" si="636"/>
        <v>13090.727735823149</v>
      </c>
      <c r="BT259" s="470">
        <f t="shared" si="636"/>
        <v>13595.125573679845</v>
      </c>
      <c r="BU259" s="470">
        <f t="shared" si="636"/>
        <v>14074.905694261935</v>
      </c>
      <c r="BV259" s="470">
        <f t="shared" si="636"/>
        <v>14462.787000435928</v>
      </c>
      <c r="BW259" s="470">
        <f t="shared" si="636"/>
        <v>11747.063121806763</v>
      </c>
      <c r="BX259" s="470">
        <f t="shared" si="636"/>
        <v>14790.64495456437</v>
      </c>
      <c r="BY259" s="470">
        <f t="shared" si="636"/>
        <v>15304.749505386424</v>
      </c>
      <c r="BZ259" s="470">
        <f t="shared" si="636"/>
        <v>15718.045920046161</v>
      </c>
      <c r="CA259" s="470">
        <f t="shared" si="636"/>
        <v>16042.821797195869</v>
      </c>
      <c r="CB259" s="470">
        <f t="shared" si="636"/>
        <v>12869.969173620437</v>
      </c>
      <c r="CC259" s="470">
        <f t="shared" si="636"/>
        <v>16413.125258167885</v>
      </c>
      <c r="CD259" s="470">
        <f t="shared" si="636"/>
        <v>16964.676504195326</v>
      </c>
      <c r="CE259" s="470">
        <f t="shared" si="636"/>
        <v>17302.052795466985</v>
      </c>
      <c r="CF259" s="470">
        <f t="shared" si="636"/>
        <v>17651.081868567799</v>
      </c>
      <c r="CG259" s="775">
        <f t="shared" si="636"/>
        <v>13927.591264797586</v>
      </c>
      <c r="CH259" s="470">
        <f t="shared" si="636"/>
        <v>18080.149511836582</v>
      </c>
      <c r="CI259" s="470">
        <f t="shared" si="636"/>
        <v>18684.505719527602</v>
      </c>
      <c r="CJ259" s="470">
        <f t="shared" si="636"/>
        <v>19142.015112976122</v>
      </c>
      <c r="CK259" s="470">
        <f t="shared" si="636"/>
        <v>19828.685611946719</v>
      </c>
      <c r="CL259" s="775">
        <f t="shared" si="636"/>
        <v>15553.03632996156</v>
      </c>
      <c r="CM259" s="470">
        <f t="shared" si="636"/>
        <v>20175.933296019168</v>
      </c>
      <c r="CN259" s="470">
        <f t="shared" si="636"/>
        <v>20741.898529847695</v>
      </c>
      <c r="CO259" s="470">
        <f t="shared" si="636"/>
        <v>21111.340187351816</v>
      </c>
      <c r="CP259" s="470">
        <f t="shared" si="636"/>
        <v>24354.57431737582</v>
      </c>
      <c r="CQ259" s="775">
        <f t="shared" si="636"/>
        <v>19615.385044831084</v>
      </c>
      <c r="CR259" s="470">
        <f t="shared" si="636"/>
        <v>21352.004491017964</v>
      </c>
      <c r="CS259" s="470">
        <f t="shared" si="636"/>
        <v>21908.664429530203</v>
      </c>
      <c r="CT259" s="470">
        <f t="shared" si="636"/>
        <v>22348.555992141453</v>
      </c>
      <c r="CU259" s="470">
        <f t="shared" si="636"/>
        <v>22671.83185840708</v>
      </c>
      <c r="CV259" s="775">
        <f t="shared" si="636"/>
        <v>17537.53976389498</v>
      </c>
      <c r="CW259" s="470">
        <f t="shared" si="636"/>
        <v>23091.028880866426</v>
      </c>
      <c r="CX259" s="470">
        <f t="shared" ref="CX259:DF259" si="637">+CX251+CX252</f>
        <v>23569.221374045803</v>
      </c>
      <c r="CY259" s="470">
        <f t="shared" si="637"/>
        <v>24026.093273542599</v>
      </c>
      <c r="CZ259" s="470">
        <f t="shared" si="637"/>
        <v>23468.741999999998</v>
      </c>
      <c r="DA259" s="775">
        <f t="shared" si="637"/>
        <v>18314.313789263895</v>
      </c>
      <c r="DB259" s="470">
        <f t="shared" si="637"/>
        <v>24014.066777963271</v>
      </c>
      <c r="DC259" s="470">
        <f t="shared" si="637"/>
        <v>34422.197298403604</v>
      </c>
      <c r="DD259" s="470">
        <f t="shared" si="637"/>
        <v>35413.546464056104</v>
      </c>
      <c r="DE259" s="470">
        <f t="shared" si="637"/>
        <v>34992.853658536587</v>
      </c>
      <c r="DF259" s="775">
        <f t="shared" si="637"/>
        <v>27214.887017044926</v>
      </c>
      <c r="DG259" s="470">
        <f t="shared" ref="DG259:DU259" si="638">+DG251+DG252</f>
        <v>35854.965435978003</v>
      </c>
      <c r="DH259" s="470">
        <f t="shared" ref="DH259" si="639">+DH251+DH252</f>
        <v>36452.277777777781</v>
      </c>
      <c r="DI259" s="470">
        <f t="shared" si="638"/>
        <v>37205.049504950497</v>
      </c>
      <c r="DJ259" s="470">
        <f t="shared" ref="DJ259" si="640">+DJ251+DJ252</f>
        <v>37813.656934306571</v>
      </c>
      <c r="DK259" s="775">
        <f t="shared" si="638"/>
        <v>26077.686934044679</v>
      </c>
      <c r="DL259" s="470">
        <f t="shared" si="638"/>
        <v>38523.992156862747</v>
      </c>
      <c r="DM259" s="470">
        <f t="shared" si="638"/>
        <v>39200.670278637772</v>
      </c>
      <c r="DN259" s="470">
        <f t="shared" si="638"/>
        <v>40187.92023633678</v>
      </c>
      <c r="DO259" s="1796">
        <f t="shared" ref="DO259:DQ259" si="641">+DO251+DO252</f>
        <v>40455.137339055793</v>
      </c>
      <c r="DP259" s="1796">
        <f t="shared" si="638"/>
        <v>24710.007263821801</v>
      </c>
      <c r="DQ259" s="470">
        <f t="shared" si="641"/>
        <v>40973.314585319349</v>
      </c>
      <c r="DR259" s="470">
        <f t="shared" ca="1" si="638"/>
        <v>41826.730854292953</v>
      </c>
      <c r="DS259" s="470">
        <f t="shared" ca="1" si="638"/>
        <v>42647.5795157049</v>
      </c>
      <c r="DT259" s="1796">
        <f t="shared" ca="1" si="638"/>
        <v>43388.859138929307</v>
      </c>
      <c r="DU259" s="775">
        <f t="shared" ca="1" si="638"/>
        <v>45845.521271112644</v>
      </c>
      <c r="DV259" s="470">
        <f t="shared" ref="DV259:DZ259" ca="1" si="642">+DV251+DV252</f>
        <v>44136.61172167895</v>
      </c>
      <c r="DW259" s="470">
        <f t="shared" ca="1" si="642"/>
        <v>45069.277440349913</v>
      </c>
      <c r="DX259" s="470">
        <f t="shared" ca="1" si="642"/>
        <v>46030.892032990792</v>
      </c>
      <c r="DY259" s="1796">
        <f t="shared" ca="1" si="642"/>
        <v>46957.762507076717</v>
      </c>
      <c r="DZ259" s="775">
        <f t="shared" ca="1" si="642"/>
        <v>49560.885007076715</v>
      </c>
      <c r="EA259" s="470">
        <f t="shared" ref="EA259:EE259" ca="1" si="643">+EA251+EA252</f>
        <v>47904.811383891451</v>
      </c>
      <c r="EB259" s="470">
        <f t="shared" ca="1" si="643"/>
        <v>49015.553993500223</v>
      </c>
      <c r="EC259" s="470">
        <f t="shared" ca="1" si="643"/>
        <v>50170.150760371391</v>
      </c>
      <c r="ED259" s="1796">
        <f t="shared" ca="1" si="643"/>
        <v>51293.523925409419</v>
      </c>
      <c r="EE259" s="775">
        <f t="shared" ca="1" si="643"/>
        <v>53990.69642540942</v>
      </c>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row>
    <row r="260" spans="2:232" s="54" customFormat="1" ht="11.25" customHeight="1" outlineLevel="1">
      <c r="B260" s="763"/>
      <c r="C260" s="64"/>
      <c r="D260" s="64"/>
      <c r="E260" s="64"/>
      <c r="F260" s="73"/>
      <c r="G260" s="73"/>
      <c r="H260" s="279"/>
      <c r="I260" s="73"/>
      <c r="J260" s="73"/>
      <c r="K260" s="73"/>
      <c r="L260" s="73"/>
      <c r="M260" s="73"/>
      <c r="N260" s="73"/>
      <c r="O260" s="73"/>
      <c r="P260" s="73"/>
      <c r="Q260" s="73"/>
      <c r="R260" s="73"/>
      <c r="S260" s="73"/>
      <c r="T260" s="471"/>
      <c r="U260" s="471"/>
      <c r="V260" s="471"/>
      <c r="W260" s="471"/>
      <c r="X260" s="471"/>
      <c r="Y260" s="471"/>
      <c r="Z260" s="471"/>
      <c r="AA260" s="471"/>
      <c r="AB260" s="471"/>
      <c r="AC260" s="471"/>
      <c r="AD260" s="471"/>
      <c r="AE260" s="471"/>
      <c r="AF260" s="471"/>
      <c r="AG260" s="471"/>
      <c r="AH260" s="471"/>
      <c r="AI260" s="471"/>
      <c r="AJ260" s="471"/>
      <c r="AK260" s="471"/>
      <c r="AL260" s="471"/>
      <c r="AM260" s="471"/>
      <c r="AN260" s="471"/>
      <c r="AO260" s="471"/>
      <c r="AP260" s="471"/>
      <c r="AQ260" s="471"/>
      <c r="AR260" s="471"/>
      <c r="AS260" s="471"/>
      <c r="AT260" s="471"/>
      <c r="AU260" s="471"/>
      <c r="AV260" s="471"/>
      <c r="AW260" s="471"/>
      <c r="AX260" s="471"/>
      <c r="AY260" s="471"/>
      <c r="AZ260" s="471"/>
      <c r="BA260" s="471"/>
      <c r="BB260" s="471"/>
      <c r="BC260" s="471"/>
      <c r="BD260" s="471"/>
      <c r="BE260" s="471"/>
      <c r="BF260" s="471"/>
      <c r="BG260" s="471"/>
      <c r="BH260" s="471"/>
      <c r="BI260" s="471"/>
      <c r="BJ260" s="471"/>
      <c r="BK260" s="471"/>
      <c r="BL260" s="471"/>
      <c r="BM260" s="471"/>
      <c r="BN260" s="471"/>
      <c r="BO260" s="471"/>
      <c r="BP260" s="471"/>
      <c r="BQ260" s="471"/>
      <c r="BR260" s="471"/>
      <c r="BS260" s="466"/>
      <c r="BT260" s="466"/>
      <c r="BU260" s="466"/>
      <c r="BV260" s="466"/>
      <c r="BW260" s="466"/>
      <c r="BX260" s="466"/>
      <c r="BY260" s="466"/>
      <c r="BZ260" s="466"/>
      <c r="CA260" s="466"/>
      <c r="CB260" s="466"/>
      <c r="CC260" s="466"/>
      <c r="CD260" s="466"/>
      <c r="CE260" s="466"/>
      <c r="CF260" s="466"/>
      <c r="CG260" s="774"/>
      <c r="CH260" s="466"/>
      <c r="CI260" s="466"/>
      <c r="CJ260" s="466"/>
      <c r="CK260" s="466"/>
      <c r="CL260" s="774"/>
      <c r="CM260" s="466"/>
      <c r="CN260" s="466"/>
      <c r="CO260" s="466"/>
      <c r="CP260" s="466"/>
      <c r="CQ260" s="774"/>
      <c r="CR260" s="466"/>
      <c r="CS260" s="466"/>
      <c r="CT260" s="466"/>
      <c r="CU260" s="466"/>
      <c r="CV260" s="774"/>
      <c r="CW260" s="466"/>
      <c r="CX260" s="466"/>
      <c r="CY260" s="466"/>
      <c r="CZ260" s="466"/>
      <c r="DA260" s="774"/>
      <c r="DB260" s="466"/>
      <c r="DC260" s="466"/>
      <c r="DD260" s="466"/>
      <c r="DE260" s="466"/>
      <c r="DF260" s="774"/>
      <c r="DG260" s="466"/>
      <c r="DH260" s="466"/>
      <c r="DI260" s="466"/>
      <c r="DJ260" s="466"/>
      <c r="DK260" s="774"/>
      <c r="DL260" s="466"/>
      <c r="DM260" s="466"/>
      <c r="DN260" s="466"/>
      <c r="DO260" s="2260"/>
      <c r="DP260" s="2260"/>
      <c r="DQ260" s="466"/>
      <c r="DR260" s="466"/>
      <c r="DS260" s="466"/>
      <c r="DT260" s="1795"/>
      <c r="DU260" s="774"/>
      <c r="DV260" s="466"/>
      <c r="DW260" s="466"/>
      <c r="DX260" s="466"/>
      <c r="DY260" s="1795"/>
      <c r="DZ260" s="774"/>
      <c r="EA260" s="466"/>
      <c r="EB260" s="466"/>
      <c r="EC260" s="466"/>
      <c r="ED260" s="1795"/>
      <c r="EE260" s="774"/>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row>
    <row r="261" spans="2:232" s="54" customFormat="1" ht="11.25" customHeight="1" outlineLevel="1">
      <c r="B261" s="767" t="s">
        <v>237</v>
      </c>
      <c r="C261" s="64"/>
      <c r="D261" s="64"/>
      <c r="E261" s="64"/>
      <c r="F261" s="73"/>
      <c r="G261" s="73"/>
      <c r="H261" s="279"/>
      <c r="I261" s="73"/>
      <c r="J261" s="73"/>
      <c r="K261" s="73"/>
      <c r="L261" s="73"/>
      <c r="M261" s="73"/>
      <c r="N261" s="73"/>
      <c r="O261" s="73"/>
      <c r="P261" s="73"/>
      <c r="Q261" s="73"/>
      <c r="R261" s="73"/>
      <c r="S261" s="73"/>
      <c r="T261" s="471">
        <f>+Model!T79</f>
        <v>905.69600000000048</v>
      </c>
      <c r="U261" s="471"/>
      <c r="V261" s="471"/>
      <c r="W261" s="471"/>
      <c r="X261" s="471"/>
      <c r="Y261" s="471">
        <f>+Model!Y79</f>
        <v>1145.7949999999992</v>
      </c>
      <c r="Z261" s="471"/>
      <c r="AA261" s="471"/>
      <c r="AB261" s="471"/>
      <c r="AC261" s="471"/>
      <c r="AD261" s="471">
        <f>+Model!AD79</f>
        <v>1270.6999999999987</v>
      </c>
      <c r="AE261" s="471"/>
      <c r="AF261" s="471"/>
      <c r="AG261" s="471"/>
      <c r="AH261" s="471"/>
      <c r="AI261" s="471">
        <f>Model!AI79</f>
        <v>1544.1000000000006</v>
      </c>
      <c r="AJ261" s="471"/>
      <c r="AK261" s="471"/>
      <c r="AL261" s="471"/>
      <c r="AM261" s="471"/>
      <c r="AN261" s="471">
        <f>Model!AN79</f>
        <v>1752.3999999999983</v>
      </c>
      <c r="AO261" s="471"/>
      <c r="AP261" s="471"/>
      <c r="AQ261" s="471"/>
      <c r="AR261" s="471"/>
      <c r="AS261" s="471">
        <f>Model!AS79</f>
        <v>1978.3000000000002</v>
      </c>
      <c r="AT261" s="471"/>
      <c r="AU261" s="471"/>
      <c r="AV261" s="471"/>
      <c r="AW261" s="471"/>
      <c r="AX261" s="471">
        <f>Model!AX79</f>
        <v>2216.2000000000012</v>
      </c>
      <c r="AY261" s="471"/>
      <c r="AZ261" s="471"/>
      <c r="BA261" s="471"/>
      <c r="BB261" s="471"/>
      <c r="BC261" s="471">
        <f>Model!BC79</f>
        <v>2535.8999999999965</v>
      </c>
      <c r="BD261" s="471"/>
      <c r="BE261" s="471"/>
      <c r="BF261" s="471"/>
      <c r="BG261" s="471"/>
      <c r="BH261" s="471">
        <f>Model!BH79</f>
        <v>2973.9</v>
      </c>
      <c r="BI261" s="471"/>
      <c r="BJ261" s="471"/>
      <c r="BK261" s="471"/>
      <c r="BL261" s="471"/>
      <c r="BM261" s="471">
        <f>Model!BM79</f>
        <v>3369.0000000000055</v>
      </c>
      <c r="BN261" s="471"/>
      <c r="BO261" s="471"/>
      <c r="BP261" s="471"/>
      <c r="BQ261" s="471"/>
      <c r="BR261" s="471">
        <f>Model!BR79</f>
        <v>3869.3999999999937</v>
      </c>
      <c r="BS261" s="471">
        <f>Model!BS79</f>
        <v>949.79999999999961</v>
      </c>
      <c r="BT261" s="471">
        <f>Model!BT79</f>
        <v>1320.1000000000004</v>
      </c>
      <c r="BU261" s="471">
        <f>Model!BU79</f>
        <v>1141.6000000000008</v>
      </c>
      <c r="BV261" s="471">
        <f>Model!BV79</f>
        <v>802.80000000000052</v>
      </c>
      <c r="BW261" s="471">
        <f>Model!BW79</f>
        <v>4214.3000000000011</v>
      </c>
      <c r="BX261" s="471">
        <f>Model!BX79</f>
        <v>953</v>
      </c>
      <c r="BY261" s="471">
        <f>Model!BY79</f>
        <v>1320</v>
      </c>
      <c r="BZ261" s="471">
        <f>Model!BZ79</f>
        <v>1142</v>
      </c>
      <c r="CA261" s="471">
        <f>Model!CA79</f>
        <v>984</v>
      </c>
      <c r="CB261" s="471">
        <f>Model!CB79</f>
        <v>4399</v>
      </c>
      <c r="CC261" s="471">
        <f>Model!CC79</f>
        <v>1088</v>
      </c>
      <c r="CD261" s="471">
        <f>Model!CD79</f>
        <v>1361</v>
      </c>
      <c r="CE261" s="471">
        <f>Model!CE79</f>
        <v>1110</v>
      </c>
      <c r="CF261" s="471">
        <f>Model!CF79</f>
        <v>1069</v>
      </c>
      <c r="CG261" s="776">
        <f>Model!CG79</f>
        <v>4628</v>
      </c>
      <c r="CH261" s="471">
        <f>Model!CH79</f>
        <v>1256</v>
      </c>
      <c r="CI261" s="471">
        <f>Model!CI79</f>
        <v>1519</v>
      </c>
      <c r="CJ261" s="471">
        <f>Model!CJ79</f>
        <v>1270</v>
      </c>
      <c r="CK261" s="471">
        <f>Model!CK79</f>
        <v>1180</v>
      </c>
      <c r="CL261" s="776">
        <f>Model!CL79</f>
        <v>5225</v>
      </c>
      <c r="CM261" s="471">
        <f>Model!CM79</f>
        <v>1222</v>
      </c>
      <c r="CN261" s="471">
        <f>Model!CN79</f>
        <v>1460</v>
      </c>
      <c r="CO261" s="471">
        <f>Model!CO79</f>
        <v>1248</v>
      </c>
      <c r="CP261" s="471">
        <f>Model!CP79</f>
        <v>1078</v>
      </c>
      <c r="CQ261" s="776">
        <f>Model!CQ79</f>
        <v>5008</v>
      </c>
      <c r="CR261" s="471">
        <f>Model!CR79</f>
        <v>1163</v>
      </c>
      <c r="CS261" s="471">
        <f>Model!CS79</f>
        <v>1650</v>
      </c>
      <c r="CT261" s="471">
        <f>Model!CT79</f>
        <v>1500</v>
      </c>
      <c r="CU261" s="471">
        <f>Model!CU79</f>
        <v>1355</v>
      </c>
      <c r="CV261" s="776">
        <f>Model!CV79</f>
        <v>5668</v>
      </c>
      <c r="CW261" s="471">
        <f>Model!CW79</f>
        <v>1365</v>
      </c>
      <c r="CX261" s="471">
        <f>Model!CX79</f>
        <v>1596</v>
      </c>
      <c r="CY261" s="471">
        <f>Model!CY79</f>
        <v>1572</v>
      </c>
      <c r="CZ261" s="471">
        <f>Model!CZ79</f>
        <v>1389</v>
      </c>
      <c r="DA261" s="776">
        <f>Model!DA79</f>
        <v>5922</v>
      </c>
      <c r="DB261" s="471">
        <f>Model!DB79</f>
        <v>1457</v>
      </c>
      <c r="DC261" s="471">
        <f>Model!DC79</f>
        <v>2130</v>
      </c>
      <c r="DD261" s="471">
        <f>Model!DD79</f>
        <v>2091</v>
      </c>
      <c r="DE261" s="471">
        <f>Model!DE79</f>
        <v>1815</v>
      </c>
      <c r="DF261" s="776">
        <f>Model!DF79</f>
        <v>7493</v>
      </c>
      <c r="DG261" s="471">
        <f>Model!DG79</f>
        <v>2020</v>
      </c>
      <c r="DH261" s="471">
        <f>Model!DH79</f>
        <v>2461</v>
      </c>
      <c r="DI261" s="471">
        <f>Model!DI79</f>
        <v>2165</v>
      </c>
      <c r="DJ261" s="471">
        <f>Model!DJ79</f>
        <v>1911</v>
      </c>
      <c r="DK261" s="776">
        <f>Model!DK79</f>
        <v>8557</v>
      </c>
      <c r="DL261" s="471">
        <f>Model!DL79</f>
        <v>2063</v>
      </c>
      <c r="DM261" s="471">
        <f>Model!DM79</f>
        <v>2346</v>
      </c>
      <c r="DN261" s="471">
        <f>Model!DN79</f>
        <v>2385</v>
      </c>
      <c r="DO261" s="2261">
        <f>Model!DO79</f>
        <v>2209</v>
      </c>
      <c r="DP261" s="2261">
        <f>Model!DP79</f>
        <v>9003</v>
      </c>
      <c r="DQ261" s="471">
        <f>Model!DQ79</f>
        <v>2140</v>
      </c>
      <c r="DR261" s="471">
        <f ca="1">Model!DR79</f>
        <v>2477.2168996184305</v>
      </c>
      <c r="DS261" s="471">
        <f ca="1">Model!DS79</f>
        <v>2335.8424263675342</v>
      </c>
      <c r="DT261" s="1480">
        <f>Model!DT79</f>
        <v>2232.3317992065918</v>
      </c>
      <c r="DU261" s="776">
        <f ca="1">Model!DU79</f>
        <v>9185.3911251925565</v>
      </c>
      <c r="DV261" s="471">
        <f>Model!DV79</f>
        <v>2192.6566005623822</v>
      </c>
      <c r="DW261" s="471">
        <f ca="1">Model!DW79</f>
        <v>2527.4479917174963</v>
      </c>
      <c r="DX261" s="471">
        <f ca="1">Model!DX79</f>
        <v>2537.6116847968906</v>
      </c>
      <c r="DY261" s="1480">
        <f>Model!DY79</f>
        <v>2477.5039685922625</v>
      </c>
      <c r="DZ261" s="776">
        <f ca="1">Model!DZ79</f>
        <v>9735.220245669032</v>
      </c>
      <c r="EA261" s="471">
        <f>Model!EA79</f>
        <v>2248.8883265064219</v>
      </c>
      <c r="EB261" s="471">
        <f ca="1">Model!EB79</f>
        <v>2561.0431768826375</v>
      </c>
      <c r="EC261" s="471">
        <f ca="1">Model!EC79</f>
        <v>2588.6652298687618</v>
      </c>
      <c r="ED261" s="1480">
        <f>Model!ED79</f>
        <v>2532.3231529513691</v>
      </c>
      <c r="EE261" s="776">
        <f ca="1">Model!EE79</f>
        <v>9930.9198862091907</v>
      </c>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row>
    <row r="262" spans="2:232" s="54" customFormat="1" ht="11.25" customHeight="1" outlineLevel="1">
      <c r="B262" s="767" t="s">
        <v>418</v>
      </c>
      <c r="C262" s="64"/>
      <c r="D262" s="64"/>
      <c r="E262" s="64"/>
      <c r="F262" s="73"/>
      <c r="G262" s="73"/>
      <c r="H262" s="279"/>
      <c r="I262" s="73"/>
      <c r="J262" s="73"/>
      <c r="K262" s="73"/>
      <c r="L262" s="73"/>
      <c r="M262" s="73"/>
      <c r="N262" s="73"/>
      <c r="O262" s="73"/>
      <c r="P262" s="73"/>
      <c r="Q262" s="73"/>
      <c r="R262" s="73"/>
      <c r="S262" s="73"/>
      <c r="T262" s="471">
        <v>356.8</v>
      </c>
      <c r="U262" s="471"/>
      <c r="V262" s="471"/>
      <c r="W262" s="471"/>
      <c r="X262" s="471"/>
      <c r="Y262" s="471">
        <v>405.8</v>
      </c>
      <c r="Z262" s="471"/>
      <c r="AA262" s="471"/>
      <c r="AB262" s="471"/>
      <c r="AC262" s="471"/>
      <c r="AD262" s="471">
        <v>482</v>
      </c>
      <c r="AE262" s="471"/>
      <c r="AF262" s="471"/>
      <c r="AG262" s="471"/>
      <c r="AH262" s="471"/>
      <c r="AI262" s="471">
        <v>605.70000000000005</v>
      </c>
      <c r="AJ262" s="471"/>
      <c r="AK262" s="471"/>
      <c r="AL262" s="471"/>
      <c r="AM262" s="471"/>
      <c r="AN262" s="471">
        <v>730.1</v>
      </c>
      <c r="AO262" s="471"/>
      <c r="AP262" s="471"/>
      <c r="AQ262" s="471"/>
      <c r="AR262" s="471"/>
      <c r="AS262" s="471">
        <v>873</v>
      </c>
      <c r="AT262" s="471"/>
      <c r="AU262" s="471"/>
      <c r="AV262" s="471"/>
      <c r="AW262" s="471"/>
      <c r="AX262" s="471">
        <v>1000.4</v>
      </c>
      <c r="AY262" s="471"/>
      <c r="AZ262" s="471"/>
      <c r="BA262" s="471"/>
      <c r="BB262" s="471"/>
      <c r="BC262" s="471">
        <v>1152.0999999999999</v>
      </c>
      <c r="BD262" s="471"/>
      <c r="BE262" s="471"/>
      <c r="BF262" s="471"/>
      <c r="BG262" s="471"/>
      <c r="BH262" s="471">
        <v>1300.7</v>
      </c>
      <c r="BI262" s="471"/>
      <c r="BJ262" s="471"/>
      <c r="BK262" s="471"/>
      <c r="BL262" s="471"/>
      <c r="BM262" s="471">
        <v>1428.5</v>
      </c>
      <c r="BN262" s="471"/>
      <c r="BO262" s="471"/>
      <c r="BP262" s="471"/>
      <c r="BQ262" s="471"/>
      <c r="BR262" s="471">
        <v>1614.3</v>
      </c>
      <c r="BS262" s="466">
        <f>$BW$262/4</f>
        <v>446</v>
      </c>
      <c r="BT262" s="466">
        <f>$BW$262/4</f>
        <v>446</v>
      </c>
      <c r="BU262" s="466">
        <f>$BW$262/4</f>
        <v>446</v>
      </c>
      <c r="BV262" s="466">
        <f>$BW$262/4</f>
        <v>446</v>
      </c>
      <c r="BW262" s="466">
        <v>1784</v>
      </c>
      <c r="BX262" s="466">
        <f>$CB$262/4</f>
        <v>493.25</v>
      </c>
      <c r="BY262" s="466">
        <f>$CB$262/4</f>
        <v>493.25</v>
      </c>
      <c r="BZ262" s="466">
        <f>$CB$262/4</f>
        <v>493.25</v>
      </c>
      <c r="CA262" s="466">
        <f>$CB$262/4</f>
        <v>493.25</v>
      </c>
      <c r="CB262" s="466">
        <v>1973</v>
      </c>
      <c r="CC262" s="466">
        <f>$CG$262/4</f>
        <v>554.5</v>
      </c>
      <c r="CD262" s="466">
        <f>$CG$262/4</f>
        <v>554.5</v>
      </c>
      <c r="CE262" s="466">
        <f>$CG$262/4</f>
        <v>554.5</v>
      </c>
      <c r="CF262" s="466">
        <f>$CG$262/4</f>
        <v>554.5</v>
      </c>
      <c r="CG262" s="774">
        <v>2218</v>
      </c>
      <c r="CH262" s="466">
        <f>$CL$262/4</f>
        <v>625</v>
      </c>
      <c r="CI262" s="466">
        <f>$CL$262/4</f>
        <v>625</v>
      </c>
      <c r="CJ262" s="466">
        <f>$CL$262/4</f>
        <v>625</v>
      </c>
      <c r="CK262" s="466">
        <f>$CL$262/4</f>
        <v>625</v>
      </c>
      <c r="CL262" s="774">
        <v>2500</v>
      </c>
      <c r="CM262" s="466">
        <f>$CQ$262/4</f>
        <v>642.75</v>
      </c>
      <c r="CN262" s="466">
        <f>$CQ$262/4</f>
        <v>642.75</v>
      </c>
      <c r="CO262" s="466">
        <f>$CQ$262/4</f>
        <v>642.75</v>
      </c>
      <c r="CP262" s="466">
        <f>$CQ$262/4</f>
        <v>642.75</v>
      </c>
      <c r="CQ262" s="774">
        <v>2571</v>
      </c>
      <c r="CR262" s="466">
        <f>$CV$262/4</f>
        <v>657</v>
      </c>
      <c r="CS262" s="466">
        <f>$CV$262/4</f>
        <v>657</v>
      </c>
      <c r="CT262" s="466">
        <f>$CV$262/4</f>
        <v>657</v>
      </c>
      <c r="CU262" s="466">
        <f>$CV$262/4</f>
        <v>657</v>
      </c>
      <c r="CV262" s="774">
        <v>2628</v>
      </c>
      <c r="CW262" s="466">
        <f>$DA$262/4</f>
        <v>676.71</v>
      </c>
      <c r="CX262" s="466">
        <f>$DA$262/4</f>
        <v>676.71</v>
      </c>
      <c r="CY262" s="466">
        <f>$DA$262/4</f>
        <v>676.71</v>
      </c>
      <c r="CZ262" s="466">
        <f>$DA$262/4</f>
        <v>676.71</v>
      </c>
      <c r="DA262" s="774">
        <v>2706.84</v>
      </c>
      <c r="DB262" s="466">
        <f>$DF$262/4</f>
        <v>697.01130000000001</v>
      </c>
      <c r="DC262" s="466">
        <f>$DF$262/4</f>
        <v>697.01130000000001</v>
      </c>
      <c r="DD262" s="466">
        <f>$DF$262/4</f>
        <v>697.01130000000001</v>
      </c>
      <c r="DE262" s="466">
        <f>$DF$262/4</f>
        <v>697.01130000000001</v>
      </c>
      <c r="DF262" s="774">
        <v>2788.0452</v>
      </c>
      <c r="DG262" s="466">
        <f>+DK262/4</f>
        <v>808.02712958413963</v>
      </c>
      <c r="DH262" s="466">
        <f>+DK262/4</f>
        <v>808.02712958413963</v>
      </c>
      <c r="DI262" s="466">
        <f>+DK262/4</f>
        <v>808.02712958413963</v>
      </c>
      <c r="DJ262" s="466">
        <f>+DK262/4</f>
        <v>808.02712958413963</v>
      </c>
      <c r="DK262" s="774">
        <v>3232.1085183365585</v>
      </c>
      <c r="DL262" s="466">
        <f>+DP262/4</f>
        <v>936.72490265793954</v>
      </c>
      <c r="DM262" s="466">
        <f>+DP262/4</f>
        <v>936.72490265793954</v>
      </c>
      <c r="DN262" s="466">
        <f>+DP262/4</f>
        <v>936.72490265793954</v>
      </c>
      <c r="DO262" s="466">
        <f>+DP262/4</f>
        <v>936.72490265793954</v>
      </c>
      <c r="DP262" s="2260">
        <v>3746.8996106317582</v>
      </c>
      <c r="DQ262" s="466">
        <f t="shared" ref="DQ262:ED262" si="644">$DF$262/4</f>
        <v>697.01130000000001</v>
      </c>
      <c r="DR262" s="466">
        <f t="shared" si="644"/>
        <v>697.01130000000001</v>
      </c>
      <c r="DS262" s="466">
        <f t="shared" si="644"/>
        <v>697.01130000000001</v>
      </c>
      <c r="DT262" s="1795">
        <f t="shared" si="644"/>
        <v>697.01130000000001</v>
      </c>
      <c r="DU262" s="774">
        <v>0</v>
      </c>
      <c r="DV262" s="466">
        <f t="shared" si="644"/>
        <v>697.01130000000001</v>
      </c>
      <c r="DW262" s="466">
        <f t="shared" si="644"/>
        <v>697.01130000000001</v>
      </c>
      <c r="DX262" s="466">
        <f t="shared" si="644"/>
        <v>697.01130000000001</v>
      </c>
      <c r="DY262" s="1795">
        <f t="shared" si="644"/>
        <v>697.01130000000001</v>
      </c>
      <c r="DZ262" s="774" t="b">
        <v>0</v>
      </c>
      <c r="EA262" s="466">
        <f t="shared" si="644"/>
        <v>697.01130000000001</v>
      </c>
      <c r="EB262" s="466">
        <f t="shared" si="644"/>
        <v>697.01130000000001</v>
      </c>
      <c r="EC262" s="466">
        <f t="shared" si="644"/>
        <v>697.01130000000001</v>
      </c>
      <c r="ED262" s="1795">
        <f t="shared" si="644"/>
        <v>697.01130000000001</v>
      </c>
      <c r="EE262" s="774">
        <v>0</v>
      </c>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row>
    <row r="263" spans="2:232" s="54" customFormat="1" ht="11.25" customHeight="1" outlineLevel="1">
      <c r="B263" s="763" t="s">
        <v>459</v>
      </c>
      <c r="C263" s="64"/>
      <c r="D263" s="64"/>
      <c r="E263" s="64"/>
      <c r="F263" s="73"/>
      <c r="G263" s="73"/>
      <c r="H263" s="279"/>
      <c r="I263" s="73"/>
      <c r="J263" s="73"/>
      <c r="K263" s="73"/>
      <c r="L263" s="73"/>
      <c r="M263" s="73"/>
      <c r="N263" s="73"/>
      <c r="O263" s="73"/>
      <c r="P263" s="73"/>
      <c r="Q263" s="73"/>
      <c r="R263" s="73"/>
      <c r="S263" s="73"/>
      <c r="T263" s="471">
        <f>T261+T262</f>
        <v>1262.4960000000005</v>
      </c>
      <c r="U263" s="471"/>
      <c r="V263" s="471"/>
      <c r="W263" s="471"/>
      <c r="X263" s="471"/>
      <c r="Y263" s="471">
        <f>Y261+Y262</f>
        <v>1551.5949999999991</v>
      </c>
      <c r="Z263" s="471"/>
      <c r="AA263" s="471"/>
      <c r="AB263" s="471"/>
      <c r="AC263" s="471"/>
      <c r="AD263" s="471">
        <f>AD261+AD262</f>
        <v>1752.6999999999987</v>
      </c>
      <c r="AE263" s="471"/>
      <c r="AF263" s="471"/>
      <c r="AG263" s="471"/>
      <c r="AH263" s="471"/>
      <c r="AI263" s="471">
        <f>AI261+AI262</f>
        <v>2149.8000000000006</v>
      </c>
      <c r="AJ263" s="471"/>
      <c r="AK263" s="471"/>
      <c r="AL263" s="471"/>
      <c r="AM263" s="471"/>
      <c r="AN263" s="471">
        <f>AN261+AN262</f>
        <v>2482.4999999999982</v>
      </c>
      <c r="AO263" s="471"/>
      <c r="AP263" s="471"/>
      <c r="AQ263" s="471"/>
      <c r="AR263" s="471"/>
      <c r="AS263" s="471">
        <f>AS261+AS262</f>
        <v>2851.3</v>
      </c>
      <c r="AT263" s="471"/>
      <c r="AU263" s="471"/>
      <c r="AV263" s="471"/>
      <c r="AW263" s="471"/>
      <c r="AX263" s="471">
        <f>AX261+AX262</f>
        <v>3216.6000000000013</v>
      </c>
      <c r="AY263" s="471"/>
      <c r="AZ263" s="471"/>
      <c r="BA263" s="471"/>
      <c r="BB263" s="471"/>
      <c r="BC263" s="471">
        <f>BC261+BC262</f>
        <v>3687.9999999999964</v>
      </c>
      <c r="BD263" s="471"/>
      <c r="BE263" s="471"/>
      <c r="BF263" s="471"/>
      <c r="BG263" s="471"/>
      <c r="BH263" s="471">
        <f>BH261+BH262</f>
        <v>4274.6000000000004</v>
      </c>
      <c r="BI263" s="471"/>
      <c r="BJ263" s="471"/>
      <c r="BK263" s="471"/>
      <c r="BL263" s="471"/>
      <c r="BM263" s="471">
        <f>BM261+BM262</f>
        <v>4797.5000000000055</v>
      </c>
      <c r="BN263" s="471"/>
      <c r="BO263" s="471"/>
      <c r="BP263" s="471"/>
      <c r="BQ263" s="471"/>
      <c r="BR263" s="471">
        <f t="shared" ref="BR263:CW263" si="645">BR261+BR262</f>
        <v>5483.6999999999935</v>
      </c>
      <c r="BS263" s="471">
        <f t="shared" si="645"/>
        <v>1395.7999999999997</v>
      </c>
      <c r="BT263" s="471">
        <f t="shared" si="645"/>
        <v>1766.1000000000004</v>
      </c>
      <c r="BU263" s="471">
        <f t="shared" si="645"/>
        <v>1587.6000000000008</v>
      </c>
      <c r="BV263" s="471">
        <f t="shared" si="645"/>
        <v>1248.8000000000006</v>
      </c>
      <c r="BW263" s="471">
        <f t="shared" si="645"/>
        <v>5998.3000000000011</v>
      </c>
      <c r="BX263" s="471">
        <f t="shared" si="645"/>
        <v>1446.25</v>
      </c>
      <c r="BY263" s="471">
        <f t="shared" si="645"/>
        <v>1813.25</v>
      </c>
      <c r="BZ263" s="471">
        <f t="shared" si="645"/>
        <v>1635.25</v>
      </c>
      <c r="CA263" s="471">
        <f t="shared" si="645"/>
        <v>1477.25</v>
      </c>
      <c r="CB263" s="471">
        <f t="shared" si="645"/>
        <v>6372</v>
      </c>
      <c r="CC263" s="471">
        <f t="shared" si="645"/>
        <v>1642.5</v>
      </c>
      <c r="CD263" s="471">
        <f t="shared" si="645"/>
        <v>1915.5</v>
      </c>
      <c r="CE263" s="471">
        <f t="shared" si="645"/>
        <v>1664.5</v>
      </c>
      <c r="CF263" s="471">
        <f t="shared" si="645"/>
        <v>1623.5</v>
      </c>
      <c r="CG263" s="776">
        <f t="shared" si="645"/>
        <v>6846</v>
      </c>
      <c r="CH263" s="471">
        <f t="shared" si="645"/>
        <v>1881</v>
      </c>
      <c r="CI263" s="471">
        <f t="shared" si="645"/>
        <v>2144</v>
      </c>
      <c r="CJ263" s="471">
        <f t="shared" si="645"/>
        <v>1895</v>
      </c>
      <c r="CK263" s="471">
        <f t="shared" si="645"/>
        <v>1805</v>
      </c>
      <c r="CL263" s="776">
        <f t="shared" si="645"/>
        <v>7725</v>
      </c>
      <c r="CM263" s="471">
        <f t="shared" si="645"/>
        <v>1864.75</v>
      </c>
      <c r="CN263" s="471">
        <f t="shared" si="645"/>
        <v>2102.75</v>
      </c>
      <c r="CO263" s="471">
        <f t="shared" si="645"/>
        <v>1890.75</v>
      </c>
      <c r="CP263" s="471">
        <f t="shared" si="645"/>
        <v>1720.75</v>
      </c>
      <c r="CQ263" s="776">
        <f t="shared" si="645"/>
        <v>7579</v>
      </c>
      <c r="CR263" s="471">
        <f t="shared" si="645"/>
        <v>1820</v>
      </c>
      <c r="CS263" s="471">
        <f t="shared" si="645"/>
        <v>2307</v>
      </c>
      <c r="CT263" s="471">
        <f t="shared" si="645"/>
        <v>2157</v>
      </c>
      <c r="CU263" s="471">
        <f t="shared" si="645"/>
        <v>2012</v>
      </c>
      <c r="CV263" s="776">
        <f t="shared" si="645"/>
        <v>8296</v>
      </c>
      <c r="CW263" s="471">
        <f t="shared" si="645"/>
        <v>2041.71</v>
      </c>
      <c r="CX263" s="471">
        <f t="shared" ref="CX263:DF263" si="646">CX261+CX262</f>
        <v>2272.71</v>
      </c>
      <c r="CY263" s="471">
        <f t="shared" si="646"/>
        <v>2248.71</v>
      </c>
      <c r="CZ263" s="471">
        <f t="shared" si="646"/>
        <v>2065.71</v>
      </c>
      <c r="DA263" s="776">
        <f t="shared" si="646"/>
        <v>8628.84</v>
      </c>
      <c r="DB263" s="471">
        <f t="shared" si="646"/>
        <v>2154.0113000000001</v>
      </c>
      <c r="DC263" s="471">
        <f t="shared" si="646"/>
        <v>2827.0113000000001</v>
      </c>
      <c r="DD263" s="471">
        <f t="shared" si="646"/>
        <v>2788.0113000000001</v>
      </c>
      <c r="DE263" s="471">
        <f t="shared" si="646"/>
        <v>2512.0113000000001</v>
      </c>
      <c r="DF263" s="776">
        <f t="shared" si="646"/>
        <v>10281.0452</v>
      </c>
      <c r="DG263" s="471">
        <f t="shared" ref="DG263:DU263" si="647">DG261+DG262</f>
        <v>2828.0271295841394</v>
      </c>
      <c r="DH263" s="471">
        <f t="shared" ref="DH263" si="648">DH261+DH262</f>
        <v>3269.0271295841394</v>
      </c>
      <c r="DI263" s="471">
        <f t="shared" si="647"/>
        <v>2973.0271295841394</v>
      </c>
      <c r="DJ263" s="471">
        <f t="shared" ref="DJ263" si="649">DJ261+DJ262</f>
        <v>2719.0271295841394</v>
      </c>
      <c r="DK263" s="776">
        <f t="shared" si="647"/>
        <v>11789.108518336558</v>
      </c>
      <c r="DL263" s="471">
        <f t="shared" si="647"/>
        <v>2999.7249026579393</v>
      </c>
      <c r="DM263" s="471">
        <f t="shared" si="647"/>
        <v>3282.7249026579393</v>
      </c>
      <c r="DN263" s="471">
        <f t="shared" si="647"/>
        <v>3321.7249026579393</v>
      </c>
      <c r="DO263" s="2261">
        <f t="shared" ref="DO263:DQ263" si="650">DO261+DO262</f>
        <v>3145.7249026579393</v>
      </c>
      <c r="DP263" s="2261">
        <f t="shared" si="647"/>
        <v>12749.899610631757</v>
      </c>
      <c r="DQ263" s="471">
        <f t="shared" si="650"/>
        <v>2837.0113000000001</v>
      </c>
      <c r="DR263" s="471">
        <f t="shared" ca="1" si="647"/>
        <v>3174.2281996184306</v>
      </c>
      <c r="DS263" s="471">
        <f t="shared" ca="1" si="647"/>
        <v>3032.8537263675344</v>
      </c>
      <c r="DT263" s="1480">
        <f t="shared" si="647"/>
        <v>2929.3430992065919</v>
      </c>
      <c r="DU263" s="776">
        <f t="shared" ca="1" si="647"/>
        <v>9185.3911251925565</v>
      </c>
      <c r="DV263" s="471">
        <f t="shared" ref="DV263:DZ263" si="651">DV261+DV262</f>
        <v>2889.6679005623823</v>
      </c>
      <c r="DW263" s="471">
        <f t="shared" ca="1" si="651"/>
        <v>3224.4592917174964</v>
      </c>
      <c r="DX263" s="471">
        <f t="shared" ca="1" si="651"/>
        <v>3234.6229847968907</v>
      </c>
      <c r="DY263" s="1480">
        <f t="shared" si="651"/>
        <v>3174.5152685922626</v>
      </c>
      <c r="DZ263" s="776">
        <f t="shared" ca="1" si="651"/>
        <v>9735.220245669032</v>
      </c>
      <c r="EA263" s="471">
        <f t="shared" ref="EA263:EE263" si="652">EA261+EA262</f>
        <v>2945.899626506422</v>
      </c>
      <c r="EB263" s="471">
        <f t="shared" ca="1" si="652"/>
        <v>3258.0544768826376</v>
      </c>
      <c r="EC263" s="471">
        <f t="shared" ca="1" si="652"/>
        <v>3285.6765298687619</v>
      </c>
      <c r="ED263" s="1480">
        <f t="shared" si="652"/>
        <v>3229.3344529513693</v>
      </c>
      <c r="EE263" s="776">
        <f t="shared" ca="1" si="652"/>
        <v>9930.9198862091907</v>
      </c>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row>
    <row r="264" spans="2:232" s="54" customFormat="1" ht="11.25" customHeight="1" outlineLevel="1">
      <c r="B264" s="763"/>
      <c r="C264" s="64"/>
      <c r="D264" s="64"/>
      <c r="E264" s="64"/>
      <c r="F264" s="73"/>
      <c r="G264" s="73"/>
      <c r="H264" s="279"/>
      <c r="I264" s="73"/>
      <c r="J264" s="73"/>
      <c r="K264" s="73"/>
      <c r="L264" s="73"/>
      <c r="M264" s="73"/>
      <c r="N264" s="73"/>
      <c r="O264" s="73"/>
      <c r="P264" s="73"/>
      <c r="Q264" s="73"/>
      <c r="R264" s="73"/>
      <c r="S264" s="73"/>
      <c r="T264" s="73"/>
      <c r="U264" s="73"/>
      <c r="V264" s="73"/>
      <c r="W264" s="73"/>
      <c r="X264" s="73"/>
      <c r="Y264" s="73"/>
      <c r="Z264" s="73"/>
      <c r="AA264" s="73"/>
      <c r="AB264" s="73"/>
      <c r="AC264" s="73"/>
      <c r="AD264" s="73"/>
      <c r="AE264" s="73"/>
      <c r="AF264" s="73"/>
      <c r="AG264" s="73"/>
      <c r="AH264" s="73"/>
      <c r="AI264" s="73"/>
      <c r="AJ264" s="73"/>
      <c r="AK264" s="73"/>
      <c r="AL264" s="73"/>
      <c r="AM264" s="73"/>
      <c r="AN264" s="73"/>
      <c r="AO264" s="73"/>
      <c r="AP264" s="73"/>
      <c r="AQ264" s="73"/>
      <c r="AR264" s="73"/>
      <c r="AS264" s="73"/>
      <c r="AT264" s="73"/>
      <c r="AU264" s="73"/>
      <c r="AV264" s="73"/>
      <c r="AW264" s="73"/>
      <c r="AX264" s="73"/>
      <c r="AY264" s="73"/>
      <c r="AZ264" s="73"/>
      <c r="BA264" s="73"/>
      <c r="BB264" s="73"/>
      <c r="BC264" s="73"/>
      <c r="BD264" s="73"/>
      <c r="BE264" s="73"/>
      <c r="BF264" s="73"/>
      <c r="BG264" s="73"/>
      <c r="BH264" s="73"/>
      <c r="BI264" s="73"/>
      <c r="BJ264" s="73"/>
      <c r="BK264" s="73"/>
      <c r="BL264" s="73"/>
      <c r="BM264" s="73"/>
      <c r="BN264" s="73"/>
      <c r="BO264" s="73"/>
      <c r="BP264" s="73"/>
      <c r="BQ264" s="73"/>
      <c r="BR264" s="73"/>
      <c r="BS264" s="73"/>
      <c r="BT264" s="73"/>
      <c r="BU264" s="73"/>
      <c r="BV264" s="73"/>
      <c r="BW264" s="73"/>
      <c r="BX264" s="73"/>
      <c r="BY264" s="73"/>
      <c r="BZ264" s="73"/>
      <c r="CA264" s="73"/>
      <c r="CB264" s="73"/>
      <c r="CC264" s="73"/>
      <c r="CD264" s="73"/>
      <c r="CE264" s="73"/>
      <c r="CF264" s="73"/>
      <c r="CG264" s="777"/>
      <c r="CH264" s="73"/>
      <c r="CI264" s="73"/>
      <c r="CJ264" s="73"/>
      <c r="CK264" s="73"/>
      <c r="CL264" s="896"/>
      <c r="CM264" s="73"/>
      <c r="CN264" s="73"/>
      <c r="CO264" s="73"/>
      <c r="CP264" s="73"/>
      <c r="CQ264" s="896"/>
      <c r="CR264" s="73"/>
      <c r="CS264" s="73"/>
      <c r="CT264" s="73"/>
      <c r="CU264" s="73"/>
      <c r="CV264" s="777"/>
      <c r="CW264" s="73"/>
      <c r="CX264" s="73"/>
      <c r="CY264" s="73"/>
      <c r="CZ264" s="73"/>
      <c r="DA264" s="777"/>
      <c r="DB264" s="73"/>
      <c r="DC264" s="73"/>
      <c r="DD264" s="73"/>
      <c r="DE264" s="73"/>
      <c r="DF264" s="777"/>
      <c r="DG264" s="73"/>
      <c r="DH264" s="73"/>
      <c r="DI264" s="73"/>
      <c r="DJ264" s="73"/>
      <c r="DK264" s="777"/>
      <c r="DL264" s="73"/>
      <c r="DM264" s="73"/>
      <c r="DN264" s="73"/>
      <c r="DO264" s="2256"/>
      <c r="DP264" s="2256"/>
      <c r="DQ264" s="73"/>
      <c r="DR264" s="73"/>
      <c r="DS264" s="73"/>
      <c r="DT264" s="736"/>
      <c r="DU264" s="777"/>
      <c r="DV264" s="73"/>
      <c r="DW264" s="73"/>
      <c r="DX264" s="73"/>
      <c r="DY264" s="736"/>
      <c r="DZ264" s="777"/>
      <c r="EA264" s="73"/>
      <c r="EB264" s="73"/>
      <c r="EC264" s="73"/>
      <c r="ED264" s="736"/>
      <c r="EE264" s="777"/>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row>
    <row r="265" spans="2:232" s="54" customFormat="1" ht="11.25" customHeight="1" outlineLevel="1">
      <c r="B265" s="766" t="s">
        <v>433</v>
      </c>
      <c r="C265" s="467"/>
      <c r="D265" s="467"/>
      <c r="E265" s="467"/>
      <c r="F265" s="81"/>
      <c r="G265" s="81"/>
      <c r="H265" s="468"/>
      <c r="I265" s="81"/>
      <c r="J265" s="81"/>
      <c r="K265" s="81"/>
      <c r="L265" s="81"/>
      <c r="M265" s="81"/>
      <c r="N265" s="81"/>
      <c r="O265" s="472"/>
      <c r="P265" s="472"/>
      <c r="Q265" s="472"/>
      <c r="R265" s="472"/>
      <c r="S265" s="472"/>
      <c r="T265" s="472">
        <f>+T249/(T259+T249)</f>
        <v>0.65734725810347638</v>
      </c>
      <c r="U265" s="472"/>
      <c r="V265" s="472"/>
      <c r="W265" s="472"/>
      <c r="X265" s="472"/>
      <c r="Y265" s="472">
        <f>+Y249/(Y259+Y249)</f>
        <v>0.66225556617389825</v>
      </c>
      <c r="Z265" s="472"/>
      <c r="AA265" s="472"/>
      <c r="AB265" s="472"/>
      <c r="AC265" s="472"/>
      <c r="AD265" s="472">
        <f>+AD249/(AD259+AD249)</f>
        <v>0.663153862549546</v>
      </c>
      <c r="AE265" s="472"/>
      <c r="AF265" s="472"/>
      <c r="AG265" s="472"/>
      <c r="AH265" s="472"/>
      <c r="AI265" s="472">
        <f>+AI249/(AI259+AI249)</f>
        <v>0.67391540942809569</v>
      </c>
      <c r="AJ265" s="472"/>
      <c r="AK265" s="472"/>
      <c r="AL265" s="472"/>
      <c r="AM265" s="472"/>
      <c r="AN265" s="472">
        <f>AN249/(AN259+AN249)</f>
        <v>0.65135690310154193</v>
      </c>
      <c r="AO265" s="472"/>
      <c r="AP265" s="472"/>
      <c r="AQ265" s="472"/>
      <c r="AR265" s="472"/>
      <c r="AS265" s="472">
        <f>AS249/(AS259+AS249)</f>
        <v>0.61132180819654125</v>
      </c>
      <c r="AT265" s="472"/>
      <c r="AU265" s="472"/>
      <c r="AV265" s="472"/>
      <c r="AW265" s="472"/>
      <c r="AX265" s="472">
        <f>AX249/(AX259+AX249)</f>
        <v>0.644839108789383</v>
      </c>
      <c r="AY265" s="472"/>
      <c r="AZ265" s="472"/>
      <c r="BA265" s="472"/>
      <c r="BB265" s="472"/>
      <c r="BC265" s="472">
        <f>BC249/(BC259+BC249)</f>
        <v>0.64223584692697488</v>
      </c>
      <c r="BD265" s="472"/>
      <c r="BE265" s="472"/>
      <c r="BF265" s="472"/>
      <c r="BG265" s="472"/>
      <c r="BH265" s="472">
        <f>BH249/(BH259+BH249)</f>
        <v>0.64775550432346718</v>
      </c>
      <c r="BI265" s="472"/>
      <c r="BJ265" s="472"/>
      <c r="BK265" s="472"/>
      <c r="BL265" s="472"/>
      <c r="BM265" s="472">
        <f>BM249/(BM259+BM249)</f>
        <v>0.6329531603152504</v>
      </c>
      <c r="BN265" s="472"/>
      <c r="BO265" s="472"/>
      <c r="BP265" s="472"/>
      <c r="BQ265" s="472"/>
      <c r="BR265" s="472">
        <f t="shared" ref="BR265:CV265" si="653">BR249/(BR259+BR249)</f>
        <v>0.65479023941735548</v>
      </c>
      <c r="BS265" s="472">
        <f t="shared" si="653"/>
        <v>0.62936067242317462</v>
      </c>
      <c r="BT265" s="472">
        <f t="shared" si="653"/>
        <v>0.61590498010621308</v>
      </c>
      <c r="BU265" s="472">
        <f t="shared" si="653"/>
        <v>0.60975662411377574</v>
      </c>
      <c r="BV265" s="472">
        <f t="shared" si="653"/>
        <v>0.60664396971084211</v>
      </c>
      <c r="BW265" s="472">
        <f t="shared" si="653"/>
        <v>0.65502526419831375</v>
      </c>
      <c r="BX265" s="472">
        <f t="shared" si="653"/>
        <v>0.62056565841350042</v>
      </c>
      <c r="BY265" s="472">
        <f t="shared" si="653"/>
        <v>0.60502730880660605</v>
      </c>
      <c r="BZ265" s="472">
        <f t="shared" si="653"/>
        <v>0.58987675215280877</v>
      </c>
      <c r="CA265" s="472">
        <f t="shared" si="653"/>
        <v>0.58293449803757824</v>
      </c>
      <c r="CB265" s="472">
        <f t="shared" si="653"/>
        <v>0.63534035801519573</v>
      </c>
      <c r="CC265" s="472">
        <f t="shared" si="653"/>
        <v>0.62146125983160982</v>
      </c>
      <c r="CD265" s="472">
        <f t="shared" si="653"/>
        <v>0.61389265628621947</v>
      </c>
      <c r="CE265" s="472">
        <f t="shared" si="653"/>
        <v>0.61616754241725957</v>
      </c>
      <c r="CF265" s="472">
        <f t="shared" si="653"/>
        <v>0.61537047560234537</v>
      </c>
      <c r="CG265" s="778">
        <f t="shared" si="653"/>
        <v>0.66970662910764456</v>
      </c>
      <c r="CH265" s="472">
        <f t="shared" si="653"/>
        <v>0.6130934498081051</v>
      </c>
      <c r="CI265" s="472">
        <f t="shared" si="653"/>
        <v>0.60367474190281312</v>
      </c>
      <c r="CJ265" s="472">
        <f t="shared" si="653"/>
        <v>0.59440485447688807</v>
      </c>
      <c r="CK265" s="472">
        <f t="shared" si="653"/>
        <v>0.59526317251748384</v>
      </c>
      <c r="CL265" s="778">
        <f t="shared" si="653"/>
        <v>0.65217876664824714</v>
      </c>
      <c r="CM265" s="472">
        <f t="shared" si="653"/>
        <v>0.60062278062971031</v>
      </c>
      <c r="CN265" s="472">
        <f t="shared" si="653"/>
        <v>0.59398436993475634</v>
      </c>
      <c r="CO265" s="472">
        <f t="shared" si="653"/>
        <v>0.58238281276115234</v>
      </c>
      <c r="CP265" s="472">
        <f t="shared" si="653"/>
        <v>0.5763326150906517</v>
      </c>
      <c r="CQ265" s="778">
        <f t="shared" si="653"/>
        <v>0.62811573537898047</v>
      </c>
      <c r="CR265" s="472">
        <f t="shared" si="653"/>
        <v>0.61631527609291892</v>
      </c>
      <c r="CS265" s="472">
        <f t="shared" si="653"/>
        <v>0.60579285926450099</v>
      </c>
      <c r="CT265" s="472">
        <f t="shared" si="653"/>
        <v>0.59705047258054167</v>
      </c>
      <c r="CU265" s="472">
        <f t="shared" si="653"/>
        <v>0.59042400447554233</v>
      </c>
      <c r="CV265" s="778">
        <f t="shared" si="653"/>
        <v>0.65078647012898849</v>
      </c>
      <c r="CW265" s="472">
        <f t="shared" ref="CW265:DF265" si="654">CW249/(CW259+CW249)</f>
        <v>0.60002635607404553</v>
      </c>
      <c r="CX265" s="472">
        <f t="shared" si="654"/>
        <v>0.58935468472382357</v>
      </c>
      <c r="CY265" s="472">
        <f t="shared" si="654"/>
        <v>0.57822646809604672</v>
      </c>
      <c r="CZ265" s="472">
        <f t="shared" si="654"/>
        <v>0.57994085361142156</v>
      </c>
      <c r="DA265" s="778">
        <f t="shared" si="654"/>
        <v>0.63888247903871731</v>
      </c>
      <c r="DB265" s="472">
        <f t="shared" si="654"/>
        <v>0.57895588718011215</v>
      </c>
      <c r="DC265" s="472">
        <f t="shared" si="654"/>
        <v>0.56880999042227143</v>
      </c>
      <c r="DD265" s="472">
        <f t="shared" si="654"/>
        <v>0.54923402317619163</v>
      </c>
      <c r="DE265" s="472">
        <f t="shared" si="654"/>
        <v>0.54979998769256733</v>
      </c>
      <c r="DF265" s="778">
        <f t="shared" si="654"/>
        <v>0.61093456522347711</v>
      </c>
      <c r="DG265" s="472">
        <f t="shared" ref="DG265:DU265" si="655">DG249/(DG259+DG249)</f>
        <v>0.54564196147340638</v>
      </c>
      <c r="DH265" s="472">
        <f t="shared" ref="DH265" si="656">DH249/(DH259+DH249)</f>
        <v>0.53411912365511838</v>
      </c>
      <c r="DI265" s="472">
        <f t="shared" si="655"/>
        <v>0.52779804497530025</v>
      </c>
      <c r="DJ265" s="472">
        <f t="shared" ref="DJ265" si="657">DJ249/(DJ259+DJ249)</f>
        <v>0.51759774346193488</v>
      </c>
      <c r="DK265" s="778">
        <f t="shared" si="655"/>
        <v>0.63273073643159183</v>
      </c>
      <c r="DL265" s="472">
        <f t="shared" si="655"/>
        <v>0.53865459267021487</v>
      </c>
      <c r="DM265" s="472">
        <f t="shared" si="655"/>
        <v>0.52191538652870162</v>
      </c>
      <c r="DN265" s="472">
        <f t="shared" si="655"/>
        <v>0.5149345225562062</v>
      </c>
      <c r="DO265" s="1797">
        <f t="shared" ref="DO265:DQ265" si="658">DO249/(DO259+DO249)</f>
        <v>0.52846590222955347</v>
      </c>
      <c r="DP265" s="1797">
        <f t="shared" si="655"/>
        <v>0.6700605837139364</v>
      </c>
      <c r="DQ265" s="472">
        <f t="shared" si="658"/>
        <v>0.5627034701355369</v>
      </c>
      <c r="DR265" s="472">
        <f t="shared" ca="1" si="655"/>
        <v>0.5590174974451384</v>
      </c>
      <c r="DS265" s="472">
        <f t="shared" ca="1" si="655"/>
        <v>0.54772826917262685</v>
      </c>
      <c r="DT265" s="1797">
        <f t="shared" ca="1" si="655"/>
        <v>0.53608746008592401</v>
      </c>
      <c r="DU265" s="778">
        <f t="shared" ca="1" si="655"/>
        <v>0.17300407390513076</v>
      </c>
      <c r="DV265" s="472">
        <f t="shared" ref="DV265:DZ265" ca="1" si="659">DV249/(DV259+DV249)</f>
        <v>0.18523265951095022</v>
      </c>
      <c r="DW265" s="472">
        <f t="shared" ca="1" si="659"/>
        <v>0.1978426581195222</v>
      </c>
      <c r="DX265" s="472">
        <f t="shared" ca="1" si="659"/>
        <v>0.1849083504150742</v>
      </c>
      <c r="DY265" s="1797">
        <f t="shared" ca="1" si="659"/>
        <v>0.17232303759955872</v>
      </c>
      <c r="DZ265" s="778">
        <f t="shared" ca="1" si="659"/>
        <v>0.16476326939907227</v>
      </c>
      <c r="EA265" s="472">
        <f t="shared" ref="EA265:EE265" ca="1" si="660">EA249/(EA259+EA249)</f>
        <v>0.17083997307301838</v>
      </c>
      <c r="EB265" s="472">
        <f t="shared" ca="1" si="660"/>
        <v>0.18023793289098961</v>
      </c>
      <c r="EC265" s="472">
        <f t="shared" ca="1" si="660"/>
        <v>0.16482367499771147</v>
      </c>
      <c r="ED265" s="1797">
        <f t="shared" ca="1" si="660"/>
        <v>0.15489657110976915</v>
      </c>
      <c r="EE265" s="778">
        <f t="shared" ca="1" si="660"/>
        <v>0.14830612028264251</v>
      </c>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row>
    <row r="266" spans="2:232" s="475" customFormat="1" ht="11.25" customHeight="1" outlineLevel="1">
      <c r="B266" s="768" t="s">
        <v>87</v>
      </c>
      <c r="C266" s="347"/>
      <c r="D266" s="347"/>
      <c r="E266" s="347"/>
      <c r="F266" s="473"/>
      <c r="G266" s="473"/>
      <c r="H266" s="473"/>
      <c r="I266" s="473"/>
      <c r="J266" s="473"/>
      <c r="K266" s="473"/>
      <c r="L266" s="473"/>
      <c r="M266" s="473"/>
      <c r="N266" s="473"/>
      <c r="O266" s="473"/>
      <c r="P266" s="473"/>
      <c r="Q266" s="473"/>
      <c r="R266" s="473"/>
      <c r="S266" s="473"/>
      <c r="T266" s="474">
        <f>+T249/T263</f>
        <v>2.7520544443712334</v>
      </c>
      <c r="U266" s="474"/>
      <c r="V266" s="474"/>
      <c r="W266" s="474"/>
      <c r="X266" s="474"/>
      <c r="Y266" s="474">
        <f>+Y249/Y263</f>
        <v>2.7580672812953075</v>
      </c>
      <c r="Z266" s="474"/>
      <c r="AA266" s="474"/>
      <c r="AB266" s="474"/>
      <c r="AC266" s="474"/>
      <c r="AD266" s="474">
        <f>+AD249/AD263</f>
        <v>3.024224932764461</v>
      </c>
      <c r="AE266" s="474"/>
      <c r="AF266" s="474"/>
      <c r="AG266" s="474"/>
      <c r="AH266" s="474"/>
      <c r="AI266" s="474">
        <f>+AI249/AI263</f>
        <v>3.1558033863677171</v>
      </c>
      <c r="AJ266" s="474"/>
      <c r="AK266" s="474"/>
      <c r="AL266" s="474"/>
      <c r="AM266" s="474"/>
      <c r="AN266" s="474">
        <f>AN249/AN263</f>
        <v>3.3926348615547686</v>
      </c>
      <c r="AO266" s="474"/>
      <c r="AP266" s="474"/>
      <c r="AQ266" s="474"/>
      <c r="AR266" s="474"/>
      <c r="AS266" s="474">
        <f>AS249/AS263</f>
        <v>3.1020487387935289</v>
      </c>
      <c r="AT266" s="474"/>
      <c r="AU266" s="474"/>
      <c r="AV266" s="474"/>
      <c r="AW266" s="474"/>
      <c r="AX266" s="474">
        <f>AX249/AX263</f>
        <v>3.4011044511974307</v>
      </c>
      <c r="AY266" s="474"/>
      <c r="AZ266" s="474"/>
      <c r="BA266" s="474"/>
      <c r="BB266" s="474"/>
      <c r="BC266" s="474">
        <f>BC249/BC263</f>
        <v>3.3201160853592802</v>
      </c>
      <c r="BD266" s="474"/>
      <c r="BE266" s="474"/>
      <c r="BF266" s="474"/>
      <c r="BG266" s="474"/>
      <c r="BH266" s="474">
        <f>BH249/BH263</f>
        <v>3.3195486874242386</v>
      </c>
      <c r="BI266" s="474"/>
      <c r="BJ266" s="474"/>
      <c r="BK266" s="474"/>
      <c r="BL266" s="474"/>
      <c r="BM266" s="474">
        <f>BM249/BM263</f>
        <v>3.1991722254390615</v>
      </c>
      <c r="BN266" s="474"/>
      <c r="BO266" s="474"/>
      <c r="BP266" s="474"/>
      <c r="BQ266" s="474"/>
      <c r="BR266" s="474">
        <f>BR249/BR263</f>
        <v>3.5475644513040683</v>
      </c>
      <c r="BS266" s="474">
        <f>BS249/BS263/4</f>
        <v>3.981334863908728</v>
      </c>
      <c r="BT266" s="474">
        <f>BT249/BT263/4</f>
        <v>3.0859080477004701</v>
      </c>
      <c r="BU266" s="474">
        <f>BU249/BU263/4</f>
        <v>3.4631029245677745</v>
      </c>
      <c r="BV266" s="474">
        <f>BV249/BV263/4</f>
        <v>4.4652644161873933</v>
      </c>
      <c r="BW266" s="474">
        <f>BW249/BW263</f>
        <v>3.718535053555053</v>
      </c>
      <c r="BX266" s="474">
        <f>BX249/BX263/4</f>
        <v>4.1815264866296298</v>
      </c>
      <c r="BY266" s="474">
        <f>BY249/BY263/4</f>
        <v>3.2323356852547094</v>
      </c>
      <c r="BZ266" s="474">
        <f>BZ249/BZ263/4</f>
        <v>3.4562193433958734</v>
      </c>
      <c r="CA266" s="474">
        <f>CA249/CA263/4</f>
        <v>3.7947420418264355</v>
      </c>
      <c r="CB266" s="474">
        <f>CB249/CB263</f>
        <v>3.5190098438720039</v>
      </c>
      <c r="CC266" s="474">
        <f>CC249/CC263/4</f>
        <v>4.1013765409955152</v>
      </c>
      <c r="CD266" s="474">
        <f>CD249/CD263/4</f>
        <v>3.5203659454894982</v>
      </c>
      <c r="CE266" s="474">
        <f>CE249/CE263/4</f>
        <v>4.1716797648453792</v>
      </c>
      <c r="CF266" s="474">
        <f>CF249/CF263/4</f>
        <v>4.3486362602926603</v>
      </c>
      <c r="CG266" s="779">
        <f>CG249/CG263</f>
        <v>4.1249991052843216</v>
      </c>
      <c r="CH266" s="474">
        <f>CH249/CH263/4</f>
        <v>3.8077973265359759</v>
      </c>
      <c r="CI266" s="474">
        <f>CI249/CI263/4</f>
        <v>3.3185479343349678</v>
      </c>
      <c r="CJ266" s="474">
        <f>CJ249/CJ263/4</f>
        <v>3.7009059478702748</v>
      </c>
      <c r="CK266" s="474">
        <f>CK249/CK263/4</f>
        <v>4.0391782666006488</v>
      </c>
      <c r="CL266" s="779">
        <f>CL249/CL263</f>
        <v>3.7750895903291406</v>
      </c>
      <c r="CM266" s="474">
        <f>CM249/CM263/4</f>
        <v>4.0679118894723576</v>
      </c>
      <c r="CN266" s="474">
        <f>CN249/CN263/4</f>
        <v>3.6077225994024866</v>
      </c>
      <c r="CO266" s="474">
        <f>CO249/CO263/4</f>
        <v>3.892708552634446</v>
      </c>
      <c r="CP266" s="474">
        <f>CP249/CP263/4</f>
        <v>4.8133887525169712</v>
      </c>
      <c r="CQ266" s="779">
        <f>CQ249/CQ263</f>
        <v>4.3713622883723859</v>
      </c>
      <c r="CR266" s="474">
        <f>CR249/CR263/4</f>
        <v>4.7112450777059758</v>
      </c>
      <c r="CS266" s="474">
        <f>CS249/CS263/4</f>
        <v>3.6484464852296816</v>
      </c>
      <c r="CT266" s="474">
        <f>CT249/CT263/4</f>
        <v>3.8379536585187184</v>
      </c>
      <c r="CU266" s="474">
        <f>CU249/CU263/4</f>
        <v>4.0609547920148401</v>
      </c>
      <c r="CV266" s="779">
        <f>CV249/CV263</f>
        <v>3.9395569149150713</v>
      </c>
      <c r="CW266" s="474">
        <f>CW249/CW263/4</f>
        <v>4.2415851482776601</v>
      </c>
      <c r="CX266" s="474">
        <f>CX249/CX263/4</f>
        <v>3.7209264768008157</v>
      </c>
      <c r="CY266" s="474">
        <f>CY249/CY263/4</f>
        <v>3.6619158597996102</v>
      </c>
      <c r="CZ266" s="474">
        <f>CZ249/CZ263/4</f>
        <v>3.92133301048549</v>
      </c>
      <c r="DA266" s="779">
        <f>DA249/DA263</f>
        <v>3.7550061482609398</v>
      </c>
      <c r="DB266" s="474">
        <f>DB249/DB263/4</f>
        <v>3.8324422608620927</v>
      </c>
      <c r="DC266" s="474">
        <f>DC249/DC263/4</f>
        <v>4.0155919916183196</v>
      </c>
      <c r="DD266" s="474">
        <f>DD249/DD263/4</f>
        <v>3.8692002204203746</v>
      </c>
      <c r="DE266" s="474">
        <f>DE249/DE263/4</f>
        <v>4.2530158747671623</v>
      </c>
      <c r="DF266" s="779">
        <f>DF249/DF263</f>
        <v>4.1566294977458114</v>
      </c>
      <c r="DG266" s="474">
        <f>DG249/DG263/4</f>
        <v>3.8064075920224396</v>
      </c>
      <c r="DH266" s="474">
        <f>DH249/DH263/4</f>
        <v>3.1960193422510979</v>
      </c>
      <c r="DI266" s="474">
        <f>DI249/DI263/4</f>
        <v>3.4968984416730562</v>
      </c>
      <c r="DJ266" s="474">
        <f>DJ249/DJ263/4</f>
        <v>3.7304239542640505</v>
      </c>
      <c r="DK266" s="779">
        <f>DK249/DK263</f>
        <v>3.8108552200497354</v>
      </c>
      <c r="DL266" s="474">
        <f>DL249/DL263/4</f>
        <v>3.7486425586043755</v>
      </c>
      <c r="DM266" s="474">
        <f>DM249/DM263/4</f>
        <v>3.259074930569569</v>
      </c>
      <c r="DN266" s="474">
        <f>DN249/DN263/4</f>
        <v>3.2108758993481383</v>
      </c>
      <c r="DO266" s="2262">
        <f>DO249/DO263/4</f>
        <v>3.6032700839897491</v>
      </c>
      <c r="DP266" s="2262">
        <f>DP249/DP263</f>
        <v>3.9359174158406107</v>
      </c>
      <c r="DQ266" s="474">
        <f>DQ249/DQ263/4</f>
        <v>4.6460470502624496</v>
      </c>
      <c r="DR266" s="474">
        <f ca="1">DR249/DR263/4</f>
        <v>4.1759936424123554</v>
      </c>
      <c r="DS266" s="474">
        <f ca="1">DS249/DS263/4</f>
        <v>4.257441061344843</v>
      </c>
      <c r="DT266" s="1485">
        <f ca="1">DT249/DT263/4</f>
        <v>4.2790517108604762</v>
      </c>
      <c r="DU266" s="779">
        <f ca="1">DU249/DU263</f>
        <v>1.0441243429928722</v>
      </c>
      <c r="DV266" s="474">
        <f ca="1">DV249/DV263/4</f>
        <v>0.86811051211725543</v>
      </c>
      <c r="DW266" s="474">
        <f ca="1">DW249/DW263/4</f>
        <v>0.86183490871085577</v>
      </c>
      <c r="DX266" s="474">
        <f ca="1">DX249/DX263/4</f>
        <v>0.80707856268247002</v>
      </c>
      <c r="DY266" s="1485">
        <f ca="1">DY249/DY263/4</f>
        <v>0.76993215515108138</v>
      </c>
      <c r="DZ266" s="779">
        <f ca="1">DZ249/DZ263</f>
        <v>1.0042551973673546</v>
      </c>
      <c r="EA266" s="474">
        <f ca="1">EA249/EA263/4</f>
        <v>0.83763021571620844</v>
      </c>
      <c r="EB266" s="474">
        <f ca="1">EB249/EB263/4</f>
        <v>0.826939928355655</v>
      </c>
      <c r="EC266" s="474">
        <f ca="1">EC249/EC263/4</f>
        <v>0.75335908100896298</v>
      </c>
      <c r="ED266" s="1485">
        <f ca="1">ED249/ED263/4</f>
        <v>0.72781576682227134</v>
      </c>
      <c r="EE266" s="779">
        <f ca="1">EE249/EE263</f>
        <v>0.94668391574249444</v>
      </c>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row>
    <row r="267" spans="2:232" s="475" customFormat="1" ht="11.25" customHeight="1" outlineLevel="1">
      <c r="B267" s="768" t="s">
        <v>355</v>
      </c>
      <c r="C267" s="347"/>
      <c r="D267" s="347"/>
      <c r="E267" s="347"/>
      <c r="F267" s="473"/>
      <c r="G267" s="473"/>
      <c r="H267" s="473"/>
      <c r="I267" s="473"/>
      <c r="J267" s="473"/>
      <c r="K267" s="473"/>
      <c r="L267" s="473"/>
      <c r="M267" s="473"/>
      <c r="N267" s="473"/>
      <c r="O267" s="473"/>
      <c r="P267" s="473"/>
      <c r="Q267" s="473"/>
      <c r="R267" s="473"/>
      <c r="S267" s="473"/>
      <c r="T267" s="474"/>
      <c r="U267" s="474"/>
      <c r="V267" s="474"/>
      <c r="W267" s="474"/>
      <c r="X267" s="474"/>
      <c r="Y267" s="474"/>
      <c r="Z267" s="474"/>
      <c r="AA267" s="474"/>
      <c r="AB267" s="474"/>
      <c r="AC267" s="474"/>
      <c r="AD267" s="474"/>
      <c r="AE267" s="474"/>
      <c r="AF267" s="474"/>
      <c r="AG267" s="474"/>
      <c r="AH267" s="474"/>
      <c r="AI267" s="474"/>
      <c r="AJ267" s="474"/>
      <c r="AK267" s="474"/>
      <c r="AL267" s="474"/>
      <c r="AM267" s="474"/>
      <c r="AN267" s="474"/>
      <c r="AO267" s="474"/>
      <c r="AP267" s="474"/>
      <c r="AQ267" s="474"/>
      <c r="AR267" s="474"/>
      <c r="AS267" s="474"/>
      <c r="AT267" s="474"/>
      <c r="AU267" s="474"/>
      <c r="AV267" s="474"/>
      <c r="AW267" s="474"/>
      <c r="AX267" s="474"/>
      <c r="AY267" s="474"/>
      <c r="AZ267" s="474"/>
      <c r="BA267" s="474"/>
      <c r="BB267" s="474"/>
      <c r="BC267" s="474"/>
      <c r="BD267" s="474"/>
      <c r="BE267" s="474"/>
      <c r="BF267" s="474"/>
      <c r="BG267" s="474"/>
      <c r="BH267" s="474"/>
      <c r="BI267" s="474"/>
      <c r="BJ267" s="474"/>
      <c r="BK267" s="474"/>
      <c r="BL267" s="474"/>
      <c r="BM267" s="474"/>
      <c r="BN267" s="474"/>
      <c r="BO267" s="474"/>
      <c r="BP267" s="474"/>
      <c r="BQ267" s="474"/>
      <c r="BR267" s="474">
        <f>BR247/BR261</f>
        <v>0.1668734169545853</v>
      </c>
      <c r="BS267" s="474"/>
      <c r="BT267" s="474"/>
      <c r="BU267" s="474"/>
      <c r="BV267" s="474"/>
      <c r="BW267" s="474">
        <f>BW247/BW261</f>
        <v>0.23190090870703808</v>
      </c>
      <c r="BX267" s="474"/>
      <c r="BY267" s="474"/>
      <c r="BZ267" s="474"/>
      <c r="CA267" s="474"/>
      <c r="CB267" s="474">
        <f>CB247/CB261</f>
        <v>-5.3580359271636568E-2</v>
      </c>
      <c r="CC267" s="474"/>
      <c r="CD267" s="474"/>
      <c r="CE267" s="474"/>
      <c r="CF267" s="474"/>
      <c r="CG267" s="779">
        <f>CG247/CG261</f>
        <v>0.11257562662057044</v>
      </c>
      <c r="CH267" s="474"/>
      <c r="CI267" s="474"/>
      <c r="CJ267" s="474"/>
      <c r="CK267" s="474"/>
      <c r="CL267" s="779">
        <f>CL247/CL261</f>
        <v>0.1632535885167464</v>
      </c>
      <c r="CM267" s="474"/>
      <c r="CN267" s="474"/>
      <c r="CO267" s="474"/>
      <c r="CP267" s="474"/>
      <c r="CQ267" s="779">
        <f>CQ247/CQ261</f>
        <v>0.81775159735704284</v>
      </c>
      <c r="CR267" s="474"/>
      <c r="CS267" s="474"/>
      <c r="CT267" s="474"/>
      <c r="CU267" s="474"/>
      <c r="CV267" s="779">
        <f>CV247/CV261</f>
        <v>0.5188779110797459</v>
      </c>
      <c r="CW267" s="474"/>
      <c r="CX267" s="474"/>
      <c r="CY267" s="474"/>
      <c r="CZ267" s="474"/>
      <c r="DA267" s="779">
        <f>DA247/DA261</f>
        <v>0.31475852752448497</v>
      </c>
      <c r="DB267" s="474"/>
      <c r="DC267" s="474"/>
      <c r="DD267" s="474"/>
      <c r="DE267" s="474"/>
      <c r="DF267" s="779">
        <f>DF247/DF261</f>
        <v>1.5191512077939411</v>
      </c>
      <c r="DG267" s="474"/>
      <c r="DH267" s="474"/>
      <c r="DI267" s="474"/>
      <c r="DJ267" s="474"/>
      <c r="DK267" s="779">
        <f>DK247/DK261</f>
        <v>1.0775972887694285</v>
      </c>
      <c r="DL267" s="474"/>
      <c r="DM267" s="474"/>
      <c r="DN267" s="474"/>
      <c r="DO267" s="2262"/>
      <c r="DP267" s="2262">
        <f>DP247/DP261</f>
        <v>1.0700877485282683</v>
      </c>
      <c r="DQ267" s="474"/>
      <c r="DR267" s="474"/>
      <c r="DS267" s="474"/>
      <c r="DT267" s="1485"/>
      <c r="DU267" s="779">
        <f ca="1">DU247/DU261</f>
        <v>1.0441243429928722</v>
      </c>
      <c r="DV267" s="474"/>
      <c r="DW267" s="474"/>
      <c r="DX267" s="474"/>
      <c r="DY267" s="1485"/>
      <c r="DZ267" s="779">
        <f ca="1">DZ247/DZ261</f>
        <v>1.0042551973673546</v>
      </c>
      <c r="EA267" s="474"/>
      <c r="EB267" s="474"/>
      <c r="EC267" s="474"/>
      <c r="ED267" s="1485"/>
      <c r="EE267" s="779">
        <f ca="1">EE247/EE261</f>
        <v>0.94668391574249444</v>
      </c>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row>
    <row r="268" spans="2:232" s="475" customFormat="1" ht="12" customHeight="1" outlineLevel="1" thickBot="1">
      <c r="B268" s="769" t="s">
        <v>438</v>
      </c>
      <c r="C268" s="770"/>
      <c r="D268" s="770"/>
      <c r="E268" s="770"/>
      <c r="F268" s="771"/>
      <c r="G268" s="771"/>
      <c r="H268" s="771"/>
      <c r="I268" s="771"/>
      <c r="J268" s="771"/>
      <c r="K268" s="771"/>
      <c r="L268" s="771"/>
      <c r="M268" s="771"/>
      <c r="N268" s="771"/>
      <c r="O268" s="771"/>
      <c r="P268" s="771"/>
      <c r="Q268" s="771"/>
      <c r="R268" s="771"/>
      <c r="S268" s="771"/>
      <c r="T268" s="772">
        <v>6.074458330967647</v>
      </c>
      <c r="U268" s="772"/>
      <c r="V268" s="772"/>
      <c r="W268" s="772"/>
      <c r="X268" s="772"/>
      <c r="Y268" s="772">
        <v>5.8016228005720514</v>
      </c>
      <c r="Z268" s="772"/>
      <c r="AA268" s="772"/>
      <c r="AB268" s="772"/>
      <c r="AC268" s="772"/>
      <c r="AD268" s="772">
        <v>5.3347289923833916</v>
      </c>
      <c r="AE268" s="772"/>
      <c r="AF268" s="772"/>
      <c r="AG268" s="772"/>
      <c r="AH268" s="772"/>
      <c r="AI268" s="772">
        <v>4.9622071181478944</v>
      </c>
      <c r="AJ268" s="772"/>
      <c r="AK268" s="772"/>
      <c r="AL268" s="772"/>
      <c r="AM268" s="772"/>
      <c r="AN268" s="772">
        <v>4.9562039580032167</v>
      </c>
      <c r="AO268" s="772"/>
      <c r="AP268" s="772"/>
      <c r="AQ268" s="772"/>
      <c r="AR268" s="772"/>
      <c r="AS268" s="772">
        <v>4.9393160931704916</v>
      </c>
      <c r="AT268" s="772"/>
      <c r="AU268" s="772"/>
      <c r="AV268" s="772"/>
      <c r="AW268" s="772"/>
      <c r="AX268" s="772">
        <v>4.5919161614194817</v>
      </c>
      <c r="AY268" s="772"/>
      <c r="AZ268" s="772"/>
      <c r="BA268" s="772"/>
      <c r="BB268" s="772"/>
      <c r="BC268" s="772">
        <v>4.7114901782707737</v>
      </c>
      <c r="BD268" s="772"/>
      <c r="BE268" s="772"/>
      <c r="BF268" s="772"/>
      <c r="BG268" s="772"/>
      <c r="BH268" s="772">
        <v>4.9556257928116088</v>
      </c>
      <c r="BI268" s="772"/>
      <c r="BJ268" s="772"/>
      <c r="BK268" s="772"/>
      <c r="BL268" s="772"/>
      <c r="BM268" s="772">
        <v>5.0620718548084538</v>
      </c>
      <c r="BN268" s="772"/>
      <c r="BO268" s="772"/>
      <c r="BP268" s="772"/>
      <c r="BQ268" s="772"/>
      <c r="BR268" s="772">
        <v>5.1073498936453374</v>
      </c>
      <c r="BS268" s="772"/>
      <c r="BT268" s="772"/>
      <c r="BU268" s="772"/>
      <c r="BV268" s="772"/>
      <c r="BW268" s="772">
        <v>4.960955659353826</v>
      </c>
      <c r="BX268" s="772"/>
      <c r="BY268" s="772"/>
      <c r="BZ268" s="772"/>
      <c r="CA268" s="772"/>
      <c r="CB268" s="772">
        <v>5.2234943881282767</v>
      </c>
      <c r="CC268" s="772"/>
      <c r="CD268" s="772"/>
      <c r="CE268" s="772"/>
      <c r="CF268" s="772"/>
      <c r="CG268" s="780">
        <v>4.6417024262938966</v>
      </c>
      <c r="CH268" s="772"/>
      <c r="CI268" s="772"/>
      <c r="CJ268" s="772"/>
      <c r="CK268" s="772"/>
      <c r="CL268" s="780">
        <v>5.0729670009869174</v>
      </c>
      <c r="CM268" s="772"/>
      <c r="CN268" s="772"/>
      <c r="CO268" s="772"/>
      <c r="CP268" s="772"/>
      <c r="CQ268" s="780">
        <v>4.8427488647417158</v>
      </c>
      <c r="CR268" s="772"/>
      <c r="CS268" s="772"/>
      <c r="CT268" s="772"/>
      <c r="CU268" s="772"/>
      <c r="CV268" s="780">
        <v>5.3546743093695479</v>
      </c>
      <c r="CW268" s="772"/>
      <c r="CX268" s="772"/>
      <c r="CY268" s="772"/>
      <c r="CZ268" s="772"/>
      <c r="DA268" s="780">
        <v>5.6268163574071863</v>
      </c>
      <c r="DB268" s="772"/>
      <c r="DC268" s="772"/>
      <c r="DD268" s="772"/>
      <c r="DE268" s="772"/>
      <c r="DF268" s="780">
        <v>9.0929602635149696</v>
      </c>
      <c r="DG268" s="772"/>
      <c r="DH268" s="772"/>
      <c r="DI268" s="772"/>
      <c r="DJ268" s="772"/>
      <c r="DK268" s="780">
        <v>8.4760750452018705</v>
      </c>
      <c r="DL268" s="772"/>
      <c r="DM268" s="772"/>
      <c r="DN268" s="772"/>
      <c r="DO268" s="1798"/>
      <c r="DP268" s="1798">
        <v>8.1639284557794163</v>
      </c>
      <c r="DQ268" s="772"/>
      <c r="DR268" s="772"/>
      <c r="DS268" s="772"/>
      <c r="DT268" s="1798"/>
      <c r="DU268" s="780">
        <v>-16.756609663222097</v>
      </c>
      <c r="DV268" s="772"/>
      <c r="DW268" s="772"/>
      <c r="DX268" s="772"/>
      <c r="DY268" s="1798"/>
      <c r="DZ268" s="780">
        <v>-19.824894740629464</v>
      </c>
      <c r="EA268" s="772"/>
      <c r="EB268" s="772"/>
      <c r="EC268" s="772"/>
      <c r="ED268" s="1798"/>
      <c r="EE268" s="780">
        <v>-21.00698848389376</v>
      </c>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row>
    <row r="269" spans="2:232" s="475" customFormat="1" ht="12" thickBot="1">
      <c r="B269" s="347"/>
      <c r="C269" s="347"/>
      <c r="D269" s="347"/>
      <c r="E269" s="347"/>
      <c r="F269" s="473"/>
      <c r="G269" s="473"/>
      <c r="H269" s="473"/>
      <c r="I269" s="473"/>
      <c r="J269" s="473"/>
      <c r="K269" s="473"/>
      <c r="L269" s="473"/>
      <c r="M269" s="473"/>
      <c r="N269" s="473"/>
      <c r="O269" s="473"/>
      <c r="P269" s="473"/>
      <c r="Q269" s="473"/>
      <c r="R269" s="473"/>
      <c r="S269" s="473"/>
      <c r="T269" s="474"/>
      <c r="U269" s="474"/>
      <c r="V269" s="474"/>
      <c r="W269" s="474"/>
      <c r="X269" s="474"/>
      <c r="Y269" s="474"/>
      <c r="Z269" s="474"/>
      <c r="AA269" s="474"/>
      <c r="AB269" s="474"/>
      <c r="AC269" s="474"/>
      <c r="AD269" s="474"/>
      <c r="AE269" s="474"/>
      <c r="AF269" s="474"/>
      <c r="AG269" s="474"/>
      <c r="AH269" s="474"/>
      <c r="AI269" s="474"/>
      <c r="AJ269" s="474"/>
      <c r="AK269" s="474"/>
      <c r="AL269" s="474"/>
      <c r="AM269" s="474"/>
      <c r="AN269" s="474"/>
      <c r="AO269" s="474"/>
      <c r="AP269" s="474"/>
      <c r="AQ269" s="474"/>
      <c r="AR269" s="474"/>
      <c r="AS269" s="474"/>
      <c r="AT269" s="474"/>
      <c r="AU269" s="474"/>
      <c r="AV269" s="474"/>
      <c r="AW269" s="474"/>
      <c r="AX269" s="474"/>
      <c r="AY269" s="474"/>
      <c r="AZ269" s="474"/>
      <c r="BA269" s="474"/>
      <c r="BB269" s="474"/>
      <c r="BC269" s="474"/>
      <c r="BD269" s="474"/>
      <c r="BE269" s="474"/>
      <c r="BF269" s="474"/>
      <c r="BG269" s="474"/>
      <c r="BH269" s="474"/>
      <c r="BI269" s="474"/>
      <c r="BJ269" s="474"/>
      <c r="BK269" s="474"/>
      <c r="BL269" s="474"/>
      <c r="BM269" s="474"/>
      <c r="BN269" s="474"/>
      <c r="BO269" s="474"/>
      <c r="BP269" s="474"/>
      <c r="BQ269" s="474"/>
      <c r="BR269" s="474"/>
      <c r="BS269" s="474"/>
      <c r="BT269" s="474"/>
      <c r="BU269" s="474"/>
      <c r="BV269" s="474"/>
      <c r="BW269" s="474"/>
      <c r="BX269" s="474"/>
      <c r="BY269" s="474"/>
      <c r="BZ269" s="474"/>
      <c r="CA269" s="474"/>
      <c r="CB269" s="474"/>
      <c r="CC269" s="474"/>
      <c r="CD269" s="474"/>
      <c r="CE269" s="474"/>
      <c r="CF269" s="474"/>
      <c r="CG269" s="474"/>
      <c r="CH269" s="474"/>
      <c r="CI269" s="474"/>
      <c r="CJ269" s="474"/>
      <c r="CK269" s="474"/>
      <c r="CL269" s="474"/>
      <c r="CM269" s="474"/>
      <c r="CN269" s="474"/>
      <c r="CO269" s="474"/>
      <c r="CP269" s="474"/>
      <c r="CQ269" s="474"/>
      <c r="CR269" s="474"/>
      <c r="CS269" s="474"/>
      <c r="CT269" s="474"/>
      <c r="CU269" s="474"/>
      <c r="CV269" s="474"/>
      <c r="CW269" s="474"/>
      <c r="CX269" s="474"/>
      <c r="CY269" s="474"/>
      <c r="CZ269" s="474"/>
      <c r="DA269" s="474"/>
      <c r="DB269" s="474"/>
      <c r="DC269" s="474"/>
      <c r="DD269" s="474"/>
      <c r="DE269" s="474"/>
      <c r="DF269" s="474"/>
      <c r="DG269" s="474"/>
      <c r="DH269" s="2149"/>
      <c r="DI269" s="474"/>
      <c r="DJ269" s="474"/>
      <c r="DK269" s="779"/>
      <c r="DL269" s="474"/>
      <c r="DM269" s="474"/>
      <c r="DN269" s="474"/>
      <c r="DO269" s="2262"/>
      <c r="DP269" s="474"/>
      <c r="DQ269" s="474"/>
      <c r="DR269" s="474"/>
      <c r="DS269" s="474"/>
      <c r="DT269" s="474"/>
      <c r="DU269" s="474"/>
      <c r="DV269" s="474"/>
      <c r="DW269" s="474"/>
      <c r="DX269" s="474"/>
      <c r="DY269" s="474"/>
      <c r="DZ269" s="474"/>
      <c r="EA269" s="474"/>
      <c r="EB269" s="474"/>
      <c r="EC269" s="474"/>
      <c r="ED269" s="474"/>
      <c r="EE269" s="474"/>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row>
    <row r="270" spans="2:232" s="68" customFormat="1" ht="12" thickBot="1">
      <c r="B270" s="754" t="s">
        <v>316</v>
      </c>
      <c r="C270" s="684"/>
      <c r="D270" s="684"/>
      <c r="E270" s="684"/>
      <c r="F270" s="755"/>
      <c r="G270" s="755"/>
      <c r="H270" s="756"/>
      <c r="I270" s="755"/>
      <c r="J270" s="755"/>
      <c r="K270" s="755"/>
      <c r="L270" s="755"/>
      <c r="M270" s="755"/>
      <c r="N270" s="755"/>
      <c r="O270" s="755"/>
      <c r="P270" s="755"/>
      <c r="Q270" s="755"/>
      <c r="R270" s="755"/>
      <c r="S270" s="755"/>
      <c r="T270" s="757"/>
      <c r="U270" s="757"/>
      <c r="V270" s="757"/>
      <c r="W270" s="757"/>
      <c r="X270" s="757"/>
      <c r="Y270" s="757"/>
      <c r="Z270" s="757"/>
      <c r="AA270" s="757"/>
      <c r="AB270" s="757"/>
      <c r="AC270" s="757"/>
      <c r="AD270" s="757"/>
      <c r="AE270" s="757"/>
      <c r="AF270" s="757"/>
      <c r="AG270" s="757"/>
      <c r="AH270" s="757"/>
      <c r="AI270" s="757"/>
      <c r="AJ270" s="757"/>
      <c r="AK270" s="757"/>
      <c r="AL270" s="757"/>
      <c r="AM270" s="757"/>
      <c r="AN270" s="757"/>
      <c r="AO270" s="757"/>
      <c r="AP270" s="757"/>
      <c r="AQ270" s="757"/>
      <c r="AR270" s="757"/>
      <c r="AS270" s="755"/>
      <c r="AT270" s="755"/>
      <c r="AU270" s="755"/>
      <c r="AV270" s="755"/>
      <c r="AW270" s="755"/>
      <c r="AX270" s="755"/>
      <c r="AY270" s="755"/>
      <c r="AZ270" s="755"/>
      <c r="BA270" s="755"/>
      <c r="BB270" s="755"/>
      <c r="BC270" s="755"/>
      <c r="BD270" s="755"/>
      <c r="BE270" s="755"/>
      <c r="BF270" s="755"/>
      <c r="BG270" s="755"/>
      <c r="BH270" s="755"/>
      <c r="BI270" s="755"/>
      <c r="BJ270" s="755"/>
      <c r="BK270" s="755"/>
      <c r="BL270" s="755"/>
      <c r="BM270" s="755"/>
      <c r="BN270" s="755"/>
      <c r="BO270" s="755"/>
      <c r="BP270" s="755"/>
      <c r="BQ270" s="755"/>
      <c r="BR270" s="755"/>
      <c r="BS270" s="755"/>
      <c r="BT270" s="755"/>
      <c r="BU270" s="755"/>
      <c r="BV270" s="755"/>
      <c r="BW270" s="755"/>
      <c r="BX270" s="755"/>
      <c r="BY270" s="755"/>
      <c r="BZ270" s="755"/>
      <c r="CA270" s="755"/>
      <c r="CB270" s="755"/>
      <c r="CC270" s="755"/>
      <c r="CD270" s="755"/>
      <c r="CE270" s="755"/>
      <c r="CF270" s="755"/>
      <c r="CG270" s="938"/>
      <c r="CH270" s="755"/>
      <c r="CI270" s="755"/>
      <c r="CJ270" s="755"/>
      <c r="CK270" s="755"/>
      <c r="CL270" s="755"/>
      <c r="CM270" s="755"/>
      <c r="CN270" s="755"/>
      <c r="CO270" s="755"/>
      <c r="CP270" s="755"/>
      <c r="CQ270" s="755"/>
      <c r="CR270" s="755"/>
      <c r="CS270" s="755"/>
      <c r="CT270" s="755"/>
      <c r="CU270" s="755"/>
      <c r="CV270" s="755"/>
      <c r="CW270" s="755"/>
      <c r="CX270" s="755"/>
      <c r="CY270" s="755"/>
      <c r="CZ270" s="755"/>
      <c r="DA270" s="755"/>
      <c r="DB270" s="755"/>
      <c r="DC270" s="755"/>
      <c r="DD270" s="755"/>
      <c r="DE270" s="755"/>
      <c r="DF270" s="755"/>
      <c r="DG270" s="755"/>
      <c r="DH270" s="755"/>
      <c r="DI270" s="755"/>
      <c r="DJ270" s="755"/>
      <c r="DK270" s="938"/>
      <c r="DL270" s="755"/>
      <c r="DM270" s="755"/>
      <c r="DN270" s="755"/>
      <c r="DO270" s="758"/>
      <c r="DP270" s="758"/>
      <c r="DQ270" s="755"/>
      <c r="DR270" s="755"/>
      <c r="DS270" s="755"/>
      <c r="DT270" s="758"/>
      <c r="DU270" s="758"/>
      <c r="DV270" s="755"/>
      <c r="DW270" s="755"/>
      <c r="DX270" s="755"/>
      <c r="DY270" s="758"/>
      <c r="DZ270" s="758"/>
      <c r="EA270" s="755"/>
      <c r="EB270" s="755"/>
      <c r="EC270" s="755"/>
      <c r="ED270" s="758"/>
      <c r="EE270" s="758"/>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row>
    <row r="271" spans="2:232" s="475" customFormat="1">
      <c r="B271" s="768" t="s">
        <v>316</v>
      </c>
      <c r="C271" s="347"/>
      <c r="D271" s="347"/>
      <c r="E271" s="347"/>
      <c r="F271" s="471">
        <f>-F372</f>
        <v>202.452</v>
      </c>
      <c r="G271" s="471">
        <f>-G372</f>
        <v>144.94300000000001</v>
      </c>
      <c r="H271" s="471">
        <f>-H372</f>
        <v>184.67400000000001</v>
      </c>
      <c r="I271" s="471">
        <f>-I372</f>
        <v>289.976</v>
      </c>
      <c r="J271" s="471">
        <f>-J372</f>
        <v>310.25400000000002</v>
      </c>
      <c r="K271" s="471"/>
      <c r="L271" s="471"/>
      <c r="M271" s="471"/>
      <c r="N271" s="471"/>
      <c r="O271" s="471">
        <f>-O372</f>
        <v>364.58600000000001</v>
      </c>
      <c r="P271" s="471"/>
      <c r="Q271" s="471"/>
      <c r="R271" s="471"/>
      <c r="S271" s="471"/>
      <c r="T271" s="471">
        <f>-T372</f>
        <v>485.08499999999998</v>
      </c>
      <c r="U271" s="471"/>
      <c r="V271" s="471"/>
      <c r="W271" s="471"/>
      <c r="X271" s="471"/>
      <c r="Y271" s="471">
        <f>-Y372</f>
        <v>640.976</v>
      </c>
      <c r="Z271" s="471"/>
      <c r="AA271" s="471"/>
      <c r="AB271" s="471"/>
      <c r="AC271" s="471"/>
      <c r="AD271" s="471">
        <f>-AD372</f>
        <v>696.3</v>
      </c>
      <c r="AE271" s="471"/>
      <c r="AF271" s="471"/>
      <c r="AG271" s="471"/>
      <c r="AH271" s="471"/>
      <c r="AI271" s="471">
        <f>-AI372</f>
        <v>1119.0999999999999</v>
      </c>
      <c r="AJ271" s="471"/>
      <c r="AK271" s="471"/>
      <c r="AL271" s="471"/>
      <c r="AM271" s="471"/>
      <c r="AN271" s="471">
        <f>-AN372</f>
        <v>1237</v>
      </c>
      <c r="AO271" s="471"/>
      <c r="AP271" s="471"/>
      <c r="AQ271" s="471"/>
      <c r="AR271" s="471"/>
      <c r="AS271" s="471">
        <f>-AS372</f>
        <v>934.4</v>
      </c>
      <c r="AT271" s="471"/>
      <c r="AU271" s="471"/>
      <c r="AV271" s="471"/>
      <c r="AW271" s="471"/>
      <c r="AX271" s="471">
        <f>-AX372</f>
        <v>795.1</v>
      </c>
      <c r="AY271" s="471"/>
      <c r="AZ271" s="471"/>
      <c r="BA271" s="471"/>
      <c r="BB271" s="471"/>
      <c r="BC271" s="471">
        <f>-BC372</f>
        <v>939.5</v>
      </c>
      <c r="BD271" s="471"/>
      <c r="BE271" s="471"/>
      <c r="BF271" s="471"/>
      <c r="BG271" s="471"/>
      <c r="BH271" s="471">
        <f>-BH372</f>
        <v>1237.5440000000001</v>
      </c>
      <c r="BI271" s="471"/>
      <c r="BJ271" s="471"/>
      <c r="BK271" s="471"/>
      <c r="BL271" s="471"/>
      <c r="BM271" s="471">
        <f>-BM372</f>
        <v>1337.8</v>
      </c>
      <c r="BN271" s="471"/>
      <c r="BO271" s="471"/>
      <c r="BP271" s="471"/>
      <c r="BQ271" s="471"/>
      <c r="BR271" s="471">
        <f t="shared" ref="BR271:CS271" si="661">-BR372</f>
        <v>1785.3</v>
      </c>
      <c r="BS271" s="471">
        <f t="shared" si="661"/>
        <v>490</v>
      </c>
      <c r="BT271" s="471">
        <f t="shared" si="661"/>
        <v>552.90000000000009</v>
      </c>
      <c r="BU271" s="471">
        <f t="shared" si="661"/>
        <v>609.69999999999982</v>
      </c>
      <c r="BV271" s="471">
        <f t="shared" si="661"/>
        <v>572.09999999999991</v>
      </c>
      <c r="BW271" s="471">
        <f t="shared" si="661"/>
        <v>2224.6999999999998</v>
      </c>
      <c r="BX271" s="471">
        <f t="shared" si="661"/>
        <v>638</v>
      </c>
      <c r="BY271" s="471">
        <f t="shared" si="661"/>
        <v>454</v>
      </c>
      <c r="BZ271" s="471">
        <f t="shared" si="661"/>
        <v>442</v>
      </c>
      <c r="CA271" s="471">
        <f t="shared" si="661"/>
        <v>393</v>
      </c>
      <c r="CB271" s="471">
        <f t="shared" si="661"/>
        <v>1927</v>
      </c>
      <c r="CC271" s="471">
        <f t="shared" si="661"/>
        <v>304</v>
      </c>
      <c r="CD271" s="471">
        <f t="shared" si="661"/>
        <v>220</v>
      </c>
      <c r="CE271" s="471">
        <f t="shared" si="661"/>
        <v>262</v>
      </c>
      <c r="CF271" s="471">
        <f t="shared" si="661"/>
        <v>228</v>
      </c>
      <c r="CG271" s="776">
        <f t="shared" si="661"/>
        <v>1014</v>
      </c>
      <c r="CH271" s="471">
        <f t="shared" si="661"/>
        <v>273</v>
      </c>
      <c r="CI271" s="471">
        <f t="shared" si="661"/>
        <v>196</v>
      </c>
      <c r="CJ271" s="471">
        <f t="shared" si="661"/>
        <v>230</v>
      </c>
      <c r="CK271" s="471">
        <f t="shared" si="661"/>
        <v>514</v>
      </c>
      <c r="CL271" s="776">
        <f t="shared" si="661"/>
        <v>1213</v>
      </c>
      <c r="CM271" s="471">
        <f t="shared" si="661"/>
        <v>419</v>
      </c>
      <c r="CN271" s="471">
        <f t="shared" si="661"/>
        <v>304</v>
      </c>
      <c r="CO271" s="471">
        <f t="shared" si="661"/>
        <v>379</v>
      </c>
      <c r="CP271" s="471">
        <f t="shared" si="661"/>
        <v>448</v>
      </c>
      <c r="CQ271" s="776">
        <f t="shared" si="661"/>
        <v>1550</v>
      </c>
      <c r="CR271" s="471">
        <f t="shared" si="661"/>
        <v>336</v>
      </c>
      <c r="CS271" s="471">
        <f t="shared" si="661"/>
        <v>245</v>
      </c>
      <c r="CT271" s="471">
        <f t="shared" ref="CT271:DB271" si="662">-CT372</f>
        <v>293</v>
      </c>
      <c r="CU271" s="471">
        <f t="shared" si="662"/>
        <v>338</v>
      </c>
      <c r="CV271" s="776">
        <f t="shared" si="662"/>
        <v>1212</v>
      </c>
      <c r="CW271" s="471">
        <f t="shared" si="662"/>
        <v>364</v>
      </c>
      <c r="CX271" s="471">
        <f t="shared" si="662"/>
        <v>227</v>
      </c>
      <c r="CY271" s="471">
        <f t="shared" si="662"/>
        <v>230</v>
      </c>
      <c r="CZ271" s="471">
        <f t="shared" si="662"/>
        <v>285</v>
      </c>
      <c r="DA271" s="776">
        <f t="shared" si="662"/>
        <v>1106</v>
      </c>
      <c r="DB271" s="471">
        <f t="shared" si="662"/>
        <v>335</v>
      </c>
      <c r="DC271" s="471">
        <f t="shared" ref="DC271:DH271" si="663">-DC372</f>
        <v>308</v>
      </c>
      <c r="DD271" s="471">
        <f t="shared" si="663"/>
        <v>247</v>
      </c>
      <c r="DE271" s="471">
        <f t="shared" si="663"/>
        <v>361</v>
      </c>
      <c r="DF271" s="776">
        <f t="shared" si="663"/>
        <v>1251</v>
      </c>
      <c r="DG271" s="471">
        <f t="shared" si="663"/>
        <v>340</v>
      </c>
      <c r="DH271" s="471">
        <f t="shared" si="663"/>
        <v>317</v>
      </c>
      <c r="DI271" s="471">
        <f t="shared" ref="DI271:DJ271" si="664">-DI372</f>
        <v>247</v>
      </c>
      <c r="DJ271" s="471">
        <f t="shared" si="664"/>
        <v>421</v>
      </c>
      <c r="DK271" s="1357">
        <f>-DK372</f>
        <v>1325</v>
      </c>
      <c r="DL271" s="471">
        <f t="shared" ref="DL271:DM271" si="665">-DL372</f>
        <v>378</v>
      </c>
      <c r="DM271" s="471">
        <f t="shared" si="665"/>
        <v>261</v>
      </c>
      <c r="DN271" s="471">
        <f t="shared" ref="DN271:DO271" si="666">-DN372</f>
        <v>273</v>
      </c>
      <c r="DO271" s="2261">
        <f t="shared" si="666"/>
        <v>439</v>
      </c>
      <c r="DP271" s="1479">
        <f>-DP372</f>
        <v>1351</v>
      </c>
      <c r="DQ271" s="479">
        <f t="shared" ref="DQ271" si="667">-DQ372</f>
        <v>378</v>
      </c>
      <c r="DR271" s="479">
        <f>DM271*1.02+25</f>
        <v>291.22000000000003</v>
      </c>
      <c r="DS271" s="479">
        <f>DN271*1.02+25</f>
        <v>303.45999999999998</v>
      </c>
      <c r="DT271" s="1479">
        <f>DO271*1.02+25</f>
        <v>472.78000000000003</v>
      </c>
      <c r="DU271" s="1357">
        <f>-DU372</f>
        <v>1445.46</v>
      </c>
      <c r="DV271" s="479">
        <f>DQ271*1.02</f>
        <v>385.56</v>
      </c>
      <c r="DW271" s="479">
        <f>DR271*1.02</f>
        <v>297.04440000000005</v>
      </c>
      <c r="DX271" s="479">
        <f>DS271*1.02</f>
        <v>309.5292</v>
      </c>
      <c r="DY271" s="1479">
        <f>DT271*1.02</f>
        <v>482.23560000000003</v>
      </c>
      <c r="DZ271" s="1357">
        <f>-DZ372</f>
        <v>1474.3692000000001</v>
      </c>
      <c r="EA271" s="479">
        <f>DV271*1.02</f>
        <v>393.27120000000002</v>
      </c>
      <c r="EB271" s="479">
        <f>DW271*1.02</f>
        <v>302.98528800000008</v>
      </c>
      <c r="EC271" s="479">
        <f>DX271*1.02</f>
        <v>315.719784</v>
      </c>
      <c r="ED271" s="1479">
        <f>DY271*1.02</f>
        <v>491.88031200000006</v>
      </c>
      <c r="EE271" s="1357">
        <f>-EE372</f>
        <v>1503.8565840000001</v>
      </c>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row>
    <row r="272" spans="2:232" s="475" customFormat="1">
      <c r="B272" s="768" t="s">
        <v>317</v>
      </c>
      <c r="C272" s="347"/>
      <c r="D272" s="347"/>
      <c r="E272" s="347"/>
      <c r="F272" s="471">
        <f>F358+F359</f>
        <v>84.346000000000004</v>
      </c>
      <c r="G272" s="471">
        <f>G358+G359</f>
        <v>92.108999999999995</v>
      </c>
      <c r="H272" s="471">
        <f>H358+H359</f>
        <v>104.66</v>
      </c>
      <c r="I272" s="471">
        <f>I358+I359</f>
        <v>118.11799999999999</v>
      </c>
      <c r="J272" s="471">
        <f>J358+J359</f>
        <v>131.53700000000001</v>
      </c>
      <c r="K272" s="471"/>
      <c r="L272" s="471"/>
      <c r="M272" s="471"/>
      <c r="N272" s="471"/>
      <c r="O272" s="471">
        <f>O358+O359</f>
        <v>147.30000000000001</v>
      </c>
      <c r="P272" s="471"/>
      <c r="Q272" s="471"/>
      <c r="R272" s="471"/>
      <c r="S272" s="471"/>
      <c r="T272" s="471">
        <f>T358+T359</f>
        <v>163.92699999999999</v>
      </c>
      <c r="U272" s="471"/>
      <c r="V272" s="471"/>
      <c r="W272" s="471"/>
      <c r="X272" s="471"/>
      <c r="Y272" s="471">
        <f>Y358+Y359</f>
        <v>180.25800000000001</v>
      </c>
      <c r="Z272" s="471"/>
      <c r="AA272" s="471"/>
      <c r="AB272" s="471"/>
      <c r="AC272" s="471"/>
      <c r="AD272" s="471">
        <f>AD358+AD359</f>
        <v>210.1</v>
      </c>
      <c r="AE272" s="471"/>
      <c r="AF272" s="471"/>
      <c r="AG272" s="471"/>
      <c r="AH272" s="471"/>
      <c r="AI272" s="471">
        <f>AI358+AI359</f>
        <v>230.1</v>
      </c>
      <c r="AJ272" s="471"/>
      <c r="AK272" s="471"/>
      <c r="AL272" s="471"/>
      <c r="AM272" s="471"/>
      <c r="AN272" s="471">
        <f>AN358+AN359</f>
        <v>269.2</v>
      </c>
      <c r="AO272" s="471"/>
      <c r="AP272" s="471"/>
      <c r="AQ272" s="471"/>
      <c r="AR272" s="471"/>
      <c r="AS272" s="471">
        <f>AS358+AS359</f>
        <v>307.3</v>
      </c>
      <c r="AT272" s="471"/>
      <c r="AU272" s="471"/>
      <c r="AV272" s="471"/>
      <c r="AW272" s="471"/>
      <c r="AX272" s="471">
        <f>AX358+AX359</f>
        <v>346.1</v>
      </c>
      <c r="AY272" s="471"/>
      <c r="AZ272" s="471"/>
      <c r="BA272" s="471"/>
      <c r="BB272" s="471"/>
      <c r="BC272" s="471">
        <f>BC358+BC359</f>
        <v>403.1</v>
      </c>
      <c r="BD272" s="471"/>
      <c r="BE272" s="471"/>
      <c r="BF272" s="471"/>
      <c r="BG272" s="471"/>
      <c r="BH272" s="471">
        <f>BH358+BH359</f>
        <v>482.1</v>
      </c>
      <c r="BI272" s="471"/>
      <c r="BJ272" s="471"/>
      <c r="BK272" s="471"/>
      <c r="BL272" s="471"/>
      <c r="BM272" s="471">
        <f>BM358+BM359</f>
        <v>572.20000000000005</v>
      </c>
      <c r="BN272" s="471"/>
      <c r="BO272" s="471"/>
      <c r="BP272" s="471"/>
      <c r="BQ272" s="471"/>
      <c r="BR272" s="471">
        <f t="shared" ref="BR272:CS272" si="668">BR358+BR359</f>
        <v>675.9</v>
      </c>
      <c r="BS272" s="471">
        <f t="shared" si="668"/>
        <v>195</v>
      </c>
      <c r="BT272" s="471">
        <f t="shared" si="668"/>
        <v>201.89999999999998</v>
      </c>
      <c r="BU272" s="471">
        <f t="shared" si="668"/>
        <v>210.80000000000007</v>
      </c>
      <c r="BV272" s="471">
        <f t="shared" si="668"/>
        <v>146</v>
      </c>
      <c r="BW272" s="471">
        <f t="shared" si="668"/>
        <v>840</v>
      </c>
      <c r="BX272" s="471">
        <f t="shared" si="668"/>
        <v>236</v>
      </c>
      <c r="BY272" s="471">
        <f t="shared" si="668"/>
        <v>241</v>
      </c>
      <c r="BZ272" s="471">
        <f t="shared" si="668"/>
        <v>264</v>
      </c>
      <c r="CA272" s="471">
        <f t="shared" si="668"/>
        <v>234</v>
      </c>
      <c r="CB272" s="471">
        <f t="shared" si="668"/>
        <v>975</v>
      </c>
      <c r="CC272" s="471">
        <f t="shared" si="668"/>
        <v>257</v>
      </c>
      <c r="CD272" s="471">
        <f t="shared" si="668"/>
        <v>248</v>
      </c>
      <c r="CE272" s="471">
        <f t="shared" si="668"/>
        <v>263</v>
      </c>
      <c r="CF272" s="471">
        <f t="shared" si="668"/>
        <v>262</v>
      </c>
      <c r="CG272" s="776">
        <f t="shared" si="668"/>
        <v>1030</v>
      </c>
      <c r="CH272" s="471">
        <f t="shared" si="668"/>
        <v>273</v>
      </c>
      <c r="CI272" s="471">
        <f t="shared" si="668"/>
        <v>256</v>
      </c>
      <c r="CJ272" s="471">
        <f t="shared" si="668"/>
        <v>269</v>
      </c>
      <c r="CK272" s="471">
        <f t="shared" si="668"/>
        <v>288</v>
      </c>
      <c r="CL272" s="776">
        <f t="shared" si="668"/>
        <v>1086</v>
      </c>
      <c r="CM272" s="471">
        <f t="shared" si="668"/>
        <v>277</v>
      </c>
      <c r="CN272" s="471">
        <f t="shared" si="668"/>
        <v>283</v>
      </c>
      <c r="CO272" s="471">
        <f t="shared" si="668"/>
        <v>296</v>
      </c>
      <c r="CP272" s="471">
        <f t="shared" si="668"/>
        <v>310</v>
      </c>
      <c r="CQ272" s="776">
        <f t="shared" si="668"/>
        <v>1166</v>
      </c>
      <c r="CR272" s="471">
        <f t="shared" si="668"/>
        <v>313</v>
      </c>
      <c r="CS272" s="471">
        <f t="shared" si="668"/>
        <v>327</v>
      </c>
      <c r="CT272" s="471">
        <f>CT358+CT359</f>
        <v>318</v>
      </c>
      <c r="CU272" s="471">
        <f>CU358+CU359</f>
        <v>325</v>
      </c>
      <c r="CV272" s="776">
        <f>CV358+CV359</f>
        <v>1283</v>
      </c>
      <c r="CW272" s="471">
        <f>CW358</f>
        <v>332</v>
      </c>
      <c r="CX272" s="471">
        <f>CX358</f>
        <v>331</v>
      </c>
      <c r="CY272" s="471">
        <f>CY358</f>
        <v>338</v>
      </c>
      <c r="CZ272" s="471">
        <f>CZ358</f>
        <v>315</v>
      </c>
      <c r="DA272" s="776">
        <f>DA358+DA359</f>
        <v>1316</v>
      </c>
      <c r="DB272" s="471">
        <f>DB358</f>
        <v>319</v>
      </c>
      <c r="DC272" s="471">
        <f>DC358</f>
        <v>507</v>
      </c>
      <c r="DD272" s="471">
        <f>DD358</f>
        <v>438</v>
      </c>
      <c r="DE272" s="471">
        <f>DE358</f>
        <v>478</v>
      </c>
      <c r="DF272" s="776">
        <f>SUM(DB272:DE272)</f>
        <v>1742</v>
      </c>
      <c r="DG272" s="2027">
        <f>DG358</f>
        <v>382</v>
      </c>
      <c r="DH272" s="2027">
        <f>DH358</f>
        <v>442</v>
      </c>
      <c r="DI272" s="2027">
        <f>DI358</f>
        <v>447</v>
      </c>
      <c r="DJ272" s="2027">
        <f>DJ358</f>
        <v>447</v>
      </c>
      <c r="DK272" s="2028">
        <f>SUM(DG272:DJ272)</f>
        <v>1718</v>
      </c>
      <c r="DL272" s="2027">
        <f>DL358</f>
        <v>419</v>
      </c>
      <c r="DM272" s="2027">
        <f>DM358</f>
        <v>412</v>
      </c>
      <c r="DN272" s="2027">
        <f>DN358</f>
        <v>413</v>
      </c>
      <c r="DO272" s="2293">
        <f>DO358</f>
        <v>410</v>
      </c>
      <c r="DP272" s="2263">
        <f>SUM(DL272:DO272)</f>
        <v>1654</v>
      </c>
      <c r="DQ272" s="2029">
        <f>DQ358</f>
        <v>416</v>
      </c>
      <c r="DR272" s="2029">
        <f t="shared" ref="DR272:DT272" ca="1" si="669">DR275*DR9</f>
        <v>469.65791683295981</v>
      </c>
      <c r="DS272" s="2029">
        <f t="shared" ca="1" si="669"/>
        <v>464.13161596947725</v>
      </c>
      <c r="DT272" s="2030">
        <f t="shared" si="669"/>
        <v>452.86421161275058</v>
      </c>
      <c r="DU272" s="2028">
        <f ca="1">SUM(DQ272:DT272)</f>
        <v>1802.6537444151875</v>
      </c>
      <c r="DV272" s="2029">
        <f t="shared" ref="DV272:DY272" si="670">DV275*DV9</f>
        <v>450.51201227925338</v>
      </c>
      <c r="DW272" s="2029">
        <f t="shared" ca="1" si="670"/>
        <v>480.76781886279821</v>
      </c>
      <c r="DX272" s="2029">
        <f t="shared" ca="1" si="670"/>
        <v>471.22333999687567</v>
      </c>
      <c r="DY272" s="2030">
        <f t="shared" si="670"/>
        <v>459.6816436411118</v>
      </c>
      <c r="DZ272" s="2028">
        <f ca="1">SUM(DV272:DY272)</f>
        <v>1862.184814780039</v>
      </c>
      <c r="EA272" s="2029">
        <f t="shared" ref="EA272:ED272" si="671">EA275*EA9</f>
        <v>458.60616583147953</v>
      </c>
      <c r="EB272" s="2029">
        <f t="shared" ca="1" si="671"/>
        <v>489.1447252661863</v>
      </c>
      <c r="EC272" s="2029">
        <f t="shared" ca="1" si="671"/>
        <v>479.86104985064912</v>
      </c>
      <c r="ED272" s="2030">
        <f t="shared" si="671"/>
        <v>468.55926417686612</v>
      </c>
      <c r="EE272" s="2028">
        <f ca="1">SUM(EA272:ED272)</f>
        <v>1896.1712051251811</v>
      </c>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row>
    <row r="273" spans="2:232" s="475" customFormat="1">
      <c r="B273" s="768" t="s">
        <v>369</v>
      </c>
      <c r="C273" s="347"/>
      <c r="D273" s="347"/>
      <c r="E273" s="347"/>
      <c r="F273" s="471"/>
      <c r="G273" s="471">
        <f>F208</f>
        <v>809.29499999999996</v>
      </c>
      <c r="H273" s="471">
        <f>G208</f>
        <v>856.29200000000003</v>
      </c>
      <c r="I273" s="471">
        <f>H208</f>
        <v>927.33299999999997</v>
      </c>
      <c r="J273" s="471">
        <f>I208</f>
        <v>1085.4870000000001</v>
      </c>
      <c r="K273" s="471"/>
      <c r="L273" s="471"/>
      <c r="M273" s="471"/>
      <c r="N273" s="471"/>
      <c r="O273" s="471">
        <f>J208</f>
        <v>1248.962</v>
      </c>
      <c r="P273" s="471"/>
      <c r="Q273" s="471"/>
      <c r="R273" s="471"/>
      <c r="S273" s="471"/>
      <c r="T273" s="471">
        <f>O208</f>
        <v>1448.3679999999999</v>
      </c>
      <c r="U273" s="471"/>
      <c r="V273" s="471"/>
      <c r="W273" s="471"/>
      <c r="X273" s="471"/>
      <c r="Y273" s="471">
        <f>T208</f>
        <v>1754.3510000000001</v>
      </c>
      <c r="Z273" s="471"/>
      <c r="AA273" s="471"/>
      <c r="AB273" s="471"/>
      <c r="AC273" s="471"/>
      <c r="AD273" s="471">
        <f>Y208</f>
        <v>2143.3999999999996</v>
      </c>
      <c r="AE273" s="471"/>
      <c r="AF273" s="471"/>
      <c r="AG273" s="471"/>
      <c r="AH273" s="471"/>
      <c r="AI273" s="471">
        <f>AD208</f>
        <v>2593.8999999999996</v>
      </c>
      <c r="AJ273" s="471"/>
      <c r="AK273" s="471"/>
      <c r="AL273" s="471"/>
      <c r="AM273" s="471"/>
      <c r="AN273" s="471">
        <f>AI208</f>
        <v>3428.2</v>
      </c>
      <c r="AO273" s="471"/>
      <c r="AP273" s="471"/>
      <c r="AQ273" s="471"/>
      <c r="AR273" s="471"/>
      <c r="AS273" s="471">
        <f>AN208</f>
        <v>4345.3</v>
      </c>
      <c r="AT273" s="471"/>
      <c r="AU273" s="471"/>
      <c r="AV273" s="471"/>
      <c r="AW273" s="471"/>
      <c r="AX273" s="471">
        <f>AS208</f>
        <v>4591.3999999999996</v>
      </c>
      <c r="AY273" s="471"/>
      <c r="AZ273" s="471"/>
      <c r="BA273" s="471"/>
      <c r="BB273" s="471"/>
      <c r="BC273" s="471">
        <f>AX208</f>
        <v>4940</v>
      </c>
      <c r="BD273" s="471"/>
      <c r="BE273" s="471"/>
      <c r="BF273" s="471"/>
      <c r="BG273" s="471"/>
      <c r="BH273" s="471">
        <f>BC208</f>
        <v>5446.4</v>
      </c>
      <c r="BI273" s="471"/>
      <c r="BJ273" s="471"/>
      <c r="BK273" s="471"/>
      <c r="BL273" s="471"/>
      <c r="BM273" s="471">
        <f>BH208</f>
        <v>6165</v>
      </c>
      <c r="BN273" s="471"/>
      <c r="BO273" s="471"/>
      <c r="BP273" s="471"/>
      <c r="BQ273" s="471"/>
      <c r="BR273" s="471">
        <f>BM208</f>
        <v>6948.9</v>
      </c>
      <c r="BS273" s="471">
        <f>BR208</f>
        <v>8199.9</v>
      </c>
      <c r="BT273" s="471">
        <f>BS208</f>
        <v>8502</v>
      </c>
      <c r="BU273" s="471">
        <f>BT208</f>
        <v>8941.4</v>
      </c>
      <c r="BV273" s="471">
        <f>BU208</f>
        <v>9307.7000000000007</v>
      </c>
      <c r="BW273" s="471">
        <f>BR208</f>
        <v>8199.9</v>
      </c>
      <c r="BX273" s="471">
        <f>BV208</f>
        <v>9775.5</v>
      </c>
      <c r="BY273" s="471">
        <f>BX208</f>
        <v>10150</v>
      </c>
      <c r="BZ273" s="471">
        <f>BY208</f>
        <v>10387</v>
      </c>
      <c r="CA273" s="471">
        <f>BZ208</f>
        <v>10595</v>
      </c>
      <c r="CB273" s="471">
        <f>BW208</f>
        <v>9775.5</v>
      </c>
      <c r="CC273" s="471">
        <f>CA208</f>
        <v>10802</v>
      </c>
      <c r="CD273" s="471">
        <f>CC208</f>
        <v>10865</v>
      </c>
      <c r="CE273" s="471">
        <f>CD208</f>
        <v>10891</v>
      </c>
      <c r="CF273" s="471">
        <f>CE208</f>
        <v>11154</v>
      </c>
      <c r="CG273" s="776">
        <f>CB208</f>
        <v>10802</v>
      </c>
      <c r="CH273" s="471">
        <f>CF208</f>
        <v>11184</v>
      </c>
      <c r="CI273" s="471">
        <f>CH208</f>
        <v>11197</v>
      </c>
      <c r="CJ273" s="471">
        <f>CI208</f>
        <v>11148</v>
      </c>
      <c r="CK273" s="471">
        <f>CJ208</f>
        <v>11130</v>
      </c>
      <c r="CL273" s="776">
        <f>CG208</f>
        <v>11184</v>
      </c>
      <c r="CM273" s="471">
        <f>CK208</f>
        <v>11526</v>
      </c>
      <c r="CN273" s="471">
        <f>CM208</f>
        <v>11699</v>
      </c>
      <c r="CO273" s="471">
        <f>CN208</f>
        <v>11705</v>
      </c>
      <c r="CP273" s="471">
        <f>CO208</f>
        <v>11790</v>
      </c>
      <c r="CQ273" s="776">
        <f>CL208</f>
        <v>11526</v>
      </c>
      <c r="CR273" s="471">
        <f>CP208</f>
        <v>12038</v>
      </c>
      <c r="CS273" s="471">
        <f>CR208</f>
        <v>12110</v>
      </c>
      <c r="CT273" s="471">
        <f>CS208</f>
        <v>12048</v>
      </c>
      <c r="CU273" s="471">
        <f>CT208</f>
        <v>12075</v>
      </c>
      <c r="CV273" s="776">
        <f>CQ208</f>
        <v>12038</v>
      </c>
      <c r="CW273" s="471">
        <f>CU208</f>
        <v>12138</v>
      </c>
      <c r="CX273" s="471">
        <f>CV208</f>
        <v>12138</v>
      </c>
      <c r="CY273" s="471">
        <f>CX208</f>
        <v>12136</v>
      </c>
      <c r="CZ273" s="471">
        <f>CY208</f>
        <v>12088</v>
      </c>
      <c r="DA273" s="776">
        <f>CV208</f>
        <v>12138</v>
      </c>
      <c r="DB273" s="471">
        <f>CZ208</f>
        <v>12257</v>
      </c>
      <c r="DC273" s="471">
        <f>DB208</f>
        <v>12103</v>
      </c>
      <c r="DD273" s="471">
        <f>DC208</f>
        <v>15646</v>
      </c>
      <c r="DE273" s="471">
        <f>DD208</f>
        <v>15241</v>
      </c>
      <c r="DF273" s="776">
        <f>DA208</f>
        <v>12257</v>
      </c>
      <c r="DG273" s="471">
        <f>DF208</f>
        <v>15068</v>
      </c>
      <c r="DH273" s="471">
        <f>DG208</f>
        <v>14878</v>
      </c>
      <c r="DI273" s="471">
        <f>DH208</f>
        <v>14552</v>
      </c>
      <c r="DJ273" s="471">
        <f>DI208</f>
        <v>14493</v>
      </c>
      <c r="DK273" s="776">
        <f>DF208</f>
        <v>15068</v>
      </c>
      <c r="DL273" s="471">
        <f>DK208</f>
        <v>14335</v>
      </c>
      <c r="DM273" s="471">
        <f>DL208</f>
        <v>13709</v>
      </c>
      <c r="DN273" s="471">
        <f>DM208</f>
        <v>13528</v>
      </c>
      <c r="DO273" s="2261">
        <f>DN208</f>
        <v>13535</v>
      </c>
      <c r="DP273" s="2261">
        <f>DK208</f>
        <v>14335</v>
      </c>
      <c r="DQ273" s="471">
        <f>DP208</f>
        <v>13642</v>
      </c>
      <c r="DR273" s="471">
        <f>DQ208</f>
        <v>13693</v>
      </c>
      <c r="DS273" s="471">
        <f ca="1">DR208</f>
        <v>13779.56208316704</v>
      </c>
      <c r="DT273" s="1480">
        <f ca="1">DS208</f>
        <v>13883.890467197562</v>
      </c>
      <c r="DU273" s="776">
        <f>DP208</f>
        <v>13642</v>
      </c>
      <c r="DV273" s="471">
        <f ca="1">DU208</f>
        <v>13903.806255584812</v>
      </c>
      <c r="DW273" s="471">
        <f ca="1">DV208</f>
        <v>13838.854243305557</v>
      </c>
      <c r="DX273" s="471">
        <f ca="1">DW208</f>
        <v>13655.13082444276</v>
      </c>
      <c r="DY273" s="1480">
        <f ca="1">DX208</f>
        <v>13493.436684445885</v>
      </c>
      <c r="DZ273" s="776">
        <f ca="1">DU208</f>
        <v>13903.806255584812</v>
      </c>
      <c r="EA273" s="471">
        <f ca="1">DZ208</f>
        <v>13515.990640804774</v>
      </c>
      <c r="EB273" s="471">
        <f ca="1">EA208</f>
        <v>13450.655674973294</v>
      </c>
      <c r="EC273" s="471">
        <f ca="1">EB208</f>
        <v>13264.496237707108</v>
      </c>
      <c r="ED273" s="1480">
        <f ca="1">EC208</f>
        <v>13100.354971856459</v>
      </c>
      <c r="EE273" s="776">
        <f ca="1">DZ208</f>
        <v>13515.990640804774</v>
      </c>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row>
    <row r="274" spans="2:232" s="475" customFormat="1">
      <c r="B274" s="768" t="s">
        <v>370</v>
      </c>
      <c r="C274" s="347"/>
      <c r="D274" s="347"/>
      <c r="E274" s="347"/>
      <c r="F274" s="471"/>
      <c r="G274" s="119">
        <f>G272/G273</f>
        <v>0.11381387503938613</v>
      </c>
      <c r="H274" s="119">
        <f>H272/H273</f>
        <v>0.12222466168082849</v>
      </c>
      <c r="I274" s="119">
        <f>I272/I273</f>
        <v>0.12737387756070365</v>
      </c>
      <c r="J274" s="119">
        <f>J272/J273</f>
        <v>0.12117786762992094</v>
      </c>
      <c r="K274" s="119"/>
      <c r="L274" s="119"/>
      <c r="M274" s="119"/>
      <c r="N274" s="119"/>
      <c r="O274" s="119">
        <f>O272/O273</f>
        <v>0.11793793566177355</v>
      </c>
      <c r="P274" s="119"/>
      <c r="Q274" s="119"/>
      <c r="R274" s="119"/>
      <c r="S274" s="119"/>
      <c r="T274" s="119">
        <f>T272/T273</f>
        <v>0.11318049004120499</v>
      </c>
      <c r="U274" s="119"/>
      <c r="V274" s="119"/>
      <c r="W274" s="119"/>
      <c r="X274" s="119"/>
      <c r="Y274" s="119">
        <f>Y272/Y273</f>
        <v>0.10274910778971824</v>
      </c>
      <c r="Z274" s="119"/>
      <c r="AA274" s="119"/>
      <c r="AB274" s="119"/>
      <c r="AC274" s="119"/>
      <c r="AD274" s="119">
        <f>AD272/AD273</f>
        <v>9.8021834468601299E-2</v>
      </c>
      <c r="AE274" s="119"/>
      <c r="AF274" s="119"/>
      <c r="AG274" s="119"/>
      <c r="AH274" s="119"/>
      <c r="AI274" s="119">
        <f>AI272/AI273</f>
        <v>8.8708122903735698E-2</v>
      </c>
      <c r="AJ274" s="119"/>
      <c r="AK274" s="119"/>
      <c r="AL274" s="119"/>
      <c r="AM274" s="119"/>
      <c r="AN274" s="119">
        <f>AN272/AN273</f>
        <v>7.852517356046905E-2</v>
      </c>
      <c r="AO274" s="119"/>
      <c r="AP274" s="119"/>
      <c r="AQ274" s="119"/>
      <c r="AR274" s="119"/>
      <c r="AS274" s="119">
        <f>AS272/AS273</f>
        <v>7.0720088371343748E-2</v>
      </c>
      <c r="AT274" s="119"/>
      <c r="AU274" s="119"/>
      <c r="AV274" s="119"/>
      <c r="AW274" s="119"/>
      <c r="AX274" s="119">
        <f>AX272/AX273</f>
        <v>7.5380058369996089E-2</v>
      </c>
      <c r="AY274" s="119"/>
      <c r="AZ274" s="119"/>
      <c r="BA274" s="119"/>
      <c r="BB274" s="119"/>
      <c r="BC274" s="119">
        <f>BC272/BC273</f>
        <v>8.1599190283400819E-2</v>
      </c>
      <c r="BD274" s="119"/>
      <c r="BE274" s="119"/>
      <c r="BF274" s="119"/>
      <c r="BG274" s="119"/>
      <c r="BH274" s="119">
        <f>BH272/BH273</f>
        <v>8.8517185663924802E-2</v>
      </c>
      <c r="BI274" s="119"/>
      <c r="BJ274" s="119"/>
      <c r="BK274" s="119"/>
      <c r="BL274" s="119"/>
      <c r="BM274" s="119">
        <f>BM272/BM273</f>
        <v>9.2814274128142749E-2</v>
      </c>
      <c r="BN274" s="119"/>
      <c r="BO274" s="119"/>
      <c r="BP274" s="119"/>
      <c r="BQ274" s="119"/>
      <c r="BR274" s="119">
        <f>BR272/BR273</f>
        <v>9.7267193368734628E-2</v>
      </c>
      <c r="BS274" s="119">
        <f>BS272/BS273*4</f>
        <v>9.512311125745436E-2</v>
      </c>
      <c r="BT274" s="119">
        <f>BT272/BT273*4</f>
        <v>9.4989414255469293E-2</v>
      </c>
      <c r="BU274" s="119">
        <f>BU272/BU273*4</f>
        <v>9.4302905585255142E-2</v>
      </c>
      <c r="BV274" s="119">
        <f>BV272/BV273*4</f>
        <v>6.2743749798553877E-2</v>
      </c>
      <c r="BW274" s="119">
        <f>BW272/BW273</f>
        <v>0.10244027366187393</v>
      </c>
      <c r="BX274" s="119">
        <f>BX272/BX273*4</f>
        <v>9.6567950488466059E-2</v>
      </c>
      <c r="BY274" s="119">
        <f>BY272/BY273*4</f>
        <v>9.4975369458128081E-2</v>
      </c>
      <c r="BZ274" s="119">
        <f>BZ272/BZ273*4</f>
        <v>0.10166554346779628</v>
      </c>
      <c r="CA274" s="119">
        <f>CA272/CA273*4</f>
        <v>8.8343558282208592E-2</v>
      </c>
      <c r="CB274" s="119">
        <f>CB272/CB273</f>
        <v>9.9739143777811873E-2</v>
      </c>
      <c r="CC274" s="119">
        <f>CC272/CC273*4</f>
        <v>9.5167561562673572E-2</v>
      </c>
      <c r="CD274" s="119">
        <f>CD272/CD273*4</f>
        <v>9.1302346985734015E-2</v>
      </c>
      <c r="CE274" s="119">
        <f>CE272/CE273*4</f>
        <v>9.6593517583325683E-2</v>
      </c>
      <c r="CF274" s="119">
        <f>CF272/CF273*4</f>
        <v>9.3957324726555491E-2</v>
      </c>
      <c r="CG274" s="895">
        <f>CG272/CG273</f>
        <v>9.5352712460655437E-2</v>
      </c>
      <c r="CH274" s="119">
        <f>CH272/CH273*4</f>
        <v>9.7639484978540775E-2</v>
      </c>
      <c r="CI274" s="119">
        <f>CI272/CI273*4</f>
        <v>9.1453067786014114E-2</v>
      </c>
      <c r="CJ274" s="119">
        <f>CJ272/CJ273*4</f>
        <v>9.6519555077143881E-2</v>
      </c>
      <c r="CK274" s="119">
        <f>CK272/CK273*4</f>
        <v>0.10350404312668464</v>
      </c>
      <c r="CL274" s="895">
        <f>CL272/CL273</f>
        <v>9.7103004291845499E-2</v>
      </c>
      <c r="CM274" s="119">
        <f>CM272/CM273*4</f>
        <v>9.6130487593267394E-2</v>
      </c>
      <c r="CN274" s="119">
        <f>CN272/CN273*4</f>
        <v>9.6760406872382257E-2</v>
      </c>
      <c r="CO274" s="119">
        <f>CO272/CO273*4</f>
        <v>0.10115335326783426</v>
      </c>
      <c r="CP274" s="119">
        <f>CP272/CP273*4</f>
        <v>0.10517387616624257</v>
      </c>
      <c r="CQ274" s="895">
        <f>CQ272/CQ273</f>
        <v>0.10116258892937706</v>
      </c>
      <c r="CR274" s="119">
        <f>CR272/CR273*4</f>
        <v>0.10400398737331783</v>
      </c>
      <c r="CS274" s="119">
        <f>CS272/CS273*4</f>
        <v>0.10800990916597852</v>
      </c>
      <c r="CT274" s="119">
        <f>CT272/CT273*4</f>
        <v>0.10557768924302789</v>
      </c>
      <c r="CU274" s="119">
        <f>CU272/CU273*4</f>
        <v>0.10766045548654245</v>
      </c>
      <c r="CV274" s="895">
        <f>CV272/CV273</f>
        <v>0.10657916597441436</v>
      </c>
      <c r="CW274" s="1561">
        <f>CW272/CW273*4</f>
        <v>0.10940846927006097</v>
      </c>
      <c r="CX274" s="1561">
        <f>CX272/CX273*4</f>
        <v>0.10907892568792223</v>
      </c>
      <c r="CY274" s="1561">
        <f>CY272/CY273*4</f>
        <v>0.11140408701384311</v>
      </c>
      <c r="CZ274" s="1561">
        <f>CZ272/CZ273*4</f>
        <v>0.10423560555923229</v>
      </c>
      <c r="DA274" s="895">
        <f>DA272/DA273</f>
        <v>0.10841983852364476</v>
      </c>
      <c r="DB274" s="1561">
        <f>DB272/DB273*4</f>
        <v>0.10410377743330342</v>
      </c>
      <c r="DC274" s="1561">
        <f>DC272/DC273*4</f>
        <v>0.16756176154672395</v>
      </c>
      <c r="DD274" s="1561">
        <f>DD272/DD273*4</f>
        <v>0.11197750223699349</v>
      </c>
      <c r="DE274" s="1561">
        <f>DE272/DE273*4</f>
        <v>0.12545108588675283</v>
      </c>
      <c r="DF274" s="895">
        <f>DF272/DF273</f>
        <v>0.14212286856490169</v>
      </c>
      <c r="DG274" s="1561">
        <f>DG272/DG273*4</f>
        <v>0.10140695513671356</v>
      </c>
      <c r="DH274" s="1561">
        <f>DH272/DH273*4</f>
        <v>0.11883317650221804</v>
      </c>
      <c r="DI274" s="1561">
        <f>DI272/DI273*4</f>
        <v>0.122869708631116</v>
      </c>
      <c r="DJ274" s="1561">
        <f>DJ272/DJ273*4</f>
        <v>0.12336990271165391</v>
      </c>
      <c r="DK274" s="895">
        <f>DK272/DK273</f>
        <v>0.11401645872046721</v>
      </c>
      <c r="DL274" s="1561">
        <f>DL272/DL273*4</f>
        <v>0.11691663760027904</v>
      </c>
      <c r="DM274" s="1561">
        <f>DM272/DM273*4</f>
        <v>0.12021299875993872</v>
      </c>
      <c r="DN274" s="1561">
        <f>DN272/DN273*4</f>
        <v>0.1221170904790065</v>
      </c>
      <c r="DO274" s="2280">
        <f>DO272/DO273*4</f>
        <v>0.12116734392316217</v>
      </c>
      <c r="DP274" s="2264">
        <f>DP272/DP273</f>
        <v>0.11538193233344959</v>
      </c>
      <c r="DQ274" s="119">
        <f>DQ272/DQ273*4</f>
        <v>0.12197624981674242</v>
      </c>
      <c r="DR274" s="119">
        <f ca="1">DR272/DR273*4</f>
        <v>0.13719649947650911</v>
      </c>
      <c r="DS274" s="119">
        <f ca="1">DS272/DS273*4</f>
        <v>0.13473044010199867</v>
      </c>
      <c r="DT274" s="1491">
        <f ca="1">DT272/DT273*4</f>
        <v>0.13047184798315697</v>
      </c>
      <c r="DU274" s="895">
        <f ca="1">DU272/DU273</f>
        <v>0.13213999006122179</v>
      </c>
      <c r="DV274" s="119">
        <f ca="1">DV272/DV273*4</f>
        <v>0.12960825373937987</v>
      </c>
      <c r="DW274" s="119">
        <f ca="1">DW272/DW273*4</f>
        <v>0.13896174073669895</v>
      </c>
      <c r="DX274" s="119">
        <f ca="1">DX272/DX273*4</f>
        <v>0.13803554020980399</v>
      </c>
      <c r="DY274" s="1491">
        <f ca="1">DY272/DY273*4</f>
        <v>0.1362682182133762</v>
      </c>
      <c r="DZ274" s="895">
        <f ca="1">DZ272/DZ273</f>
        <v>0.13393345538255366</v>
      </c>
      <c r="EA274" s="119">
        <f ca="1">EA272/EA273*4</f>
        <v>0.13572254613641047</v>
      </c>
      <c r="EB274" s="119">
        <f ca="1">EB272/EB273*4</f>
        <v>0.14546345905688571</v>
      </c>
      <c r="EC274" s="119">
        <f ca="1">EC272/EC273*4</f>
        <v>0.14470539740108443</v>
      </c>
      <c r="ED274" s="1491">
        <f ca="1">ED272/ED273*4</f>
        <v>0.14306765432951205</v>
      </c>
      <c r="EE274" s="895">
        <f ca="1">EE272/EE273</f>
        <v>0.14029095280671774</v>
      </c>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row>
    <row r="275" spans="2:232" s="475" customFormat="1">
      <c r="B275" s="2209" t="s">
        <v>604</v>
      </c>
      <c r="C275" s="347"/>
      <c r="D275" s="347"/>
      <c r="E275" s="347"/>
      <c r="F275" s="471"/>
      <c r="G275" s="471"/>
      <c r="H275" s="471"/>
      <c r="I275" s="471"/>
      <c r="J275" s="471"/>
      <c r="K275" s="471"/>
      <c r="L275" s="471"/>
      <c r="M275" s="471"/>
      <c r="N275" s="471"/>
      <c r="O275" s="471"/>
      <c r="P275" s="471"/>
      <c r="Q275" s="471"/>
      <c r="R275" s="471"/>
      <c r="S275" s="471"/>
      <c r="T275" s="471"/>
      <c r="U275" s="471"/>
      <c r="V275" s="471"/>
      <c r="W275" s="471"/>
      <c r="X275" s="471"/>
      <c r="Y275" s="471"/>
      <c r="Z275" s="471"/>
      <c r="AA275" s="471"/>
      <c r="AB275" s="471"/>
      <c r="AC275" s="471"/>
      <c r="AD275" s="471"/>
      <c r="AE275" s="471"/>
      <c r="AF275" s="471"/>
      <c r="AG275" s="471"/>
      <c r="AH275" s="471"/>
      <c r="AI275" s="471"/>
      <c r="AJ275" s="471"/>
      <c r="AK275" s="471"/>
      <c r="AL275" s="471"/>
      <c r="AM275" s="471"/>
      <c r="AN275" s="471"/>
      <c r="AO275" s="471"/>
      <c r="AP275" s="471"/>
      <c r="AQ275" s="471"/>
      <c r="AR275" s="471"/>
      <c r="AS275" s="471"/>
      <c r="AT275" s="471"/>
      <c r="AU275" s="471"/>
      <c r="AV275" s="471"/>
      <c r="AW275" s="471"/>
      <c r="AX275" s="471"/>
      <c r="AY275" s="471"/>
      <c r="AZ275" s="471"/>
      <c r="BA275" s="471"/>
      <c r="BB275" s="471"/>
      <c r="BC275" s="471"/>
      <c r="BD275" s="471"/>
      <c r="BE275" s="471"/>
      <c r="BF275" s="471"/>
      <c r="BG275" s="471"/>
      <c r="BH275" s="471"/>
      <c r="BI275" s="471"/>
      <c r="BJ275" s="471"/>
      <c r="BK275" s="471"/>
      <c r="BL275" s="471"/>
      <c r="BM275" s="471"/>
      <c r="BN275" s="471"/>
      <c r="BO275" s="471"/>
      <c r="BP275" s="471"/>
      <c r="BQ275" s="471"/>
      <c r="BR275" s="471"/>
      <c r="BS275" s="474"/>
      <c r="BT275" s="474"/>
      <c r="BU275" s="474"/>
      <c r="BV275" s="474"/>
      <c r="BW275" s="471"/>
      <c r="BX275" s="474"/>
      <c r="BY275" s="474"/>
      <c r="BZ275" s="474"/>
      <c r="CA275" s="474"/>
      <c r="CB275" s="471"/>
      <c r="CC275" s="474"/>
      <c r="CD275" s="474"/>
      <c r="CE275" s="474"/>
      <c r="CF275" s="474"/>
      <c r="CG275" s="776"/>
      <c r="CH275" s="474"/>
      <c r="CI275" s="474"/>
      <c r="CJ275" s="474"/>
      <c r="CK275" s="474"/>
      <c r="CL275" s="776"/>
      <c r="CM275" s="474"/>
      <c r="CN275" s="474"/>
      <c r="CO275" s="474"/>
      <c r="CP275" s="474"/>
      <c r="CQ275" s="776"/>
      <c r="CR275" s="474"/>
      <c r="CS275" s="474"/>
      <c r="CT275" s="474"/>
      <c r="CU275" s="474"/>
      <c r="CV275" s="776"/>
      <c r="CW275" s="474"/>
      <c r="CX275" s="474"/>
      <c r="CY275" s="474"/>
      <c r="CZ275" s="474"/>
      <c r="DA275" s="776"/>
      <c r="DB275" s="474"/>
      <c r="DC275" s="474"/>
      <c r="DD275" s="474"/>
      <c r="DE275" s="474"/>
      <c r="DF275" s="776"/>
      <c r="DG275" s="2210">
        <f>DG272/DG9</f>
        <v>1.3157441532049736E-2</v>
      </c>
      <c r="DH275" s="2210">
        <f t="shared" ref="DH275:DZ275" si="672">DH272/DH9</f>
        <v>1.4643519745560562E-2</v>
      </c>
      <c r="DI275" s="2210">
        <f t="shared" si="672"/>
        <v>1.5153569733541258E-2</v>
      </c>
      <c r="DJ275" s="2210">
        <f t="shared" si="672"/>
        <v>1.5609722028216231E-2</v>
      </c>
      <c r="DK275" s="2211">
        <f t="shared" si="672"/>
        <v>1.4639841160279844E-2</v>
      </c>
      <c r="DL275" s="2210">
        <f t="shared" si="672"/>
        <v>1.4701238553033227E-2</v>
      </c>
      <c r="DM275" s="2210">
        <f t="shared" si="672"/>
        <v>1.3991713645316851E-2</v>
      </c>
      <c r="DN275" s="2210">
        <f t="shared" si="672"/>
        <v>1.3712729928946146E-2</v>
      </c>
      <c r="DO275" s="2265">
        <f t="shared" ref="DO275:DQ275" si="673">DO272/DO9</f>
        <v>1.3599124349066304E-2</v>
      </c>
      <c r="DP275" s="2265">
        <f t="shared" si="672"/>
        <v>1.3991574601992995E-2</v>
      </c>
      <c r="DQ275" s="2210">
        <f t="shared" si="673"/>
        <v>1.3532856213402732E-2</v>
      </c>
      <c r="DR275" s="2210">
        <f t="shared" ref="DR275:DT275" si="674">DM275</f>
        <v>1.3991713645316851E-2</v>
      </c>
      <c r="DS275" s="2210">
        <f t="shared" si="674"/>
        <v>1.3712729928946146E-2</v>
      </c>
      <c r="DT275" s="2212">
        <f t="shared" si="674"/>
        <v>1.3599124349066304E-2</v>
      </c>
      <c r="DU275" s="2211">
        <f t="shared" ca="1" si="672"/>
        <v>1.37131263570153E-2</v>
      </c>
      <c r="DV275" s="2210">
        <f>DQ275</f>
        <v>1.3532856213402732E-2</v>
      </c>
      <c r="DW275" s="2210">
        <f t="shared" ref="DW275" si="675">DR275</f>
        <v>1.3991713645316851E-2</v>
      </c>
      <c r="DX275" s="2210">
        <f t="shared" ref="DX275" si="676">DS275</f>
        <v>1.3712729928946146E-2</v>
      </c>
      <c r="DY275" s="2212">
        <f t="shared" ref="DY275" si="677">DT275</f>
        <v>1.3599124349066304E-2</v>
      </c>
      <c r="DZ275" s="2211">
        <f t="shared" ca="1" si="672"/>
        <v>1.371094784463269E-2</v>
      </c>
      <c r="EA275" s="2210">
        <f>DV275</f>
        <v>1.3532856213402732E-2</v>
      </c>
      <c r="EB275" s="2210">
        <f t="shared" ref="EB275" si="678">DW275</f>
        <v>1.3991713645316851E-2</v>
      </c>
      <c r="EC275" s="2210">
        <f t="shared" ref="EC275" si="679">DX275</f>
        <v>1.3712729928946146E-2</v>
      </c>
      <c r="ED275" s="2212">
        <f t="shared" ref="ED275" si="680">DY275</f>
        <v>1.3599124349066304E-2</v>
      </c>
      <c r="EE275" s="2211">
        <f t="shared" ref="EE275" ca="1" si="681">EE272/EE9</f>
        <v>1.3710873370600705E-2</v>
      </c>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row>
    <row r="276" spans="2:232" s="475" customFormat="1">
      <c r="B276" s="768" t="s">
        <v>318</v>
      </c>
      <c r="C276" s="347"/>
      <c r="D276" s="347"/>
      <c r="E276" s="347"/>
      <c r="F276" s="476">
        <f>F271/F272</f>
        <v>2.4002560880184003</v>
      </c>
      <c r="G276" s="476">
        <f>G271/G272</f>
        <v>1.5736030138205823</v>
      </c>
      <c r="H276" s="476">
        <f>H271/H272</f>
        <v>1.7645136632906555</v>
      </c>
      <c r="I276" s="476">
        <f>I271/I272</f>
        <v>2.4549687600535059</v>
      </c>
      <c r="J276" s="476">
        <f>J271/J272</f>
        <v>2.358682347932521</v>
      </c>
      <c r="K276" s="476"/>
      <c r="L276" s="476"/>
      <c r="M276" s="476"/>
      <c r="N276" s="476"/>
      <c r="O276" s="476">
        <f>O271/O272</f>
        <v>2.4751255940257977</v>
      </c>
      <c r="P276" s="476"/>
      <c r="Q276" s="476"/>
      <c r="R276" s="476"/>
      <c r="S276" s="476"/>
      <c r="T276" s="476">
        <f>T271/T272</f>
        <v>2.9591525496104976</v>
      </c>
      <c r="U276" s="476"/>
      <c r="V276" s="476"/>
      <c r="W276" s="476"/>
      <c r="X276" s="476"/>
      <c r="Y276" s="476">
        <f>Y271/Y272</f>
        <v>3.5558810149896258</v>
      </c>
      <c r="Z276" s="476"/>
      <c r="AA276" s="476"/>
      <c r="AB276" s="476"/>
      <c r="AC276" s="476"/>
      <c r="AD276" s="476">
        <f>AD271/AD272</f>
        <v>3.3141361256544499</v>
      </c>
      <c r="AE276" s="476"/>
      <c r="AF276" s="476"/>
      <c r="AG276" s="476"/>
      <c r="AH276" s="476"/>
      <c r="AI276" s="476">
        <f>AI271/AI272</f>
        <v>4.8635375923511512</v>
      </c>
      <c r="AJ276" s="476"/>
      <c r="AK276" s="476"/>
      <c r="AL276" s="476"/>
      <c r="AM276" s="476"/>
      <c r="AN276" s="476">
        <f>AN271/AN272</f>
        <v>4.5950965824665682</v>
      </c>
      <c r="AO276" s="476"/>
      <c r="AP276" s="476"/>
      <c r="AQ276" s="476"/>
      <c r="AR276" s="476"/>
      <c r="AS276" s="476">
        <f>AS271/AS272</f>
        <v>3.0406768630003254</v>
      </c>
      <c r="AT276" s="476"/>
      <c r="AU276" s="476"/>
      <c r="AV276" s="476"/>
      <c r="AW276" s="476"/>
      <c r="AX276" s="476">
        <f>AX271/AX272</f>
        <v>2.2973129153423866</v>
      </c>
      <c r="AY276" s="476"/>
      <c r="AZ276" s="476"/>
      <c r="BA276" s="476"/>
      <c r="BB276" s="476"/>
      <c r="BC276" s="476">
        <f>BC271/BC272</f>
        <v>2.3306871743984123</v>
      </c>
      <c r="BD276" s="476"/>
      <c r="BE276" s="476"/>
      <c r="BF276" s="476"/>
      <c r="BG276" s="476"/>
      <c r="BH276" s="476">
        <f>BH271/BH272</f>
        <v>2.5669861024683676</v>
      </c>
      <c r="BI276" s="476"/>
      <c r="BJ276" s="476"/>
      <c r="BK276" s="476"/>
      <c r="BL276" s="476"/>
      <c r="BM276" s="476">
        <f>BM271/BM272</f>
        <v>2.3379937084935336</v>
      </c>
      <c r="BN276" s="476"/>
      <c r="BO276" s="476"/>
      <c r="BP276" s="476"/>
      <c r="BQ276" s="476"/>
      <c r="BR276" s="476">
        <f t="shared" ref="BR276:DA276" si="682">BR271/BR272</f>
        <v>2.6413670661340434</v>
      </c>
      <c r="BS276" s="476">
        <f t="shared" si="682"/>
        <v>2.5128205128205128</v>
      </c>
      <c r="BT276" s="476">
        <f t="shared" si="682"/>
        <v>2.73848439821694</v>
      </c>
      <c r="BU276" s="476">
        <f t="shared" si="682"/>
        <v>2.892314990512332</v>
      </c>
      <c r="BV276" s="476">
        <f t="shared" si="682"/>
        <v>3.918493150684931</v>
      </c>
      <c r="BW276" s="476">
        <f t="shared" si="682"/>
        <v>2.6484523809523806</v>
      </c>
      <c r="BX276" s="476">
        <f t="shared" si="682"/>
        <v>2.7033898305084745</v>
      </c>
      <c r="BY276" s="476">
        <f t="shared" si="682"/>
        <v>1.8838174273858921</v>
      </c>
      <c r="BZ276" s="476">
        <f t="shared" si="682"/>
        <v>1.6742424242424243</v>
      </c>
      <c r="CA276" s="476">
        <f t="shared" si="682"/>
        <v>1.6794871794871795</v>
      </c>
      <c r="CB276" s="476">
        <f t="shared" si="682"/>
        <v>1.9764102564102564</v>
      </c>
      <c r="CC276" s="476">
        <f t="shared" si="682"/>
        <v>1.1828793774319066</v>
      </c>
      <c r="CD276" s="476">
        <f t="shared" si="682"/>
        <v>0.88709677419354838</v>
      </c>
      <c r="CE276" s="476">
        <f t="shared" si="682"/>
        <v>0.99619771863117867</v>
      </c>
      <c r="CF276" s="476">
        <f t="shared" si="682"/>
        <v>0.87022900763358779</v>
      </c>
      <c r="CG276" s="939">
        <f t="shared" si="682"/>
        <v>0.98446601941747569</v>
      </c>
      <c r="CH276" s="476">
        <f t="shared" si="682"/>
        <v>1</v>
      </c>
      <c r="CI276" s="476">
        <f t="shared" si="682"/>
        <v>0.765625</v>
      </c>
      <c r="CJ276" s="476">
        <f t="shared" si="682"/>
        <v>0.85501858736059477</v>
      </c>
      <c r="CK276" s="476">
        <f t="shared" si="682"/>
        <v>1.7847222222222223</v>
      </c>
      <c r="CL276" s="939">
        <f t="shared" si="682"/>
        <v>1.1169429097605894</v>
      </c>
      <c r="CM276" s="476">
        <f t="shared" si="682"/>
        <v>1.5126353790613718</v>
      </c>
      <c r="CN276" s="476">
        <f t="shared" si="682"/>
        <v>1.0742049469964665</v>
      </c>
      <c r="CO276" s="476">
        <f t="shared" si="682"/>
        <v>1.2804054054054055</v>
      </c>
      <c r="CP276" s="476">
        <f t="shared" si="682"/>
        <v>1.4451612903225806</v>
      </c>
      <c r="CQ276" s="939">
        <f t="shared" si="682"/>
        <v>1.3293310463121784</v>
      </c>
      <c r="CR276" s="476">
        <f t="shared" si="682"/>
        <v>1.0734824281150159</v>
      </c>
      <c r="CS276" s="476">
        <f t="shared" si="682"/>
        <v>0.74923547400611623</v>
      </c>
      <c r="CT276" s="476">
        <f>CT271/CT272</f>
        <v>0.92138364779874216</v>
      </c>
      <c r="CU276" s="476">
        <f>CU271/CU272</f>
        <v>1.04</v>
      </c>
      <c r="CV276" s="939">
        <f t="shared" si="682"/>
        <v>0.94466095089633673</v>
      </c>
      <c r="CW276" s="476">
        <f>CW271/CW272</f>
        <v>1.0963855421686748</v>
      </c>
      <c r="CX276" s="476">
        <f>CX271/CX272</f>
        <v>0.6858006042296072</v>
      </c>
      <c r="CY276" s="476">
        <f t="shared" si="682"/>
        <v>0.68047337278106512</v>
      </c>
      <c r="CZ276" s="476">
        <f t="shared" si="682"/>
        <v>0.90476190476190477</v>
      </c>
      <c r="DA276" s="939">
        <f t="shared" si="682"/>
        <v>0.84042553191489366</v>
      </c>
      <c r="DB276" s="476">
        <f t="shared" ref="DB276:DU276" si="683">DB271/DB272</f>
        <v>1.0501567398119123</v>
      </c>
      <c r="DC276" s="476">
        <f t="shared" si="683"/>
        <v>0.60749506903353057</v>
      </c>
      <c r="DD276" s="476">
        <f t="shared" si="683"/>
        <v>0.5639269406392694</v>
      </c>
      <c r="DE276" s="476">
        <f t="shared" si="683"/>
        <v>0.75523012552301261</v>
      </c>
      <c r="DF276" s="939">
        <f t="shared" si="683"/>
        <v>0.71814006888633752</v>
      </c>
      <c r="DG276" s="476">
        <f t="shared" ref="DG276:DH276" si="684">DG271/DG272</f>
        <v>0.89005235602094246</v>
      </c>
      <c r="DH276" s="476">
        <f t="shared" si="684"/>
        <v>0.71719457013574661</v>
      </c>
      <c r="DI276" s="476">
        <f t="shared" ref="DI276:DJ276" si="685">DI271/DI272</f>
        <v>0.55257270693512306</v>
      </c>
      <c r="DJ276" s="476">
        <f t="shared" si="685"/>
        <v>0.94183445190156601</v>
      </c>
      <c r="DK276" s="939">
        <f t="shared" si="683"/>
        <v>0.77124563445867289</v>
      </c>
      <c r="DL276" s="476">
        <f t="shared" si="683"/>
        <v>0.90214797136038183</v>
      </c>
      <c r="DM276" s="476">
        <f t="shared" si="683"/>
        <v>0.63349514563106801</v>
      </c>
      <c r="DN276" s="476">
        <f t="shared" ref="DN276:DO276" si="686">DN271/DN272</f>
        <v>0.66101694915254239</v>
      </c>
      <c r="DO276" s="2266">
        <f t="shared" si="686"/>
        <v>1.0707317073170732</v>
      </c>
      <c r="DP276" s="2266">
        <f t="shared" si="683"/>
        <v>0.81680773881499391</v>
      </c>
      <c r="DQ276" s="476">
        <f t="shared" si="683"/>
        <v>0.90865384615384615</v>
      </c>
      <c r="DR276" s="476">
        <f t="shared" ca="1" si="683"/>
        <v>0.62006832965529746</v>
      </c>
      <c r="DS276" s="476">
        <f t="shared" ca="1" si="683"/>
        <v>0.65382316041137012</v>
      </c>
      <c r="DT276" s="1799">
        <f t="shared" si="683"/>
        <v>1.0439773951585285</v>
      </c>
      <c r="DU276" s="939">
        <f t="shared" ca="1" si="683"/>
        <v>0.80185116219805852</v>
      </c>
      <c r="DV276" s="476">
        <f t="shared" ref="DV276:DZ276" si="687">DV271/DV272</f>
        <v>0.85582623657326062</v>
      </c>
      <c r="DW276" s="476">
        <f t="shared" ca="1" si="687"/>
        <v>0.61785416649272595</v>
      </c>
      <c r="DX276" s="476">
        <f t="shared" ca="1" si="687"/>
        <v>0.65686304927521688</v>
      </c>
      <c r="DY276" s="1799">
        <f t="shared" si="687"/>
        <v>1.0490642962817476</v>
      </c>
      <c r="DZ276" s="939">
        <f t="shared" ca="1" si="687"/>
        <v>0.79174160818949235</v>
      </c>
      <c r="EA276" s="476">
        <f t="shared" ref="EA276:EE276" si="688">EA271/EA272</f>
        <v>0.85753578844056</v>
      </c>
      <c r="EB276" s="476">
        <f t="shared" ca="1" si="688"/>
        <v>0.61941849180755115</v>
      </c>
      <c r="EC276" s="476">
        <f t="shared" ca="1" si="688"/>
        <v>0.6579400101305658</v>
      </c>
      <c r="ED276" s="1799">
        <f t="shared" si="688"/>
        <v>1.0497718209970788</v>
      </c>
      <c r="EE276" s="939">
        <f t="shared" ca="1" si="688"/>
        <v>0.79310168825220539</v>
      </c>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row>
    <row r="277" spans="2:232" s="475" customFormat="1" ht="12" thickBot="1">
      <c r="B277" s="769" t="s">
        <v>319</v>
      </c>
      <c r="C277" s="770"/>
      <c r="D277" s="770"/>
      <c r="E277" s="770"/>
      <c r="F277" s="897">
        <f>F271/F402</f>
        <v>3.006842076184264E-2</v>
      </c>
      <c r="G277" s="897">
        <f>G271/G402</f>
        <v>1.9390469060641253E-2</v>
      </c>
      <c r="H277" s="897">
        <f>H271/H402</f>
        <v>2.2263720578094334E-2</v>
      </c>
      <c r="I277" s="897">
        <f>I271/I402</f>
        <v>3.139974995067666E-2</v>
      </c>
      <c r="J277" s="897">
        <f>J271/J402</f>
        <v>2.9846189010664263E-2</v>
      </c>
      <c r="K277" s="897"/>
      <c r="L277" s="897"/>
      <c r="M277" s="897"/>
      <c r="N277" s="897"/>
      <c r="O277" s="897">
        <f>O271/O402</f>
        <v>3.0953758776228506E-2</v>
      </c>
      <c r="P277" s="897"/>
      <c r="Q277" s="897"/>
      <c r="R277" s="897"/>
      <c r="S277" s="897"/>
      <c r="T277" s="897">
        <f>T271/T402</f>
        <v>3.6300543671892199E-2</v>
      </c>
      <c r="U277" s="897"/>
      <c r="V277" s="897"/>
      <c r="W277" s="897"/>
      <c r="X277" s="897"/>
      <c r="Y277" s="897">
        <f>Y271/Y402</f>
        <v>4.1875901574226999E-2</v>
      </c>
      <c r="Z277" s="897"/>
      <c r="AA277" s="897"/>
      <c r="AB277" s="897"/>
      <c r="AC277" s="897"/>
      <c r="AD277" s="897">
        <f>AD271/AD402</f>
        <v>3.9032894589322152E-2</v>
      </c>
      <c r="AE277" s="897"/>
      <c r="AF277" s="897"/>
      <c r="AG277" s="897"/>
      <c r="AH277" s="897"/>
      <c r="AI277" s="897">
        <f>AI271/AI402</f>
        <v>5.2770560525112101E-2</v>
      </c>
      <c r="AJ277" s="897"/>
      <c r="AK277" s="897"/>
      <c r="AL277" s="897"/>
      <c r="AM277" s="897"/>
      <c r="AN277" s="897">
        <f>AN271/AN402</f>
        <v>5.0237582747837385E-2</v>
      </c>
      <c r="AO277" s="897"/>
      <c r="AP277" s="897"/>
      <c r="AQ277" s="897"/>
      <c r="AR277" s="897"/>
      <c r="AS277" s="897">
        <f>AS271/AS402</f>
        <v>3.2578945716865815E-2</v>
      </c>
      <c r="AT277" s="897"/>
      <c r="AU277" s="897"/>
      <c r="AV277" s="897"/>
      <c r="AW277" s="897"/>
      <c r="AX277" s="897">
        <f>AX271/AX402</f>
        <v>2.4460551169959453E-2</v>
      </c>
      <c r="AY277" s="897"/>
      <c r="AZ277" s="897"/>
      <c r="BA277" s="897"/>
      <c r="BB277" s="897"/>
      <c r="BC277" s="897">
        <f>BC271/BC402</f>
        <v>2.5047856202110474E-2</v>
      </c>
      <c r="BD277" s="897"/>
      <c r="BE277" s="897"/>
      <c r="BF277" s="897"/>
      <c r="BG277" s="897"/>
      <c r="BH277" s="897">
        <f>BH271/BH402</f>
        <v>2.9324575371549897E-2</v>
      </c>
      <c r="BI277" s="897"/>
      <c r="BJ277" s="897"/>
      <c r="BK277" s="897"/>
      <c r="BL277" s="897"/>
      <c r="BM277" s="897">
        <f>BM271/BM402</f>
        <v>2.8218270792465566E-2</v>
      </c>
      <c r="BN277" s="897"/>
      <c r="BO277" s="897"/>
      <c r="BP277" s="897"/>
      <c r="BQ277" s="897"/>
      <c r="BR277" s="897">
        <f>BR271/BR402</f>
        <v>3.3207469960194934E-2</v>
      </c>
      <c r="BS277" s="897">
        <f>BS271/BS402*4</f>
        <v>0.13972155490130383</v>
      </c>
      <c r="BT277" s="897">
        <f>BT271/BT402*4</f>
        <v>0.14367009666354852</v>
      </c>
      <c r="BU277" s="897">
        <f>BU271/BU402*4</f>
        <v>0.16241667055148939</v>
      </c>
      <c r="BV277" s="897">
        <f>BV271/BV402*4</f>
        <v>0.15677086544587621</v>
      </c>
      <c r="BW277" s="897">
        <f>BW271/BW402</f>
        <v>3.7684871337510563E-2</v>
      </c>
      <c r="BX277" s="897">
        <f>BX271/BX402*4</f>
        <v>0.17073660266274168</v>
      </c>
      <c r="BY277" s="897">
        <f>BY271/BY402*4</f>
        <v>0.11022761760242793</v>
      </c>
      <c r="BZ277" s="897">
        <f>BZ271/BZ402*4</f>
        <v>0.10906847624922887</v>
      </c>
      <c r="CA277" s="897">
        <f>CA271/CA402*4</f>
        <v>0.10010825956823537</v>
      </c>
      <c r="CB277" s="897">
        <f>CB271/CB402</f>
        <v>3.0425515118023209E-2</v>
      </c>
      <c r="CC277" s="897">
        <f>CC271/CC402*4</f>
        <v>7.4309459789782456E-2</v>
      </c>
      <c r="CD277" s="897">
        <f>CD271/CD402*4</f>
        <v>5.1804320951315715E-2</v>
      </c>
      <c r="CE277" s="897">
        <f>CE271/CE402*4</f>
        <v>6.0933775219489505E-2</v>
      </c>
      <c r="CF277" s="897">
        <f>CF271/CF402*4</f>
        <v>5.4060462359217548E-2</v>
      </c>
      <c r="CG277" s="940">
        <f>CG271/CG402</f>
        <v>1.5040047463660635E-2</v>
      </c>
      <c r="CH277" s="897">
        <f>CH271/CH402*4</f>
        <v>6.2961254612546119E-2</v>
      </c>
      <c r="CI277" s="897">
        <f>CI271/CI402*4</f>
        <v>4.2373797427305154E-2</v>
      </c>
      <c r="CJ277" s="897">
        <f>CJ271/CJ402*4</f>
        <v>5.0078928746393775E-2</v>
      </c>
      <c r="CK277" s="897">
        <f>CK271/CK402*4</f>
        <v>0.11443201424834419</v>
      </c>
      <c r="CL277" s="940">
        <f>CL271/CL402</f>
        <v>1.6804277956333814E-2</v>
      </c>
      <c r="CM277" s="897">
        <f>CM271/CM402*4</f>
        <v>9.2305997686842542E-2</v>
      </c>
      <c r="CN277" s="897">
        <f>CN271/CN402*4</f>
        <v>6.5197576537451077E-2</v>
      </c>
      <c r="CO277" s="897">
        <f>CO271/CO402*4</f>
        <v>8.5398828301036497E-2</v>
      </c>
      <c r="CP277" s="897">
        <f>CP271/CP402*4</f>
        <v>0.1049610496104961</v>
      </c>
      <c r="CQ277" s="940">
        <f t="shared" ref="CQ277:DC277" si="689">CQ271/CQ402</f>
        <v>2.1638071838398505E-2</v>
      </c>
      <c r="CR277" s="897">
        <f t="shared" si="689"/>
        <v>1.9404019404019403E-2</v>
      </c>
      <c r="CS277" s="897">
        <f t="shared" si="689"/>
        <v>1.3138842709282995E-2</v>
      </c>
      <c r="CT277" s="897">
        <f t="shared" si="689"/>
        <v>1.5999563151859336E-2</v>
      </c>
      <c r="CU277" s="897">
        <f t="shared" si="689"/>
        <v>1.8839529569143303E-2</v>
      </c>
      <c r="CV277" s="940">
        <f t="shared" si="689"/>
        <v>1.6782751983604967E-2</v>
      </c>
      <c r="CW277" s="897">
        <f t="shared" si="689"/>
        <v>1.9859239456598832E-2</v>
      </c>
      <c r="CX277" s="897">
        <f t="shared" si="689"/>
        <v>1.1578678908441725E-2</v>
      </c>
      <c r="CY277" s="897">
        <f t="shared" si="689"/>
        <v>1.1855059017576414E-2</v>
      </c>
      <c r="CZ277" s="897">
        <f t="shared" si="689"/>
        <v>1.4955134596211365E-2</v>
      </c>
      <c r="DA277" s="940">
        <f t="shared" si="689"/>
        <v>1.4477955806890774E-2</v>
      </c>
      <c r="DB277" s="897">
        <f t="shared" si="689"/>
        <v>1.7132044594456376E-2</v>
      </c>
      <c r="DC277" s="897">
        <f t="shared" si="689"/>
        <v>1.1590712377225003E-2</v>
      </c>
      <c r="DD277" s="897">
        <f>DD271/DD9</f>
        <v>8.5778781038374722E-3</v>
      </c>
      <c r="DE277" s="1623">
        <f>DE271/DE9</f>
        <v>1.2656896430825328E-2</v>
      </c>
      <c r="DF277" s="940">
        <f>DF271/DF402</f>
        <v>1.2093499864661073E-2</v>
      </c>
      <c r="DG277" s="1623">
        <f>DG271/DG9</f>
        <v>1.1710811834808666E-2</v>
      </c>
      <c r="DH277" s="1623">
        <f>DH271/DH9</f>
        <v>1.0502252849191625E-2</v>
      </c>
      <c r="DI277" s="1623">
        <f>DI271/DI9</f>
        <v>8.3734490473930442E-3</v>
      </c>
      <c r="DJ277" s="1623">
        <f>DJ271/DJ9</f>
        <v>1.4701773990780835E-2</v>
      </c>
      <c r="DK277" s="1624">
        <f>DK271/DK402</f>
        <v>1.1290913584034222E-2</v>
      </c>
      <c r="DL277" s="1623">
        <f>DL271/DL9</f>
        <v>1.3262692537103962E-2</v>
      </c>
      <c r="DM277" s="1623">
        <f>DM271/DM9</f>
        <v>8.8636826733681992E-3</v>
      </c>
      <c r="DN277" s="1623">
        <f>DN271/DN9</f>
        <v>9.0643469021847393E-3</v>
      </c>
      <c r="DO277" s="2281">
        <f>DO271/DO9</f>
        <v>1.4561013632292945E-2</v>
      </c>
      <c r="DP277" s="1849">
        <f>DP271/DP402</f>
        <v>1.1428426413115199E-2</v>
      </c>
      <c r="DQ277" s="1848">
        <f>DQ271/DQ9</f>
        <v>1.2296681847755368E-2</v>
      </c>
      <c r="DR277" s="1848">
        <f ca="1">DR271/DR9</f>
        <v>8.675818509066853E-3</v>
      </c>
      <c r="DS277" s="1848">
        <f ca="1">DS271/DS9</f>
        <v>8.9657004200111527E-3</v>
      </c>
      <c r="DT277" s="1849">
        <f>DT271/DT9</f>
        <v>1.4197178414375162E-2</v>
      </c>
      <c r="DU277" s="1624">
        <f ca="1">DU271/DU402</f>
        <v>1.0995886306741547E-2</v>
      </c>
      <c r="DV277" s="1848">
        <f>DV271/DV9</f>
        <v>1.1581773403203526E-2</v>
      </c>
      <c r="DW277" s="1848">
        <f ca="1">DW271/DW9</f>
        <v>8.6448385721321439E-3</v>
      </c>
      <c r="DX277" s="1848">
        <f ca="1">DX271/DX9</f>
        <v>9.0073855950150924E-3</v>
      </c>
      <c r="DY277" s="1849">
        <f>DY271/DY9</f>
        <v>1.4266355815301222E-2</v>
      </c>
      <c r="DZ277" s="1624">
        <f ca="1">DZ271/DZ402</f>
        <v>1.085552789631174E-2</v>
      </c>
      <c r="EA277" s="1848">
        <f>EA271/EA9</f>
        <v>1.1604908522813043E-2</v>
      </c>
      <c r="EB277" s="1848">
        <f ca="1">EB271/EB9</f>
        <v>8.6667261639852972E-3</v>
      </c>
      <c r="EC277" s="1848">
        <f ca="1">EC271/EC9</f>
        <v>9.0221536683685391E-3</v>
      </c>
      <c r="ED277" s="1849">
        <f>ED271/ED9</f>
        <v>1.4275977531885049E-2</v>
      </c>
      <c r="EE277" s="1624">
        <f ca="1">EE271/EE402</f>
        <v>1.0874116817635626E-2</v>
      </c>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row>
    <row r="278" spans="2:232" s="54" customFormat="1" ht="12" thickBot="1">
      <c r="F278" s="426"/>
      <c r="G278" s="426"/>
      <c r="H278" s="426"/>
      <c r="I278" s="426"/>
      <c r="J278" s="426"/>
      <c r="K278" s="426"/>
      <c r="L278" s="426"/>
      <c r="M278" s="426"/>
      <c r="N278" s="426"/>
      <c r="O278" s="426"/>
      <c r="P278" s="426"/>
      <c r="Q278" s="426"/>
      <c r="R278" s="426"/>
      <c r="S278" s="426"/>
      <c r="T278" s="426"/>
      <c r="U278" s="426"/>
      <c r="V278" s="426"/>
      <c r="W278" s="426"/>
      <c r="X278" s="426"/>
      <c r="Y278" s="426"/>
      <c r="Z278" s="426"/>
      <c r="AA278" s="426"/>
      <c r="AB278" s="426"/>
      <c r="AC278" s="426"/>
      <c r="AD278" s="426"/>
      <c r="AE278" s="426"/>
      <c r="AF278" s="426"/>
      <c r="AG278" s="426"/>
      <c r="AH278" s="426"/>
      <c r="AI278" s="426"/>
      <c r="AJ278" s="426"/>
      <c r="AK278" s="426"/>
      <c r="AL278" s="426"/>
      <c r="AM278" s="426"/>
      <c r="AN278" s="426"/>
      <c r="AO278" s="426"/>
      <c r="AP278" s="426"/>
      <c r="AQ278" s="426"/>
      <c r="AR278" s="426"/>
      <c r="AS278" s="426"/>
      <c r="AT278" s="426"/>
      <c r="AU278" s="426"/>
      <c r="AV278" s="426"/>
      <c r="AW278" s="426"/>
      <c r="AX278" s="426"/>
      <c r="AY278" s="426"/>
      <c r="AZ278" s="426"/>
      <c r="BA278" s="426"/>
      <c r="BB278" s="426"/>
      <c r="BC278" s="426"/>
      <c r="BD278" s="426"/>
      <c r="BE278" s="426"/>
      <c r="BF278" s="426"/>
      <c r="BG278" s="426"/>
      <c r="BH278" s="426"/>
      <c r="BI278" s="426"/>
      <c r="BJ278" s="426"/>
      <c r="BK278" s="426"/>
      <c r="BL278" s="426"/>
      <c r="BM278" s="426"/>
      <c r="BN278" s="426"/>
      <c r="BO278" s="426"/>
      <c r="BP278" s="426"/>
      <c r="BQ278" s="426"/>
      <c r="BR278" s="426"/>
      <c r="BS278" s="73"/>
      <c r="BT278" s="73"/>
      <c r="BU278" s="73"/>
      <c r="BV278" s="73"/>
      <c r="BW278" s="73"/>
      <c r="BX278" s="73"/>
      <c r="BY278" s="73"/>
      <c r="BZ278" s="73"/>
      <c r="CA278" s="73"/>
      <c r="CB278" s="73"/>
      <c r="CC278" s="73"/>
      <c r="CD278" s="73"/>
      <c r="CE278" s="73"/>
      <c r="CF278" s="73"/>
      <c r="CG278" s="73"/>
      <c r="CH278" s="73"/>
      <c r="CI278" s="73"/>
      <c r="CJ278" s="73"/>
      <c r="CK278" s="73"/>
      <c r="CL278" s="73"/>
      <c r="CM278" s="76"/>
      <c r="CN278" s="76"/>
      <c r="CO278" s="76"/>
      <c r="CP278" s="76"/>
      <c r="CQ278" s="73"/>
      <c r="CR278" s="76"/>
      <c r="CS278" s="76"/>
      <c r="CT278" s="76"/>
      <c r="CU278" s="76"/>
      <c r="CV278" s="73"/>
      <c r="CW278" s="76"/>
      <c r="CX278" s="76"/>
      <c r="CY278" s="76"/>
      <c r="CZ278" s="76"/>
      <c r="DA278" s="73"/>
      <c r="DB278" s="76"/>
      <c r="DC278" s="76"/>
      <c r="DD278" s="76"/>
      <c r="DE278" s="76"/>
      <c r="DF278" s="73"/>
      <c r="DG278" s="76"/>
      <c r="DH278" s="76"/>
      <c r="DI278" s="76"/>
      <c r="DJ278" s="76"/>
      <c r="DK278" s="777"/>
      <c r="DL278" s="73"/>
      <c r="DM278" s="73"/>
      <c r="DN278" s="73"/>
      <c r="DO278" s="2256"/>
      <c r="DP278" s="73"/>
      <c r="DQ278" s="73"/>
      <c r="DR278" s="73"/>
      <c r="DS278" s="73"/>
      <c r="DT278" s="73"/>
      <c r="DU278" s="73"/>
      <c r="DV278" s="73"/>
      <c r="DW278" s="73"/>
      <c r="DX278" s="73"/>
      <c r="DY278" s="73"/>
      <c r="DZ278" s="73"/>
      <c r="EA278" s="73"/>
      <c r="EB278" s="73"/>
      <c r="EC278" s="73"/>
      <c r="ED278" s="73"/>
      <c r="EE278" s="73"/>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row>
    <row r="279" spans="2:232" s="68" customFormat="1" ht="12" thickBot="1">
      <c r="B279" s="754" t="s">
        <v>368</v>
      </c>
      <c r="C279" s="684"/>
      <c r="D279" s="684"/>
      <c r="E279" s="684"/>
      <c r="F279" s="755"/>
      <c r="G279" s="755"/>
      <c r="H279" s="756"/>
      <c r="I279" s="755"/>
      <c r="J279" s="755"/>
      <c r="K279" s="755"/>
      <c r="L279" s="755"/>
      <c r="M279" s="755"/>
      <c r="N279" s="755"/>
      <c r="O279" s="755"/>
      <c r="P279" s="755"/>
      <c r="Q279" s="755"/>
      <c r="R279" s="755"/>
      <c r="S279" s="755"/>
      <c r="T279" s="757"/>
      <c r="U279" s="757"/>
      <c r="V279" s="757"/>
      <c r="W279" s="757"/>
      <c r="X279" s="757"/>
      <c r="Y279" s="757"/>
      <c r="Z279" s="757"/>
      <c r="AA279" s="757"/>
      <c r="AB279" s="757"/>
      <c r="AC279" s="757"/>
      <c r="AD279" s="757"/>
      <c r="AE279" s="757"/>
      <c r="AF279" s="757"/>
      <c r="AG279" s="757"/>
      <c r="AH279" s="757"/>
      <c r="AI279" s="757"/>
      <c r="AJ279" s="757"/>
      <c r="AK279" s="757"/>
      <c r="AL279" s="757"/>
      <c r="AM279" s="757"/>
      <c r="AN279" s="757"/>
      <c r="AO279" s="757"/>
      <c r="AP279" s="757"/>
      <c r="AQ279" s="757"/>
      <c r="AR279" s="757"/>
      <c r="AS279" s="755"/>
      <c r="AT279" s="755"/>
      <c r="AU279" s="755"/>
      <c r="AV279" s="755"/>
      <c r="AW279" s="755"/>
      <c r="AX279" s="755"/>
      <c r="AY279" s="755"/>
      <c r="AZ279" s="755"/>
      <c r="BA279" s="755"/>
      <c r="BB279" s="755"/>
      <c r="BC279" s="755"/>
      <c r="BD279" s="755"/>
      <c r="BE279" s="755"/>
      <c r="BF279" s="755"/>
      <c r="BG279" s="755"/>
      <c r="BH279" s="755"/>
      <c r="BI279" s="755"/>
      <c r="BJ279" s="755"/>
      <c r="BK279" s="755"/>
      <c r="BL279" s="755"/>
      <c r="BM279" s="755"/>
      <c r="BN279" s="755"/>
      <c r="BO279" s="755"/>
      <c r="BP279" s="755"/>
      <c r="BQ279" s="755"/>
      <c r="BR279" s="755"/>
      <c r="BS279" s="755"/>
      <c r="BT279" s="755"/>
      <c r="BU279" s="755"/>
      <c r="BV279" s="755"/>
      <c r="BW279" s="755"/>
      <c r="BX279" s="755"/>
      <c r="BY279" s="755"/>
      <c r="BZ279" s="755"/>
      <c r="CA279" s="755"/>
      <c r="CB279" s="755"/>
      <c r="CC279" s="755"/>
      <c r="CD279" s="755"/>
      <c r="CE279" s="755"/>
      <c r="CF279" s="755"/>
      <c r="CG279" s="755"/>
      <c r="CH279" s="755"/>
      <c r="CI279" s="755"/>
      <c r="CJ279" s="755"/>
      <c r="CK279" s="755"/>
      <c r="CL279" s="755"/>
      <c r="CM279" s="755"/>
      <c r="CN279" s="755"/>
      <c r="CO279" s="755"/>
      <c r="CP279" s="755"/>
      <c r="CQ279" s="938"/>
      <c r="CR279" s="755"/>
      <c r="CS279" s="755"/>
      <c r="CT279" s="755"/>
      <c r="CU279" s="755"/>
      <c r="CV279" s="755"/>
      <c r="CW279" s="755"/>
      <c r="CX279" s="755"/>
      <c r="CY279" s="755"/>
      <c r="CZ279" s="755"/>
      <c r="DA279" s="755"/>
      <c r="DB279" s="755"/>
      <c r="DC279" s="755"/>
      <c r="DD279" s="755"/>
      <c r="DE279" s="755"/>
      <c r="DF279" s="755"/>
      <c r="DG279" s="755"/>
      <c r="DH279" s="755"/>
      <c r="DI279" s="755"/>
      <c r="DJ279" s="755"/>
      <c r="DK279" s="938"/>
      <c r="DL279" s="755"/>
      <c r="DM279" s="755"/>
      <c r="DN279" s="755"/>
      <c r="DO279" s="758"/>
      <c r="DP279" s="758"/>
      <c r="DQ279" s="755"/>
      <c r="DR279" s="755"/>
      <c r="DS279" s="755"/>
      <c r="DT279" s="758"/>
      <c r="DU279" s="758"/>
      <c r="DV279" s="755"/>
      <c r="DW279" s="755"/>
      <c r="DX279" s="755"/>
      <c r="DY279" s="758"/>
      <c r="DZ279" s="758"/>
      <c r="EA279" s="755"/>
      <c r="EB279" s="755"/>
      <c r="EC279" s="755"/>
      <c r="ED279" s="758"/>
      <c r="EE279" s="758"/>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row>
    <row r="280" spans="2:232" s="54" customFormat="1">
      <c r="B280" s="538" t="s">
        <v>236</v>
      </c>
      <c r="C280" s="64"/>
      <c r="D280" s="64"/>
      <c r="E280" s="64"/>
      <c r="F280" s="471">
        <f>Model!F33</f>
        <v>194.965</v>
      </c>
      <c r="G280" s="471">
        <f>Model!G33</f>
        <v>220.62799999999947</v>
      </c>
      <c r="H280" s="471">
        <f>Model!H33</f>
        <v>221.66599999999971</v>
      </c>
      <c r="I280" s="471">
        <f>Model!I33</f>
        <v>281.92899999999969</v>
      </c>
      <c r="J280" s="471">
        <f>Model!J33</f>
        <v>320.79099999999971</v>
      </c>
      <c r="K280" s="471"/>
      <c r="L280" s="471"/>
      <c r="M280" s="471"/>
      <c r="N280" s="471"/>
      <c r="O280" s="471">
        <f>Model!O33</f>
        <v>375.84799999999916</v>
      </c>
      <c r="P280" s="471"/>
      <c r="Q280" s="471"/>
      <c r="R280" s="471"/>
      <c r="S280" s="471"/>
      <c r="T280" s="471">
        <f>Model!T33</f>
        <v>453.00699999999949</v>
      </c>
      <c r="U280" s="471"/>
      <c r="V280" s="471"/>
      <c r="W280" s="471"/>
      <c r="X280" s="471"/>
      <c r="Y280" s="471">
        <f>Model!Y33</f>
        <v>557.29300000000012</v>
      </c>
      <c r="Z280" s="471"/>
      <c r="AA280" s="471"/>
      <c r="AB280" s="471"/>
      <c r="AC280" s="471"/>
      <c r="AD280" s="471">
        <f>Model!AD33</f>
        <v>624.09999999999877</v>
      </c>
      <c r="AE280" s="471"/>
      <c r="AF280" s="471"/>
      <c r="AG280" s="471"/>
      <c r="AH280" s="471"/>
      <c r="AI280" s="471">
        <f>Model!AI33</f>
        <v>794.50000000000023</v>
      </c>
      <c r="AJ280" s="471"/>
      <c r="AK280" s="471"/>
      <c r="AL280" s="471"/>
      <c r="AM280" s="471"/>
      <c r="AN280" s="471">
        <f>Model!AN33</f>
        <v>885.5999999999982</v>
      </c>
      <c r="AO280" s="471"/>
      <c r="AP280" s="471"/>
      <c r="AQ280" s="471"/>
      <c r="AR280" s="471"/>
      <c r="AS280" s="471">
        <f>Model!AS33</f>
        <v>1008.1000000000001</v>
      </c>
      <c r="AT280" s="471"/>
      <c r="AU280" s="471"/>
      <c r="AV280" s="471"/>
      <c r="AW280" s="471"/>
      <c r="AX280" s="471">
        <f>Model!AX33</f>
        <v>1165.100000000001</v>
      </c>
      <c r="AY280" s="471"/>
      <c r="AZ280" s="471"/>
      <c r="BA280" s="471"/>
      <c r="BB280" s="471"/>
      <c r="BC280" s="471">
        <f>Model!BC33</f>
        <v>1349.8000004359283</v>
      </c>
      <c r="BD280" s="471"/>
      <c r="BE280" s="471"/>
      <c r="BF280" s="471"/>
      <c r="BG280" s="471"/>
      <c r="BH280" s="471">
        <f>Model!BH33</f>
        <v>1559.5</v>
      </c>
      <c r="BI280" s="471"/>
      <c r="BJ280" s="471"/>
      <c r="BK280" s="471"/>
      <c r="BL280" s="471"/>
      <c r="BM280" s="471">
        <f>Model!BM33</f>
        <v>1750.6000000000054</v>
      </c>
      <c r="BN280" s="471"/>
      <c r="BO280" s="471"/>
      <c r="BP280" s="471"/>
      <c r="BQ280" s="471"/>
      <c r="BR280" s="471">
        <f>Model!BR33</f>
        <v>2041.0999999999935</v>
      </c>
      <c r="BS280" s="471">
        <f>Model!BS33</f>
        <v>455.59999999999962</v>
      </c>
      <c r="BT280" s="471">
        <f>Model!BT33</f>
        <v>685.30000000000041</v>
      </c>
      <c r="BU280" s="471">
        <f>Model!BU33</f>
        <v>573.20000000000073</v>
      </c>
      <c r="BV280" s="471">
        <f>Model!BV33</f>
        <v>443.3310000000003</v>
      </c>
      <c r="BW280" s="471">
        <f>Model!BW33</f>
        <v>2028.5299999999947</v>
      </c>
      <c r="BX280" s="471">
        <f>Model!BX33</f>
        <v>408</v>
      </c>
      <c r="BY280" s="471">
        <f>Model!BY33</f>
        <v>640</v>
      </c>
      <c r="BZ280" s="471">
        <f>Model!BZ33</f>
        <v>522</v>
      </c>
      <c r="CA280" s="471">
        <f>Model!CA33</f>
        <v>436</v>
      </c>
      <c r="CB280" s="471">
        <f>Model!CB33</f>
        <v>2006</v>
      </c>
      <c r="CC280" s="471">
        <f>Model!CC33</f>
        <v>489</v>
      </c>
      <c r="CD280" s="471">
        <f>Model!CD33</f>
        <v>669</v>
      </c>
      <c r="CE280" s="471">
        <f>Model!CE33</f>
        <v>463</v>
      </c>
      <c r="CF280" s="471">
        <f>Model!CF33</f>
        <v>470</v>
      </c>
      <c r="CG280" s="471">
        <f>Model!CG33</f>
        <v>2091</v>
      </c>
      <c r="CH280" s="471">
        <f>Model!CH33</f>
        <v>580</v>
      </c>
      <c r="CI280" s="471">
        <f>Model!CI33</f>
        <v>739</v>
      </c>
      <c r="CJ280" s="471">
        <f>Model!CJ33</f>
        <v>603</v>
      </c>
      <c r="CK280" s="471">
        <f>Model!CK33</f>
        <v>792</v>
      </c>
      <c r="CL280" s="1357">
        <f>Model!CL33</f>
        <v>2714</v>
      </c>
      <c r="CM280" s="471">
        <f>Model!CM33</f>
        <v>554</v>
      </c>
      <c r="CN280" s="471">
        <f>Model!CN33</f>
        <v>683</v>
      </c>
      <c r="CO280" s="471">
        <f>Model!CO33</f>
        <v>537</v>
      </c>
      <c r="CP280" s="471">
        <f>Model!CP33</f>
        <v>353</v>
      </c>
      <c r="CQ280" s="776">
        <f>Model!CQ33</f>
        <v>2127</v>
      </c>
      <c r="CR280" s="471">
        <f>Model!CR33</f>
        <v>413</v>
      </c>
      <c r="CS280" s="471">
        <f>Model!CS33</f>
        <v>756</v>
      </c>
      <c r="CT280" s="471">
        <f>Model!CT33</f>
        <v>624</v>
      </c>
      <c r="CU280" s="471">
        <f>Model!CU33</f>
        <v>657</v>
      </c>
      <c r="CV280" s="1357">
        <f>Model!CV33</f>
        <v>2450</v>
      </c>
      <c r="CW280" s="471">
        <f>Model!CW33</f>
        <v>695</v>
      </c>
      <c r="CX280" s="471">
        <f>Model!CX33</f>
        <v>754</v>
      </c>
      <c r="CY280" s="471">
        <f>Model!CY33</f>
        <v>722</v>
      </c>
      <c r="CZ280" s="471">
        <f>Model!CZ33</f>
        <v>-239</v>
      </c>
      <c r="DA280" s="1357">
        <f>Model!DA33</f>
        <v>1932</v>
      </c>
      <c r="DB280" s="471">
        <f>Model!DB33</f>
        <v>850</v>
      </c>
      <c r="DC280" s="471">
        <f>Model!DC33</f>
        <v>2042</v>
      </c>
      <c r="DD280" s="471">
        <f>Model!DD33</f>
        <v>1302</v>
      </c>
      <c r="DE280" s="471">
        <f>Model!DE33</f>
        <v>26</v>
      </c>
      <c r="DF280" s="1357">
        <f>Model!DF33</f>
        <v>4220</v>
      </c>
      <c r="DG280" s="471">
        <f>Model!DG33</f>
        <v>1110</v>
      </c>
      <c r="DH280" s="471">
        <f>Model!DH33</f>
        <v>930</v>
      </c>
      <c r="DI280" s="471">
        <f>Model!DI33</f>
        <v>1103</v>
      </c>
      <c r="DJ280" s="471">
        <f>Model!DJ33</f>
        <v>1030</v>
      </c>
      <c r="DK280" s="1357">
        <f>Model!DK33</f>
        <v>4173</v>
      </c>
      <c r="DL280" s="479">
        <f>Model!DL33</f>
        <v>1054</v>
      </c>
      <c r="DM280" s="479">
        <f>Model!DM33</f>
        <v>1060</v>
      </c>
      <c r="DN280" s="479">
        <f>Model!DN33</f>
        <v>1162</v>
      </c>
      <c r="DO280" s="1479">
        <f>Model!DO33</f>
        <v>802</v>
      </c>
      <c r="DP280" s="1479">
        <f>Model!DP33</f>
        <v>4078</v>
      </c>
      <c r="DQ280" s="479">
        <f>Model!DQ33</f>
        <v>821</v>
      </c>
      <c r="DR280" s="479">
        <f ca="1">Model!DR33</f>
        <v>1263.5332926178476</v>
      </c>
      <c r="DS280" s="479">
        <f ca="1">Model!DS33</f>
        <v>1219.6660997368494</v>
      </c>
      <c r="DT280" s="1479">
        <f ca="1">Model!DT33</f>
        <v>1214.0770615493066</v>
      </c>
      <c r="DU280" s="1357">
        <f ca="1">Model!DU33</f>
        <v>4518.2764539040145</v>
      </c>
      <c r="DV280" s="479">
        <f ca="1">Model!DV33</f>
        <v>1111.2215331997111</v>
      </c>
      <c r="DW280" s="479">
        <f ca="1">Model!DW33</f>
        <v>1370.1539374137217</v>
      </c>
      <c r="DX280" s="479">
        <f ca="1">Model!DX33</f>
        <v>1388.9720796763213</v>
      </c>
      <c r="DY280" s="1479">
        <f ca="1">Model!DY33</f>
        <v>1419.997229414048</v>
      </c>
      <c r="DZ280" s="1357">
        <f ca="1">Model!DZ33</f>
        <v>5290.3447797037807</v>
      </c>
      <c r="EA280" s="479">
        <f ca="1">Model!EA33</f>
        <v>1332.2795027976138</v>
      </c>
      <c r="EB280" s="479">
        <f ca="1">Model!EB33</f>
        <v>1569.3919307136096</v>
      </c>
      <c r="EC280" s="479">
        <f ca="1">Model!EC33</f>
        <v>1602.5147830979533</v>
      </c>
      <c r="ED280" s="1479">
        <f ca="1">Model!ED33</f>
        <v>1636.4598763867712</v>
      </c>
      <c r="EE280" s="1357">
        <f ca="1">Model!EE33</f>
        <v>6140.6460929959612</v>
      </c>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row>
    <row r="281" spans="2:232" s="54" customFormat="1">
      <c r="B281" s="538" t="s">
        <v>284</v>
      </c>
      <c r="C281" s="64"/>
      <c r="D281" s="64"/>
      <c r="E281" s="64"/>
      <c r="F281" s="471">
        <f>F358</f>
        <v>84.346000000000004</v>
      </c>
      <c r="G281" s="471">
        <f>G358</f>
        <v>92.108999999999995</v>
      </c>
      <c r="H281" s="471">
        <f>H358</f>
        <v>104.66</v>
      </c>
      <c r="I281" s="471">
        <f>I358</f>
        <v>118.11799999999999</v>
      </c>
      <c r="J281" s="471">
        <f>J358</f>
        <v>131.53700000000001</v>
      </c>
      <c r="K281" s="471"/>
      <c r="L281" s="471"/>
      <c r="M281" s="471"/>
      <c r="N281" s="471"/>
      <c r="O281" s="471">
        <f>O358</f>
        <v>147.30000000000001</v>
      </c>
      <c r="P281" s="471"/>
      <c r="Q281" s="471"/>
      <c r="R281" s="471"/>
      <c r="S281" s="471"/>
      <c r="T281" s="471">
        <f>T358</f>
        <v>163.92699999999999</v>
      </c>
      <c r="U281" s="471"/>
      <c r="V281" s="471"/>
      <c r="W281" s="471"/>
      <c r="X281" s="471"/>
      <c r="Y281" s="471">
        <f>Y358</f>
        <v>180.25800000000001</v>
      </c>
      <c r="Z281" s="471"/>
      <c r="AA281" s="471"/>
      <c r="AB281" s="471"/>
      <c r="AC281" s="471"/>
      <c r="AD281" s="471">
        <f>AD358</f>
        <v>210.1</v>
      </c>
      <c r="AE281" s="471"/>
      <c r="AF281" s="471"/>
      <c r="AG281" s="471"/>
      <c r="AH281" s="471"/>
      <c r="AI281" s="471">
        <f>AI358</f>
        <v>230.1</v>
      </c>
      <c r="AJ281" s="471"/>
      <c r="AK281" s="471"/>
      <c r="AL281" s="471"/>
      <c r="AM281" s="471"/>
      <c r="AN281" s="471">
        <f>AN358</f>
        <v>251.9</v>
      </c>
      <c r="AO281" s="471"/>
      <c r="AP281" s="471"/>
      <c r="AQ281" s="471"/>
      <c r="AR281" s="471"/>
      <c r="AS281" s="471">
        <f>AS358</f>
        <v>287.8</v>
      </c>
      <c r="AT281" s="471"/>
      <c r="AU281" s="471"/>
      <c r="AV281" s="471"/>
      <c r="AW281" s="471"/>
      <c r="AX281" s="471">
        <f>AX358</f>
        <v>326.60000000000002</v>
      </c>
      <c r="AY281" s="471"/>
      <c r="AZ281" s="471"/>
      <c r="BA281" s="471"/>
      <c r="BB281" s="471"/>
      <c r="BC281" s="471">
        <f>BC358</f>
        <v>383.6</v>
      </c>
      <c r="BD281" s="471"/>
      <c r="BE281" s="471"/>
      <c r="BF281" s="471"/>
      <c r="BG281" s="471"/>
      <c r="BH281" s="471">
        <f>BH358+BH359</f>
        <v>482.1</v>
      </c>
      <c r="BI281" s="471"/>
      <c r="BJ281" s="471"/>
      <c r="BK281" s="471"/>
      <c r="BL281" s="471"/>
      <c r="BM281" s="471">
        <f>BM358+BM359</f>
        <v>572.20000000000005</v>
      </c>
      <c r="BN281" s="471"/>
      <c r="BO281" s="471"/>
      <c r="BP281" s="471"/>
      <c r="BQ281" s="471"/>
      <c r="BR281" s="471">
        <f>BR358+BR359</f>
        <v>675.9</v>
      </c>
      <c r="BS281" s="471">
        <f>BS358</f>
        <v>195</v>
      </c>
      <c r="BT281" s="471">
        <f>BT358</f>
        <v>201.89999999999998</v>
      </c>
      <c r="BU281" s="471">
        <f>BU358</f>
        <v>210.80000000000007</v>
      </c>
      <c r="BV281" s="471">
        <f>BV358</f>
        <v>146</v>
      </c>
      <c r="BW281" s="471">
        <f>BW358+BW359</f>
        <v>840</v>
      </c>
      <c r="BX281" s="471">
        <f>BX358</f>
        <v>236</v>
      </c>
      <c r="BY281" s="471">
        <f>BY358</f>
        <v>241</v>
      </c>
      <c r="BZ281" s="471">
        <f>BZ358</f>
        <v>264</v>
      </c>
      <c r="CA281" s="471">
        <f>CA358</f>
        <v>234</v>
      </c>
      <c r="CB281" s="471">
        <f>CB358+CB359</f>
        <v>975</v>
      </c>
      <c r="CC281" s="471">
        <f>CC358</f>
        <v>257</v>
      </c>
      <c r="CD281" s="471">
        <f>CD358</f>
        <v>248</v>
      </c>
      <c r="CE281" s="471">
        <f>CE358</f>
        <v>263</v>
      </c>
      <c r="CF281" s="471">
        <f>CF358</f>
        <v>262</v>
      </c>
      <c r="CG281" s="471">
        <f>CG358+CG359</f>
        <v>1030</v>
      </c>
      <c r="CH281" s="471">
        <f>CH358</f>
        <v>273</v>
      </c>
      <c r="CI281" s="471">
        <f>CI358</f>
        <v>256</v>
      </c>
      <c r="CJ281" s="471">
        <f>CJ358</f>
        <v>269</v>
      </c>
      <c r="CK281" s="471">
        <f>CK358</f>
        <v>288</v>
      </c>
      <c r="CL281" s="776">
        <f>CL358+CL359</f>
        <v>1086</v>
      </c>
      <c r="CM281" s="471">
        <f>CM358</f>
        <v>277</v>
      </c>
      <c r="CN281" s="471">
        <f>CN358</f>
        <v>283</v>
      </c>
      <c r="CO281" s="471">
        <f>CO358</f>
        <v>296</v>
      </c>
      <c r="CP281" s="471">
        <f>CP358</f>
        <v>310</v>
      </c>
      <c r="CQ281" s="776">
        <f>CQ358+CQ359</f>
        <v>1166</v>
      </c>
      <c r="CR281" s="471">
        <f>CR358</f>
        <v>313</v>
      </c>
      <c r="CS281" s="471">
        <f>CS358</f>
        <v>327</v>
      </c>
      <c r="CT281" s="471">
        <f>CT358</f>
        <v>318</v>
      </c>
      <c r="CU281" s="471">
        <f>CU358</f>
        <v>325</v>
      </c>
      <c r="CV281" s="776">
        <f>CV358+CV359</f>
        <v>1283</v>
      </c>
      <c r="CW281" s="471">
        <f>CW358</f>
        <v>332</v>
      </c>
      <c r="CX281" s="471">
        <f>CX358</f>
        <v>331</v>
      </c>
      <c r="CY281" s="471">
        <f>CY358</f>
        <v>338</v>
      </c>
      <c r="CZ281" s="471">
        <f>CZ358</f>
        <v>315</v>
      </c>
      <c r="DA281" s="776">
        <f>DA358+DA359</f>
        <v>1316</v>
      </c>
      <c r="DB281" s="471">
        <f>DB358</f>
        <v>319</v>
      </c>
      <c r="DC281" s="471">
        <f>DC358</f>
        <v>507</v>
      </c>
      <c r="DD281" s="471">
        <f>DD358</f>
        <v>438</v>
      </c>
      <c r="DE281" s="471">
        <f>DE358</f>
        <v>478</v>
      </c>
      <c r="DF281" s="776">
        <f>DF358+DF359</f>
        <v>1742</v>
      </c>
      <c r="DG281" s="471">
        <f>DG358</f>
        <v>382</v>
      </c>
      <c r="DH281" s="471">
        <f>DH358</f>
        <v>442</v>
      </c>
      <c r="DI281" s="471">
        <f>DI358</f>
        <v>447</v>
      </c>
      <c r="DJ281" s="471">
        <f>DJ358</f>
        <v>447</v>
      </c>
      <c r="DK281" s="776">
        <f>DK358+DK359</f>
        <v>1718</v>
      </c>
      <c r="DL281" s="471">
        <f>DL358</f>
        <v>419</v>
      </c>
      <c r="DM281" s="471">
        <f>DM358</f>
        <v>412</v>
      </c>
      <c r="DN281" s="471">
        <f>DN358</f>
        <v>413</v>
      </c>
      <c r="DO281" s="2261">
        <f>DO358</f>
        <v>410</v>
      </c>
      <c r="DP281" s="2261">
        <f>DP358+DP359</f>
        <v>1654</v>
      </c>
      <c r="DQ281" s="471">
        <f>DQ358</f>
        <v>416</v>
      </c>
      <c r="DR281" s="471">
        <f ca="1">DR358</f>
        <v>469.65791683295981</v>
      </c>
      <c r="DS281" s="471">
        <f ca="1">DS358</f>
        <v>464.13161596947725</v>
      </c>
      <c r="DT281" s="1480">
        <f>DT358</f>
        <v>452.86421161275058</v>
      </c>
      <c r="DU281" s="776">
        <f ca="1">DU358+DU359</f>
        <v>1802.6537444151875</v>
      </c>
      <c r="DV281" s="471">
        <f>DV358</f>
        <v>450.51201227925338</v>
      </c>
      <c r="DW281" s="471">
        <f ca="1">DW358</f>
        <v>480.76781886279821</v>
      </c>
      <c r="DX281" s="471">
        <f ca="1">DX358</f>
        <v>471.22333999687567</v>
      </c>
      <c r="DY281" s="1480">
        <f>DY358</f>
        <v>459.6816436411118</v>
      </c>
      <c r="DZ281" s="776">
        <f ca="1">DZ358+DZ359</f>
        <v>1862.184814780039</v>
      </c>
      <c r="EA281" s="471">
        <f>EA358</f>
        <v>458.60616583147953</v>
      </c>
      <c r="EB281" s="471">
        <f ca="1">EB358</f>
        <v>489.1447252661863</v>
      </c>
      <c r="EC281" s="471">
        <f ca="1">EC358</f>
        <v>479.86104985064912</v>
      </c>
      <c r="ED281" s="1480">
        <f>ED358</f>
        <v>468.55926417686612</v>
      </c>
      <c r="EE281" s="776">
        <f ca="1">EE358+EE359</f>
        <v>1896.1712051251811</v>
      </c>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row>
    <row r="282" spans="2:232" s="54" customFormat="1">
      <c r="B282" s="538" t="s">
        <v>96</v>
      </c>
      <c r="C282" s="64"/>
      <c r="D282" s="64"/>
      <c r="E282" s="64"/>
      <c r="F282" s="471">
        <f>F369</f>
        <v>-65.595000000000013</v>
      </c>
      <c r="G282" s="471">
        <f>G369</f>
        <v>15.335000000000006</v>
      </c>
      <c r="H282" s="471">
        <f>H369</f>
        <v>-28.655000000000012</v>
      </c>
      <c r="I282" s="471">
        <f>I369</f>
        <v>-58.135999999999981</v>
      </c>
      <c r="J282" s="471">
        <f>J369</f>
        <v>-139.97800000000001</v>
      </c>
      <c r="K282" s="471"/>
      <c r="L282" s="471"/>
      <c r="M282" s="471"/>
      <c r="N282" s="471"/>
      <c r="O282" s="471">
        <f>O369</f>
        <v>-118.31399999999999</v>
      </c>
      <c r="P282" s="471"/>
      <c r="Q282" s="471"/>
      <c r="R282" s="471"/>
      <c r="S282" s="471"/>
      <c r="T282" s="471">
        <f>T369</f>
        <v>34.626999999999981</v>
      </c>
      <c r="U282" s="471"/>
      <c r="V282" s="471"/>
      <c r="W282" s="471"/>
      <c r="X282" s="471"/>
      <c r="Y282" s="471">
        <f>Y369</f>
        <v>-146.096</v>
      </c>
      <c r="Z282" s="471"/>
      <c r="AA282" s="471"/>
      <c r="AB282" s="471"/>
      <c r="AC282" s="471"/>
      <c r="AD282" s="471">
        <f>AD369</f>
        <v>-211.80000000000007</v>
      </c>
      <c r="AE282" s="471"/>
      <c r="AF282" s="471"/>
      <c r="AG282" s="471"/>
      <c r="AH282" s="471"/>
      <c r="AI282" s="471">
        <f>AI369</f>
        <v>-108.40000000000006</v>
      </c>
      <c r="AJ282" s="471"/>
      <c r="AK282" s="471"/>
      <c r="AL282" s="471"/>
      <c r="AM282" s="471"/>
      <c r="AN282" s="471">
        <f>AN369</f>
        <v>-551.90000000000009</v>
      </c>
      <c r="AO282" s="471"/>
      <c r="AP282" s="471"/>
      <c r="AQ282" s="471"/>
      <c r="AR282" s="471"/>
      <c r="AS282" s="471">
        <f>AS369</f>
        <v>106.10000000000002</v>
      </c>
      <c r="AT282" s="471"/>
      <c r="AU282" s="471"/>
      <c r="AV282" s="471"/>
      <c r="AW282" s="471"/>
      <c r="AX282" s="471">
        <f>AX369</f>
        <v>-130.30000000000004</v>
      </c>
      <c r="AY282" s="471"/>
      <c r="AZ282" s="471"/>
      <c r="BA282" s="471"/>
      <c r="BB282" s="471"/>
      <c r="BC282" s="471">
        <f>BC369</f>
        <v>-264</v>
      </c>
      <c r="BD282" s="471"/>
      <c r="BE282" s="471"/>
      <c r="BF282" s="471"/>
      <c r="BG282" s="471"/>
      <c r="BH282" s="471">
        <f>BH369</f>
        <v>-708.00000000000011</v>
      </c>
      <c r="BI282" s="471"/>
      <c r="BJ282" s="471"/>
      <c r="BK282" s="471"/>
      <c r="BL282" s="471"/>
      <c r="BM282" s="471">
        <f>BM369</f>
        <v>256.79999999999995</v>
      </c>
      <c r="BN282" s="471"/>
      <c r="BO282" s="471"/>
      <c r="BP282" s="471"/>
      <c r="BQ282" s="471"/>
      <c r="BR282" s="471">
        <f t="shared" ref="BR282:DD282" si="690">BR369</f>
        <v>-467.3</v>
      </c>
      <c r="BS282" s="471">
        <f t="shared" si="690"/>
        <v>-275</v>
      </c>
      <c r="BT282" s="471">
        <f t="shared" si="690"/>
        <v>298.30000000000007</v>
      </c>
      <c r="BU282" s="471">
        <f t="shared" si="690"/>
        <v>141.19999999999996</v>
      </c>
      <c r="BV282" s="471">
        <f t="shared" si="690"/>
        <v>-251.29999999999995</v>
      </c>
      <c r="BW282" s="471">
        <f t="shared" si="690"/>
        <v>-86.799999999999912</v>
      </c>
      <c r="BX282" s="471">
        <f t="shared" si="690"/>
        <v>-384</v>
      </c>
      <c r="BY282" s="471">
        <f t="shared" si="690"/>
        <v>520</v>
      </c>
      <c r="BZ282" s="471">
        <f t="shared" si="690"/>
        <v>483</v>
      </c>
      <c r="CA282" s="471">
        <f t="shared" si="690"/>
        <v>154</v>
      </c>
      <c r="CB282" s="471">
        <f t="shared" si="690"/>
        <v>773</v>
      </c>
      <c r="CC282" s="471">
        <f t="shared" si="690"/>
        <v>394</v>
      </c>
      <c r="CD282" s="471">
        <f t="shared" si="690"/>
        <v>-321</v>
      </c>
      <c r="CE282" s="471">
        <f t="shared" si="690"/>
        <v>278</v>
      </c>
      <c r="CF282" s="471">
        <f t="shared" si="690"/>
        <v>65</v>
      </c>
      <c r="CG282" s="471">
        <f t="shared" si="690"/>
        <v>416</v>
      </c>
      <c r="CH282" s="471">
        <f t="shared" si="690"/>
        <v>283</v>
      </c>
      <c r="CI282" s="471">
        <f t="shared" si="690"/>
        <v>-210</v>
      </c>
      <c r="CJ282" s="471">
        <f t="shared" si="690"/>
        <v>246</v>
      </c>
      <c r="CK282" s="471">
        <f t="shared" si="690"/>
        <v>-362</v>
      </c>
      <c r="CL282" s="776">
        <f t="shared" si="690"/>
        <v>-43</v>
      </c>
      <c r="CM282" s="471">
        <f t="shared" si="690"/>
        <v>-81</v>
      </c>
      <c r="CN282" s="471">
        <f t="shared" si="690"/>
        <v>40</v>
      </c>
      <c r="CO282" s="471">
        <f t="shared" si="690"/>
        <v>878</v>
      </c>
      <c r="CP282" s="471">
        <f t="shared" si="690"/>
        <v>-106</v>
      </c>
      <c r="CQ282" s="776">
        <f t="shared" si="690"/>
        <v>731</v>
      </c>
      <c r="CR282" s="471">
        <f t="shared" si="690"/>
        <v>-214</v>
      </c>
      <c r="CS282" s="471">
        <f t="shared" si="690"/>
        <v>213</v>
      </c>
      <c r="CT282" s="471">
        <f t="shared" si="690"/>
        <v>562</v>
      </c>
      <c r="CU282" s="471">
        <f t="shared" si="690"/>
        <v>106</v>
      </c>
      <c r="CV282" s="776">
        <f t="shared" si="690"/>
        <v>667</v>
      </c>
      <c r="CW282" s="471">
        <f>CW369</f>
        <v>-846</v>
      </c>
      <c r="CX282" s="471">
        <f>CX369</f>
        <v>305</v>
      </c>
      <c r="CY282" s="471">
        <f t="shared" si="690"/>
        <v>61</v>
      </c>
      <c r="CZ282" s="471">
        <f t="shared" si="690"/>
        <v>690</v>
      </c>
      <c r="DA282" s="776">
        <f>DA369</f>
        <v>210</v>
      </c>
      <c r="DB282" s="471">
        <f>DB369</f>
        <v>189</v>
      </c>
      <c r="DC282" s="471">
        <f>DC369</f>
        <v>-209</v>
      </c>
      <c r="DD282" s="471">
        <f t="shared" si="690"/>
        <v>52</v>
      </c>
      <c r="DE282" s="471">
        <f>DE369</f>
        <v>463</v>
      </c>
      <c r="DF282" s="776">
        <f t="shared" ref="DF282:DL282" si="691">DF369</f>
        <v>495</v>
      </c>
      <c r="DG282" s="471">
        <f>DG369</f>
        <v>-801</v>
      </c>
      <c r="DH282" s="471">
        <f>DH369</f>
        <v>362</v>
      </c>
      <c r="DI282" s="471">
        <f>DI369</f>
        <v>571</v>
      </c>
      <c r="DJ282" s="471">
        <f>DJ369</f>
        <v>1550</v>
      </c>
      <c r="DK282" s="776">
        <f>DK369</f>
        <v>1682</v>
      </c>
      <c r="DL282" s="471">
        <f t="shared" si="691"/>
        <v>-978</v>
      </c>
      <c r="DM282" s="471">
        <f t="shared" ref="DM282:DN282" si="692">DM369</f>
        <v>1477</v>
      </c>
      <c r="DN282" s="471">
        <f t="shared" si="692"/>
        <v>201</v>
      </c>
      <c r="DO282" s="2261">
        <f t="shared" ref="DO282:DQ282" si="693">DO369</f>
        <v>918</v>
      </c>
      <c r="DP282" s="2261">
        <f t="shared" ref="DP282:DU282" si="694">DP369</f>
        <v>1618</v>
      </c>
      <c r="DQ282" s="471">
        <f t="shared" si="693"/>
        <v>-490</v>
      </c>
      <c r="DR282" s="471">
        <f t="shared" ca="1" si="694"/>
        <v>-993.12190700040355</v>
      </c>
      <c r="DS282" s="471">
        <f t="shared" ca="1" si="694"/>
        <v>754.56237486177361</v>
      </c>
      <c r="DT282" s="1480">
        <f t="shared" ca="1" si="694"/>
        <v>799.5211769606758</v>
      </c>
      <c r="DU282" s="776">
        <f t="shared" ca="1" si="694"/>
        <v>70.961644822045855</v>
      </c>
      <c r="DV282" s="471">
        <f t="shared" ref="DV282:DZ282" si="695">DV369</f>
        <v>-102.02271493333774</v>
      </c>
      <c r="DW282" s="471">
        <f t="shared" ca="1" si="695"/>
        <v>-1125.6074987823476</v>
      </c>
      <c r="DX282" s="471">
        <f t="shared" ca="1" si="695"/>
        <v>641.97062248995826</v>
      </c>
      <c r="DY282" s="1480">
        <f t="shared" ca="1" si="695"/>
        <v>775.22530740687125</v>
      </c>
      <c r="DZ282" s="776">
        <f t="shared" ca="1" si="695"/>
        <v>189.56571618114413</v>
      </c>
      <c r="EA282" s="471">
        <f t="shared" ref="EA282:EE282" si="696">EA369</f>
        <v>48.159258462655089</v>
      </c>
      <c r="EB282" s="471">
        <f t="shared" ca="1" si="696"/>
        <v>-1131.0815991237923</v>
      </c>
      <c r="EC282" s="471">
        <f t="shared" ca="1" si="696"/>
        <v>648.79882131725026</v>
      </c>
      <c r="ED282" s="1480">
        <f t="shared" ca="1" si="696"/>
        <v>413.490638926879</v>
      </c>
      <c r="EE282" s="776">
        <f t="shared" ca="1" si="696"/>
        <v>-20.632880417007982</v>
      </c>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row>
    <row r="283" spans="2:232" s="54" customFormat="1">
      <c r="B283" s="538" t="s">
        <v>285</v>
      </c>
      <c r="C283" s="64"/>
      <c r="D283" s="64"/>
      <c r="E283" s="64"/>
      <c r="F283" s="471">
        <f>F372</f>
        <v>-202.452</v>
      </c>
      <c r="G283" s="471">
        <f>G372</f>
        <v>-144.94300000000001</v>
      </c>
      <c r="H283" s="471">
        <f>H372</f>
        <v>-184.67400000000001</v>
      </c>
      <c r="I283" s="471">
        <f>I372</f>
        <v>-289.976</v>
      </c>
      <c r="J283" s="471">
        <f>J372</f>
        <v>-310.25400000000002</v>
      </c>
      <c r="K283" s="471"/>
      <c r="L283" s="471"/>
      <c r="M283" s="471"/>
      <c r="N283" s="471"/>
      <c r="O283" s="471">
        <f>O372</f>
        <v>-364.58600000000001</v>
      </c>
      <c r="P283" s="471"/>
      <c r="Q283" s="471"/>
      <c r="R283" s="471"/>
      <c r="S283" s="471"/>
      <c r="T283" s="471">
        <f>T372</f>
        <v>-485.08499999999998</v>
      </c>
      <c r="U283" s="471"/>
      <c r="V283" s="471"/>
      <c r="W283" s="471"/>
      <c r="X283" s="471"/>
      <c r="Y283" s="471">
        <f>Y372</f>
        <v>-640.976</v>
      </c>
      <c r="Z283" s="471"/>
      <c r="AA283" s="471"/>
      <c r="AB283" s="471"/>
      <c r="AC283" s="471"/>
      <c r="AD283" s="471">
        <f>AD372</f>
        <v>-696.3</v>
      </c>
      <c r="AE283" s="471"/>
      <c r="AF283" s="471"/>
      <c r="AG283" s="471"/>
      <c r="AH283" s="471"/>
      <c r="AI283" s="471">
        <f>AI372</f>
        <v>-1119.0999999999999</v>
      </c>
      <c r="AJ283" s="471"/>
      <c r="AK283" s="471"/>
      <c r="AL283" s="471"/>
      <c r="AM283" s="471"/>
      <c r="AN283" s="471">
        <f>AN372</f>
        <v>-1237</v>
      </c>
      <c r="AO283" s="471"/>
      <c r="AP283" s="471"/>
      <c r="AQ283" s="471"/>
      <c r="AR283" s="471"/>
      <c r="AS283" s="471">
        <f>AS372</f>
        <v>-934.4</v>
      </c>
      <c r="AT283" s="471"/>
      <c r="AU283" s="471"/>
      <c r="AV283" s="471"/>
      <c r="AW283" s="471"/>
      <c r="AX283" s="471">
        <f>AX372</f>
        <v>-795.1</v>
      </c>
      <c r="AY283" s="471"/>
      <c r="AZ283" s="471"/>
      <c r="BA283" s="471"/>
      <c r="BB283" s="471"/>
      <c r="BC283" s="471">
        <f>BC372</f>
        <v>-939.5</v>
      </c>
      <c r="BD283" s="471"/>
      <c r="BE283" s="471"/>
      <c r="BF283" s="471"/>
      <c r="BG283" s="471"/>
      <c r="BH283" s="471">
        <f>BH372</f>
        <v>-1237.5440000000001</v>
      </c>
      <c r="BI283" s="471"/>
      <c r="BJ283" s="471"/>
      <c r="BK283" s="471"/>
      <c r="BL283" s="471"/>
      <c r="BM283" s="471">
        <f>BM372</f>
        <v>-1337.8</v>
      </c>
      <c r="BN283" s="471"/>
      <c r="BO283" s="471"/>
      <c r="BP283" s="471"/>
      <c r="BQ283" s="471"/>
      <c r="BR283" s="471">
        <f t="shared" ref="BR283:DF283" si="697">BR372</f>
        <v>-1785.3</v>
      </c>
      <c r="BS283" s="471">
        <f t="shared" si="697"/>
        <v>-490</v>
      </c>
      <c r="BT283" s="471">
        <f t="shared" si="697"/>
        <v>-552.90000000000009</v>
      </c>
      <c r="BU283" s="471">
        <f t="shared" si="697"/>
        <v>-609.69999999999982</v>
      </c>
      <c r="BV283" s="471">
        <f t="shared" si="697"/>
        <v>-572.09999999999991</v>
      </c>
      <c r="BW283" s="471">
        <f t="shared" si="697"/>
        <v>-2224.6999999999998</v>
      </c>
      <c r="BX283" s="471">
        <f t="shared" si="697"/>
        <v>-638</v>
      </c>
      <c r="BY283" s="471">
        <f t="shared" si="697"/>
        <v>-454</v>
      </c>
      <c r="BZ283" s="471">
        <f t="shared" si="697"/>
        <v>-442</v>
      </c>
      <c r="CA283" s="471">
        <f t="shared" si="697"/>
        <v>-393</v>
      </c>
      <c r="CB283" s="471">
        <f t="shared" si="697"/>
        <v>-1927</v>
      </c>
      <c r="CC283" s="471">
        <f t="shared" si="697"/>
        <v>-304</v>
      </c>
      <c r="CD283" s="471">
        <f t="shared" si="697"/>
        <v>-220</v>
      </c>
      <c r="CE283" s="471">
        <f t="shared" si="697"/>
        <v>-262</v>
      </c>
      <c r="CF283" s="471">
        <f t="shared" si="697"/>
        <v>-228</v>
      </c>
      <c r="CG283" s="471">
        <f t="shared" si="697"/>
        <v>-1014</v>
      </c>
      <c r="CH283" s="471">
        <f t="shared" si="697"/>
        <v>-273</v>
      </c>
      <c r="CI283" s="471">
        <f t="shared" si="697"/>
        <v>-196</v>
      </c>
      <c r="CJ283" s="471">
        <f t="shared" si="697"/>
        <v>-230</v>
      </c>
      <c r="CK283" s="471">
        <f t="shared" si="697"/>
        <v>-514</v>
      </c>
      <c r="CL283" s="776">
        <f t="shared" si="697"/>
        <v>-1213</v>
      </c>
      <c r="CM283" s="471">
        <f t="shared" si="697"/>
        <v>-419</v>
      </c>
      <c r="CN283" s="471">
        <f t="shared" si="697"/>
        <v>-304</v>
      </c>
      <c r="CO283" s="471">
        <f t="shared" si="697"/>
        <v>-379</v>
      </c>
      <c r="CP283" s="471">
        <f t="shared" si="697"/>
        <v>-448</v>
      </c>
      <c r="CQ283" s="776">
        <f t="shared" si="697"/>
        <v>-1550</v>
      </c>
      <c r="CR283" s="471">
        <f t="shared" si="697"/>
        <v>-336</v>
      </c>
      <c r="CS283" s="471">
        <f t="shared" si="697"/>
        <v>-245</v>
      </c>
      <c r="CT283" s="471">
        <f t="shared" si="697"/>
        <v>-293</v>
      </c>
      <c r="CU283" s="471">
        <f t="shared" si="697"/>
        <v>-338</v>
      </c>
      <c r="CV283" s="776">
        <f t="shared" si="697"/>
        <v>-1212</v>
      </c>
      <c r="CW283" s="471">
        <f t="shared" si="697"/>
        <v>-364</v>
      </c>
      <c r="CX283" s="471">
        <f t="shared" si="697"/>
        <v>-227</v>
      </c>
      <c r="CY283" s="471">
        <f t="shared" si="697"/>
        <v>-230</v>
      </c>
      <c r="CZ283" s="471">
        <f t="shared" si="697"/>
        <v>-285</v>
      </c>
      <c r="DA283" s="776">
        <f t="shared" si="697"/>
        <v>-1106</v>
      </c>
      <c r="DB283" s="471">
        <f t="shared" si="697"/>
        <v>-335</v>
      </c>
      <c r="DC283" s="471">
        <f t="shared" si="697"/>
        <v>-308</v>
      </c>
      <c r="DD283" s="471">
        <f t="shared" si="697"/>
        <v>-247</v>
      </c>
      <c r="DE283" s="471">
        <f>DE372</f>
        <v>-361</v>
      </c>
      <c r="DF283" s="776">
        <f t="shared" si="697"/>
        <v>-1251</v>
      </c>
      <c r="DG283" s="471">
        <f>DG372</f>
        <v>-340</v>
      </c>
      <c r="DH283" s="471">
        <f>DH372</f>
        <v>-317</v>
      </c>
      <c r="DI283" s="471">
        <f>DI372</f>
        <v>-247</v>
      </c>
      <c r="DJ283" s="471">
        <f>DJ372</f>
        <v>-421</v>
      </c>
      <c r="DK283" s="776">
        <f t="shared" ref="DK283:DU283" si="698">DK372</f>
        <v>-1325</v>
      </c>
      <c r="DL283" s="471">
        <f t="shared" si="698"/>
        <v>-378</v>
      </c>
      <c r="DM283" s="471">
        <f t="shared" ref="DM283:DN283" si="699">DM372</f>
        <v>-261</v>
      </c>
      <c r="DN283" s="471">
        <f t="shared" si="699"/>
        <v>-273</v>
      </c>
      <c r="DO283" s="2261">
        <f t="shared" ref="DO283:DQ283" si="700">DO372</f>
        <v>-439</v>
      </c>
      <c r="DP283" s="2261">
        <f t="shared" si="698"/>
        <v>-1351</v>
      </c>
      <c r="DQ283" s="471">
        <f t="shared" si="700"/>
        <v>-378</v>
      </c>
      <c r="DR283" s="471">
        <f t="shared" si="698"/>
        <v>-291.22000000000003</v>
      </c>
      <c r="DS283" s="471">
        <f t="shared" si="698"/>
        <v>-303.45999999999998</v>
      </c>
      <c r="DT283" s="1480">
        <f t="shared" si="698"/>
        <v>-472.78000000000003</v>
      </c>
      <c r="DU283" s="776">
        <f t="shared" si="698"/>
        <v>-1445.46</v>
      </c>
      <c r="DV283" s="471">
        <f t="shared" ref="DV283:DZ283" si="701">DV372</f>
        <v>-385.56</v>
      </c>
      <c r="DW283" s="471">
        <f t="shared" si="701"/>
        <v>-297.04440000000005</v>
      </c>
      <c r="DX283" s="471">
        <f t="shared" si="701"/>
        <v>-309.5292</v>
      </c>
      <c r="DY283" s="1480">
        <f t="shared" si="701"/>
        <v>-482.23560000000003</v>
      </c>
      <c r="DZ283" s="776">
        <f t="shared" si="701"/>
        <v>-1474.3692000000001</v>
      </c>
      <c r="EA283" s="471">
        <f t="shared" ref="EA283:EE283" si="702">EA372</f>
        <v>-393.27120000000002</v>
      </c>
      <c r="EB283" s="471">
        <f t="shared" si="702"/>
        <v>-302.98528800000008</v>
      </c>
      <c r="EC283" s="471">
        <f t="shared" si="702"/>
        <v>-315.719784</v>
      </c>
      <c r="ED283" s="1480">
        <f t="shared" si="702"/>
        <v>-491.88031200000006</v>
      </c>
      <c r="EE283" s="776">
        <f t="shared" si="702"/>
        <v>-1503.8565840000001</v>
      </c>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row>
    <row r="284" spans="2:232" s="54" customFormat="1" ht="12" thickBot="1">
      <c r="B284" s="612"/>
      <c r="C284" s="581"/>
      <c r="D284" s="581"/>
      <c r="E284" s="581"/>
      <c r="F284" s="898"/>
      <c r="G284" s="898"/>
      <c r="H284" s="898"/>
      <c r="I284" s="898"/>
      <c r="J284" s="898"/>
      <c r="K284" s="898"/>
      <c r="L284" s="898"/>
      <c r="M284" s="898"/>
      <c r="N284" s="898"/>
      <c r="O284" s="898"/>
      <c r="P284" s="898"/>
      <c r="Q284" s="898"/>
      <c r="R284" s="898"/>
      <c r="S284" s="898"/>
      <c r="T284" s="898"/>
      <c r="U284" s="898"/>
      <c r="V284" s="898"/>
      <c r="W284" s="898"/>
      <c r="X284" s="898"/>
      <c r="Y284" s="898"/>
      <c r="Z284" s="898"/>
      <c r="AA284" s="898"/>
      <c r="AB284" s="898"/>
      <c r="AC284" s="898"/>
      <c r="AD284" s="898"/>
      <c r="AE284" s="898"/>
      <c r="AF284" s="898"/>
      <c r="AG284" s="898"/>
      <c r="AH284" s="898"/>
      <c r="AI284" s="898"/>
      <c r="AJ284" s="898"/>
      <c r="AK284" s="898"/>
      <c r="AL284" s="898"/>
      <c r="AM284" s="898"/>
      <c r="AN284" s="898"/>
      <c r="AO284" s="898"/>
      <c r="AP284" s="898"/>
      <c r="AQ284" s="898"/>
      <c r="AR284" s="898"/>
      <c r="AS284" s="898"/>
      <c r="AT284" s="898"/>
      <c r="AU284" s="898"/>
      <c r="AV284" s="898"/>
      <c r="AW284" s="898"/>
      <c r="AX284" s="898"/>
      <c r="AY284" s="898"/>
      <c r="AZ284" s="898"/>
      <c r="BA284" s="898"/>
      <c r="BB284" s="898"/>
      <c r="BC284" s="898"/>
      <c r="BD284" s="898"/>
      <c r="BE284" s="898"/>
      <c r="BF284" s="898"/>
      <c r="BG284" s="898"/>
      <c r="BH284" s="898"/>
      <c r="BI284" s="898"/>
      <c r="BJ284" s="898"/>
      <c r="BK284" s="898"/>
      <c r="BL284" s="898"/>
      <c r="BM284" s="898"/>
      <c r="BN284" s="898"/>
      <c r="BO284" s="898"/>
      <c r="BP284" s="898"/>
      <c r="BQ284" s="898"/>
      <c r="BR284" s="898"/>
      <c r="BS284" s="898"/>
      <c r="BT284" s="898"/>
      <c r="BU284" s="898"/>
      <c r="BV284" s="898"/>
      <c r="BW284" s="898"/>
      <c r="BX284" s="898"/>
      <c r="BY284" s="898"/>
      <c r="BZ284" s="898"/>
      <c r="CA284" s="898"/>
      <c r="CB284" s="898"/>
      <c r="CC284" s="898"/>
      <c r="CD284" s="898"/>
      <c r="CE284" s="898"/>
      <c r="CF284" s="898"/>
      <c r="CG284" s="898"/>
      <c r="CH284" s="898"/>
      <c r="CI284" s="898"/>
      <c r="CJ284" s="898"/>
      <c r="CK284" s="898"/>
      <c r="CL284" s="1358"/>
      <c r="CM284" s="898"/>
      <c r="CN284" s="898"/>
      <c r="CO284" s="898"/>
      <c r="CP284" s="898"/>
      <c r="CQ284" s="1358"/>
      <c r="CR284" s="898"/>
      <c r="CS284" s="898"/>
      <c r="CT284" s="898"/>
      <c r="CU284" s="898"/>
      <c r="CV284" s="1358"/>
      <c r="CW284" s="898"/>
      <c r="CX284" s="898"/>
      <c r="CY284" s="898"/>
      <c r="CZ284" s="898"/>
      <c r="DA284" s="1358"/>
      <c r="DB284" s="898"/>
      <c r="DC284" s="898"/>
      <c r="DD284" s="898"/>
      <c r="DE284" s="898"/>
      <c r="DF284" s="1358"/>
      <c r="DG284" s="898"/>
      <c r="DH284" s="898"/>
      <c r="DI284" s="898"/>
      <c r="DJ284" s="898"/>
      <c r="DK284" s="1358"/>
      <c r="DL284" s="898"/>
      <c r="DM284" s="898"/>
      <c r="DN284" s="898"/>
      <c r="DO284" s="1800"/>
      <c r="DP284" s="1800"/>
      <c r="DQ284" s="898"/>
      <c r="DR284" s="898"/>
      <c r="DS284" s="898"/>
      <c r="DT284" s="1800"/>
      <c r="DU284" s="1358"/>
      <c r="DV284" s="898"/>
      <c r="DW284" s="898"/>
      <c r="DX284" s="898"/>
      <c r="DY284" s="1800"/>
      <c r="DZ284" s="1358"/>
      <c r="EA284" s="898"/>
      <c r="EB284" s="898"/>
      <c r="EC284" s="898"/>
      <c r="ED284" s="1800"/>
      <c r="EE284" s="1358"/>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row>
    <row r="285" spans="2:232" s="54" customFormat="1">
      <c r="B285" s="676" t="s">
        <v>88</v>
      </c>
      <c r="C285" s="477"/>
      <c r="D285" s="477"/>
      <c r="E285" s="478"/>
      <c r="F285" s="479">
        <f>SUM(F280:F283)</f>
        <v>11.26400000000001</v>
      </c>
      <c r="G285" s="479">
        <f>SUM(G280:G283)</f>
        <v>183.12899999999942</v>
      </c>
      <c r="H285" s="479">
        <f>SUM(H280:H283)</f>
        <v>112.99699999999964</v>
      </c>
      <c r="I285" s="479">
        <f>SUM(I280:I283)</f>
        <v>51.934999999999718</v>
      </c>
      <c r="J285" s="479">
        <f>SUM(J280:J283)</f>
        <v>2.0959999999997194</v>
      </c>
      <c r="K285" s="479"/>
      <c r="L285" s="479"/>
      <c r="M285" s="479"/>
      <c r="N285" s="479"/>
      <c r="O285" s="479">
        <f>SUM(O280:O283)</f>
        <v>40.247999999999251</v>
      </c>
      <c r="P285" s="479"/>
      <c r="Q285" s="479"/>
      <c r="R285" s="479"/>
      <c r="S285" s="479"/>
      <c r="T285" s="479">
        <f>SUM(T280:T283)</f>
        <v>166.47599999999949</v>
      </c>
      <c r="U285" s="479"/>
      <c r="V285" s="479"/>
      <c r="W285" s="479"/>
      <c r="X285" s="479"/>
      <c r="Y285" s="479">
        <f>SUM(Y280:Y283)</f>
        <v>-49.520999999999844</v>
      </c>
      <c r="Z285" s="479"/>
      <c r="AA285" s="479"/>
      <c r="AB285" s="479"/>
      <c r="AC285" s="479"/>
      <c r="AD285" s="479">
        <f>SUM(AD280:AD283)</f>
        <v>-73.900000000001228</v>
      </c>
      <c r="AE285" s="479"/>
      <c r="AF285" s="479"/>
      <c r="AG285" s="479"/>
      <c r="AH285" s="479"/>
      <c r="AI285" s="479">
        <f>SUM(AI280:AI283)</f>
        <v>-202.89999999999986</v>
      </c>
      <c r="AJ285" s="479"/>
      <c r="AK285" s="479"/>
      <c r="AL285" s="479"/>
      <c r="AM285" s="479"/>
      <c r="AN285" s="479">
        <f>SUM(AN280:AN283)</f>
        <v>-651.40000000000191</v>
      </c>
      <c r="AO285" s="479"/>
      <c r="AP285" s="479"/>
      <c r="AQ285" s="479"/>
      <c r="AR285" s="479"/>
      <c r="AS285" s="479">
        <f>SUM(AS280:AS283)</f>
        <v>467.6</v>
      </c>
      <c r="AT285" s="479"/>
      <c r="AU285" s="479"/>
      <c r="AV285" s="479"/>
      <c r="AW285" s="479"/>
      <c r="AX285" s="479">
        <f>SUM(AX280:AX283)</f>
        <v>566.30000000000121</v>
      </c>
      <c r="AY285" s="479"/>
      <c r="AZ285" s="479"/>
      <c r="BA285" s="479"/>
      <c r="BB285" s="479"/>
      <c r="BC285" s="479">
        <f>SUM(BC280:BC283)</f>
        <v>529.90000043592818</v>
      </c>
      <c r="BD285" s="479"/>
      <c r="BE285" s="479"/>
      <c r="BF285" s="479"/>
      <c r="BG285" s="479"/>
      <c r="BH285" s="479">
        <f>SUM(BH280:BH283)</f>
        <v>96.055999999999813</v>
      </c>
      <c r="BI285" s="479"/>
      <c r="BJ285" s="479"/>
      <c r="BK285" s="479"/>
      <c r="BL285" s="479"/>
      <c r="BM285" s="479">
        <f>SUM(BM280:BM283)</f>
        <v>1241.8000000000059</v>
      </c>
      <c r="BN285" s="479"/>
      <c r="BO285" s="479"/>
      <c r="BP285" s="479"/>
      <c r="BQ285" s="479"/>
      <c r="BR285" s="479">
        <f t="shared" ref="BR285:CV285" si="703">SUM(BR280:BR283)</f>
        <v>464.3999999999935</v>
      </c>
      <c r="BS285" s="479">
        <f t="shared" si="703"/>
        <v>-114.40000000000032</v>
      </c>
      <c r="BT285" s="479">
        <f t="shared" si="703"/>
        <v>632.60000000000036</v>
      </c>
      <c r="BU285" s="479">
        <f t="shared" si="703"/>
        <v>315.50000000000091</v>
      </c>
      <c r="BV285" s="479">
        <f t="shared" si="703"/>
        <v>-234.06899999999951</v>
      </c>
      <c r="BW285" s="479">
        <f t="shared" si="703"/>
        <v>557.0299999999952</v>
      </c>
      <c r="BX285" s="479">
        <f t="shared" si="703"/>
        <v>-378</v>
      </c>
      <c r="BY285" s="479">
        <f t="shared" si="703"/>
        <v>947</v>
      </c>
      <c r="BZ285" s="479">
        <f t="shared" si="703"/>
        <v>827</v>
      </c>
      <c r="CA285" s="479">
        <f t="shared" si="703"/>
        <v>431</v>
      </c>
      <c r="CB285" s="479">
        <f t="shared" si="703"/>
        <v>1827</v>
      </c>
      <c r="CC285" s="479">
        <f t="shared" si="703"/>
        <v>836</v>
      </c>
      <c r="CD285" s="479">
        <f t="shared" si="703"/>
        <v>376</v>
      </c>
      <c r="CE285" s="479">
        <f t="shared" si="703"/>
        <v>742</v>
      </c>
      <c r="CF285" s="479">
        <f t="shared" si="703"/>
        <v>569</v>
      </c>
      <c r="CG285" s="479">
        <f t="shared" si="703"/>
        <v>2523</v>
      </c>
      <c r="CH285" s="479">
        <f t="shared" si="703"/>
        <v>863</v>
      </c>
      <c r="CI285" s="479">
        <f t="shared" si="703"/>
        <v>589</v>
      </c>
      <c r="CJ285" s="479">
        <f t="shared" si="703"/>
        <v>888</v>
      </c>
      <c r="CK285" s="479">
        <f t="shared" si="703"/>
        <v>204</v>
      </c>
      <c r="CL285" s="1357">
        <f t="shared" si="703"/>
        <v>2544</v>
      </c>
      <c r="CM285" s="479">
        <f t="shared" si="703"/>
        <v>331</v>
      </c>
      <c r="CN285" s="479">
        <f t="shared" si="703"/>
        <v>702</v>
      </c>
      <c r="CO285" s="479">
        <f t="shared" si="703"/>
        <v>1332</v>
      </c>
      <c r="CP285" s="479">
        <f t="shared" si="703"/>
        <v>109</v>
      </c>
      <c r="CQ285" s="1357">
        <f t="shared" si="703"/>
        <v>2474</v>
      </c>
      <c r="CR285" s="479">
        <f t="shared" si="703"/>
        <v>176</v>
      </c>
      <c r="CS285" s="479">
        <f t="shared" si="703"/>
        <v>1051</v>
      </c>
      <c r="CT285" s="479">
        <f t="shared" si="703"/>
        <v>1211</v>
      </c>
      <c r="CU285" s="479">
        <f t="shared" si="703"/>
        <v>750</v>
      </c>
      <c r="CV285" s="1357">
        <f t="shared" si="703"/>
        <v>3188</v>
      </c>
      <c r="CW285" s="479">
        <f t="shared" ref="CW285:DF285" si="704">SUM(CW280:CW283)</f>
        <v>-183</v>
      </c>
      <c r="CX285" s="479">
        <f t="shared" si="704"/>
        <v>1163</v>
      </c>
      <c r="CY285" s="479">
        <f t="shared" si="704"/>
        <v>891</v>
      </c>
      <c r="CZ285" s="479">
        <f t="shared" si="704"/>
        <v>481</v>
      </c>
      <c r="DA285" s="1357">
        <f t="shared" si="704"/>
        <v>2352</v>
      </c>
      <c r="DB285" s="479">
        <f t="shared" si="704"/>
        <v>1023</v>
      </c>
      <c r="DC285" s="479">
        <f t="shared" si="704"/>
        <v>2032</v>
      </c>
      <c r="DD285" s="479">
        <f t="shared" si="704"/>
        <v>1545</v>
      </c>
      <c r="DE285" s="479">
        <f>SUM(DE280:DE283)</f>
        <v>606</v>
      </c>
      <c r="DF285" s="1357">
        <f t="shared" si="704"/>
        <v>5206</v>
      </c>
      <c r="DG285" s="479">
        <f>SUM(DG280:DG283)</f>
        <v>351</v>
      </c>
      <c r="DH285" s="479">
        <f>SUM(DH280:DH283)</f>
        <v>1417</v>
      </c>
      <c r="DI285" s="479">
        <f>SUM(DI280:DI283)</f>
        <v>1874</v>
      </c>
      <c r="DJ285" s="479">
        <f>SUM(DJ280:DJ283)</f>
        <v>2606</v>
      </c>
      <c r="DK285" s="1357">
        <f t="shared" ref="DK285:DU285" si="705">SUM(DK280:DK283)</f>
        <v>6248</v>
      </c>
      <c r="DL285" s="479">
        <f t="shared" si="705"/>
        <v>117</v>
      </c>
      <c r="DM285" s="479">
        <f t="shared" ref="DM285:DN285" si="706">SUM(DM280:DM283)</f>
        <v>2688</v>
      </c>
      <c r="DN285" s="479">
        <f t="shared" si="706"/>
        <v>1503</v>
      </c>
      <c r="DO285" s="1479">
        <f t="shared" ref="DO285:DQ285" si="707">SUM(DO280:DO283)</f>
        <v>1691</v>
      </c>
      <c r="DP285" s="1479">
        <f t="shared" si="705"/>
        <v>5999</v>
      </c>
      <c r="DQ285" s="479">
        <f t="shared" si="707"/>
        <v>369</v>
      </c>
      <c r="DR285" s="479">
        <f t="shared" ca="1" si="705"/>
        <v>448.84930245040391</v>
      </c>
      <c r="DS285" s="479">
        <f t="shared" ca="1" si="705"/>
        <v>2134.9000905681005</v>
      </c>
      <c r="DT285" s="1479">
        <f t="shared" ca="1" si="705"/>
        <v>1993.6824501227327</v>
      </c>
      <c r="DU285" s="1357">
        <f t="shared" ca="1" si="705"/>
        <v>4946.4318431412476</v>
      </c>
      <c r="DV285" s="479">
        <f t="shared" ref="DV285:DZ285" ca="1" si="708">SUM(DV280:DV283)</f>
        <v>1074.1508305456268</v>
      </c>
      <c r="DW285" s="479">
        <f t="shared" ca="1" si="708"/>
        <v>428.26985749417207</v>
      </c>
      <c r="DX285" s="479">
        <f t="shared" ca="1" si="708"/>
        <v>2192.6368421631551</v>
      </c>
      <c r="DY285" s="1479">
        <f t="shared" ca="1" si="708"/>
        <v>2172.6685804620311</v>
      </c>
      <c r="DZ285" s="1357">
        <f t="shared" ca="1" si="708"/>
        <v>5867.7261106649639</v>
      </c>
      <c r="EA285" s="479">
        <f t="shared" ref="EA285:EE285" ca="1" si="709">SUM(EA280:EA283)</f>
        <v>1445.7737270917482</v>
      </c>
      <c r="EB285" s="479">
        <f t="shared" ca="1" si="709"/>
        <v>624.46976885600338</v>
      </c>
      <c r="EC285" s="479">
        <f t="shared" ca="1" si="709"/>
        <v>2415.4548702658531</v>
      </c>
      <c r="ED285" s="1479">
        <f t="shared" ca="1" si="709"/>
        <v>2026.6294674905164</v>
      </c>
      <c r="EE285" s="1357">
        <f t="shared" ca="1" si="709"/>
        <v>6512.3278337041347</v>
      </c>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row>
    <row r="286" spans="2:232" s="54" customFormat="1" ht="12" thickBot="1">
      <c r="B286" s="612" t="s">
        <v>286</v>
      </c>
      <c r="C286" s="581"/>
      <c r="D286" s="581"/>
      <c r="E286" s="581"/>
      <c r="F286" s="898">
        <f>F380</f>
        <v>-54.77</v>
      </c>
      <c r="G286" s="898">
        <f>G380</f>
        <v>-62.151000000000003</v>
      </c>
      <c r="H286" s="898">
        <f>H380</f>
        <v>-71.382000000000005</v>
      </c>
      <c r="I286" s="898">
        <f>I380</f>
        <v>-81.225999999999999</v>
      </c>
      <c r="J286" s="898">
        <f>J380</f>
        <v>-92.918999999999997</v>
      </c>
      <c r="K286" s="898"/>
      <c r="L286" s="898"/>
      <c r="M286" s="898"/>
      <c r="N286" s="898"/>
      <c r="O286" s="898">
        <f>O380</f>
        <v>-105.22499999999999</v>
      </c>
      <c r="P286" s="898"/>
      <c r="Q286" s="898"/>
      <c r="R286" s="898"/>
      <c r="S286" s="898"/>
      <c r="T286" s="898">
        <f>T380</f>
        <v>-115.6</v>
      </c>
      <c r="U286" s="898"/>
      <c r="V286" s="898"/>
      <c r="W286" s="898"/>
      <c r="X286" s="898"/>
      <c r="Y286" s="898">
        <f>Y380</f>
        <v>-122.5</v>
      </c>
      <c r="Z286" s="898"/>
      <c r="AA286" s="898"/>
      <c r="AB286" s="898"/>
      <c r="AC286" s="898"/>
      <c r="AD286" s="898">
        <f>AD380</f>
        <v>-128.6</v>
      </c>
      <c r="AE286" s="898"/>
      <c r="AF286" s="898"/>
      <c r="AG286" s="898"/>
      <c r="AH286" s="898"/>
      <c r="AI286" s="898">
        <f>AI380</f>
        <v>-134.6</v>
      </c>
      <c r="AJ286" s="898"/>
      <c r="AK286" s="898"/>
      <c r="AL286" s="898"/>
      <c r="AM286" s="898"/>
      <c r="AN286" s="898">
        <f>AN380</f>
        <v>-140.9</v>
      </c>
      <c r="AO286" s="898"/>
      <c r="AP286" s="898"/>
      <c r="AQ286" s="898"/>
      <c r="AR286" s="898"/>
      <c r="AS286" s="898">
        <f>AS380</f>
        <v>-147</v>
      </c>
      <c r="AT286" s="898"/>
      <c r="AU286" s="898"/>
      <c r="AV286" s="898"/>
      <c r="AW286" s="898"/>
      <c r="AX286" s="898">
        <f>AX380</f>
        <v>-152.4</v>
      </c>
      <c r="AY286" s="898"/>
      <c r="AZ286" s="898"/>
      <c r="BA286" s="898"/>
      <c r="BB286" s="898"/>
      <c r="BC286" s="898">
        <f>BC380</f>
        <v>-176.9</v>
      </c>
      <c r="BD286" s="898"/>
      <c r="BE286" s="898"/>
      <c r="BF286" s="898"/>
      <c r="BG286" s="898"/>
      <c r="BH286" s="898">
        <f>BH380</f>
        <v>-214.5</v>
      </c>
      <c r="BI286" s="898"/>
      <c r="BJ286" s="898"/>
      <c r="BK286" s="898"/>
      <c r="BL286" s="898"/>
      <c r="BM286" s="898">
        <f>BM380</f>
        <v>-262.89999999999998</v>
      </c>
      <c r="BN286" s="898"/>
      <c r="BO286" s="898"/>
      <c r="BP286" s="898"/>
      <c r="BQ286" s="898"/>
      <c r="BR286" s="898">
        <f t="shared" ref="BR286:CO286" si="710">BR380</f>
        <v>-310.2</v>
      </c>
      <c r="BS286" s="898">
        <f t="shared" si="710"/>
        <v>-94</v>
      </c>
      <c r="BT286" s="898">
        <f t="shared" si="710"/>
        <v>-94.4</v>
      </c>
      <c r="BU286" s="898">
        <f t="shared" si="710"/>
        <v>-94.1</v>
      </c>
      <c r="BV286" s="898">
        <f t="shared" si="710"/>
        <v>-94</v>
      </c>
      <c r="BW286" s="898">
        <f t="shared" si="710"/>
        <v>-376.5</v>
      </c>
      <c r="BX286" s="898">
        <f t="shared" si="710"/>
        <v>-111</v>
      </c>
      <c r="BY286" s="898">
        <f t="shared" si="710"/>
        <v>-112</v>
      </c>
      <c r="BZ286" s="898">
        <f t="shared" si="710"/>
        <v>-111</v>
      </c>
      <c r="CA286" s="898">
        <f t="shared" si="710"/>
        <v>-112</v>
      </c>
      <c r="CB286" s="898">
        <f t="shared" si="710"/>
        <v>-446</v>
      </c>
      <c r="CC286" s="898">
        <f t="shared" si="710"/>
        <v>-136</v>
      </c>
      <c r="CD286" s="898">
        <f t="shared" si="710"/>
        <v>-136</v>
      </c>
      <c r="CE286" s="898">
        <f t="shared" si="710"/>
        <v>-135</v>
      </c>
      <c r="CF286" s="898">
        <f t="shared" si="710"/>
        <v>-134</v>
      </c>
      <c r="CG286" s="898">
        <f t="shared" si="710"/>
        <v>-541</v>
      </c>
      <c r="CH286" s="898">
        <f t="shared" si="710"/>
        <v>-166</v>
      </c>
      <c r="CI286" s="898">
        <f t="shared" si="710"/>
        <v>-162</v>
      </c>
      <c r="CJ286" s="898">
        <f t="shared" si="710"/>
        <v>-160</v>
      </c>
      <c r="CK286" s="898">
        <f t="shared" si="710"/>
        <v>-159</v>
      </c>
      <c r="CL286" s="1358">
        <f t="shared" si="710"/>
        <v>-647</v>
      </c>
      <c r="CM286" s="898">
        <f t="shared" si="710"/>
        <v>-202</v>
      </c>
      <c r="CN286" s="898">
        <f t="shared" si="710"/>
        <v>-196</v>
      </c>
      <c r="CO286" s="898">
        <f t="shared" si="710"/>
        <v>-195</v>
      </c>
      <c r="CP286" s="898">
        <f>CP302</f>
        <v>-194</v>
      </c>
      <c r="CQ286" s="1358">
        <f>CQ380</f>
        <v>-787</v>
      </c>
      <c r="CR286" s="898">
        <f>CR302</f>
        <v>-260</v>
      </c>
      <c r="CS286" s="898">
        <f>CS302</f>
        <v>-260</v>
      </c>
      <c r="CT286" s="898">
        <f>CT302</f>
        <v>-260</v>
      </c>
      <c r="CU286" s="898">
        <f>CU302</f>
        <v>-260</v>
      </c>
      <c r="CV286" s="1358">
        <f>CV380</f>
        <v>-1040</v>
      </c>
      <c r="CW286" s="898">
        <f>CW302</f>
        <v>-298</v>
      </c>
      <c r="CX286" s="898">
        <f>CX302</f>
        <v>-299.8485</v>
      </c>
      <c r="CY286" s="898">
        <f>CY302</f>
        <v>-301.31659278000001</v>
      </c>
      <c r="CZ286" s="898">
        <f>CZ302</f>
        <v>-322.65000000000003</v>
      </c>
      <c r="DA286" s="1358">
        <f>DA380</f>
        <v>-1199</v>
      </c>
      <c r="DB286" s="898">
        <f>DB302</f>
        <v>-319.15427557500004</v>
      </c>
      <c r="DC286" s="898">
        <f>DC302</f>
        <v>-368.80721043750003</v>
      </c>
      <c r="DD286" s="898">
        <f>DD302</f>
        <v>-367.83766498295461</v>
      </c>
      <c r="DE286" s="898">
        <f>DE302</f>
        <v>-366.22175589204551</v>
      </c>
      <c r="DF286" s="1358">
        <f>DF380</f>
        <v>-1384</v>
      </c>
      <c r="DG286" s="898">
        <f>DG302</f>
        <v>-399.13634227</v>
      </c>
      <c r="DH286" s="898">
        <f>DH302</f>
        <v>-399.69064999999995</v>
      </c>
      <c r="DI286" s="898">
        <f ca="1">DI302</f>
        <v>-400.45747018999992</v>
      </c>
      <c r="DJ286" s="898">
        <f ca="1">DJ302</f>
        <v>-400.81458456999991</v>
      </c>
      <c r="DK286" s="1358">
        <f>DK380</f>
        <v>-1563</v>
      </c>
      <c r="DL286" s="898">
        <f>DL302</f>
        <v>-439.31971859600009</v>
      </c>
      <c r="DM286" s="898">
        <f>DM302</f>
        <v>-439.94701385800005</v>
      </c>
      <c r="DN286" s="898">
        <f ca="1">DN302</f>
        <v>-435.52926980199993</v>
      </c>
      <c r="DO286" s="1800">
        <f ca="1">DO302</f>
        <v>-410.88653172599999</v>
      </c>
      <c r="DP286" s="1800">
        <f>DP380</f>
        <v>-1723</v>
      </c>
      <c r="DQ286" s="898">
        <f>DQ302</f>
        <v>-443.52243832490007</v>
      </c>
      <c r="DR286" s="898">
        <f>DR302</f>
        <v>-443.52243832490007</v>
      </c>
      <c r="DS286" s="898">
        <f ca="1">DS302</f>
        <v>-443.52243832490001</v>
      </c>
      <c r="DT286" s="1800">
        <f ca="1">DT302</f>
        <v>-443.52243832490001</v>
      </c>
      <c r="DU286" s="1358">
        <f ca="1">DU380</f>
        <v>-1743.5673149747004</v>
      </c>
      <c r="DV286" s="898">
        <f>DV302</f>
        <v>-481.86895045007299</v>
      </c>
      <c r="DW286" s="898">
        <f>DW302</f>
        <v>-475.86321874275592</v>
      </c>
      <c r="DX286" s="898">
        <f ca="1">DX302</f>
        <v>-469.85748703543874</v>
      </c>
      <c r="DY286" s="1800">
        <f ca="1">DY302</f>
        <v>-463.85175532812167</v>
      </c>
      <c r="DZ286" s="1358">
        <f ca="1">DZ380</f>
        <v>-1891.4414115563893</v>
      </c>
      <c r="EA286" s="898">
        <f>EA302</f>
        <v>-503.63062598288508</v>
      </c>
      <c r="EB286" s="898">
        <f>EB302</f>
        <v>-497.0243211048363</v>
      </c>
      <c r="EC286" s="898">
        <f ca="1">EC302</f>
        <v>-490.41801622678747</v>
      </c>
      <c r="ED286" s="1800">
        <f ca="1">ED302</f>
        <v>-483.8117113487387</v>
      </c>
      <c r="EE286" s="1358">
        <f ca="1">EE380</f>
        <v>-1974.8846746632476</v>
      </c>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row>
    <row r="287" spans="2:232" s="54" customFormat="1" ht="12" thickBot="1">
      <c r="B287" s="1355" t="s">
        <v>202</v>
      </c>
      <c r="C287" s="1307"/>
      <c r="D287" s="1307"/>
      <c r="E287" s="1307"/>
      <c r="F287" s="1356">
        <f>SUM(F280:F286)</f>
        <v>-32.241999999999983</v>
      </c>
      <c r="G287" s="1356">
        <f>SUM(G280:G286)</f>
        <v>304.10699999999883</v>
      </c>
      <c r="H287" s="1356">
        <f>SUM(H280:H286)</f>
        <v>154.61199999999928</v>
      </c>
      <c r="I287" s="1356">
        <f>SUM(I280:I286)</f>
        <v>22.643999999999437</v>
      </c>
      <c r="J287" s="1356">
        <f>SUM(J280:J286)</f>
        <v>-88.727000000000558</v>
      </c>
      <c r="K287" s="1356"/>
      <c r="L287" s="1356"/>
      <c r="M287" s="1356"/>
      <c r="N287" s="1356"/>
      <c r="O287" s="1356">
        <f>SUM(O280:O286)</f>
        <v>-24.729000000001491</v>
      </c>
      <c r="P287" s="1356"/>
      <c r="Q287" s="1356"/>
      <c r="R287" s="1356"/>
      <c r="S287" s="1356"/>
      <c r="T287" s="1356">
        <f>SUM(T280:T286)</f>
        <v>217.35199999999898</v>
      </c>
      <c r="U287" s="1356"/>
      <c r="V287" s="1356"/>
      <c r="W287" s="1356"/>
      <c r="X287" s="1356"/>
      <c r="Y287" s="1356">
        <f>SUM(Y280:Y286)</f>
        <v>-221.54199999999969</v>
      </c>
      <c r="Z287" s="1356"/>
      <c r="AA287" s="1356"/>
      <c r="AB287" s="1356"/>
      <c r="AC287" s="1356"/>
      <c r="AD287" s="1356">
        <f>SUM(AD280:AD286)</f>
        <v>-276.40000000000248</v>
      </c>
      <c r="AE287" s="1356"/>
      <c r="AF287" s="1356"/>
      <c r="AG287" s="1356"/>
      <c r="AH287" s="1356"/>
      <c r="AI287" s="1356">
        <f>SUM(AI280:AI286)</f>
        <v>-540.39999999999975</v>
      </c>
      <c r="AJ287" s="1356"/>
      <c r="AK287" s="1356"/>
      <c r="AL287" s="1356"/>
      <c r="AM287" s="1356"/>
      <c r="AN287" s="1356">
        <f>SUM(AN280:AN286)</f>
        <v>-1443.7000000000039</v>
      </c>
      <c r="AO287" s="1356"/>
      <c r="AP287" s="1356"/>
      <c r="AQ287" s="1356"/>
      <c r="AR287" s="1356"/>
      <c r="AS287" s="1356">
        <f>SUM(AS280:AS286)</f>
        <v>788.2</v>
      </c>
      <c r="AT287" s="1356"/>
      <c r="AU287" s="1356"/>
      <c r="AV287" s="1356"/>
      <c r="AW287" s="1356"/>
      <c r="AX287" s="1356">
        <f>SUM(AX280:AX286)</f>
        <v>980.20000000000243</v>
      </c>
      <c r="AY287" s="1356"/>
      <c r="AZ287" s="1356"/>
      <c r="BA287" s="1356"/>
      <c r="BB287" s="1356"/>
      <c r="BC287" s="1356">
        <f>SUM(BC280:BC286)</f>
        <v>882.90000087185638</v>
      </c>
      <c r="BD287" s="1356"/>
      <c r="BE287" s="1356"/>
      <c r="BF287" s="1356"/>
      <c r="BG287" s="1356"/>
      <c r="BH287" s="1356">
        <f>SUM(BH285:BH286)</f>
        <v>-118.44400000000019</v>
      </c>
      <c r="BI287" s="1356"/>
      <c r="BJ287" s="1356"/>
      <c r="BK287" s="1356"/>
      <c r="BL287" s="1356"/>
      <c r="BM287" s="1356">
        <f>SUM(BM285:BM286)</f>
        <v>978.90000000000589</v>
      </c>
      <c r="BN287" s="1356"/>
      <c r="BO287" s="1356"/>
      <c r="BP287" s="1356"/>
      <c r="BQ287" s="1356"/>
      <c r="BR287" s="1356">
        <f>SUM(BR285:BR286)</f>
        <v>154.19999999999351</v>
      </c>
      <c r="BS287" s="1356">
        <f>SUM(BS280:BS286)</f>
        <v>-322.80000000000064</v>
      </c>
      <c r="BT287" s="1356">
        <f>SUM(BT280:BT286)</f>
        <v>1170.8000000000006</v>
      </c>
      <c r="BU287" s="1356">
        <f>SUM(BU280:BU286)</f>
        <v>536.9000000000018</v>
      </c>
      <c r="BV287" s="1356">
        <f>SUM(BV280:BV286)</f>
        <v>-562.13799999999901</v>
      </c>
      <c r="BW287" s="1356">
        <f>SUM(BW285:BW286)</f>
        <v>180.5299999999952</v>
      </c>
      <c r="BX287" s="1356">
        <f>SUM(BX280:BX286)</f>
        <v>-867</v>
      </c>
      <c r="BY287" s="1356">
        <f>SUM(BY280:BY286)</f>
        <v>1782</v>
      </c>
      <c r="BZ287" s="1356">
        <f>SUM(BZ280:BZ286)</f>
        <v>1543</v>
      </c>
      <c r="CA287" s="1356">
        <f>SUM(CA280:CA286)</f>
        <v>750</v>
      </c>
      <c r="CB287" s="1356">
        <f>SUM(CB285:CB286)</f>
        <v>1381</v>
      </c>
      <c r="CC287" s="1356">
        <f>SUM(CC280:CC286)</f>
        <v>1536</v>
      </c>
      <c r="CD287" s="1356">
        <f>SUM(CD280:CD286)</f>
        <v>616</v>
      </c>
      <c r="CE287" s="1356">
        <f>SUM(CE280:CE286)</f>
        <v>1349</v>
      </c>
      <c r="CF287" s="1356">
        <f>SUM(CF280:CF286)</f>
        <v>1004</v>
      </c>
      <c r="CG287" s="1356">
        <f>SUM(CG285:CG286)</f>
        <v>1982</v>
      </c>
      <c r="CH287" s="1356">
        <f>SUM(CH280:CH286)</f>
        <v>1560</v>
      </c>
      <c r="CI287" s="1356">
        <f>SUM(CI280:CI286)</f>
        <v>1016</v>
      </c>
      <c r="CJ287" s="1356">
        <f>SUM(CJ280:CJ286)</f>
        <v>1616</v>
      </c>
      <c r="CK287" s="1356">
        <f>SUM(CK280:CK286)</f>
        <v>249</v>
      </c>
      <c r="CL287" s="1359">
        <f>SUM(CL285:CL286)</f>
        <v>1897</v>
      </c>
      <c r="CM287" s="1356">
        <f>SUM(CM280:CM286)</f>
        <v>460</v>
      </c>
      <c r="CN287" s="1356">
        <f>SUM(CN280:CN286)</f>
        <v>1208</v>
      </c>
      <c r="CO287" s="1356">
        <f>SUM(CO280:CO286)</f>
        <v>2469</v>
      </c>
      <c r="CP287" s="1356">
        <f>SUM(CP280:CP286)</f>
        <v>24</v>
      </c>
      <c r="CQ287" s="1359">
        <f>SUM(CQ285:CQ286)</f>
        <v>1687</v>
      </c>
      <c r="CR287" s="1356">
        <f>SUM(CR280:CR286)</f>
        <v>92</v>
      </c>
      <c r="CS287" s="1356">
        <f>SUM(CS280:CS286)</f>
        <v>1842</v>
      </c>
      <c r="CT287" s="1356">
        <f>SUM(CT280:CT286)</f>
        <v>2162</v>
      </c>
      <c r="CU287" s="1356">
        <f>SUM(CU280:CU286)</f>
        <v>1240</v>
      </c>
      <c r="CV287" s="1359">
        <f>SUM(CV285:CV286)</f>
        <v>2148</v>
      </c>
      <c r="CW287" s="1356">
        <f>SUM(CW280:CW286)</f>
        <v>-664</v>
      </c>
      <c r="CX287" s="1356">
        <f>SUM(CX280:CX286)</f>
        <v>2026.1514999999999</v>
      </c>
      <c r="CY287" s="1356">
        <f>SUM(CY280:CY286)</f>
        <v>1480.6834072199999</v>
      </c>
      <c r="CZ287" s="1356">
        <f>SUM(CZ280:CZ286)</f>
        <v>639.34999999999991</v>
      </c>
      <c r="DA287" s="1359">
        <f>SUM(DA285:DA286)</f>
        <v>1153</v>
      </c>
      <c r="DB287" s="1356">
        <f>SUM(DB280:DB286)</f>
        <v>1726.8457244249998</v>
      </c>
      <c r="DC287" s="1356">
        <f>SUM(DC280:DC286)</f>
        <v>3695.1927895624999</v>
      </c>
      <c r="DD287" s="1356">
        <f>SUM(DD280:DD286)</f>
        <v>2722.1623350170453</v>
      </c>
      <c r="DE287" s="1356">
        <f>SUM(DE280:DE286)</f>
        <v>845.77824410795449</v>
      </c>
      <c r="DF287" s="1359">
        <f>SUM(DF285:DF286)</f>
        <v>3822</v>
      </c>
      <c r="DG287" s="1356">
        <f>SUM(DG280:DG286)</f>
        <v>302.86365773</v>
      </c>
      <c r="DH287" s="1356">
        <f>SUM(DH280:DH286)</f>
        <v>2434.30935</v>
      </c>
      <c r="DI287" s="1356">
        <f ca="1">SUM(DI280:DI286)</f>
        <v>3347.5425298099999</v>
      </c>
      <c r="DJ287" s="1356">
        <f ca="1">SUM(DJ280:DJ286)</f>
        <v>4811.1854154299999</v>
      </c>
      <c r="DK287" s="1359">
        <f>SUM(DK285:DK286)</f>
        <v>4685</v>
      </c>
      <c r="DL287" s="1356">
        <f>SUM(DL280:DL286)</f>
        <v>-205.31971859600009</v>
      </c>
      <c r="DM287" s="1356">
        <f>SUM(DM280:DM286)</f>
        <v>4936.052986142</v>
      </c>
      <c r="DN287" s="1356">
        <f ca="1">SUM(DN280:DN286)</f>
        <v>2570.4707301980002</v>
      </c>
      <c r="DO287" s="1801">
        <f ca="1">SUM(DO280:DO286)</f>
        <v>2971.1134682739998</v>
      </c>
      <c r="DP287" s="1801">
        <f>SUM(DP285:DP286)</f>
        <v>4276</v>
      </c>
      <c r="DQ287" s="1356">
        <f>SUM(DQ280:DQ286)</f>
        <v>294.47756167509993</v>
      </c>
      <c r="DR287" s="1356">
        <f ca="1">SUM(DR280:DR286)</f>
        <v>454.17616657590776</v>
      </c>
      <c r="DS287" s="1356">
        <f ca="1">SUM(DS280:DS286)</f>
        <v>3826.2777428113009</v>
      </c>
      <c r="DT287" s="1801">
        <f ca="1">SUM(DT280:DT286)</f>
        <v>3543.8424619205653</v>
      </c>
      <c r="DU287" s="1359">
        <f ca="1">SUM(DU285:DU286)</f>
        <v>3202.8645281665472</v>
      </c>
      <c r="DV287" s="1356">
        <f ca="1">SUM(DV280:DV286)</f>
        <v>1666.4327106411806</v>
      </c>
      <c r="DW287" s="1356">
        <f ca="1">SUM(DW280:DW286)</f>
        <v>380.67649624558823</v>
      </c>
      <c r="DX287" s="1356">
        <f ca="1">SUM(DX280:DX286)</f>
        <v>3915.4161972908714</v>
      </c>
      <c r="DY287" s="1801">
        <f ca="1">SUM(DY280:DY286)</f>
        <v>3881.4854055959404</v>
      </c>
      <c r="DZ287" s="1359">
        <f ca="1">SUM(DZ285:DZ286)</f>
        <v>3976.2846991085744</v>
      </c>
      <c r="EA287" s="1356">
        <f ca="1">SUM(EA280:EA286)</f>
        <v>2387.9168282006112</v>
      </c>
      <c r="EB287" s="1356">
        <f ca="1">SUM(EB280:EB286)</f>
        <v>751.91521660717046</v>
      </c>
      <c r="EC287" s="1356">
        <f ca="1">SUM(EC280:EC286)</f>
        <v>4340.4917243049185</v>
      </c>
      <c r="ED287" s="1801">
        <f ca="1">SUM(ED280:ED286)</f>
        <v>3569.447223632294</v>
      </c>
      <c r="EE287" s="1359">
        <f ca="1">SUM(EE285:EE286)</f>
        <v>4537.4431590408876</v>
      </c>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row>
    <row r="288" spans="2:232" s="54" customFormat="1">
      <c r="B288" s="64"/>
      <c r="E288" s="64"/>
      <c r="F288" s="465"/>
      <c r="G288" s="465"/>
      <c r="H288" s="465"/>
      <c r="I288" s="465"/>
      <c r="J288" s="465"/>
      <c r="K288" s="465"/>
      <c r="L288" s="465"/>
      <c r="M288" s="465"/>
      <c r="N288" s="465"/>
      <c r="O288" s="465"/>
      <c r="P288" s="465"/>
      <c r="Q288" s="465"/>
      <c r="R288" s="465"/>
      <c r="S288" s="465"/>
      <c r="T288" s="465"/>
      <c r="U288" s="465"/>
      <c r="V288" s="465"/>
      <c r="W288" s="465"/>
      <c r="X288" s="465"/>
      <c r="Y288" s="465"/>
      <c r="Z288" s="465"/>
      <c r="AA288" s="465"/>
      <c r="AB288" s="465"/>
      <c r="AC288" s="465"/>
      <c r="AD288" s="465"/>
      <c r="AE288" s="465"/>
      <c r="AF288" s="465"/>
      <c r="AG288" s="465"/>
      <c r="AH288" s="465"/>
      <c r="AI288" s="465"/>
      <c r="AJ288" s="465"/>
      <c r="AK288" s="465"/>
      <c r="AL288" s="465"/>
      <c r="AM288" s="465"/>
      <c r="AN288" s="465"/>
      <c r="AO288" s="465"/>
      <c r="AP288" s="465"/>
      <c r="AQ288" s="465"/>
      <c r="AR288" s="465"/>
      <c r="AS288" s="465"/>
      <c r="AT288" s="465"/>
      <c r="AU288" s="465"/>
      <c r="AV288" s="465"/>
      <c r="AW288" s="465"/>
      <c r="AX288" s="465"/>
      <c r="AY288" s="465"/>
      <c r="AZ288" s="465"/>
      <c r="BA288" s="465"/>
      <c r="BB288" s="465"/>
      <c r="BC288" s="465"/>
      <c r="BD288" s="465"/>
      <c r="BE288" s="465"/>
      <c r="BF288" s="465"/>
      <c r="BG288" s="465"/>
      <c r="BH288" s="471"/>
      <c r="BI288" s="471"/>
      <c r="BJ288" s="471"/>
      <c r="BK288" s="471"/>
      <c r="BL288" s="471"/>
      <c r="BM288" s="471"/>
      <c r="BN288" s="471"/>
      <c r="BO288" s="471"/>
      <c r="BP288" s="471"/>
      <c r="BQ288" s="471"/>
      <c r="BR288" s="471"/>
      <c r="BS288" s="465"/>
      <c r="BT288" s="465"/>
      <c r="BU288" s="465"/>
      <c r="BV288" s="465"/>
      <c r="BW288" s="471"/>
      <c r="BX288" s="465"/>
      <c r="BY288" s="465"/>
      <c r="BZ288" s="465"/>
      <c r="CA288" s="465"/>
      <c r="CB288" s="471"/>
      <c r="CC288" s="465"/>
      <c r="CD288" s="465"/>
      <c r="CE288" s="465"/>
      <c r="CF288" s="465"/>
      <c r="CG288" s="471"/>
      <c r="CH288" s="465"/>
      <c r="CI288" s="465"/>
      <c r="CJ288" s="465"/>
      <c r="CK288" s="465"/>
      <c r="CL288" s="471"/>
      <c r="CM288" s="465"/>
      <c r="CN288" s="465"/>
      <c r="CO288" s="465"/>
      <c r="CP288" s="465"/>
      <c r="CQ288" s="471"/>
      <c r="CR288" s="465"/>
      <c r="CS288" s="465"/>
      <c r="CT288" s="465"/>
      <c r="CU288" s="465"/>
      <c r="CV288" s="471"/>
      <c r="CW288" s="465"/>
      <c r="CX288" s="465"/>
      <c r="CY288" s="465"/>
      <c r="CZ288" s="465"/>
      <c r="DA288" s="471"/>
      <c r="DB288" s="465"/>
      <c r="DC288" s="465"/>
      <c r="DD288" s="465"/>
      <c r="DE288" s="465"/>
      <c r="DF288" s="471"/>
      <c r="DG288" s="465"/>
      <c r="DH288" s="465"/>
      <c r="DI288" s="465"/>
      <c r="DJ288" s="465"/>
      <c r="DK288" s="776"/>
      <c r="DL288" s="471"/>
      <c r="DM288" s="471"/>
      <c r="DN288" s="471"/>
      <c r="DO288" s="2261"/>
      <c r="DP288" s="471"/>
      <c r="DQ288" s="471"/>
      <c r="DR288" s="471"/>
      <c r="DS288" s="471"/>
      <c r="DT288" s="471"/>
      <c r="DU288" s="471"/>
      <c r="DV288" s="471"/>
      <c r="DW288" s="471"/>
      <c r="DX288" s="471"/>
      <c r="DY288" s="471"/>
      <c r="DZ288" s="471"/>
      <c r="EA288" s="471"/>
      <c r="EB288" s="471"/>
      <c r="EC288" s="471"/>
      <c r="ED288" s="471"/>
      <c r="EE288" s="471"/>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row>
    <row r="289" spans="2:232" s="54" customFormat="1" ht="11.25" customHeight="1" outlineLevel="1">
      <c r="B289" s="438" t="s">
        <v>8</v>
      </c>
      <c r="F289" s="465">
        <f>F370</f>
        <v>218.34800000000001</v>
      </c>
      <c r="G289" s="465">
        <f>G370</f>
        <v>338.51099999999946</v>
      </c>
      <c r="H289" s="465">
        <f>H370</f>
        <v>306.87699999999967</v>
      </c>
      <c r="I289" s="465">
        <f>I370</f>
        <v>355.44399999999973</v>
      </c>
      <c r="J289" s="465">
        <f>J370</f>
        <v>344.95299999999969</v>
      </c>
      <c r="K289" s="465"/>
      <c r="L289" s="465"/>
      <c r="M289" s="465"/>
      <c r="N289" s="465"/>
      <c r="O289" s="465">
        <f>O370</f>
        <v>415.35499999999922</v>
      </c>
      <c r="P289" s="465"/>
      <c r="Q289" s="465"/>
      <c r="R289" s="465"/>
      <c r="S289" s="465"/>
      <c r="T289" s="465">
        <f>T370</f>
        <v>666.84199999999942</v>
      </c>
      <c r="U289" s="465"/>
      <c r="V289" s="465"/>
      <c r="W289" s="465"/>
      <c r="X289" s="465"/>
      <c r="Y289" s="465">
        <f>Y370</f>
        <v>617.66500000000019</v>
      </c>
      <c r="Z289" s="465"/>
      <c r="AA289" s="465"/>
      <c r="AB289" s="465"/>
      <c r="AC289" s="465"/>
      <c r="AD289" s="465">
        <f>AD370</f>
        <v>651.99999999999875</v>
      </c>
      <c r="AE289" s="465"/>
      <c r="AF289" s="465"/>
      <c r="AG289" s="465"/>
      <c r="AH289" s="465"/>
      <c r="AI289" s="465">
        <f>AI370</f>
        <v>989.3</v>
      </c>
      <c r="AJ289" s="465"/>
      <c r="AK289" s="465"/>
      <c r="AL289" s="465"/>
      <c r="AM289" s="465"/>
      <c r="AN289" s="465">
        <f>AN370</f>
        <v>719.19999999999823</v>
      </c>
      <c r="AO289" s="465"/>
      <c r="AP289" s="465"/>
      <c r="AQ289" s="465"/>
      <c r="AR289" s="465"/>
      <c r="AS289" s="465">
        <f>AS370</f>
        <v>1711.8000000000002</v>
      </c>
      <c r="AT289" s="465"/>
      <c r="AU289" s="465"/>
      <c r="AV289" s="465"/>
      <c r="AW289" s="465"/>
      <c r="AX289" s="465">
        <f>AX370</f>
        <v>1502.6000000000013</v>
      </c>
      <c r="AY289" s="465"/>
      <c r="AZ289" s="465"/>
      <c r="BA289" s="465"/>
      <c r="BB289" s="465"/>
      <c r="BC289" s="465">
        <f>BC370</f>
        <v>1644.0000004359281</v>
      </c>
      <c r="BD289" s="465"/>
      <c r="BE289" s="465"/>
      <c r="BF289" s="465"/>
      <c r="BG289" s="465"/>
      <c r="BH289" s="465">
        <f>BH370</f>
        <v>1371.2440000000001</v>
      </c>
      <c r="BI289" s="465"/>
      <c r="BJ289" s="465"/>
      <c r="BK289" s="465"/>
      <c r="BL289" s="465"/>
      <c r="BM289" s="465">
        <f>BM370</f>
        <v>2695.1000000000058</v>
      </c>
      <c r="BN289" s="465"/>
      <c r="BO289" s="465"/>
      <c r="BP289" s="465"/>
      <c r="BQ289" s="465"/>
      <c r="BR289" s="465">
        <f t="shared" ref="BR289:CV289" si="711">BR370</f>
        <v>2356.4999999999932</v>
      </c>
      <c r="BS289" s="465">
        <f t="shared" si="711"/>
        <v>339</v>
      </c>
      <c r="BT289" s="465">
        <f t="shared" si="711"/>
        <v>1167.1000000000001</v>
      </c>
      <c r="BU289" s="465">
        <f t="shared" si="711"/>
        <v>984.9</v>
      </c>
      <c r="BV289" s="465">
        <f t="shared" si="711"/>
        <v>461.69999999999976</v>
      </c>
      <c r="BW289" s="465">
        <f t="shared" si="711"/>
        <v>3039</v>
      </c>
      <c r="BX289" s="465">
        <f t="shared" si="711"/>
        <v>312</v>
      </c>
      <c r="BY289" s="465">
        <f t="shared" si="711"/>
        <v>1428</v>
      </c>
      <c r="BZ289" s="465">
        <f t="shared" si="711"/>
        <v>1519</v>
      </c>
      <c r="CA289" s="465">
        <f t="shared" si="711"/>
        <v>852</v>
      </c>
      <c r="CB289" s="465">
        <f t="shared" si="711"/>
        <v>4111</v>
      </c>
      <c r="CC289" s="465">
        <f t="shared" si="711"/>
        <v>1168</v>
      </c>
      <c r="CD289" s="465">
        <f t="shared" si="711"/>
        <v>595</v>
      </c>
      <c r="CE289" s="465">
        <f t="shared" si="711"/>
        <v>1056</v>
      </c>
      <c r="CF289" s="465">
        <f t="shared" si="711"/>
        <v>925</v>
      </c>
      <c r="CG289" s="465">
        <f t="shared" si="711"/>
        <v>3744</v>
      </c>
      <c r="CH289" s="465">
        <f t="shared" si="711"/>
        <v>1165</v>
      </c>
      <c r="CI289" s="465">
        <f t="shared" si="711"/>
        <v>886</v>
      </c>
      <c r="CJ289" s="465">
        <f t="shared" si="711"/>
        <v>1230</v>
      </c>
      <c r="CK289" s="465">
        <f t="shared" si="711"/>
        <v>362</v>
      </c>
      <c r="CL289" s="465">
        <f t="shared" si="711"/>
        <v>3643</v>
      </c>
      <c r="CM289" s="465">
        <f t="shared" si="711"/>
        <v>809</v>
      </c>
      <c r="CN289" s="465">
        <f t="shared" si="711"/>
        <v>1007</v>
      </c>
      <c r="CO289" s="465">
        <f t="shared" si="711"/>
        <v>1847</v>
      </c>
      <c r="CP289" s="465">
        <f t="shared" si="711"/>
        <v>768</v>
      </c>
      <c r="CQ289" s="465">
        <f t="shared" si="711"/>
        <v>4431</v>
      </c>
      <c r="CR289" s="465">
        <f t="shared" si="711"/>
        <v>601</v>
      </c>
      <c r="CS289" s="465">
        <f t="shared" si="711"/>
        <v>1198</v>
      </c>
      <c r="CT289" s="465">
        <f t="shared" si="711"/>
        <v>1379</v>
      </c>
      <c r="CU289" s="465">
        <f t="shared" si="711"/>
        <v>1123</v>
      </c>
      <c r="CV289" s="465">
        <f t="shared" si="711"/>
        <v>4301</v>
      </c>
      <c r="CW289" s="465">
        <f t="shared" ref="CW289:DF289" si="712">CW370</f>
        <v>133</v>
      </c>
      <c r="CX289" s="465">
        <f t="shared" si="712"/>
        <v>1104</v>
      </c>
      <c r="CY289" s="465">
        <f t="shared" si="712"/>
        <v>1272</v>
      </c>
      <c r="CZ289" s="465">
        <f t="shared" si="712"/>
        <v>1384</v>
      </c>
      <c r="DA289" s="471">
        <f t="shared" si="712"/>
        <v>3893</v>
      </c>
      <c r="DB289" s="465">
        <f t="shared" si="712"/>
        <v>1009</v>
      </c>
      <c r="DC289" s="465">
        <f t="shared" si="712"/>
        <v>1328</v>
      </c>
      <c r="DD289" s="465">
        <f t="shared" si="712"/>
        <v>1822</v>
      </c>
      <c r="DE289" s="465">
        <f>DE370</f>
        <v>1505</v>
      </c>
      <c r="DF289" s="465">
        <f t="shared" si="712"/>
        <v>5664</v>
      </c>
      <c r="DG289" s="465">
        <f t="shared" ref="DG289:DU289" si="713">DG370</f>
        <v>732</v>
      </c>
      <c r="DH289" s="465">
        <f t="shared" si="713"/>
        <v>2353</v>
      </c>
      <c r="DI289" s="465">
        <f t="shared" si="713"/>
        <v>2104</v>
      </c>
      <c r="DJ289" s="465">
        <f t="shared" ref="DJ289" si="714">DJ370</f>
        <v>2658</v>
      </c>
      <c r="DK289" s="776">
        <f t="shared" si="713"/>
        <v>7847</v>
      </c>
      <c r="DL289" s="471">
        <f t="shared" si="713"/>
        <v>525</v>
      </c>
      <c r="DM289" s="471">
        <f t="shared" ref="DM289" si="715">DM370</f>
        <v>2857</v>
      </c>
      <c r="DN289" s="471">
        <f t="shared" si="713"/>
        <v>1855</v>
      </c>
      <c r="DO289" s="2261">
        <f t="shared" ref="DO289:DQ289" si="716">DO370</f>
        <v>2014</v>
      </c>
      <c r="DP289" s="465">
        <f t="shared" si="713"/>
        <v>7251</v>
      </c>
      <c r="DQ289" s="471">
        <f t="shared" si="716"/>
        <v>961</v>
      </c>
      <c r="DR289" s="471">
        <f t="shared" ca="1" si="713"/>
        <v>701.36724090358985</v>
      </c>
      <c r="DS289" s="471">
        <f t="shared" ca="1" si="713"/>
        <v>2385.4256122558036</v>
      </c>
      <c r="DT289" s="471">
        <f t="shared" ca="1" si="713"/>
        <v>2425.843987655142</v>
      </c>
      <c r="DU289" s="465">
        <f t="shared" ca="1" si="713"/>
        <v>6473.6368408145345</v>
      </c>
      <c r="DV289" s="471">
        <f t="shared" ref="DV289:DZ289" ca="1" si="717">DV370</f>
        <v>1423.9151001502939</v>
      </c>
      <c r="DW289" s="471">
        <f t="shared" ca="1" si="717"/>
        <v>691.30562548989565</v>
      </c>
      <c r="DX289" s="471">
        <f t="shared" ca="1" si="717"/>
        <v>2452.8135267540924</v>
      </c>
      <c r="DY289" s="471">
        <f t="shared" ca="1" si="717"/>
        <v>2611.8213036573256</v>
      </c>
      <c r="DZ289" s="465">
        <f t="shared" ca="1" si="717"/>
        <v>7179.8555560516079</v>
      </c>
      <c r="EA289" s="471">
        <f t="shared" ref="EA289:EE289" ca="1" si="718">EA370</f>
        <v>1803.2491966964155</v>
      </c>
      <c r="EB289" s="471">
        <f t="shared" ca="1" si="718"/>
        <v>893.44642485172699</v>
      </c>
      <c r="EC289" s="471">
        <f t="shared" ca="1" si="718"/>
        <v>2681.8221388567899</v>
      </c>
      <c r="ED289" s="471">
        <f t="shared" ca="1" si="718"/>
        <v>2475.426902685811</v>
      </c>
      <c r="EE289" s="465">
        <f t="shared" ca="1" si="718"/>
        <v>7853.9446630907441</v>
      </c>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row>
    <row r="290" spans="2:232" s="54" customFormat="1" ht="11.25" customHeight="1" outlineLevel="1">
      <c r="B290" s="438" t="s">
        <v>93</v>
      </c>
      <c r="F290" s="465">
        <f>Model!F33</f>
        <v>194.965</v>
      </c>
      <c r="G290" s="465">
        <f>Model!G33</f>
        <v>220.62799999999947</v>
      </c>
      <c r="H290" s="465">
        <f>Model!H33</f>
        <v>221.66599999999971</v>
      </c>
      <c r="I290" s="465">
        <f>Model!I33</f>
        <v>281.92899999999969</v>
      </c>
      <c r="J290" s="465">
        <f>Model!J33</f>
        <v>320.79099999999971</v>
      </c>
      <c r="K290" s="465"/>
      <c r="L290" s="465"/>
      <c r="M290" s="465"/>
      <c r="N290" s="465"/>
      <c r="O290" s="465">
        <f>Model!O33</f>
        <v>375.84799999999916</v>
      </c>
      <c r="P290" s="465"/>
      <c r="Q290" s="465"/>
      <c r="R290" s="465"/>
      <c r="S290" s="465"/>
      <c r="T290" s="465">
        <f>Model!T33</f>
        <v>453.00699999999949</v>
      </c>
      <c r="U290" s="465"/>
      <c r="V290" s="465"/>
      <c r="W290" s="465"/>
      <c r="X290" s="465"/>
      <c r="Y290" s="465">
        <f>Model!Y33</f>
        <v>557.29300000000012</v>
      </c>
      <c r="Z290" s="465"/>
      <c r="AA290" s="465"/>
      <c r="AB290" s="465"/>
      <c r="AC290" s="465"/>
      <c r="AD290" s="465">
        <f>Model!AD33</f>
        <v>624.09999999999877</v>
      </c>
      <c r="AE290" s="465"/>
      <c r="AF290" s="465"/>
      <c r="AG290" s="465"/>
      <c r="AH290" s="465"/>
      <c r="AI290" s="465">
        <f>Model!AI33</f>
        <v>794.50000000000023</v>
      </c>
      <c r="AJ290" s="465"/>
      <c r="AK290" s="465"/>
      <c r="AL290" s="465"/>
      <c r="AM290" s="465"/>
      <c r="AN290" s="465">
        <f>Model!AN33</f>
        <v>885.5999999999982</v>
      </c>
      <c r="AO290" s="465"/>
      <c r="AP290" s="465"/>
      <c r="AQ290" s="465"/>
      <c r="AR290" s="465"/>
      <c r="AS290" s="465">
        <f>Model!AS33</f>
        <v>1008.1000000000001</v>
      </c>
      <c r="AT290" s="465"/>
      <c r="AU290" s="465"/>
      <c r="AV290" s="465"/>
      <c r="AW290" s="465"/>
      <c r="AX290" s="465">
        <f>Model!AX33</f>
        <v>1165.100000000001</v>
      </c>
      <c r="AY290" s="465"/>
      <c r="AZ290" s="465"/>
      <c r="BA290" s="465"/>
      <c r="BB290" s="465"/>
      <c r="BC290" s="465">
        <f>Model!BC33</f>
        <v>1349.8000004359283</v>
      </c>
      <c r="BD290" s="465"/>
      <c r="BE290" s="465"/>
      <c r="BF290" s="465"/>
      <c r="BG290" s="465"/>
      <c r="BH290" s="465">
        <f>Model!BH33</f>
        <v>1559.5</v>
      </c>
      <c r="BI290" s="465"/>
      <c r="BJ290" s="465"/>
      <c r="BK290" s="465"/>
      <c r="BL290" s="465"/>
      <c r="BM290" s="465">
        <f>Model!BM33</f>
        <v>1750.6000000000054</v>
      </c>
      <c r="BN290" s="465"/>
      <c r="BO290" s="465"/>
      <c r="BP290" s="465"/>
      <c r="BQ290" s="465"/>
      <c r="BR290" s="465">
        <f>Model!BR33</f>
        <v>2041.0999999999935</v>
      </c>
      <c r="BS290" s="465">
        <f>Model!BS33</f>
        <v>455.59999999999962</v>
      </c>
      <c r="BT290" s="465">
        <f>Model!BT33</f>
        <v>685.30000000000041</v>
      </c>
      <c r="BU290" s="465">
        <f>Model!BU33</f>
        <v>573.20000000000073</v>
      </c>
      <c r="BV290" s="465">
        <f>Model!BV33</f>
        <v>443.3310000000003</v>
      </c>
      <c r="BW290" s="465">
        <f>Model!BW33</f>
        <v>2028.5299999999947</v>
      </c>
      <c r="BX290" s="465">
        <f>Model!BX33</f>
        <v>408</v>
      </c>
      <c r="BY290" s="465">
        <f>Model!BY33</f>
        <v>640</v>
      </c>
      <c r="BZ290" s="465">
        <f>Model!BZ33</f>
        <v>522</v>
      </c>
      <c r="CA290" s="465">
        <f>Model!CA33</f>
        <v>436</v>
      </c>
      <c r="CB290" s="465">
        <f>Model!CB33</f>
        <v>2006</v>
      </c>
      <c r="CC290" s="465">
        <f>Model!CC33</f>
        <v>489</v>
      </c>
      <c r="CD290" s="465">
        <f>Model!CD33</f>
        <v>669</v>
      </c>
      <c r="CE290" s="465">
        <f>Model!CE33</f>
        <v>463</v>
      </c>
      <c r="CF290" s="465">
        <f>Model!CF33</f>
        <v>470</v>
      </c>
      <c r="CG290" s="465">
        <f>Model!CG33</f>
        <v>2091</v>
      </c>
      <c r="CH290" s="465">
        <f>Model!CH33</f>
        <v>580</v>
      </c>
      <c r="CI290" s="465">
        <f>Model!CI33</f>
        <v>739</v>
      </c>
      <c r="CJ290" s="465">
        <f>Model!CJ33</f>
        <v>603</v>
      </c>
      <c r="CK290" s="465">
        <f>Model!CK33</f>
        <v>792</v>
      </c>
      <c r="CL290" s="465">
        <f>Model!CL33</f>
        <v>2714</v>
      </c>
      <c r="CM290" s="465">
        <f>Model!CM33</f>
        <v>554</v>
      </c>
      <c r="CN290" s="465">
        <f>Model!CN33</f>
        <v>683</v>
      </c>
      <c r="CO290" s="465">
        <f>Model!CO33</f>
        <v>537</v>
      </c>
      <c r="CP290" s="465">
        <f>Model!CP33</f>
        <v>353</v>
      </c>
      <c r="CQ290" s="465">
        <f>Model!CQ33</f>
        <v>2127</v>
      </c>
      <c r="CR290" s="465">
        <f>Model!CR33</f>
        <v>413</v>
      </c>
      <c r="CS290" s="465">
        <f>Model!CS33</f>
        <v>756</v>
      </c>
      <c r="CT290" s="465">
        <f>Model!CT33</f>
        <v>624</v>
      </c>
      <c r="CU290" s="465">
        <f>Model!CU33</f>
        <v>657</v>
      </c>
      <c r="CV290" s="465">
        <f>Model!CV33</f>
        <v>2450</v>
      </c>
      <c r="CW290" s="465">
        <f>Model!CW33</f>
        <v>695</v>
      </c>
      <c r="CX290" s="465">
        <f>Model!CX33</f>
        <v>754</v>
      </c>
      <c r="CY290" s="465">
        <f>Model!CY33</f>
        <v>722</v>
      </c>
      <c r="CZ290" s="465">
        <f>Model!CZ33</f>
        <v>-239</v>
      </c>
      <c r="DA290" s="471">
        <f>Model!DA33</f>
        <v>1932</v>
      </c>
      <c r="DB290" s="465">
        <f>Model!DB33</f>
        <v>850</v>
      </c>
      <c r="DC290" s="465">
        <f>Model!DC33</f>
        <v>2042</v>
      </c>
      <c r="DD290" s="465">
        <f>Model!DD33</f>
        <v>1302</v>
      </c>
      <c r="DE290" s="465">
        <f>Model!DE33</f>
        <v>26</v>
      </c>
      <c r="DF290" s="465">
        <f>Model!DF33</f>
        <v>4220</v>
      </c>
      <c r="DG290" s="465">
        <f>Model!DG33</f>
        <v>1110</v>
      </c>
      <c r="DH290" s="465">
        <f>Model!DH33</f>
        <v>930</v>
      </c>
      <c r="DI290" s="465">
        <f>Model!DI33</f>
        <v>1103</v>
      </c>
      <c r="DJ290" s="465">
        <f>Model!DJ33</f>
        <v>1030</v>
      </c>
      <c r="DK290" s="776">
        <f>Model!DK33</f>
        <v>4173</v>
      </c>
      <c r="DL290" s="471">
        <f>Model!DL33</f>
        <v>1054</v>
      </c>
      <c r="DM290" s="471">
        <f>Model!DM33</f>
        <v>1060</v>
      </c>
      <c r="DN290" s="471">
        <f>Model!DN33</f>
        <v>1162</v>
      </c>
      <c r="DO290" s="2261">
        <f>Model!DO33</f>
        <v>802</v>
      </c>
      <c r="DP290" s="465">
        <f>Model!DP33</f>
        <v>4078</v>
      </c>
      <c r="DQ290" s="471">
        <f>Model!DQ33</f>
        <v>821</v>
      </c>
      <c r="DR290" s="471">
        <f ca="1">Model!DR33</f>
        <v>1263.5332926178476</v>
      </c>
      <c r="DS290" s="471">
        <f ca="1">Model!DS33</f>
        <v>1219.6660997368494</v>
      </c>
      <c r="DT290" s="471">
        <f ca="1">Model!DT33</f>
        <v>1214.0770615493066</v>
      </c>
      <c r="DU290" s="465">
        <f ca="1">Model!DU33</f>
        <v>4518.2764539040145</v>
      </c>
      <c r="DV290" s="471">
        <f ca="1">Model!DV33</f>
        <v>1111.2215331997111</v>
      </c>
      <c r="DW290" s="471">
        <f ca="1">Model!DW33</f>
        <v>1370.1539374137217</v>
      </c>
      <c r="DX290" s="471">
        <f ca="1">Model!DX33</f>
        <v>1388.9720796763213</v>
      </c>
      <c r="DY290" s="471">
        <f ca="1">Model!DY33</f>
        <v>1419.997229414048</v>
      </c>
      <c r="DZ290" s="465">
        <f ca="1">Model!DZ33</f>
        <v>5290.3447797037807</v>
      </c>
      <c r="EA290" s="471">
        <f ca="1">Model!EA33</f>
        <v>1332.2795027976138</v>
      </c>
      <c r="EB290" s="471">
        <f ca="1">Model!EB33</f>
        <v>1569.3919307136096</v>
      </c>
      <c r="EC290" s="471">
        <f ca="1">Model!EC33</f>
        <v>1602.5147830979533</v>
      </c>
      <c r="ED290" s="471">
        <f ca="1">Model!ED33</f>
        <v>1636.4598763867712</v>
      </c>
      <c r="EE290" s="465">
        <f ca="1">Model!EE33</f>
        <v>6140.6460929959612</v>
      </c>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row>
    <row r="291" spans="2:232" s="54" customFormat="1" ht="11.25" customHeight="1" outlineLevel="1">
      <c r="B291" s="480" t="s">
        <v>94</v>
      </c>
      <c r="F291" s="481">
        <f>F289/F290</f>
        <v>1.1199343471905214</v>
      </c>
      <c r="G291" s="481">
        <f>G289/G290</f>
        <v>1.5343066156607514</v>
      </c>
      <c r="H291" s="481">
        <f>H289/H290</f>
        <v>1.3844116824411505</v>
      </c>
      <c r="I291" s="481">
        <f>I289/I290</f>
        <v>1.2607571409823044</v>
      </c>
      <c r="J291" s="481">
        <f>J289/J290</f>
        <v>1.0753200682064024</v>
      </c>
      <c r="K291" s="481"/>
      <c r="L291" s="481"/>
      <c r="M291" s="481"/>
      <c r="N291" s="481"/>
      <c r="O291" s="481">
        <f>O289/O290</f>
        <v>1.1051143015261493</v>
      </c>
      <c r="P291" s="481"/>
      <c r="Q291" s="481"/>
      <c r="R291" s="481"/>
      <c r="S291" s="481"/>
      <c r="T291" s="481">
        <f>T289/T290</f>
        <v>1.4720346484712161</v>
      </c>
      <c r="U291" s="481"/>
      <c r="V291" s="481"/>
      <c r="W291" s="481"/>
      <c r="X291" s="481"/>
      <c r="Y291" s="481">
        <f>Y289/Y290</f>
        <v>1.1083308062365758</v>
      </c>
      <c r="Z291" s="481"/>
      <c r="AA291" s="481"/>
      <c r="AB291" s="481"/>
      <c r="AC291" s="481"/>
      <c r="AD291" s="481">
        <f>AD289/AD290</f>
        <v>1.0447043742989905</v>
      </c>
      <c r="AE291" s="481"/>
      <c r="AF291" s="481"/>
      <c r="AG291" s="481"/>
      <c r="AH291" s="481"/>
      <c r="AI291" s="481">
        <f>AI289/AI290</f>
        <v>1.2451856513530519</v>
      </c>
      <c r="AJ291" s="481"/>
      <c r="AK291" s="481"/>
      <c r="AL291" s="481"/>
      <c r="AM291" s="481"/>
      <c r="AN291" s="481">
        <f>AN289/AN290</f>
        <v>0.81210478771454342</v>
      </c>
      <c r="AO291" s="481"/>
      <c r="AP291" s="481"/>
      <c r="AQ291" s="481"/>
      <c r="AR291" s="481"/>
      <c r="AS291" s="481">
        <f>AS289/AS290</f>
        <v>1.6980458287868267</v>
      </c>
      <c r="AT291" s="481"/>
      <c r="AU291" s="481"/>
      <c r="AV291" s="481"/>
      <c r="AW291" s="481"/>
      <c r="AX291" s="481">
        <f>AX289/AX290</f>
        <v>1.2896747060338167</v>
      </c>
      <c r="AY291" s="481"/>
      <c r="AZ291" s="481"/>
      <c r="BA291" s="481"/>
      <c r="BB291" s="481"/>
      <c r="BC291" s="481">
        <f>BC289/BC290</f>
        <v>1.2179582159616134</v>
      </c>
      <c r="BD291" s="481"/>
      <c r="BE291" s="481"/>
      <c r="BF291" s="481"/>
      <c r="BG291" s="481"/>
      <c r="BH291" s="481">
        <f>BH289/BH290</f>
        <v>0.87928438602116077</v>
      </c>
      <c r="BI291" s="481"/>
      <c r="BJ291" s="481"/>
      <c r="BK291" s="481"/>
      <c r="BL291" s="481"/>
      <c r="BM291" s="481">
        <f>BM289/BM290</f>
        <v>1.5395293042385454</v>
      </c>
      <c r="BN291" s="481"/>
      <c r="BO291" s="481"/>
      <c r="BP291" s="481"/>
      <c r="BQ291" s="481"/>
      <c r="BR291" s="481">
        <f t="shared" ref="BR291:CV291" si="719">BR289/BR290</f>
        <v>1.1545245210915687</v>
      </c>
      <c r="BS291" s="481">
        <f t="shared" si="719"/>
        <v>0.74407374890254674</v>
      </c>
      <c r="BT291" s="481">
        <f t="shared" si="719"/>
        <v>1.7030497592295337</v>
      </c>
      <c r="BU291" s="481">
        <f t="shared" si="719"/>
        <v>1.7182484298674088</v>
      </c>
      <c r="BV291" s="481">
        <f t="shared" si="719"/>
        <v>1.0414340526604262</v>
      </c>
      <c r="BW291" s="481">
        <f t="shared" si="719"/>
        <v>1.4981291871453752</v>
      </c>
      <c r="BX291" s="481">
        <f t="shared" si="719"/>
        <v>0.76470588235294112</v>
      </c>
      <c r="BY291" s="481">
        <f t="shared" si="719"/>
        <v>2.2312500000000002</v>
      </c>
      <c r="BZ291" s="481">
        <f t="shared" si="719"/>
        <v>2.9099616858237547</v>
      </c>
      <c r="CA291" s="481">
        <f t="shared" si="719"/>
        <v>1.9541284403669725</v>
      </c>
      <c r="CB291" s="481">
        <f t="shared" si="719"/>
        <v>2.0493519441674977</v>
      </c>
      <c r="CC291" s="481">
        <f t="shared" si="719"/>
        <v>2.3885480572597135</v>
      </c>
      <c r="CD291" s="481">
        <f t="shared" si="719"/>
        <v>0.88938714499252614</v>
      </c>
      <c r="CE291" s="481">
        <f t="shared" si="719"/>
        <v>2.2807775377969763</v>
      </c>
      <c r="CF291" s="481">
        <f t="shared" si="719"/>
        <v>1.9680851063829787</v>
      </c>
      <c r="CG291" s="481">
        <f t="shared" si="719"/>
        <v>1.7905308464849354</v>
      </c>
      <c r="CH291" s="481">
        <f t="shared" si="719"/>
        <v>2.0086206896551726</v>
      </c>
      <c r="CI291" s="481">
        <f t="shared" si="719"/>
        <v>1.1989174560216509</v>
      </c>
      <c r="CJ291" s="481">
        <f t="shared" si="719"/>
        <v>2.0398009950248754</v>
      </c>
      <c r="CK291" s="481">
        <f t="shared" si="719"/>
        <v>0.45707070707070707</v>
      </c>
      <c r="CL291" s="481">
        <f t="shared" si="719"/>
        <v>1.3422991893883567</v>
      </c>
      <c r="CM291" s="481">
        <f t="shared" si="719"/>
        <v>1.46028880866426</v>
      </c>
      <c r="CN291" s="481">
        <f t="shared" si="719"/>
        <v>1.4743777452415812</v>
      </c>
      <c r="CO291" s="481">
        <f t="shared" si="719"/>
        <v>3.4394785847299816</v>
      </c>
      <c r="CP291" s="481">
        <f t="shared" si="719"/>
        <v>2.1756373937677056</v>
      </c>
      <c r="CQ291" s="481">
        <f t="shared" si="719"/>
        <v>2.0832157968970382</v>
      </c>
      <c r="CR291" s="481">
        <f t="shared" si="719"/>
        <v>1.4552058111380146</v>
      </c>
      <c r="CS291" s="481">
        <f t="shared" si="719"/>
        <v>1.5846560846560847</v>
      </c>
      <c r="CT291" s="481">
        <f t="shared" si="719"/>
        <v>2.2099358974358974</v>
      </c>
      <c r="CU291" s="481">
        <f t="shared" si="719"/>
        <v>1.7092846270928463</v>
      </c>
      <c r="CV291" s="481">
        <f t="shared" si="719"/>
        <v>1.7555102040816326</v>
      </c>
      <c r="CW291" s="481">
        <f t="shared" ref="CW291:DF291" si="720">CW289/CW290</f>
        <v>0.19136690647482013</v>
      </c>
      <c r="CX291" s="481">
        <f t="shared" si="720"/>
        <v>1.4641909814323608</v>
      </c>
      <c r="CY291" s="481">
        <f t="shared" si="720"/>
        <v>1.7617728531855956</v>
      </c>
      <c r="CZ291" s="481">
        <f t="shared" si="720"/>
        <v>-5.7907949790794975</v>
      </c>
      <c r="DA291" s="482">
        <f t="shared" si="720"/>
        <v>2.0150103519668736</v>
      </c>
      <c r="DB291" s="481">
        <f t="shared" si="720"/>
        <v>1.1870588235294117</v>
      </c>
      <c r="DC291" s="481">
        <f t="shared" si="720"/>
        <v>0.65034280117531829</v>
      </c>
      <c r="DD291" s="481">
        <f t="shared" si="720"/>
        <v>1.3993855606758832</v>
      </c>
      <c r="DE291" s="481">
        <f>DE289/DE290</f>
        <v>57.884615384615387</v>
      </c>
      <c r="DF291" s="481">
        <f t="shared" si="720"/>
        <v>1.3421800947867299</v>
      </c>
      <c r="DG291" s="481">
        <f t="shared" ref="DG291:DU291" si="721">DG289/DG290</f>
        <v>0.6594594594594595</v>
      </c>
      <c r="DH291" s="481">
        <f t="shared" si="721"/>
        <v>2.5301075268817206</v>
      </c>
      <c r="DI291" s="481">
        <f t="shared" si="721"/>
        <v>1.9075249320036265</v>
      </c>
      <c r="DJ291" s="481">
        <f t="shared" ref="DJ291" si="722">DJ289/DJ290</f>
        <v>2.5805825242718448</v>
      </c>
      <c r="DK291" s="2064">
        <f t="shared" si="721"/>
        <v>1.8804217589264318</v>
      </c>
      <c r="DL291" s="482">
        <f t="shared" si="721"/>
        <v>0.49810246679316889</v>
      </c>
      <c r="DM291" s="482">
        <f t="shared" ref="DM291" si="723">DM289/DM290</f>
        <v>2.6952830188679244</v>
      </c>
      <c r="DN291" s="482">
        <f t="shared" si="721"/>
        <v>1.5963855421686748</v>
      </c>
      <c r="DO291" s="2282">
        <f t="shared" ref="DO291:DQ291" si="724">DO289/DO290</f>
        <v>2.5112219451371569</v>
      </c>
      <c r="DP291" s="481">
        <f t="shared" si="721"/>
        <v>1.7780774889651789</v>
      </c>
      <c r="DQ291" s="482">
        <f t="shared" si="724"/>
        <v>1.1705237515225335</v>
      </c>
      <c r="DR291" s="482">
        <f t="shared" ca="1" si="721"/>
        <v>0.55508410027761457</v>
      </c>
      <c r="DS291" s="482">
        <f t="shared" ca="1" si="721"/>
        <v>1.955802176325532</v>
      </c>
      <c r="DT291" s="482">
        <f t="shared" ca="1" si="721"/>
        <v>1.9980972085573192</v>
      </c>
      <c r="DU291" s="481">
        <f t="shared" ca="1" si="721"/>
        <v>1.4327668762324164</v>
      </c>
      <c r="DV291" s="482">
        <f t="shared" ref="DV291:DZ291" ca="1" si="725">DV289/DV290</f>
        <v>1.2813962451305243</v>
      </c>
      <c r="DW291" s="482">
        <f t="shared" ca="1" si="725"/>
        <v>0.50454595400776059</v>
      </c>
      <c r="DX291" s="482">
        <f t="shared" ca="1" si="725"/>
        <v>1.7659199653067779</v>
      </c>
      <c r="DY291" s="482">
        <f t="shared" ca="1" si="725"/>
        <v>1.8393143659407529</v>
      </c>
      <c r="DZ291" s="481">
        <f t="shared" ca="1" si="725"/>
        <v>1.3571621236477569</v>
      </c>
      <c r="EA291" s="482">
        <f t="shared" ref="EA291:EE291" ca="1" si="726">EA289/EA290</f>
        <v>1.353506672518662</v>
      </c>
      <c r="EB291" s="482">
        <f t="shared" ca="1" si="726"/>
        <v>0.56929464677792307</v>
      </c>
      <c r="EC291" s="482">
        <f t="shared" ca="1" si="726"/>
        <v>1.6735085174517632</v>
      </c>
      <c r="ED291" s="482">
        <f t="shared" ca="1" si="726"/>
        <v>1.5126719196754403</v>
      </c>
      <c r="EE291" s="481">
        <f t="shared" ca="1" si="726"/>
        <v>1.2790094957677134</v>
      </c>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row>
    <row r="292" spans="2:232" s="54" customFormat="1" ht="12" thickBot="1">
      <c r="F292" s="426"/>
      <c r="G292" s="426"/>
      <c r="H292" s="426"/>
      <c r="I292" s="426"/>
      <c r="J292" s="426"/>
      <c r="K292" s="426"/>
      <c r="L292" s="426"/>
      <c r="M292" s="426"/>
      <c r="N292" s="426"/>
      <c r="O292" s="426"/>
      <c r="P292" s="426"/>
      <c r="Q292" s="426"/>
      <c r="R292" s="426"/>
      <c r="S292" s="426"/>
      <c r="T292" s="426"/>
      <c r="U292" s="426"/>
      <c r="V292" s="426"/>
      <c r="W292" s="426"/>
      <c r="X292" s="426"/>
      <c r="Y292" s="426"/>
      <c r="Z292" s="426"/>
      <c r="AA292" s="426"/>
      <c r="AB292" s="426"/>
      <c r="AC292" s="426"/>
      <c r="AD292" s="426"/>
      <c r="AE292" s="426"/>
      <c r="AF292" s="426"/>
      <c r="AG292" s="426"/>
      <c r="AH292" s="426"/>
      <c r="AI292" s="426"/>
      <c r="AJ292" s="426"/>
      <c r="AK292" s="426"/>
      <c r="AL292" s="426"/>
      <c r="AM292" s="426"/>
      <c r="AN292" s="426"/>
      <c r="AO292" s="426"/>
      <c r="AP292" s="426"/>
      <c r="AQ292" s="426"/>
      <c r="AR292" s="426"/>
      <c r="AS292" s="426"/>
      <c r="AT292" s="426"/>
      <c r="AU292" s="426"/>
      <c r="AV292" s="426"/>
      <c r="AW292" s="426"/>
      <c r="AX292" s="426"/>
      <c r="AY292" s="426"/>
      <c r="AZ292" s="426"/>
      <c r="BA292" s="426"/>
      <c r="BB292" s="426"/>
      <c r="BC292" s="483"/>
      <c r="BD292" s="483"/>
      <c r="BE292" s="483"/>
      <c r="BF292" s="483"/>
      <c r="BG292" s="483"/>
      <c r="BH292" s="483"/>
      <c r="BI292" s="483"/>
      <c r="BJ292" s="483"/>
      <c r="BK292" s="483"/>
      <c r="BL292" s="483"/>
      <c r="BM292" s="483"/>
      <c r="BN292" s="483"/>
      <c r="BO292" s="483"/>
      <c r="BP292" s="483"/>
      <c r="BQ292" s="483"/>
      <c r="BR292" s="483"/>
      <c r="BS292" s="73"/>
      <c r="BT292" s="73"/>
      <c r="BU292" s="73"/>
      <c r="BV292" s="73"/>
      <c r="BW292" s="73"/>
      <c r="BX292" s="73"/>
      <c r="BY292" s="73"/>
      <c r="BZ292" s="73"/>
      <c r="CA292" s="73"/>
      <c r="CB292" s="73"/>
      <c r="CC292" s="73"/>
      <c r="CD292" s="73"/>
      <c r="CE292" s="73"/>
      <c r="CF292" s="73"/>
      <c r="CG292" s="73"/>
      <c r="CH292" s="73"/>
      <c r="CI292" s="73"/>
      <c r="CJ292" s="73"/>
      <c r="CK292" s="73"/>
      <c r="CL292" s="73"/>
      <c r="CM292" s="76"/>
      <c r="CN292" s="76"/>
      <c r="CO292" s="76"/>
      <c r="CP292" s="76"/>
      <c r="CQ292" s="73"/>
      <c r="CR292" s="76"/>
      <c r="CS292" s="76"/>
      <c r="CT292" s="76"/>
      <c r="CU292" s="76"/>
      <c r="CV292" s="1579"/>
      <c r="CW292" s="76"/>
      <c r="CX292" s="76"/>
      <c r="CY292" s="76"/>
      <c r="CZ292" s="76"/>
      <c r="DA292" s="1579"/>
      <c r="DB292" s="76"/>
      <c r="DC292" s="76"/>
      <c r="DD292" s="76"/>
      <c r="DE292" s="76"/>
      <c r="DF292" s="73"/>
      <c r="DG292" s="76"/>
      <c r="DH292" s="76"/>
      <c r="DI292" s="76"/>
      <c r="DJ292" s="76"/>
      <c r="DK292" s="777"/>
      <c r="DL292" s="73"/>
      <c r="DM292" s="73"/>
      <c r="DN292" s="73"/>
      <c r="DO292" s="2256"/>
      <c r="DP292" s="73"/>
      <c r="DQ292" s="73"/>
      <c r="DR292" s="73"/>
      <c r="DS292" s="73"/>
      <c r="DT292" s="73"/>
      <c r="DU292" s="73"/>
      <c r="DV292" s="73"/>
      <c r="DW292" s="73"/>
      <c r="DX292" s="73"/>
      <c r="DY292" s="73"/>
      <c r="DZ292" s="73"/>
      <c r="EA292" s="73"/>
      <c r="EB292" s="73"/>
      <c r="EC292" s="73"/>
      <c r="ED292" s="73"/>
      <c r="EE292" s="73"/>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row>
    <row r="293" spans="2:232" s="68" customFormat="1" ht="12" thickBot="1">
      <c r="B293" s="754" t="s">
        <v>351</v>
      </c>
      <c r="C293" s="684"/>
      <c r="D293" s="684"/>
      <c r="E293" s="684"/>
      <c r="F293" s="755"/>
      <c r="G293" s="755"/>
      <c r="H293" s="756"/>
      <c r="I293" s="755"/>
      <c r="J293" s="755"/>
      <c r="K293" s="755"/>
      <c r="L293" s="755"/>
      <c r="M293" s="755"/>
      <c r="N293" s="755"/>
      <c r="O293" s="755"/>
      <c r="P293" s="755"/>
      <c r="Q293" s="755"/>
      <c r="R293" s="755"/>
      <c r="S293" s="755"/>
      <c r="T293" s="757"/>
      <c r="U293" s="757"/>
      <c r="V293" s="757"/>
      <c r="W293" s="757"/>
      <c r="X293" s="757"/>
      <c r="Y293" s="757"/>
      <c r="Z293" s="757"/>
      <c r="AA293" s="757"/>
      <c r="AB293" s="757"/>
      <c r="AC293" s="757"/>
      <c r="AD293" s="757"/>
      <c r="AE293" s="757"/>
      <c r="AF293" s="757"/>
      <c r="AG293" s="757"/>
      <c r="AH293" s="757"/>
      <c r="AI293" s="757"/>
      <c r="AJ293" s="757"/>
      <c r="AK293" s="757"/>
      <c r="AL293" s="757"/>
      <c r="AM293" s="757"/>
      <c r="AN293" s="757"/>
      <c r="AO293" s="757"/>
      <c r="AP293" s="757"/>
      <c r="AQ293" s="757"/>
      <c r="AR293" s="757"/>
      <c r="AS293" s="755"/>
      <c r="AT293" s="755"/>
      <c r="AU293" s="755"/>
      <c r="AV293" s="755"/>
      <c r="AW293" s="755"/>
      <c r="AX293" s="755"/>
      <c r="AY293" s="755"/>
      <c r="AZ293" s="755"/>
      <c r="BA293" s="755"/>
      <c r="BB293" s="755"/>
      <c r="BC293" s="755"/>
      <c r="BD293" s="755"/>
      <c r="BE293" s="755"/>
      <c r="BF293" s="755"/>
      <c r="BG293" s="755"/>
      <c r="BH293" s="755"/>
      <c r="BI293" s="755"/>
      <c r="BJ293" s="755"/>
      <c r="BK293" s="755"/>
      <c r="BL293" s="755"/>
      <c r="BM293" s="755"/>
      <c r="BN293" s="755"/>
      <c r="BO293" s="755"/>
      <c r="BP293" s="755"/>
      <c r="BQ293" s="755"/>
      <c r="BR293" s="755"/>
      <c r="BS293" s="755"/>
      <c r="BT293" s="755"/>
      <c r="BU293" s="755"/>
      <c r="BV293" s="755"/>
      <c r="BW293" s="755"/>
      <c r="BX293" s="755"/>
      <c r="BY293" s="755"/>
      <c r="BZ293" s="755"/>
      <c r="CA293" s="755"/>
      <c r="CB293" s="755"/>
      <c r="CC293" s="755"/>
      <c r="CD293" s="755"/>
      <c r="CE293" s="755"/>
      <c r="CF293" s="755"/>
      <c r="CG293" s="755"/>
      <c r="CH293" s="755"/>
      <c r="CI293" s="755"/>
      <c r="CJ293" s="755"/>
      <c r="CK293" s="755"/>
      <c r="CL293" s="755"/>
      <c r="CM293" s="755"/>
      <c r="CN293" s="755"/>
      <c r="CO293" s="755"/>
      <c r="CP293" s="755"/>
      <c r="CQ293" s="755"/>
      <c r="CR293" s="755"/>
      <c r="CS293" s="755"/>
      <c r="CT293" s="755"/>
      <c r="CU293" s="755"/>
      <c r="CV293" s="755"/>
      <c r="CW293" s="755"/>
      <c r="CX293" s="755"/>
      <c r="CY293" s="755"/>
      <c r="CZ293" s="755"/>
      <c r="DA293" s="755"/>
      <c r="DB293" s="755"/>
      <c r="DC293" s="755"/>
      <c r="DD293" s="755"/>
      <c r="DE293" s="755"/>
      <c r="DF293" s="755"/>
      <c r="DG293" s="755"/>
      <c r="DH293" s="755"/>
      <c r="DI293" s="755"/>
      <c r="DJ293" s="755"/>
      <c r="DK293" s="938"/>
      <c r="DL293" s="755"/>
      <c r="DM293" s="755"/>
      <c r="DN293" s="755"/>
      <c r="DO293" s="758"/>
      <c r="DP293" s="758"/>
      <c r="DQ293" s="755"/>
      <c r="DR293" s="755"/>
      <c r="DS293" s="755"/>
      <c r="DT293" s="758"/>
      <c r="DU293" s="758"/>
      <c r="DV293" s="755"/>
      <c r="DW293" s="755"/>
      <c r="DX293" s="755"/>
      <c r="DY293" s="758"/>
      <c r="DZ293" s="758"/>
      <c r="EA293" s="755"/>
      <c r="EB293" s="755"/>
      <c r="EC293" s="755"/>
      <c r="ED293" s="758"/>
      <c r="EE293" s="758"/>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row>
    <row r="294" spans="2:232" s="54" customFormat="1">
      <c r="B294" s="899" t="s">
        <v>350</v>
      </c>
      <c r="C294" s="477"/>
      <c r="D294" s="477"/>
      <c r="E294" s="477"/>
      <c r="F294" s="479">
        <f>F382</f>
        <v>0</v>
      </c>
      <c r="G294" s="479">
        <f>G382</f>
        <v>0</v>
      </c>
      <c r="H294" s="479">
        <f>H382</f>
        <v>0</v>
      </c>
      <c r="I294" s="479">
        <f>I382</f>
        <v>0</v>
      </c>
      <c r="J294" s="479">
        <f>J382</f>
        <v>0</v>
      </c>
      <c r="K294" s="479"/>
      <c r="L294" s="479"/>
      <c r="M294" s="479"/>
      <c r="N294" s="479"/>
      <c r="O294" s="479">
        <f>O382</f>
        <v>0</v>
      </c>
      <c r="P294" s="479"/>
      <c r="Q294" s="479"/>
      <c r="R294" s="479"/>
      <c r="S294" s="479"/>
      <c r="T294" s="479">
        <f>T382</f>
        <v>0</v>
      </c>
      <c r="U294" s="479"/>
      <c r="V294" s="479"/>
      <c r="W294" s="479"/>
      <c r="X294" s="479"/>
      <c r="Y294" s="479">
        <f>Y382</f>
        <v>0</v>
      </c>
      <c r="Z294" s="479"/>
      <c r="AA294" s="479"/>
      <c r="AB294" s="479"/>
      <c r="AC294" s="479"/>
      <c r="AD294" s="479">
        <f>AD382</f>
        <v>0</v>
      </c>
      <c r="AE294" s="479"/>
      <c r="AF294" s="479"/>
      <c r="AG294" s="479"/>
      <c r="AH294" s="479"/>
      <c r="AI294" s="479">
        <f>AI382</f>
        <v>0</v>
      </c>
      <c r="AJ294" s="479"/>
      <c r="AK294" s="479"/>
      <c r="AL294" s="479"/>
      <c r="AM294" s="479"/>
      <c r="AN294" s="479">
        <f>AN382</f>
        <v>0</v>
      </c>
      <c r="AO294" s="479"/>
      <c r="AP294" s="479"/>
      <c r="AQ294" s="479"/>
      <c r="AR294" s="479"/>
      <c r="AS294" s="479">
        <f>AS382</f>
        <v>-25.4</v>
      </c>
      <c r="AT294" s="479"/>
      <c r="AU294" s="479"/>
      <c r="AV294" s="479"/>
      <c r="AW294" s="479"/>
      <c r="AX294" s="479">
        <f>AX382</f>
        <v>-149.19999999999999</v>
      </c>
      <c r="AY294" s="479"/>
      <c r="AZ294" s="479"/>
      <c r="BA294" s="479"/>
      <c r="BB294" s="479"/>
      <c r="BC294" s="479">
        <f>BC382</f>
        <v>-299.2</v>
      </c>
      <c r="BD294" s="479"/>
      <c r="BE294" s="479"/>
      <c r="BF294" s="479"/>
      <c r="BG294" s="479"/>
      <c r="BH294" s="479">
        <f>BH382</f>
        <v>-781.8</v>
      </c>
      <c r="BI294" s="479"/>
      <c r="BJ294" s="479"/>
      <c r="BK294" s="479"/>
      <c r="BL294" s="479"/>
      <c r="BM294" s="479">
        <f>BM382</f>
        <v>-668.8</v>
      </c>
      <c r="BN294" s="479"/>
      <c r="BO294" s="479"/>
      <c r="BP294" s="479"/>
      <c r="BQ294" s="479"/>
      <c r="BR294" s="479">
        <f>BR382</f>
        <v>-1063.5</v>
      </c>
      <c r="BS294" s="478"/>
      <c r="BT294" s="478"/>
      <c r="BU294" s="478"/>
      <c r="BV294" s="478"/>
      <c r="BW294" s="479">
        <f t="shared" ref="BW294:CE294" si="727">BW382</f>
        <v>-294</v>
      </c>
      <c r="BX294" s="1478">
        <f t="shared" si="727"/>
        <v>-99</v>
      </c>
      <c r="BY294" s="478">
        <f t="shared" si="727"/>
        <v>-41</v>
      </c>
      <c r="BZ294" s="478">
        <f t="shared" si="727"/>
        <v>0</v>
      </c>
      <c r="CA294" s="478">
        <f t="shared" si="727"/>
        <v>-140</v>
      </c>
      <c r="CB294" s="479">
        <f t="shared" si="727"/>
        <v>-280</v>
      </c>
      <c r="CC294" s="1478">
        <f t="shared" si="727"/>
        <v>-195</v>
      </c>
      <c r="CD294" s="478">
        <f t="shared" si="727"/>
        <v>-252</v>
      </c>
      <c r="CE294" s="478">
        <f t="shared" si="727"/>
        <v>-307</v>
      </c>
      <c r="CF294" s="1483">
        <f>-1756-SUM(CC294:CE294)</f>
        <v>-1002</v>
      </c>
      <c r="CG294" s="1479">
        <f>CG382</f>
        <v>-1756</v>
      </c>
      <c r="CH294" s="478">
        <v>-510</v>
      </c>
      <c r="CI294" s="478">
        <v>-375</v>
      </c>
      <c r="CJ294" s="478">
        <f>-1393-SUM(CH294:CI294)</f>
        <v>-508</v>
      </c>
      <c r="CK294" s="478">
        <f>-2028-SUM(CH294:CJ294)</f>
        <v>-635</v>
      </c>
      <c r="CL294" s="1357">
        <f>CL382</f>
        <v>-2028</v>
      </c>
      <c r="CM294" s="478">
        <v>-608</v>
      </c>
      <c r="CN294" s="725">
        <f>-1015-CM294</f>
        <v>-407</v>
      </c>
      <c r="CO294" s="725">
        <f>-1191-SUM(CM382:CN382)</f>
        <v>-176</v>
      </c>
      <c r="CP294" s="725">
        <f>CP382</f>
        <v>0</v>
      </c>
      <c r="CQ294" s="1357">
        <f>SUM(CM294:CP294)</f>
        <v>-1191</v>
      </c>
      <c r="CR294" s="1467">
        <f>CR382</f>
        <v>-50</v>
      </c>
      <c r="CS294" s="725">
        <f>CS382</f>
        <v>-66</v>
      </c>
      <c r="CT294" s="725">
        <f>CT382</f>
        <v>-451</v>
      </c>
      <c r="CU294" s="1562">
        <f>CU382</f>
        <v>-48</v>
      </c>
      <c r="CV294" s="1360">
        <f>SUM(CR294:CU294)</f>
        <v>-615</v>
      </c>
      <c r="CW294" s="1563">
        <f>CW382</f>
        <v>-205</v>
      </c>
      <c r="CX294" s="900">
        <f>CX382</f>
        <v>0</v>
      </c>
      <c r="CY294" s="900">
        <v>0</v>
      </c>
      <c r="CZ294" s="900">
        <v>0</v>
      </c>
      <c r="DA294" s="1360">
        <f>SUM(CW294:CZ294)</f>
        <v>-205</v>
      </c>
      <c r="DB294" s="1563">
        <f>DB382</f>
        <v>-500</v>
      </c>
      <c r="DC294" s="1563">
        <f>DC382</f>
        <v>-94</v>
      </c>
      <c r="DD294" s="1563">
        <f>DD382</f>
        <v>-237</v>
      </c>
      <c r="DE294" s="1563">
        <f>DE382</f>
        <v>-395</v>
      </c>
      <c r="DF294" s="1649">
        <f>SUM(DB294:DE294)</f>
        <v>-1226</v>
      </c>
      <c r="DG294" s="1563">
        <f>DG382</f>
        <v>-529</v>
      </c>
      <c r="DH294" s="1651">
        <f>DH382</f>
        <v>-623</v>
      </c>
      <c r="DI294" s="1651">
        <v>0</v>
      </c>
      <c r="DJ294" s="1651">
        <v>0</v>
      </c>
      <c r="DK294" s="1650">
        <f>SUM(DG294:DJ294)</f>
        <v>-1152</v>
      </c>
      <c r="DL294" s="2294">
        <v>0</v>
      </c>
      <c r="DM294" s="1651">
        <f>DM382</f>
        <v>-498</v>
      </c>
      <c r="DN294" s="1651">
        <f>DN382</f>
        <v>-1000</v>
      </c>
      <c r="DO294" s="2267">
        <f>DO382</f>
        <v>-3763</v>
      </c>
      <c r="DP294" s="2267">
        <f>SUM(DL294:DO294)</f>
        <v>-5261</v>
      </c>
      <c r="DQ294" s="1651">
        <f>DQ382</f>
        <v>32</v>
      </c>
      <c r="DR294" s="1651">
        <v>0</v>
      </c>
      <c r="DS294" s="1651">
        <v>0</v>
      </c>
      <c r="DT294" s="1651">
        <v>0</v>
      </c>
      <c r="DU294" s="1650">
        <f>SUM(DQ294:DT294)</f>
        <v>32</v>
      </c>
      <c r="DV294" s="1651">
        <v>-1000</v>
      </c>
      <c r="DW294" s="1651">
        <v>-1000</v>
      </c>
      <c r="DX294" s="1651">
        <v>-1000</v>
      </c>
      <c r="DY294" s="1651">
        <v>-1000</v>
      </c>
      <c r="DZ294" s="1650">
        <f>SUM(DV294:DY294)</f>
        <v>-4000</v>
      </c>
      <c r="EA294" s="1651">
        <v>-1000</v>
      </c>
      <c r="EB294" s="1651">
        <v>-1000</v>
      </c>
      <c r="EC294" s="1651">
        <v>-1000</v>
      </c>
      <c r="ED294" s="1651">
        <v>-1000</v>
      </c>
      <c r="EE294" s="1650">
        <f>SUM(EA294:ED294)</f>
        <v>-4000</v>
      </c>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row>
    <row r="295" spans="2:232" s="58" customFormat="1">
      <c r="B295" s="901" t="s">
        <v>375</v>
      </c>
      <c r="C295" s="902"/>
      <c r="D295" s="902"/>
      <c r="E295" s="902"/>
      <c r="F295" s="471"/>
      <c r="G295" s="471"/>
      <c r="H295" s="471"/>
      <c r="I295" s="471"/>
      <c r="J295" s="471"/>
      <c r="K295" s="471"/>
      <c r="L295" s="471"/>
      <c r="M295" s="471"/>
      <c r="N295" s="471"/>
      <c r="O295" s="471"/>
      <c r="P295" s="471"/>
      <c r="Q295" s="471"/>
      <c r="R295" s="471"/>
      <c r="S295" s="471"/>
      <c r="T295" s="471"/>
      <c r="U295" s="471"/>
      <c r="V295" s="471"/>
      <c r="W295" s="471"/>
      <c r="X295" s="471"/>
      <c r="Y295" s="471"/>
      <c r="Z295" s="471"/>
      <c r="AA295" s="471"/>
      <c r="AB295" s="471"/>
      <c r="AC295" s="471"/>
      <c r="AD295" s="471"/>
      <c r="AE295" s="471"/>
      <c r="AF295" s="471"/>
      <c r="AG295" s="471"/>
      <c r="AH295" s="471"/>
      <c r="AI295" s="471"/>
      <c r="AJ295" s="471"/>
      <c r="AK295" s="471"/>
      <c r="AL295" s="471"/>
      <c r="AM295" s="471"/>
      <c r="AN295" s="471"/>
      <c r="AO295" s="471"/>
      <c r="AP295" s="471"/>
      <c r="AQ295" s="471"/>
      <c r="AR295" s="471"/>
      <c r="AS295" s="471"/>
      <c r="AT295" s="471"/>
      <c r="AU295" s="471"/>
      <c r="AV295" s="471"/>
      <c r="AW295" s="471"/>
      <c r="AX295" s="471"/>
      <c r="AY295" s="471"/>
      <c r="AZ295" s="471"/>
      <c r="BA295" s="471"/>
      <c r="BB295" s="471"/>
      <c r="BC295" s="471"/>
      <c r="BD295" s="471"/>
      <c r="BE295" s="471"/>
      <c r="BF295" s="471"/>
      <c r="BG295" s="471"/>
      <c r="BH295" s="471">
        <f>BH294/BH296</f>
        <v>43.107868922964947</v>
      </c>
      <c r="BI295" s="471"/>
      <c r="BJ295" s="471"/>
      <c r="BK295" s="471"/>
      <c r="BL295" s="471"/>
      <c r="BM295" s="471">
        <f>BM294/BM296</f>
        <v>44.488791325750014</v>
      </c>
      <c r="BN295" s="471"/>
      <c r="BO295" s="471"/>
      <c r="BP295" s="471"/>
      <c r="BQ295" s="471"/>
      <c r="BR295" s="471">
        <f>BR294/BR296</f>
        <v>44.604755936490378</v>
      </c>
      <c r="BS295" s="485"/>
      <c r="BT295" s="485"/>
      <c r="BU295" s="485"/>
      <c r="BV295" s="485"/>
      <c r="BW295" s="471">
        <f>BW294/BW296</f>
        <v>36.75</v>
      </c>
      <c r="BX295" s="1468"/>
      <c r="BY295" s="485"/>
      <c r="BZ295" s="485"/>
      <c r="CA295" s="485"/>
      <c r="CB295" s="471">
        <f>CB294/CB296</f>
        <v>27.263875365141189</v>
      </c>
      <c r="CC295" s="1468">
        <v>34</v>
      </c>
      <c r="CD295" s="485">
        <v>34</v>
      </c>
      <c r="CE295" s="485">
        <v>34</v>
      </c>
      <c r="CF295" s="1469">
        <v>34</v>
      </c>
      <c r="CG295" s="1480">
        <f>CG294/CG296</f>
        <v>34</v>
      </c>
      <c r="CH295" s="486">
        <v>34</v>
      </c>
      <c r="CI295" s="486">
        <v>39</v>
      </c>
      <c r="CJ295" s="486">
        <v>40</v>
      </c>
      <c r="CK295" s="486">
        <v>35</v>
      </c>
      <c r="CL295" s="776">
        <f>CL294/CL296</f>
        <v>36.568054372163992</v>
      </c>
      <c r="CM295" s="486">
        <f>CK295*(1.02)</f>
        <v>35.700000000000003</v>
      </c>
      <c r="CN295" s="486">
        <v>33.5</v>
      </c>
      <c r="CO295" s="486">
        <f>CN295*(1+0.02)</f>
        <v>34.17</v>
      </c>
      <c r="CP295" s="486">
        <f>CO295*(1+0.02)</f>
        <v>34.853400000000001</v>
      </c>
      <c r="CQ295" s="1361">
        <f>CQ294/CQ296</f>
        <v>34.691897296257238</v>
      </c>
      <c r="CR295" s="1468">
        <f>CR294/CR296</f>
        <v>35.714285714285715</v>
      </c>
      <c r="CS295" s="485">
        <f>CS294/CS296</f>
        <v>34.736842105263158</v>
      </c>
      <c r="CT295" s="486">
        <v>44</v>
      </c>
      <c r="CU295" s="1469">
        <v>50</v>
      </c>
      <c r="CV295" s="1361">
        <f>CV294/CV296</f>
        <v>42.384562370778767</v>
      </c>
      <c r="CW295" s="486">
        <v>60</v>
      </c>
      <c r="CX295" s="486">
        <v>62.5</v>
      </c>
      <c r="CY295" s="486">
        <v>65</v>
      </c>
      <c r="CZ295" s="486">
        <v>62.5</v>
      </c>
      <c r="DA295" s="1647">
        <f>AVERAGE(CW295:CZ295)</f>
        <v>62.5</v>
      </c>
      <c r="DB295" s="486">
        <v>65</v>
      </c>
      <c r="DC295" s="1709">
        <v>77.5</v>
      </c>
      <c r="DD295" s="1709">
        <v>82.5</v>
      </c>
      <c r="DE295" s="1709">
        <v>82.5</v>
      </c>
      <c r="DF295" s="1647">
        <f>AVERAGE(DB295:DE295)</f>
        <v>76.875</v>
      </c>
      <c r="DG295" s="1709">
        <v>82.5</v>
      </c>
      <c r="DH295" s="486">
        <v>82.5</v>
      </c>
      <c r="DI295" s="486">
        <f>DH295*(1+0.2/4)</f>
        <v>86.625</v>
      </c>
      <c r="DJ295" s="486">
        <f>DI295*(1+0.2/4)</f>
        <v>90.956249999999997</v>
      </c>
      <c r="DK295" s="1364">
        <f>AVERAGE(DG295:DJ295)</f>
        <v>85.645312500000003</v>
      </c>
      <c r="DL295" s="1473">
        <f>DJ295*(1+0.1/4)</f>
        <v>93.230156249999993</v>
      </c>
      <c r="DM295" s="486">
        <f>DK295*(1+0.1/4)</f>
        <v>87.786445312499993</v>
      </c>
      <c r="DN295" s="486">
        <v>82</v>
      </c>
      <c r="DO295" s="2271">
        <v>82</v>
      </c>
      <c r="DP295" s="2268">
        <f>AVERAGE(DL295:DO295)</f>
        <v>86.254150390625</v>
      </c>
      <c r="DQ295" s="1852">
        <v>82</v>
      </c>
      <c r="DR295" s="486">
        <f>DQ295</f>
        <v>82</v>
      </c>
      <c r="DS295" s="486">
        <f>DR295</f>
        <v>82</v>
      </c>
      <c r="DT295" s="1469">
        <f>DS295</f>
        <v>82</v>
      </c>
      <c r="DU295" s="1364">
        <f>AVERAGE(DQ295:DT295)</f>
        <v>82</v>
      </c>
      <c r="DV295" s="486">
        <f>DT295</f>
        <v>82</v>
      </c>
      <c r="DW295" s="486">
        <f>DU295</f>
        <v>82</v>
      </c>
      <c r="DX295" s="486">
        <f>DV295</f>
        <v>82</v>
      </c>
      <c r="DY295" s="486">
        <f>DW295</f>
        <v>82</v>
      </c>
      <c r="DZ295" s="1364">
        <f>AVERAGE(DV295:DY295)</f>
        <v>82</v>
      </c>
      <c r="EA295" s="486">
        <f>DY295</f>
        <v>82</v>
      </c>
      <c r="EB295" s="486">
        <f>DZ295</f>
        <v>82</v>
      </c>
      <c r="EC295" s="486">
        <f>EA295</f>
        <v>82</v>
      </c>
      <c r="ED295" s="486">
        <f>EB295</f>
        <v>82</v>
      </c>
      <c r="EE295" s="1364">
        <f>AVERAGE(EA295:ED295)</f>
        <v>82</v>
      </c>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row>
    <row r="296" spans="2:232" s="58" customFormat="1">
      <c r="B296" s="565" t="s">
        <v>352</v>
      </c>
      <c r="C296" s="902"/>
      <c r="D296" s="902"/>
      <c r="E296" s="902"/>
      <c r="F296" s="471"/>
      <c r="G296" s="471"/>
      <c r="H296" s="471"/>
      <c r="I296" s="471"/>
      <c r="J296" s="471"/>
      <c r="K296" s="471"/>
      <c r="L296" s="471"/>
      <c r="M296" s="471"/>
      <c r="N296" s="471"/>
      <c r="O296" s="471"/>
      <c r="P296" s="471"/>
      <c r="Q296" s="471"/>
      <c r="R296" s="471"/>
      <c r="S296" s="471"/>
      <c r="T296" s="471"/>
      <c r="U296" s="471"/>
      <c r="V296" s="471"/>
      <c r="W296" s="471"/>
      <c r="X296" s="471"/>
      <c r="Y296" s="471"/>
      <c r="Z296" s="471"/>
      <c r="AA296" s="471"/>
      <c r="AB296" s="471"/>
      <c r="AC296" s="471"/>
      <c r="AD296" s="471"/>
      <c r="AE296" s="471"/>
      <c r="AF296" s="471"/>
      <c r="AG296" s="471"/>
      <c r="AH296" s="471"/>
      <c r="AI296" s="471"/>
      <c r="AJ296" s="471"/>
      <c r="AK296" s="471"/>
      <c r="AL296" s="471"/>
      <c r="AM296" s="471"/>
      <c r="AN296" s="471"/>
      <c r="AO296" s="471"/>
      <c r="AP296" s="471"/>
      <c r="AQ296" s="471"/>
      <c r="AR296" s="471"/>
      <c r="AS296" s="471"/>
      <c r="AT296" s="471"/>
      <c r="AU296" s="471"/>
      <c r="AV296" s="471"/>
      <c r="AW296" s="471"/>
      <c r="AX296" s="471"/>
      <c r="AY296" s="471"/>
      <c r="AZ296" s="471"/>
      <c r="BA296" s="471"/>
      <c r="BB296" s="471"/>
      <c r="BC296" s="471"/>
      <c r="BD296" s="471"/>
      <c r="BE296" s="471"/>
      <c r="BF296" s="471"/>
      <c r="BG296" s="471"/>
      <c r="BH296" s="471">
        <v>-18.135899999999999</v>
      </c>
      <c r="BI296" s="471"/>
      <c r="BJ296" s="471"/>
      <c r="BK296" s="471"/>
      <c r="BL296" s="471"/>
      <c r="BM296" s="471">
        <v>-15.032999999999999</v>
      </c>
      <c r="BN296" s="471"/>
      <c r="BO296" s="471"/>
      <c r="BP296" s="471"/>
      <c r="BQ296" s="471"/>
      <c r="BR296" s="471">
        <v>-23.842749000000001</v>
      </c>
      <c r="BS296" s="485"/>
      <c r="BT296" s="485"/>
      <c r="BU296" s="485"/>
      <c r="BV296" s="485"/>
      <c r="BW296" s="471">
        <v>-8</v>
      </c>
      <c r="BX296" s="1481"/>
      <c r="BY296" s="485"/>
      <c r="BZ296" s="485"/>
      <c r="CA296" s="485"/>
      <c r="CB296" s="471">
        <v>-10.27</v>
      </c>
      <c r="CC296" s="1481">
        <f>CC294/CC295</f>
        <v>-5.7352941176470589</v>
      </c>
      <c r="CD296" s="903">
        <f>CD294/CD295</f>
        <v>-7.4117647058823533</v>
      </c>
      <c r="CE296" s="903">
        <f>CE294/CE295</f>
        <v>-9.0294117647058822</v>
      </c>
      <c r="CF296" s="1471">
        <f>CF294/CF295</f>
        <v>-29.470588235294116</v>
      </c>
      <c r="CG296" s="1480">
        <f>SUM(CC296:CF296)</f>
        <v>-51.647058823529413</v>
      </c>
      <c r="CH296" s="903">
        <f>CH294/CH295</f>
        <v>-15</v>
      </c>
      <c r="CI296" s="903">
        <f>CI294/CI295</f>
        <v>-9.615384615384615</v>
      </c>
      <c r="CJ296" s="903">
        <f>CJ294/CJ295</f>
        <v>-12.7</v>
      </c>
      <c r="CK296" s="903">
        <f>CK294/CK295</f>
        <v>-18.142857142857142</v>
      </c>
      <c r="CL296" s="776">
        <f>SUM(CH296:CK296)</f>
        <v>-55.458241758241755</v>
      </c>
      <c r="CM296" s="903">
        <f>CM294/CM295</f>
        <v>-17.030812324929972</v>
      </c>
      <c r="CN296" s="903">
        <f>CN294/CN295</f>
        <v>-12.149253731343284</v>
      </c>
      <c r="CO296" s="903">
        <f>CO294/CO295</f>
        <v>-5.1507170032191976</v>
      </c>
      <c r="CP296" s="903">
        <f>CP294/CP295</f>
        <v>0</v>
      </c>
      <c r="CQ296" s="776">
        <f>SUM(CM296:CP296)</f>
        <v>-34.330783059492454</v>
      </c>
      <c r="CR296" s="1470">
        <v>-1.4</v>
      </c>
      <c r="CS296" s="1183">
        <v>-1.9</v>
      </c>
      <c r="CT296" s="903">
        <f>CT294/CT295</f>
        <v>-10.25</v>
      </c>
      <c r="CU296" s="1471">
        <f>CU294/CU295</f>
        <v>-0.96</v>
      </c>
      <c r="CV296" s="776">
        <f>SUM(CR296:CU296)</f>
        <v>-14.510000000000002</v>
      </c>
      <c r="CW296" s="903">
        <f t="shared" ref="CW296:DF296" si="728">CW294/CW295</f>
        <v>-3.4166666666666665</v>
      </c>
      <c r="CX296" s="903">
        <f t="shared" si="728"/>
        <v>0</v>
      </c>
      <c r="CY296" s="903">
        <f t="shared" si="728"/>
        <v>0</v>
      </c>
      <c r="CZ296" s="903">
        <f t="shared" si="728"/>
        <v>0</v>
      </c>
      <c r="DA296" s="776">
        <f t="shared" si="728"/>
        <v>-3.28</v>
      </c>
      <c r="DB296" s="903">
        <f t="shared" si="728"/>
        <v>-7.6923076923076925</v>
      </c>
      <c r="DC296" s="903">
        <f t="shared" si="728"/>
        <v>-1.2129032258064516</v>
      </c>
      <c r="DD296" s="903">
        <f t="shared" si="728"/>
        <v>-2.8727272727272726</v>
      </c>
      <c r="DE296" s="903">
        <f>DE294/DE295</f>
        <v>-4.7878787878787881</v>
      </c>
      <c r="DF296" s="776">
        <f t="shared" si="728"/>
        <v>-15.947967479674796</v>
      </c>
      <c r="DG296" s="903">
        <f>DG294/DG295</f>
        <v>-6.4121212121212121</v>
      </c>
      <c r="DH296" s="903">
        <f>DH294/DH295</f>
        <v>-7.5515151515151517</v>
      </c>
      <c r="DI296" s="903">
        <f t="shared" ref="DI296:DU296" si="729">DI294/DI295</f>
        <v>0</v>
      </c>
      <c r="DJ296" s="903">
        <f t="shared" ref="DJ296" si="730">DJ294/DJ295</f>
        <v>0</v>
      </c>
      <c r="DK296" s="1421">
        <f t="shared" si="729"/>
        <v>-13.450823709703903</v>
      </c>
      <c r="DL296" s="1481">
        <f t="shared" si="729"/>
        <v>0</v>
      </c>
      <c r="DM296" s="903">
        <f t="shared" ref="DM296" si="731">DM294/DM295</f>
        <v>-5.6728575604950402</v>
      </c>
      <c r="DN296" s="903">
        <f t="shared" si="729"/>
        <v>-12.195121951219512</v>
      </c>
      <c r="DO296" s="2308">
        <f t="shared" ref="DO296:DQ296" si="732">DO294/DO295</f>
        <v>-45.890243902439025</v>
      </c>
      <c r="DP296" s="2269">
        <f t="shared" si="729"/>
        <v>-60.994166381259959</v>
      </c>
      <c r="DQ296" s="903">
        <f t="shared" si="732"/>
        <v>0.3902439024390244</v>
      </c>
      <c r="DR296" s="903">
        <f t="shared" si="729"/>
        <v>0</v>
      </c>
      <c r="DS296" s="903">
        <f t="shared" si="729"/>
        <v>0</v>
      </c>
      <c r="DT296" s="1471">
        <f t="shared" si="729"/>
        <v>0</v>
      </c>
      <c r="DU296" s="1421">
        <f t="shared" si="729"/>
        <v>0.3902439024390244</v>
      </c>
      <c r="DV296" s="903">
        <f t="shared" ref="DV296:DZ296" si="733">DV294/DV295</f>
        <v>-12.195121951219512</v>
      </c>
      <c r="DW296" s="903">
        <f t="shared" si="733"/>
        <v>-12.195121951219512</v>
      </c>
      <c r="DX296" s="903">
        <f t="shared" si="733"/>
        <v>-12.195121951219512</v>
      </c>
      <c r="DY296" s="1471">
        <f t="shared" si="733"/>
        <v>-12.195121951219512</v>
      </c>
      <c r="DZ296" s="1421">
        <f t="shared" si="733"/>
        <v>-48.780487804878049</v>
      </c>
      <c r="EA296" s="903">
        <f t="shared" ref="EA296:EE296" si="734">EA294/EA295</f>
        <v>-12.195121951219512</v>
      </c>
      <c r="EB296" s="903">
        <f t="shared" si="734"/>
        <v>-12.195121951219512</v>
      </c>
      <c r="EC296" s="903">
        <f t="shared" si="734"/>
        <v>-12.195121951219512</v>
      </c>
      <c r="ED296" s="1471">
        <f t="shared" si="734"/>
        <v>-12.195121951219512</v>
      </c>
      <c r="EE296" s="1421">
        <f t="shared" si="734"/>
        <v>-48.780487804878049</v>
      </c>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row>
    <row r="297" spans="2:232" s="54" customFormat="1">
      <c r="B297" s="561" t="s">
        <v>374</v>
      </c>
      <c r="C297" s="64"/>
      <c r="D297" s="64"/>
      <c r="E297" s="64"/>
      <c r="F297" s="471"/>
      <c r="G297" s="471"/>
      <c r="H297" s="471"/>
      <c r="I297" s="471"/>
      <c r="J297" s="471"/>
      <c r="K297" s="471"/>
      <c r="L297" s="471"/>
      <c r="M297" s="471"/>
      <c r="N297" s="471"/>
      <c r="O297" s="471"/>
      <c r="P297" s="471"/>
      <c r="Q297" s="471"/>
      <c r="R297" s="471"/>
      <c r="S297" s="471"/>
      <c r="T297" s="471"/>
      <c r="U297" s="471"/>
      <c r="V297" s="471"/>
      <c r="W297" s="471"/>
      <c r="X297" s="471"/>
      <c r="Y297" s="471"/>
      <c r="Z297" s="471"/>
      <c r="AA297" s="471"/>
      <c r="AB297" s="471"/>
      <c r="AC297" s="471"/>
      <c r="AD297" s="471"/>
      <c r="AE297" s="471"/>
      <c r="AF297" s="471"/>
      <c r="AG297" s="471"/>
      <c r="AH297" s="471"/>
      <c r="AI297" s="471"/>
      <c r="AJ297" s="471"/>
      <c r="AK297" s="471"/>
      <c r="AL297" s="471"/>
      <c r="AM297" s="471"/>
      <c r="AN297" s="471"/>
      <c r="AO297" s="471"/>
      <c r="AP297" s="471"/>
      <c r="AQ297" s="471"/>
      <c r="AR297" s="471"/>
      <c r="AS297" s="471"/>
      <c r="AT297" s="471"/>
      <c r="AU297" s="471"/>
      <c r="AV297" s="471"/>
      <c r="AW297" s="471"/>
      <c r="AX297" s="471"/>
      <c r="AY297" s="471"/>
      <c r="AZ297" s="471"/>
      <c r="BA297" s="471"/>
      <c r="BB297" s="471"/>
      <c r="BC297" s="471"/>
      <c r="BD297" s="471"/>
      <c r="BE297" s="471"/>
      <c r="BF297" s="471"/>
      <c r="BG297" s="471"/>
      <c r="BH297" s="471">
        <v>8.3550000000000004</v>
      </c>
      <c r="BI297" s="471"/>
      <c r="BJ297" s="471"/>
      <c r="BK297" s="471"/>
      <c r="BL297" s="471"/>
      <c r="BM297" s="471">
        <v>9.3830720000000003</v>
      </c>
      <c r="BN297" s="471"/>
      <c r="BO297" s="471"/>
      <c r="BP297" s="471"/>
      <c r="BQ297" s="471"/>
      <c r="BR297" s="471">
        <v>7.1219869999999998</v>
      </c>
      <c r="BS297" s="73"/>
      <c r="BT297" s="73"/>
      <c r="BU297" s="73"/>
      <c r="BV297" s="73"/>
      <c r="BW297" s="471">
        <v>6.0348610000000003</v>
      </c>
      <c r="BX297" s="1446"/>
      <c r="BY297" s="73"/>
      <c r="BZ297" s="73"/>
      <c r="CA297" s="73"/>
      <c r="CB297" s="471">
        <v>9.6551720000000003</v>
      </c>
      <c r="CC297" s="1446">
        <f>CC298-CC296</f>
        <v>2.3478411176471221</v>
      </c>
      <c r="CD297" s="73">
        <f>CD298-CD296</f>
        <v>0.66713070588233414</v>
      </c>
      <c r="CE297" s="73">
        <f>CE298-CE296</f>
        <v>3.7782017647058677</v>
      </c>
      <c r="CF297" s="736">
        <f>CF298-CF296</f>
        <v>-13.963455764705856</v>
      </c>
      <c r="CG297" s="1480">
        <f>SUM(CC297:CF297)</f>
        <v>-7.1702821764705318</v>
      </c>
      <c r="CH297" s="73">
        <f t="shared" ref="CH297:CQ297" si="735">CH298-CH296</f>
        <v>7.6709509999999455</v>
      </c>
      <c r="CI297" s="73">
        <f t="shared" si="735"/>
        <v>2.6597866153846059</v>
      </c>
      <c r="CJ297" s="73">
        <f t="shared" si="735"/>
        <v>2.6594440000000752</v>
      </c>
      <c r="CK297" s="73">
        <f t="shared" si="735"/>
        <v>2.0181411428571074</v>
      </c>
      <c r="CL297" s="776">
        <f t="shared" si="735"/>
        <v>15.008322758241732</v>
      </c>
      <c r="CM297" s="73">
        <f t="shared" si="735"/>
        <v>1.2390083249300154</v>
      </c>
      <c r="CN297" s="73">
        <f t="shared" si="735"/>
        <v>1.3974617313432613</v>
      </c>
      <c r="CO297" s="73">
        <f t="shared" si="735"/>
        <v>0.86512500321913244</v>
      </c>
      <c r="CP297" s="316">
        <f t="shared" si="735"/>
        <v>85.590392000000065</v>
      </c>
      <c r="CQ297" s="776">
        <f t="shared" si="735"/>
        <v>89.091987059492482</v>
      </c>
      <c r="CR297" s="1470">
        <v>2.4</v>
      </c>
      <c r="CS297" s="1183">
        <v>4.3</v>
      </c>
      <c r="CT297" s="1183">
        <v>7.8</v>
      </c>
      <c r="CU297" s="1513">
        <v>1.5</v>
      </c>
      <c r="CV297" s="776">
        <f>CV298-CV296</f>
        <v>16</v>
      </c>
      <c r="CW297" s="1183">
        <f>CW54</f>
        <v>2.7044219999999086</v>
      </c>
      <c r="CX297" s="1183">
        <f>CX54</f>
        <v>2.6000000000000227</v>
      </c>
      <c r="CY297" s="1183">
        <f>CY54</f>
        <v>4.6606120000000146</v>
      </c>
      <c r="CZ297" s="1183">
        <v>3</v>
      </c>
      <c r="DA297" s="776">
        <f>SUM(CW297:CZ297)</f>
        <v>12.965033999999946</v>
      </c>
      <c r="DB297" s="484">
        <v>0</v>
      </c>
      <c r="DC297" s="1710">
        <v>0</v>
      </c>
      <c r="DD297" s="1710">
        <v>0</v>
      </c>
      <c r="DE297" s="1710">
        <v>0</v>
      </c>
      <c r="DF297" s="776">
        <f>SUM(DB297:DE297)</f>
        <v>0</v>
      </c>
      <c r="DG297" s="1710">
        <v>0</v>
      </c>
      <c r="DH297" s="484">
        <v>0</v>
      </c>
      <c r="DI297" s="484">
        <v>0</v>
      </c>
      <c r="DJ297" s="484">
        <v>0</v>
      </c>
      <c r="DK297" s="1422">
        <f>SUM(DG297:DJ297)</f>
        <v>0</v>
      </c>
      <c r="DL297" s="1850">
        <v>0</v>
      </c>
      <c r="DM297" s="484">
        <v>0</v>
      </c>
      <c r="DN297" s="484">
        <v>0</v>
      </c>
      <c r="DO297" s="2309">
        <v>0</v>
      </c>
      <c r="DP297" s="2270">
        <f>SUM(DL297:DO297)</f>
        <v>0</v>
      </c>
      <c r="DQ297" s="484">
        <v>0</v>
      </c>
      <c r="DR297" s="484">
        <v>0</v>
      </c>
      <c r="DS297" s="484">
        <v>0</v>
      </c>
      <c r="DT297" s="1851">
        <v>0</v>
      </c>
      <c r="DU297" s="1422">
        <f>SUM(DQ297:DT297)</f>
        <v>0</v>
      </c>
      <c r="DV297" s="484">
        <v>0</v>
      </c>
      <c r="DW297" s="484">
        <v>0</v>
      </c>
      <c r="DX297" s="484">
        <v>0</v>
      </c>
      <c r="DY297" s="1851">
        <v>0</v>
      </c>
      <c r="DZ297" s="1422">
        <f>SUM(DV297:DY297)</f>
        <v>0</v>
      </c>
      <c r="EA297" s="484">
        <v>0</v>
      </c>
      <c r="EB297" s="484">
        <v>0</v>
      </c>
      <c r="EC297" s="484">
        <v>0</v>
      </c>
      <c r="ED297" s="1851">
        <v>0</v>
      </c>
      <c r="EE297" s="1422">
        <f>SUM(EA297:ED297)</f>
        <v>0</v>
      </c>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row>
    <row r="298" spans="2:232" s="54" customFormat="1">
      <c r="B298" s="538" t="s">
        <v>239</v>
      </c>
      <c r="C298" s="64"/>
      <c r="D298" s="64"/>
      <c r="E298" s="64"/>
      <c r="F298" s="471"/>
      <c r="G298" s="471"/>
      <c r="H298" s="471"/>
      <c r="I298" s="471"/>
      <c r="J298" s="471"/>
      <c r="K298" s="471"/>
      <c r="L298" s="471"/>
      <c r="M298" s="471"/>
      <c r="N298" s="471"/>
      <c r="O298" s="471"/>
      <c r="P298" s="471"/>
      <c r="Q298" s="471"/>
      <c r="R298" s="471"/>
      <c r="S298" s="471"/>
      <c r="T298" s="471"/>
      <c r="U298" s="471"/>
      <c r="V298" s="471"/>
      <c r="W298" s="471"/>
      <c r="X298" s="471"/>
      <c r="Y298" s="471"/>
      <c r="Z298" s="471"/>
      <c r="AA298" s="471"/>
      <c r="AB298" s="471"/>
      <c r="AC298" s="471"/>
      <c r="AD298" s="471"/>
      <c r="AE298" s="471"/>
      <c r="AF298" s="471"/>
      <c r="AG298" s="471"/>
      <c r="AH298" s="471"/>
      <c r="AI298" s="471"/>
      <c r="AJ298" s="471"/>
      <c r="AK298" s="471"/>
      <c r="AL298" s="471"/>
      <c r="AM298" s="471"/>
      <c r="AN298" s="471"/>
      <c r="AO298" s="471"/>
      <c r="AP298" s="471"/>
      <c r="AQ298" s="471"/>
      <c r="AR298" s="471"/>
      <c r="AS298" s="471"/>
      <c r="AT298" s="471"/>
      <c r="AU298" s="471"/>
      <c r="AV298" s="471"/>
      <c r="AW298" s="471"/>
      <c r="AX298" s="471"/>
      <c r="AY298" s="471"/>
      <c r="AZ298" s="471"/>
      <c r="BA298" s="471"/>
      <c r="BB298" s="471"/>
      <c r="BC298" s="471"/>
      <c r="BD298" s="471"/>
      <c r="BE298" s="471"/>
      <c r="BF298" s="471"/>
      <c r="BG298" s="471"/>
      <c r="BH298" s="471">
        <f>Model!BH52-Model!BC52</f>
        <v>-3.4661579999999503</v>
      </c>
      <c r="BI298" s="471"/>
      <c r="BJ298" s="471"/>
      <c r="BK298" s="471"/>
      <c r="BL298" s="471"/>
      <c r="BM298" s="471">
        <f>Model!BM52-Model!BH52</f>
        <v>-8.9321179999999458</v>
      </c>
      <c r="BN298" s="471"/>
      <c r="BO298" s="471"/>
      <c r="BP298" s="471"/>
      <c r="BQ298" s="471"/>
      <c r="BR298" s="471">
        <f>Model!BR52-Model!BM52</f>
        <v>-13.061656000000085</v>
      </c>
      <c r="BS298" s="73"/>
      <c r="BT298" s="73"/>
      <c r="BU298" s="73"/>
      <c r="BV298" s="73"/>
      <c r="BW298" s="471">
        <f>Model!BW55-Model!BR55</f>
        <v>-1.965139000000022</v>
      </c>
      <c r="BX298" s="1446"/>
      <c r="BY298" s="73"/>
      <c r="BZ298" s="73"/>
      <c r="CA298" s="73"/>
      <c r="CB298" s="471">
        <f>CB296+CB297</f>
        <v>-0.61482799999999926</v>
      </c>
      <c r="CC298" s="1446">
        <f>Model!CC54</f>
        <v>-3.3874529999999368</v>
      </c>
      <c r="CD298" s="73">
        <f>Model!CD54</f>
        <v>-6.7446340000000191</v>
      </c>
      <c r="CE298" s="73">
        <f>Model!CE54</f>
        <v>-5.2512100000000146</v>
      </c>
      <c r="CF298" s="736">
        <f>Model!CF54</f>
        <v>-43.434043999999972</v>
      </c>
      <c r="CG298" s="1480">
        <f>CG296+CG297</f>
        <v>-58.817340999999942</v>
      </c>
      <c r="CH298" s="73">
        <f>Model!CH54</f>
        <v>-7.3290490000000545</v>
      </c>
      <c r="CI298" s="73">
        <f>Model!CI54</f>
        <v>-6.9555980000000091</v>
      </c>
      <c r="CJ298" s="73">
        <f>Model!CJ54</f>
        <v>-10.040555999999924</v>
      </c>
      <c r="CK298" s="73">
        <f>Model!CK54</f>
        <v>-16.124716000000035</v>
      </c>
      <c r="CL298" s="776">
        <f>SUM(CH298:CK298)</f>
        <v>-40.449919000000023</v>
      </c>
      <c r="CM298" s="73">
        <f>Model!CM54</f>
        <v>-15.791803999999956</v>
      </c>
      <c r="CN298" s="73">
        <f>Model!CN54</f>
        <v>-10.751792000000023</v>
      </c>
      <c r="CO298" s="73">
        <f>Model!CO54</f>
        <v>-4.2855920000000651</v>
      </c>
      <c r="CP298" s="73">
        <f>Model!CP54</f>
        <v>85.590392000000065</v>
      </c>
      <c r="CQ298" s="776">
        <f>SUM(CM298:CP298)</f>
        <v>54.761204000000021</v>
      </c>
      <c r="CR298" s="1472">
        <f>CR296+CR297</f>
        <v>1</v>
      </c>
      <c r="CS298" s="111">
        <f>CS296+CS297</f>
        <v>2.4</v>
      </c>
      <c r="CT298" s="903">
        <f>CT296+CT297</f>
        <v>-2.4500000000000002</v>
      </c>
      <c r="CU298" s="736">
        <f>CU296+CU297</f>
        <v>0.54</v>
      </c>
      <c r="CV298" s="776">
        <f>SUM(CR298:CU298)</f>
        <v>1.4899999999999998</v>
      </c>
      <c r="CW298" s="903">
        <f t="shared" ref="CW298:DF298" si="736">CW296+CW297</f>
        <v>-0.7122446666667579</v>
      </c>
      <c r="CX298" s="903">
        <f t="shared" si="736"/>
        <v>2.6000000000000227</v>
      </c>
      <c r="CY298" s="903">
        <f t="shared" si="736"/>
        <v>4.6606120000000146</v>
      </c>
      <c r="CZ298" s="903">
        <f t="shared" si="736"/>
        <v>3</v>
      </c>
      <c r="DA298" s="776">
        <f t="shared" si="736"/>
        <v>9.6850339999999466</v>
      </c>
      <c r="DB298" s="73">
        <f t="shared" si="736"/>
        <v>-7.6923076923076925</v>
      </c>
      <c r="DC298" s="73">
        <f t="shared" si="736"/>
        <v>-1.2129032258064516</v>
      </c>
      <c r="DD298" s="73">
        <f t="shared" si="736"/>
        <v>-2.8727272727272726</v>
      </c>
      <c r="DE298" s="73">
        <f>DE296+DE297</f>
        <v>-4.7878787878787881</v>
      </c>
      <c r="DF298" s="776">
        <f t="shared" si="736"/>
        <v>-15.947967479674796</v>
      </c>
      <c r="DG298" s="73">
        <f>DG296+DG297</f>
        <v>-6.4121212121212121</v>
      </c>
      <c r="DH298" s="73">
        <f>DH296+DH297</f>
        <v>-7.5515151515151517</v>
      </c>
      <c r="DI298" s="73">
        <f t="shared" ref="DI298:DU298" si="737">DI296+DI297</f>
        <v>0</v>
      </c>
      <c r="DJ298" s="73">
        <f t="shared" ref="DJ298" si="738">DJ296+DJ297</f>
        <v>0</v>
      </c>
      <c r="DK298" s="777">
        <f t="shared" si="737"/>
        <v>-13.450823709703903</v>
      </c>
      <c r="DL298" s="1446">
        <f t="shared" si="737"/>
        <v>0</v>
      </c>
      <c r="DM298" s="73">
        <f t="shared" ref="DM298" si="739">DM296+DM297</f>
        <v>-5.6728575604950402</v>
      </c>
      <c r="DN298" s="73">
        <f t="shared" si="737"/>
        <v>-12.195121951219512</v>
      </c>
      <c r="DO298" s="2252">
        <f t="shared" ref="DO298:DQ298" si="740">DO296+DO297</f>
        <v>-45.890243902439025</v>
      </c>
      <c r="DP298" s="2256">
        <f t="shared" si="737"/>
        <v>-60.994166381259959</v>
      </c>
      <c r="DQ298" s="73">
        <f t="shared" si="740"/>
        <v>0.3902439024390244</v>
      </c>
      <c r="DR298" s="73">
        <f t="shared" si="737"/>
        <v>0</v>
      </c>
      <c r="DS298" s="73">
        <f t="shared" si="737"/>
        <v>0</v>
      </c>
      <c r="DT298" s="736">
        <f t="shared" si="737"/>
        <v>0</v>
      </c>
      <c r="DU298" s="777">
        <f t="shared" si="737"/>
        <v>0.3902439024390244</v>
      </c>
      <c r="DV298" s="73">
        <f t="shared" ref="DV298:DZ298" si="741">DV296+DV297</f>
        <v>-12.195121951219512</v>
      </c>
      <c r="DW298" s="73">
        <f t="shared" si="741"/>
        <v>-12.195121951219512</v>
      </c>
      <c r="DX298" s="73">
        <f t="shared" si="741"/>
        <v>-12.195121951219512</v>
      </c>
      <c r="DY298" s="736">
        <f t="shared" si="741"/>
        <v>-12.195121951219512</v>
      </c>
      <c r="DZ298" s="777">
        <f t="shared" si="741"/>
        <v>-48.780487804878049</v>
      </c>
      <c r="EA298" s="73">
        <f t="shared" ref="EA298:EE298" si="742">EA296+EA297</f>
        <v>-12.195121951219512</v>
      </c>
      <c r="EB298" s="73">
        <f t="shared" si="742"/>
        <v>-12.195121951219512</v>
      </c>
      <c r="EC298" s="73">
        <f t="shared" si="742"/>
        <v>-12.195121951219512</v>
      </c>
      <c r="ED298" s="736">
        <f t="shared" si="742"/>
        <v>-12.195121951219512</v>
      </c>
      <c r="EE298" s="777">
        <f t="shared" si="742"/>
        <v>-48.780487804878049</v>
      </c>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row>
    <row r="299" spans="2:232" s="54" customFormat="1">
      <c r="B299" s="538"/>
      <c r="C299" s="64"/>
      <c r="D299" s="64"/>
      <c r="E299" s="64"/>
      <c r="F299" s="73"/>
      <c r="G299" s="73"/>
      <c r="H299" s="73"/>
      <c r="I299" s="73"/>
      <c r="J299" s="73"/>
      <c r="K299" s="73"/>
      <c r="L299" s="73"/>
      <c r="M299" s="73"/>
      <c r="N299" s="73"/>
      <c r="O299" s="73"/>
      <c r="P299" s="73"/>
      <c r="Q299" s="73"/>
      <c r="R299" s="73"/>
      <c r="S299" s="73"/>
      <c r="T299" s="73"/>
      <c r="U299" s="73"/>
      <c r="V299" s="73"/>
      <c r="W299" s="73"/>
      <c r="X299" s="73"/>
      <c r="Y299" s="73"/>
      <c r="Z299" s="73"/>
      <c r="AA299" s="73"/>
      <c r="AB299" s="73"/>
      <c r="AC299" s="73"/>
      <c r="AD299" s="73"/>
      <c r="AE299" s="73"/>
      <c r="AF299" s="73"/>
      <c r="AG299" s="73"/>
      <c r="AH299" s="73"/>
      <c r="AI299" s="73"/>
      <c r="AJ299" s="73"/>
      <c r="AK299" s="73"/>
      <c r="AL299" s="73"/>
      <c r="AM299" s="73"/>
      <c r="AN299" s="73"/>
      <c r="AO299" s="73"/>
      <c r="AP299" s="73"/>
      <c r="AQ299" s="73"/>
      <c r="AR299" s="73"/>
      <c r="AS299" s="73"/>
      <c r="AT299" s="73"/>
      <c r="AU299" s="73"/>
      <c r="AV299" s="73"/>
      <c r="AW299" s="73"/>
      <c r="AX299" s="73"/>
      <c r="AY299" s="73"/>
      <c r="AZ299" s="73"/>
      <c r="BA299" s="73"/>
      <c r="BB299" s="73"/>
      <c r="BC299" s="73"/>
      <c r="BD299" s="73"/>
      <c r="BE299" s="73"/>
      <c r="BF299" s="73"/>
      <c r="BG299" s="73"/>
      <c r="BH299" s="73"/>
      <c r="BI299" s="73"/>
      <c r="BJ299" s="73"/>
      <c r="BK299" s="73"/>
      <c r="BL299" s="73"/>
      <c r="BM299" s="73"/>
      <c r="BN299" s="73"/>
      <c r="BO299" s="73"/>
      <c r="BP299" s="73"/>
      <c r="BQ299" s="73"/>
      <c r="BR299" s="73"/>
      <c r="BS299" s="73"/>
      <c r="BT299" s="73"/>
      <c r="BU299" s="73"/>
      <c r="BV299" s="73"/>
      <c r="BW299" s="73"/>
      <c r="BX299" s="1446"/>
      <c r="BY299" s="73"/>
      <c r="BZ299" s="73"/>
      <c r="CA299" s="73"/>
      <c r="CB299" s="73"/>
      <c r="CC299" s="1446"/>
      <c r="CD299" s="73"/>
      <c r="CE299" s="73"/>
      <c r="CF299" s="736"/>
      <c r="CG299" s="736"/>
      <c r="CH299" s="73"/>
      <c r="CI299" s="73"/>
      <c r="CJ299" s="73"/>
      <c r="CK299" s="73"/>
      <c r="CL299" s="777"/>
      <c r="CM299" s="73"/>
      <c r="CN299" s="73"/>
      <c r="CO299" s="73"/>
      <c r="CP299" s="73"/>
      <c r="CQ299" s="777"/>
      <c r="CR299" s="1446"/>
      <c r="CS299" s="73"/>
      <c r="CT299" s="73"/>
      <c r="CU299" s="736"/>
      <c r="CV299" s="777"/>
      <c r="CW299" s="73"/>
      <c r="CX299" s="73"/>
      <c r="CY299" s="73"/>
      <c r="CZ299" s="73"/>
      <c r="DA299" s="777"/>
      <c r="DB299" s="73"/>
      <c r="DC299" s="73"/>
      <c r="DD299" s="73"/>
      <c r="DE299" s="73"/>
      <c r="DF299" s="777"/>
      <c r="DG299" s="73"/>
      <c r="DH299" s="73"/>
      <c r="DI299" s="73"/>
      <c r="DJ299" s="73"/>
      <c r="DK299" s="777"/>
      <c r="DL299" s="1446"/>
      <c r="DM299" s="73"/>
      <c r="DN299" s="73"/>
      <c r="DO299" s="2252"/>
      <c r="DP299" s="2256"/>
      <c r="DQ299" s="73"/>
      <c r="DR299" s="73"/>
      <c r="DS299" s="73"/>
      <c r="DT299" s="736"/>
      <c r="DU299" s="777"/>
      <c r="DV299" s="73"/>
      <c r="DW299" s="73"/>
      <c r="DX299" s="73"/>
      <c r="DY299" s="736"/>
      <c r="DZ299" s="777"/>
      <c r="EA299" s="73"/>
      <c r="EB299" s="73"/>
      <c r="EC299" s="73"/>
      <c r="ED299" s="736"/>
      <c r="EE299" s="777"/>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row>
    <row r="300" spans="2:232" s="54" customFormat="1">
      <c r="B300" s="538" t="s">
        <v>164</v>
      </c>
      <c r="C300" s="64"/>
      <c r="D300" s="64"/>
      <c r="E300" s="64"/>
      <c r="F300" s="73"/>
      <c r="G300" s="73"/>
      <c r="H300" s="73"/>
      <c r="I300" s="73"/>
      <c r="J300" s="73"/>
      <c r="K300" s="73"/>
      <c r="L300" s="73"/>
      <c r="M300" s="73"/>
      <c r="N300" s="73"/>
      <c r="O300" s="73"/>
      <c r="P300" s="73"/>
      <c r="Q300" s="73"/>
      <c r="R300" s="73"/>
      <c r="S300" s="73"/>
      <c r="T300" s="73"/>
      <c r="U300" s="73"/>
      <c r="V300" s="73"/>
      <c r="W300" s="73"/>
      <c r="X300" s="73"/>
      <c r="Y300" s="73"/>
      <c r="Z300" s="73"/>
      <c r="AA300" s="73"/>
      <c r="AB300" s="73"/>
      <c r="AC300" s="73"/>
      <c r="AD300" s="73"/>
      <c r="AE300" s="73"/>
      <c r="AF300" s="73"/>
      <c r="AG300" s="73"/>
      <c r="AH300" s="73"/>
      <c r="AI300" s="73"/>
      <c r="AJ300" s="73"/>
      <c r="AK300" s="73"/>
      <c r="AL300" s="73"/>
      <c r="AM300" s="73"/>
      <c r="AN300" s="73"/>
      <c r="AO300" s="73"/>
      <c r="AP300" s="73"/>
      <c r="AQ300" s="73"/>
      <c r="AR300" s="73"/>
      <c r="AS300" s="73"/>
      <c r="AT300" s="73"/>
      <c r="AU300" s="73"/>
      <c r="AV300" s="73"/>
      <c r="AW300" s="73"/>
      <c r="AX300" s="73"/>
      <c r="AY300" s="73"/>
      <c r="AZ300" s="73"/>
      <c r="BA300" s="73"/>
      <c r="BB300" s="73"/>
      <c r="BC300" s="73"/>
      <c r="BD300" s="73"/>
      <c r="BE300" s="73"/>
      <c r="BF300" s="73"/>
      <c r="BG300" s="73"/>
      <c r="BH300" s="485">
        <f>-BH302/BH301</f>
        <v>0.21193969159146703</v>
      </c>
      <c r="BI300" s="485"/>
      <c r="BJ300" s="485"/>
      <c r="BK300" s="485"/>
      <c r="BL300" s="485"/>
      <c r="BM300" s="485">
        <f>-BM302/BM301</f>
        <v>0.26084917276268815</v>
      </c>
      <c r="BN300" s="485"/>
      <c r="BO300" s="485"/>
      <c r="BP300" s="485"/>
      <c r="BQ300" s="485"/>
      <c r="BR300" s="485">
        <f>-BR302/BR301</f>
        <v>0.31297251175041019</v>
      </c>
      <c r="BS300" s="73"/>
      <c r="BT300" s="73"/>
      <c r="BU300" s="73"/>
      <c r="BV300" s="73"/>
      <c r="BW300" s="485">
        <f>-BW302/BW301</f>
        <v>0.38061974514635977</v>
      </c>
      <c r="BX300" s="1468"/>
      <c r="BY300" s="73"/>
      <c r="BZ300" s="73"/>
      <c r="CA300" s="73"/>
      <c r="CB300" s="485">
        <f>-CB302/CB301</f>
        <v>0.45116065073105882</v>
      </c>
      <c r="CC300" s="1468">
        <v>0.13750000000000001</v>
      </c>
      <c r="CD300" s="485">
        <v>0.13750000000000001</v>
      </c>
      <c r="CE300" s="485">
        <v>0.13750000000000001</v>
      </c>
      <c r="CF300" s="1482">
        <v>0.13750000000000001</v>
      </c>
      <c r="CG300" s="1482">
        <f>-CG302/CG301</f>
        <v>0.58188057302639429</v>
      </c>
      <c r="CH300" s="485">
        <v>0.17499999999999999</v>
      </c>
      <c r="CI300" s="485">
        <v>0.17499999999999999</v>
      </c>
      <c r="CJ300" s="485">
        <v>0.17499999999999999</v>
      </c>
      <c r="CK300" s="485">
        <v>0.17499999999999999</v>
      </c>
      <c r="CL300" s="1361">
        <f>-CL302/CL301</f>
        <v>0.72754331573064579</v>
      </c>
      <c r="CM300" s="486">
        <v>0.22500000000000001</v>
      </c>
      <c r="CN300" s="486">
        <v>0.22500000000000001</v>
      </c>
      <c r="CO300" s="486">
        <f>-CO302/CO301</f>
        <v>0.22714963705530097</v>
      </c>
      <c r="CP300" s="486">
        <v>0.27500000000000002</v>
      </c>
      <c r="CQ300" s="1361">
        <f>SUM(CM300:CP300)</f>
        <v>0.95214963705530098</v>
      </c>
      <c r="CR300" s="1473">
        <v>0.27500000000000002</v>
      </c>
      <c r="CS300" s="486">
        <v>0.27500000000000002</v>
      </c>
      <c r="CT300" s="486">
        <v>0.27500000000000002</v>
      </c>
      <c r="CU300" s="1469">
        <v>0.315</v>
      </c>
      <c r="CV300" s="1361">
        <f>SUM(CR300:CU300)</f>
        <v>1.1400000000000001</v>
      </c>
      <c r="CW300" s="486">
        <f>CU300</f>
        <v>0.315</v>
      </c>
      <c r="CX300" s="486">
        <f>CW300</f>
        <v>0.315</v>
      </c>
      <c r="CY300" s="486">
        <f>CX300</f>
        <v>0.315</v>
      </c>
      <c r="CZ300" s="486">
        <v>0.33750000000000002</v>
      </c>
      <c r="DA300" s="1364">
        <f>SUM(CW300:CZ300)</f>
        <v>1.2825000000000002</v>
      </c>
      <c r="DB300" s="486">
        <v>0.33750000000000002</v>
      </c>
      <c r="DC300" s="486">
        <f>DB300</f>
        <v>0.33750000000000002</v>
      </c>
      <c r="DD300" s="486">
        <f>DC300</f>
        <v>0.33750000000000002</v>
      </c>
      <c r="DE300" s="486">
        <f>DD300</f>
        <v>0.33750000000000002</v>
      </c>
      <c r="DF300" s="1364">
        <f>SUM(DB300:DE300)</f>
        <v>1.35</v>
      </c>
      <c r="DG300" s="486">
        <v>0.37</v>
      </c>
      <c r="DH300" s="486">
        <v>0.37</v>
      </c>
      <c r="DI300" s="486">
        <f ca="1">DD300*(1+DI303)</f>
        <v>0.36999999999999994</v>
      </c>
      <c r="DJ300" s="486">
        <f ca="1">DE300*(1+DJ303)</f>
        <v>0.36999999999999994</v>
      </c>
      <c r="DK300" s="1566">
        <f ca="1">SUM(DG300:DJ300)</f>
        <v>1.4799999999999998</v>
      </c>
      <c r="DL300" s="2295">
        <f>DG300*(1+DL303)</f>
        <v>0.40700000000000003</v>
      </c>
      <c r="DM300" s="1852">
        <f>DH300*(1+DM303)</f>
        <v>0.40700000000000003</v>
      </c>
      <c r="DN300" s="1852">
        <f ca="1">DI300*(1+DN303)</f>
        <v>0.40699999999999997</v>
      </c>
      <c r="DO300" s="2271">
        <f ca="1">DJ300*(1+DO303)</f>
        <v>0.40699999999999997</v>
      </c>
      <c r="DP300" s="2271">
        <f ca="1">SUM(DL300:DO300)</f>
        <v>1.6280000000000001</v>
      </c>
      <c r="DQ300" s="1852">
        <f>DL300*(1+DQ303)</f>
        <v>0.44770000000000004</v>
      </c>
      <c r="DR300" s="1852">
        <f>DM300*(1+DR303)</f>
        <v>0.44770000000000004</v>
      </c>
      <c r="DS300" s="1852">
        <f ca="1">DN300*(1+DS303)</f>
        <v>0.44769999999999999</v>
      </c>
      <c r="DT300" s="1853">
        <f ca="1">DO300*(1+DT303)</f>
        <v>0.44769999999999999</v>
      </c>
      <c r="DU300" s="1566">
        <f ca="1">SUM(DQ300:DT300)</f>
        <v>1.7908000000000002</v>
      </c>
      <c r="DV300" s="1852">
        <f>DQ300*(1+DV303)</f>
        <v>0.49247000000000007</v>
      </c>
      <c r="DW300" s="1852">
        <f>DR300*(1+DW303)</f>
        <v>0.49247000000000007</v>
      </c>
      <c r="DX300" s="1852">
        <f ca="1">DS300*(1+DX303)</f>
        <v>0.49247000000000002</v>
      </c>
      <c r="DY300" s="1853">
        <f ca="1">DT300*(1+DY303)</f>
        <v>0.49247000000000002</v>
      </c>
      <c r="DZ300" s="1566">
        <f ca="1">SUM(DV300:DY300)</f>
        <v>1.9698800000000001</v>
      </c>
      <c r="EA300" s="1852">
        <f>DV300*(1+EA303)</f>
        <v>0.54171700000000012</v>
      </c>
      <c r="EB300" s="1852">
        <f>DW300*(1+EB303)</f>
        <v>0.54171700000000012</v>
      </c>
      <c r="EC300" s="1852">
        <f ca="1">DX300*(1+EC303)</f>
        <v>0.54171700000000012</v>
      </c>
      <c r="ED300" s="1853">
        <f ca="1">DY300*(1+ED303)</f>
        <v>0.54171700000000012</v>
      </c>
      <c r="EE300" s="1566">
        <f ca="1">SUM(EA300:ED300)</f>
        <v>2.1668680000000005</v>
      </c>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row>
    <row r="301" spans="2:232" s="54" customFormat="1">
      <c r="B301" s="538" t="s">
        <v>81</v>
      </c>
      <c r="C301" s="64"/>
      <c r="D301" s="64"/>
      <c r="E301" s="64"/>
      <c r="F301" s="73"/>
      <c r="G301" s="73"/>
      <c r="H301" s="73"/>
      <c r="I301" s="73"/>
      <c r="J301" s="73"/>
      <c r="K301" s="73"/>
      <c r="L301" s="73"/>
      <c r="M301" s="73"/>
      <c r="N301" s="73"/>
      <c r="O301" s="73"/>
      <c r="P301" s="73"/>
      <c r="Q301" s="73"/>
      <c r="R301" s="73"/>
      <c r="S301" s="73"/>
      <c r="T301" s="73"/>
      <c r="U301" s="73"/>
      <c r="V301" s="73"/>
      <c r="W301" s="73"/>
      <c r="X301" s="73"/>
      <c r="Y301" s="73"/>
      <c r="Z301" s="73"/>
      <c r="AA301" s="73"/>
      <c r="AB301" s="73"/>
      <c r="AC301" s="73"/>
      <c r="AD301" s="73"/>
      <c r="AE301" s="73"/>
      <c r="AF301" s="73"/>
      <c r="AG301" s="73"/>
      <c r="AH301" s="73"/>
      <c r="AI301" s="73"/>
      <c r="AJ301" s="73"/>
      <c r="AK301" s="73"/>
      <c r="AL301" s="73"/>
      <c r="AM301" s="73"/>
      <c r="AN301" s="73"/>
      <c r="AO301" s="73"/>
      <c r="AP301" s="73"/>
      <c r="AQ301" s="73"/>
      <c r="AR301" s="73"/>
      <c r="AS301" s="73"/>
      <c r="AT301" s="73"/>
      <c r="AU301" s="73"/>
      <c r="AV301" s="73"/>
      <c r="AW301" s="73"/>
      <c r="AX301" s="73"/>
      <c r="AY301" s="73"/>
      <c r="AZ301" s="73"/>
      <c r="BA301" s="73"/>
      <c r="BB301" s="73"/>
      <c r="BC301" s="73"/>
      <c r="BD301" s="73"/>
      <c r="BE301" s="73"/>
      <c r="BF301" s="73"/>
      <c r="BG301" s="73"/>
      <c r="BH301" s="73">
        <f>Model!BH55</f>
        <v>1012.080363</v>
      </c>
      <c r="BI301" s="73"/>
      <c r="BJ301" s="73"/>
      <c r="BK301" s="73"/>
      <c r="BL301" s="73"/>
      <c r="BM301" s="73">
        <f>Model!BM55</f>
        <v>1007.862119</v>
      </c>
      <c r="BN301" s="73"/>
      <c r="BO301" s="73"/>
      <c r="BP301" s="73"/>
      <c r="BQ301" s="73"/>
      <c r="BR301" s="73">
        <f>Model!BR55</f>
        <v>991.14135699999997</v>
      </c>
      <c r="BS301" s="73"/>
      <c r="BT301" s="73"/>
      <c r="BU301" s="73"/>
      <c r="BV301" s="73"/>
      <c r="BW301" s="73">
        <f>Model!BW55</f>
        <v>989.17621799999995</v>
      </c>
      <c r="BX301" s="1446"/>
      <c r="BY301" s="73"/>
      <c r="BZ301" s="73"/>
      <c r="CA301" s="73"/>
      <c r="CB301" s="73">
        <f>Model!CB55</f>
        <v>988.56138999999996</v>
      </c>
      <c r="CC301" s="1446">
        <f>Model!CC55</f>
        <v>985.17393700000002</v>
      </c>
      <c r="CD301" s="73">
        <f>Model!CD55</f>
        <v>978.429303</v>
      </c>
      <c r="CE301" s="73">
        <f>Model!CE55</f>
        <v>973.17809299999999</v>
      </c>
      <c r="CF301" s="736">
        <f>Model!CF55</f>
        <v>929.74404900000002</v>
      </c>
      <c r="CG301" s="736">
        <f>Model!CG55</f>
        <v>929.74404900000002</v>
      </c>
      <c r="CH301" s="73">
        <f>-CH302/CH300</f>
        <v>948.57142857142867</v>
      </c>
      <c r="CI301" s="73">
        <f>-CI302/CI300</f>
        <v>925.71428571428578</v>
      </c>
      <c r="CJ301" s="73">
        <f>-CJ302/CJ300</f>
        <v>914.28571428571433</v>
      </c>
      <c r="CK301" s="73">
        <f>-CK302/CK300</f>
        <v>908.57142857142867</v>
      </c>
      <c r="CL301" s="777">
        <f>Model!CL55</f>
        <v>889.29413</v>
      </c>
      <c r="CM301" s="73">
        <f>Model!CM55</f>
        <v>873.50232600000004</v>
      </c>
      <c r="CN301" s="73">
        <f>Model!CN55</f>
        <v>862.75053400000002</v>
      </c>
      <c r="CO301" s="73">
        <f>Model!CO55</f>
        <v>858.46494199999995</v>
      </c>
      <c r="CP301" s="73">
        <f>Model!CP55</f>
        <v>944.05533400000002</v>
      </c>
      <c r="CQ301" s="777">
        <f>Model!CQ55</f>
        <v>944.05533400000002</v>
      </c>
      <c r="CR301" s="1446">
        <f>Model!CR55</f>
        <v>945.104739</v>
      </c>
      <c r="CS301" s="73">
        <f>Model!CS55</f>
        <v>947.48529699999995</v>
      </c>
      <c r="CT301" s="73">
        <f>Model!CT55</f>
        <v>945.00368000000003</v>
      </c>
      <c r="CU301" s="736">
        <f>Model!CU55</f>
        <v>946.59557800000005</v>
      </c>
      <c r="CV301" s="777">
        <f>Model!CV55</f>
        <v>946.59557800000005</v>
      </c>
      <c r="CW301" s="73">
        <f>Model!CW55</f>
        <v>949.3</v>
      </c>
      <c r="CX301" s="73">
        <f>Model!CX55</f>
        <v>951.9</v>
      </c>
      <c r="CY301" s="73">
        <f>Model!CY55</f>
        <v>956.56061199999999</v>
      </c>
      <c r="CZ301" s="73">
        <f>Model!CZ55</f>
        <v>956</v>
      </c>
      <c r="DA301" s="777">
        <f>Model!DA55</f>
        <v>956</v>
      </c>
      <c r="DB301" s="73">
        <f>Model!DB55</f>
        <v>945.64229799999998</v>
      </c>
      <c r="DC301" s="73">
        <f>Model!DC55</f>
        <v>1092.762105</v>
      </c>
      <c r="DD301" s="73">
        <f>Model!DD55</f>
        <v>1089.8893777272729</v>
      </c>
      <c r="DE301" s="73">
        <f>Model!DE55</f>
        <v>1085.1014989393941</v>
      </c>
      <c r="DF301" s="777">
        <f>Model!DF55</f>
        <v>1085.1014989393941</v>
      </c>
      <c r="DG301" s="73">
        <f>Model!DG55</f>
        <v>1078.7468710000001</v>
      </c>
      <c r="DH301" s="73">
        <f>Model!DH55</f>
        <v>1080.2449999999999</v>
      </c>
      <c r="DI301" s="73">
        <f>Model!DI55</f>
        <v>1082.317487</v>
      </c>
      <c r="DJ301" s="73">
        <f>Model!DJ55</f>
        <v>1083.282661</v>
      </c>
      <c r="DK301" s="777">
        <f>Model!DK55</f>
        <v>1083.282661</v>
      </c>
      <c r="DL301" s="1446">
        <f>Model!DL55</f>
        <v>1079.4096280000001</v>
      </c>
      <c r="DM301" s="73">
        <f>Model!DM55</f>
        <v>1080.9508940000001</v>
      </c>
      <c r="DN301" s="73">
        <f>Model!DN55</f>
        <v>1070.0964859999999</v>
      </c>
      <c r="DO301" s="2252">
        <f>Model!DO55</f>
        <v>1009.549218</v>
      </c>
      <c r="DP301" s="2256">
        <f>Model!DP55</f>
        <v>1009.549218</v>
      </c>
      <c r="DQ301" s="73">
        <f>Model!DQ55</f>
        <v>990.66883700000005</v>
      </c>
      <c r="DR301" s="73">
        <f>Model!DR55</f>
        <v>990.66883700000005</v>
      </c>
      <c r="DS301" s="73">
        <f>Model!DS55</f>
        <v>990.66883700000005</v>
      </c>
      <c r="DT301" s="736">
        <f>Model!DT55</f>
        <v>990.66883700000005</v>
      </c>
      <c r="DU301" s="777">
        <f>Model!DU55</f>
        <v>990.66883700000005</v>
      </c>
      <c r="DV301" s="73">
        <f>Model!DV55</f>
        <v>978.47371504878049</v>
      </c>
      <c r="DW301" s="73">
        <f>Model!DW55</f>
        <v>966.27859309756093</v>
      </c>
      <c r="DX301" s="73">
        <f>Model!DX55</f>
        <v>954.08347114634137</v>
      </c>
      <c r="DY301" s="736">
        <f>Model!DY55</f>
        <v>941.8883491951218</v>
      </c>
      <c r="DZ301" s="777">
        <f>Model!DZ55</f>
        <v>941.8883491951218</v>
      </c>
      <c r="EA301" s="73">
        <f>Model!EA55</f>
        <v>929.69322724390224</v>
      </c>
      <c r="EB301" s="73">
        <f>Model!EB55</f>
        <v>917.49810529268268</v>
      </c>
      <c r="EC301" s="73">
        <f>Model!EC55</f>
        <v>905.30298334146312</v>
      </c>
      <c r="ED301" s="736">
        <f>Model!ED55</f>
        <v>893.10786139024356</v>
      </c>
      <c r="EE301" s="777">
        <f>Model!EE55</f>
        <v>893.10786139024356</v>
      </c>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row>
    <row r="302" spans="2:232" s="54" customFormat="1">
      <c r="B302" s="538" t="s">
        <v>165</v>
      </c>
      <c r="C302" s="64"/>
      <c r="D302" s="64"/>
      <c r="E302" s="64"/>
      <c r="F302" s="73"/>
      <c r="G302" s="73"/>
      <c r="H302" s="73"/>
      <c r="I302" s="73"/>
      <c r="J302" s="73"/>
      <c r="K302" s="73"/>
      <c r="L302" s="73"/>
      <c r="M302" s="73"/>
      <c r="N302" s="73"/>
      <c r="O302" s="73"/>
      <c r="P302" s="73"/>
      <c r="Q302" s="73"/>
      <c r="R302" s="73"/>
      <c r="S302" s="73"/>
      <c r="T302" s="73"/>
      <c r="U302" s="73"/>
      <c r="V302" s="73"/>
      <c r="W302" s="73"/>
      <c r="X302" s="73"/>
      <c r="Y302" s="73"/>
      <c r="Z302" s="73"/>
      <c r="AA302" s="73"/>
      <c r="AB302" s="73"/>
      <c r="AC302" s="73"/>
      <c r="AD302" s="73"/>
      <c r="AE302" s="73"/>
      <c r="AF302" s="73"/>
      <c r="AG302" s="73"/>
      <c r="AH302" s="73"/>
      <c r="AI302" s="73"/>
      <c r="AJ302" s="73"/>
      <c r="AK302" s="73"/>
      <c r="AL302" s="73"/>
      <c r="AM302" s="73"/>
      <c r="AN302" s="73"/>
      <c r="AO302" s="73"/>
      <c r="AP302" s="73"/>
      <c r="AQ302" s="73"/>
      <c r="AR302" s="73"/>
      <c r="AS302" s="73"/>
      <c r="AT302" s="73"/>
      <c r="AU302" s="73"/>
      <c r="AV302" s="73"/>
      <c r="AW302" s="73"/>
      <c r="AX302" s="73"/>
      <c r="AY302" s="73"/>
      <c r="AZ302" s="73"/>
      <c r="BA302" s="73"/>
      <c r="BB302" s="73"/>
      <c r="BC302" s="73"/>
      <c r="BD302" s="73"/>
      <c r="BE302" s="73"/>
      <c r="BF302" s="73"/>
      <c r="BG302" s="73"/>
      <c r="BH302" s="73">
        <f>BH380</f>
        <v>-214.5</v>
      </c>
      <c r="BI302" s="73"/>
      <c r="BJ302" s="73"/>
      <c r="BK302" s="73"/>
      <c r="BL302" s="73"/>
      <c r="BM302" s="73">
        <f>BM380</f>
        <v>-262.89999999999998</v>
      </c>
      <c r="BN302" s="73"/>
      <c r="BO302" s="73"/>
      <c r="BP302" s="73"/>
      <c r="BQ302" s="73"/>
      <c r="BR302" s="73">
        <f>BR380</f>
        <v>-310.2</v>
      </c>
      <c r="BS302" s="73"/>
      <c r="BT302" s="73"/>
      <c r="BU302" s="73"/>
      <c r="BV302" s="73"/>
      <c r="BW302" s="73">
        <f>BW380</f>
        <v>-376.5</v>
      </c>
      <c r="BX302" s="1446"/>
      <c r="BY302" s="73"/>
      <c r="BZ302" s="73"/>
      <c r="CA302" s="73"/>
      <c r="CB302" s="73">
        <f t="shared" ref="CB302:CK302" si="743">CB380</f>
        <v>-446</v>
      </c>
      <c r="CC302" s="1446">
        <f t="shared" si="743"/>
        <v>-136</v>
      </c>
      <c r="CD302" s="73">
        <f t="shared" si="743"/>
        <v>-136</v>
      </c>
      <c r="CE302" s="73">
        <f t="shared" si="743"/>
        <v>-135</v>
      </c>
      <c r="CF302" s="736">
        <f t="shared" si="743"/>
        <v>-134</v>
      </c>
      <c r="CG302" s="736">
        <f t="shared" si="743"/>
        <v>-541</v>
      </c>
      <c r="CH302" s="73">
        <f t="shared" si="743"/>
        <v>-166</v>
      </c>
      <c r="CI302" s="73">
        <f t="shared" si="743"/>
        <v>-162</v>
      </c>
      <c r="CJ302" s="73">
        <f t="shared" si="743"/>
        <v>-160</v>
      </c>
      <c r="CK302" s="73">
        <f t="shared" si="743"/>
        <v>-159</v>
      </c>
      <c r="CL302" s="777">
        <f>SUM(CH302:CK302)</f>
        <v>-647</v>
      </c>
      <c r="CM302" s="73">
        <f>CM380</f>
        <v>-202</v>
      </c>
      <c r="CN302" s="73">
        <f>CN380</f>
        <v>-196</v>
      </c>
      <c r="CO302" s="73">
        <f>CO380</f>
        <v>-195</v>
      </c>
      <c r="CP302" s="73">
        <f>CP380</f>
        <v>-194</v>
      </c>
      <c r="CQ302" s="777">
        <f>SUM(CM302:CP302)</f>
        <v>-787</v>
      </c>
      <c r="CR302" s="1446">
        <f>CR380</f>
        <v>-260</v>
      </c>
      <c r="CS302" s="73">
        <f>CS380</f>
        <v>-260</v>
      </c>
      <c r="CT302" s="73">
        <f>CT380</f>
        <v>-260</v>
      </c>
      <c r="CU302" s="736">
        <f>CU380</f>
        <v>-260</v>
      </c>
      <c r="CV302" s="777">
        <f>SUM(CR302:CU302)</f>
        <v>-1040</v>
      </c>
      <c r="CW302" s="73">
        <f>CW380</f>
        <v>-298</v>
      </c>
      <c r="CX302" s="73">
        <f t="shared" ref="CX302:DF302" si="744">-CX300*CX301</f>
        <v>-299.8485</v>
      </c>
      <c r="CY302" s="73">
        <f t="shared" si="744"/>
        <v>-301.31659278000001</v>
      </c>
      <c r="CZ302" s="73">
        <f t="shared" si="744"/>
        <v>-322.65000000000003</v>
      </c>
      <c r="DA302" s="777">
        <f t="shared" si="744"/>
        <v>-1226.0700000000002</v>
      </c>
      <c r="DB302" s="73">
        <f t="shared" si="744"/>
        <v>-319.15427557500004</v>
      </c>
      <c r="DC302" s="73">
        <f t="shared" si="744"/>
        <v>-368.80721043750003</v>
      </c>
      <c r="DD302" s="73">
        <f t="shared" si="744"/>
        <v>-367.83766498295461</v>
      </c>
      <c r="DE302" s="73">
        <f>-DE300*DE301</f>
        <v>-366.22175589204551</v>
      </c>
      <c r="DF302" s="777">
        <f t="shared" si="744"/>
        <v>-1464.887023568182</v>
      </c>
      <c r="DG302" s="73">
        <f>-DG300*DG301</f>
        <v>-399.13634227</v>
      </c>
      <c r="DH302" s="73">
        <f>-DH300*DH301</f>
        <v>-399.69064999999995</v>
      </c>
      <c r="DI302" s="73">
        <f t="shared" ref="DI302:DU302" ca="1" si="745">-DI300*DI301</f>
        <v>-400.45747018999992</v>
      </c>
      <c r="DJ302" s="73">
        <f t="shared" ref="DJ302" ca="1" si="746">-DJ300*DJ301</f>
        <v>-400.81458456999991</v>
      </c>
      <c r="DK302" s="777">
        <f t="shared" ca="1" si="745"/>
        <v>-1603.2583382799996</v>
      </c>
      <c r="DL302" s="624">
        <f t="shared" si="745"/>
        <v>-439.31971859600009</v>
      </c>
      <c r="DM302" s="269">
        <f t="shared" ref="DM302" si="747">-DM300*DM301</f>
        <v>-439.94701385800005</v>
      </c>
      <c r="DN302" s="269">
        <f t="shared" ca="1" si="745"/>
        <v>-435.52926980199993</v>
      </c>
      <c r="DO302" s="602">
        <f t="shared" ref="DO302:DQ302" ca="1" si="748">-DO300*DO301</f>
        <v>-410.88653172599999</v>
      </c>
      <c r="DP302" s="2256">
        <f t="shared" ca="1" si="745"/>
        <v>-1643.5461269040002</v>
      </c>
      <c r="DQ302" s="73">
        <f t="shared" si="748"/>
        <v>-443.52243832490007</v>
      </c>
      <c r="DR302" s="73">
        <f t="shared" si="745"/>
        <v>-443.52243832490007</v>
      </c>
      <c r="DS302" s="73">
        <f t="shared" ca="1" si="745"/>
        <v>-443.52243832490001</v>
      </c>
      <c r="DT302" s="736">
        <f t="shared" ca="1" si="745"/>
        <v>-443.52243832490001</v>
      </c>
      <c r="DU302" s="777">
        <f t="shared" ca="1" si="745"/>
        <v>-1774.0897532996003</v>
      </c>
      <c r="DV302" s="73">
        <f t="shared" ref="DV302:DZ302" si="749">-DV300*DV301</f>
        <v>-481.86895045007299</v>
      </c>
      <c r="DW302" s="73">
        <f t="shared" si="749"/>
        <v>-475.86321874275592</v>
      </c>
      <c r="DX302" s="73">
        <f t="shared" ca="1" si="749"/>
        <v>-469.85748703543874</v>
      </c>
      <c r="DY302" s="736">
        <f t="shared" ca="1" si="749"/>
        <v>-463.85175532812167</v>
      </c>
      <c r="DZ302" s="777">
        <f t="shared" ca="1" si="749"/>
        <v>-1855.4070213124867</v>
      </c>
      <c r="EA302" s="73">
        <f t="shared" ref="EA302:EE302" si="750">-EA300*EA301</f>
        <v>-503.63062598288508</v>
      </c>
      <c r="EB302" s="73">
        <f t="shared" si="750"/>
        <v>-497.0243211048363</v>
      </c>
      <c r="EC302" s="73">
        <f t="shared" ca="1" si="750"/>
        <v>-490.41801622678747</v>
      </c>
      <c r="ED302" s="736">
        <f t="shared" ca="1" si="750"/>
        <v>-483.8117113487387</v>
      </c>
      <c r="EE302" s="777">
        <f t="shared" ca="1" si="750"/>
        <v>-1935.2468453949548</v>
      </c>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row>
    <row r="303" spans="2:232" s="487" customFormat="1">
      <c r="B303" s="904" t="s">
        <v>26</v>
      </c>
      <c r="C303" s="113"/>
      <c r="D303" s="113"/>
      <c r="E303" s="113"/>
      <c r="F303" s="115"/>
      <c r="G303" s="115"/>
      <c r="H303" s="115"/>
      <c r="I303" s="115"/>
      <c r="J303" s="115"/>
      <c r="K303" s="115"/>
      <c r="L303" s="115"/>
      <c r="M303" s="115"/>
      <c r="N303" s="115"/>
      <c r="O303" s="115"/>
      <c r="P303" s="115"/>
      <c r="Q303" s="115"/>
      <c r="R303" s="115"/>
      <c r="S303" s="115"/>
      <c r="T303" s="115"/>
      <c r="U303" s="115"/>
      <c r="V303" s="115"/>
      <c r="W303" s="115"/>
      <c r="X303" s="115"/>
      <c r="Y303" s="115"/>
      <c r="Z303" s="115"/>
      <c r="AA303" s="115"/>
      <c r="AB303" s="115"/>
      <c r="AC303" s="115"/>
      <c r="AD303" s="115"/>
      <c r="AE303" s="115"/>
      <c r="AF303" s="115"/>
      <c r="AG303" s="115"/>
      <c r="AH303" s="115"/>
      <c r="AI303" s="115"/>
      <c r="AJ303" s="115"/>
      <c r="AK303" s="115"/>
      <c r="AL303" s="115"/>
      <c r="AM303" s="115"/>
      <c r="AN303" s="115"/>
      <c r="AO303" s="115"/>
      <c r="AP303" s="115"/>
      <c r="AQ303" s="115"/>
      <c r="AR303" s="115"/>
      <c r="AS303" s="115"/>
      <c r="AT303" s="115"/>
      <c r="AU303" s="115"/>
      <c r="AV303" s="115"/>
      <c r="AW303" s="115"/>
      <c r="AX303" s="115"/>
      <c r="AY303" s="115"/>
      <c r="AZ303" s="115"/>
      <c r="BA303" s="115"/>
      <c r="BB303" s="115"/>
      <c r="BC303" s="115"/>
      <c r="BD303" s="115"/>
      <c r="BE303" s="115"/>
      <c r="BF303" s="115"/>
      <c r="BG303" s="115"/>
      <c r="BH303" s="115"/>
      <c r="BI303" s="115"/>
      <c r="BJ303" s="115"/>
      <c r="BK303" s="115"/>
      <c r="BL303" s="115"/>
      <c r="BM303" s="115">
        <f>BM300/BH300-1</f>
        <v>0.23077074805552988</v>
      </c>
      <c r="BN303" s="115"/>
      <c r="BO303" s="115"/>
      <c r="BP303" s="115"/>
      <c r="BQ303" s="115"/>
      <c r="BR303" s="115">
        <f>BR300/BM300-1</f>
        <v>0.19982175306778571</v>
      </c>
      <c r="BS303" s="115"/>
      <c r="BT303" s="115"/>
      <c r="BU303" s="115"/>
      <c r="BV303" s="115"/>
      <c r="BW303" s="115">
        <f>BW300/BR300-1</f>
        <v>0.21614432851501353</v>
      </c>
      <c r="BX303" s="1474"/>
      <c r="BY303" s="115"/>
      <c r="BZ303" s="115"/>
      <c r="CA303" s="115"/>
      <c r="CB303" s="115">
        <f>CB300/BW300-1</f>
        <v>0.1853317030559567</v>
      </c>
      <c r="CC303" s="1474"/>
      <c r="CD303" s="115"/>
      <c r="CE303" s="115"/>
      <c r="CF303" s="1475"/>
      <c r="CG303" s="1475">
        <f t="shared" ref="CG303:DA303" si="751">CG300/CB300-1</f>
        <v>0.2897414082622618</v>
      </c>
      <c r="CH303" s="115">
        <f t="shared" si="751"/>
        <v>0.27272727272727249</v>
      </c>
      <c r="CI303" s="115">
        <f t="shared" si="751"/>
        <v>0.27272727272727249</v>
      </c>
      <c r="CJ303" s="115">
        <f t="shared" si="751"/>
        <v>0.27272727272727249</v>
      </c>
      <c r="CK303" s="115">
        <f t="shared" si="751"/>
        <v>0.27272727272727249</v>
      </c>
      <c r="CL303" s="1362">
        <f t="shared" si="751"/>
        <v>0.25033099480646204</v>
      </c>
      <c r="CM303" s="115">
        <f t="shared" si="751"/>
        <v>0.28571428571428581</v>
      </c>
      <c r="CN303" s="115">
        <f t="shared" si="751"/>
        <v>0.28571428571428581</v>
      </c>
      <c r="CO303" s="115">
        <f t="shared" si="751"/>
        <v>0.2979979260302914</v>
      </c>
      <c r="CP303" s="115">
        <f t="shared" si="751"/>
        <v>0.57142857142857162</v>
      </c>
      <c r="CQ303" s="1362">
        <f t="shared" si="751"/>
        <v>0.30871883016214796</v>
      </c>
      <c r="CR303" s="1474">
        <f t="shared" si="751"/>
        <v>0.22222222222222232</v>
      </c>
      <c r="CS303" s="115">
        <f t="shared" si="751"/>
        <v>0.22222222222222232</v>
      </c>
      <c r="CT303" s="115">
        <f t="shared" si="751"/>
        <v>0.21065568743589758</v>
      </c>
      <c r="CU303" s="1475">
        <f t="shared" si="751"/>
        <v>0.14545454545454528</v>
      </c>
      <c r="CV303" s="1362">
        <f t="shared" si="751"/>
        <v>0.19729079929669591</v>
      </c>
      <c r="CW303" s="115">
        <f t="shared" si="751"/>
        <v>0.14545454545454528</v>
      </c>
      <c r="CX303" s="115">
        <f t="shared" si="751"/>
        <v>0.14545454545454528</v>
      </c>
      <c r="CY303" s="115">
        <f t="shared" si="751"/>
        <v>0.14545454545454528</v>
      </c>
      <c r="CZ303" s="1475">
        <f t="shared" si="751"/>
        <v>7.1428571428571397E-2</v>
      </c>
      <c r="DA303" s="1362">
        <f t="shared" si="751"/>
        <v>0.125</v>
      </c>
      <c r="DB303" s="115">
        <f t="shared" ref="DB303:DG303" si="752">DB300/CW300-1</f>
        <v>7.1428571428571397E-2</v>
      </c>
      <c r="DC303" s="115">
        <f t="shared" si="752"/>
        <v>7.1428571428571397E-2</v>
      </c>
      <c r="DD303" s="115">
        <f t="shared" si="752"/>
        <v>7.1428571428571397E-2</v>
      </c>
      <c r="DE303" s="115">
        <f t="shared" si="752"/>
        <v>0</v>
      </c>
      <c r="DF303" s="1362">
        <f t="shared" si="752"/>
        <v>5.2631578947368363E-2</v>
      </c>
      <c r="DG303" s="115">
        <f t="shared" si="752"/>
        <v>9.6296296296296102E-2</v>
      </c>
      <c r="DH303" s="115">
        <f t="shared" ref="DH303" si="753">DH300/DC300-1</f>
        <v>9.6296296296296102E-2</v>
      </c>
      <c r="DI303" s="115">
        <f t="shared" ref="DI303:DJ303" ca="1" si="754">DI300/DD300-1</f>
        <v>9.6296296296296102E-2</v>
      </c>
      <c r="DJ303" s="115">
        <f t="shared" ca="1" si="754"/>
        <v>9.6296296296296102E-2</v>
      </c>
      <c r="DK303" s="1423">
        <f ca="1">DK300/DF300-1</f>
        <v>9.6296296296296102E-2</v>
      </c>
      <c r="DL303" s="1854">
        <v>0.1</v>
      </c>
      <c r="DM303" s="1854">
        <v>0.1</v>
      </c>
      <c r="DN303" s="1854">
        <v>0.1</v>
      </c>
      <c r="DO303" s="1855">
        <v>0.1</v>
      </c>
      <c r="DP303" s="1855">
        <f ca="1">DP300/DK300-1</f>
        <v>0.10000000000000031</v>
      </c>
      <c r="DQ303" s="1854">
        <v>0.1</v>
      </c>
      <c r="DR303" s="1854">
        <v>0.1</v>
      </c>
      <c r="DS303" s="1854">
        <v>0.1</v>
      </c>
      <c r="DT303" s="1855">
        <v>0.1</v>
      </c>
      <c r="DU303" s="1423">
        <f ca="1">DU300/DP300-1</f>
        <v>0.10000000000000009</v>
      </c>
      <c r="DV303" s="1854">
        <v>0.1</v>
      </c>
      <c r="DW303" s="1854">
        <v>0.1</v>
      </c>
      <c r="DX303" s="1854">
        <v>0.1</v>
      </c>
      <c r="DY303" s="1855">
        <v>0.1</v>
      </c>
      <c r="DZ303" s="1423">
        <f ca="1">DZ300/DU300-1</f>
        <v>9.9999999999999867E-2</v>
      </c>
      <c r="EA303" s="1854">
        <v>0.1</v>
      </c>
      <c r="EB303" s="1854">
        <v>0.1</v>
      </c>
      <c r="EC303" s="1854">
        <v>0.1</v>
      </c>
      <c r="ED303" s="1855">
        <v>0.1</v>
      </c>
      <c r="EE303" s="1423">
        <f ca="1">EE300/DZ300-1</f>
        <v>0.10000000000000009</v>
      </c>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row>
    <row r="304" spans="2:232" s="54" customFormat="1" ht="12" thickBot="1">
      <c r="B304" s="612" t="s">
        <v>166</v>
      </c>
      <c r="C304" s="581"/>
      <c r="D304" s="581"/>
      <c r="E304" s="581"/>
      <c r="F304" s="1345"/>
      <c r="G304" s="1345"/>
      <c r="H304" s="1345"/>
      <c r="I304" s="1345"/>
      <c r="J304" s="1345"/>
      <c r="K304" s="1345"/>
      <c r="L304" s="1345"/>
      <c r="M304" s="1345"/>
      <c r="N304" s="1345"/>
      <c r="O304" s="1345"/>
      <c r="P304" s="1345"/>
      <c r="Q304" s="1345"/>
      <c r="R304" s="1345"/>
      <c r="S304" s="1345"/>
      <c r="T304" s="1345"/>
      <c r="U304" s="1345"/>
      <c r="V304" s="1345"/>
      <c r="W304" s="1345"/>
      <c r="X304" s="1345"/>
      <c r="Y304" s="1345"/>
      <c r="Z304" s="1345"/>
      <c r="AA304" s="1345"/>
      <c r="AB304" s="1345"/>
      <c r="AC304" s="1345"/>
      <c r="AD304" s="1345"/>
      <c r="AE304" s="1345"/>
      <c r="AF304" s="1345"/>
      <c r="AG304" s="1345"/>
      <c r="AH304" s="1345"/>
      <c r="AI304" s="1345"/>
      <c r="AJ304" s="1345"/>
      <c r="AK304" s="1345"/>
      <c r="AL304" s="1345"/>
      <c r="AM304" s="1345"/>
      <c r="AN304" s="1345"/>
      <c r="AO304" s="1345"/>
      <c r="AP304" s="1345"/>
      <c r="AQ304" s="1345"/>
      <c r="AR304" s="1345"/>
      <c r="AS304" s="1345"/>
      <c r="AT304" s="1345"/>
      <c r="AU304" s="1345"/>
      <c r="AV304" s="1345"/>
      <c r="AW304" s="1345"/>
      <c r="AX304" s="1345"/>
      <c r="AY304" s="1345"/>
      <c r="AZ304" s="1345"/>
      <c r="BA304" s="1345"/>
      <c r="BB304" s="1345"/>
      <c r="BC304" s="1345"/>
      <c r="BD304" s="1345"/>
      <c r="BE304" s="1345"/>
      <c r="BF304" s="1345"/>
      <c r="BG304" s="1345"/>
      <c r="BH304" s="905">
        <f>BH302/Model!BH33</f>
        <v>-0.13754408464251364</v>
      </c>
      <c r="BI304" s="905"/>
      <c r="BJ304" s="905"/>
      <c r="BK304" s="905"/>
      <c r="BL304" s="905"/>
      <c r="BM304" s="905">
        <f>BM302/Model!BM33</f>
        <v>-0.1501770821432647</v>
      </c>
      <c r="BN304" s="905"/>
      <c r="BO304" s="905"/>
      <c r="BP304" s="905"/>
      <c r="BQ304" s="905"/>
      <c r="BR304" s="905">
        <f>BR302/Model!BR33</f>
        <v>-0.15197687521434569</v>
      </c>
      <c r="BS304" s="1345"/>
      <c r="BT304" s="1345"/>
      <c r="BU304" s="1345"/>
      <c r="BV304" s="1345"/>
      <c r="BW304" s="905">
        <f>BW302/Model!BW33</f>
        <v>-0.18560238202047835</v>
      </c>
      <c r="BX304" s="1476"/>
      <c r="BY304" s="1345"/>
      <c r="BZ304" s="1345"/>
      <c r="CA304" s="1345"/>
      <c r="CB304" s="905">
        <f>CB302/Model!CB33</f>
        <v>-0.22233300099700898</v>
      </c>
      <c r="CC304" s="1476">
        <f t="shared" ref="CC304:DF304" si="755">CC300/CC46</f>
        <v>0.25579119850187265</v>
      </c>
      <c r="CD304" s="905">
        <f t="shared" si="755"/>
        <v>0.19168661971830986</v>
      </c>
      <c r="CE304" s="905">
        <f t="shared" si="755"/>
        <v>0.24550000000000002</v>
      </c>
      <c r="CF304" s="1477">
        <f t="shared" si="755"/>
        <v>0.24436003683241253</v>
      </c>
      <c r="CG304" s="1477">
        <f t="shared" si="755"/>
        <v>0.24551922912506086</v>
      </c>
      <c r="CH304" s="905">
        <f t="shared" si="755"/>
        <v>0.25587245696400623</v>
      </c>
      <c r="CI304" s="905">
        <f t="shared" si="755"/>
        <v>0.20249376558603491</v>
      </c>
      <c r="CJ304" s="905">
        <f t="shared" si="755"/>
        <v>0.24087313432835819</v>
      </c>
      <c r="CK304" s="905">
        <f t="shared" si="755"/>
        <v>0.26606427378964942</v>
      </c>
      <c r="CL304" s="1363">
        <f t="shared" si="755"/>
        <v>0.24810355226145095</v>
      </c>
      <c r="CM304" s="905">
        <f t="shared" si="755"/>
        <v>0.31690140845070425</v>
      </c>
      <c r="CN304" s="905">
        <f t="shared" si="755"/>
        <v>0.25659387222946545</v>
      </c>
      <c r="CO304" s="905">
        <f t="shared" si="755"/>
        <v>0.31548560702125139</v>
      </c>
      <c r="CP304" s="905">
        <f t="shared" si="755"/>
        <v>0.43650793650793657</v>
      </c>
      <c r="CQ304" s="1363">
        <f t="shared" si="755"/>
        <v>0.32496574643525628</v>
      </c>
      <c r="CR304" s="905">
        <f t="shared" si="755"/>
        <v>0.47301989150090418</v>
      </c>
      <c r="CS304" s="905">
        <f t="shared" si="755"/>
        <v>0.28654098360655739</v>
      </c>
      <c r="CT304" s="905">
        <f t="shared" si="755"/>
        <v>0.32478448275862071</v>
      </c>
      <c r="CU304" s="905">
        <f t="shared" si="755"/>
        <v>0.42955769230769231</v>
      </c>
      <c r="CV304" s="1363">
        <f t="shared" si="755"/>
        <v>0.3652532920859145</v>
      </c>
      <c r="CW304" s="905">
        <f t="shared" si="755"/>
        <v>0.4402216569767442</v>
      </c>
      <c r="CX304" s="905">
        <f t="shared" si="755"/>
        <v>0.34496079545454539</v>
      </c>
      <c r="CY304" s="905">
        <f t="shared" si="755"/>
        <v>0.34518006795016987</v>
      </c>
      <c r="CZ304" s="905">
        <f t="shared" si="755"/>
        <v>0.457515756302521</v>
      </c>
      <c r="DA304" s="1363">
        <f t="shared" si="755"/>
        <v>0.39113219526520737</v>
      </c>
      <c r="DB304" s="905">
        <f t="shared" si="755"/>
        <v>0.43077436582109485</v>
      </c>
      <c r="DC304" s="905">
        <f t="shared" si="755"/>
        <v>0.28614248392282954</v>
      </c>
      <c r="DD304" s="905">
        <f t="shared" si="755"/>
        <v>0.33130899376669642</v>
      </c>
      <c r="DE304" s="905">
        <f>DE300/DE46</f>
        <v>0.38399767801857587</v>
      </c>
      <c r="DF304" s="1363">
        <f t="shared" si="755"/>
        <v>0.34829008567931463</v>
      </c>
      <c r="DG304" s="905">
        <f>DG300/DG46</f>
        <v>0.35908303886925791</v>
      </c>
      <c r="DH304" s="905">
        <f>DH300/DH46</f>
        <v>0.28299929725931133</v>
      </c>
      <c r="DI304" s="905">
        <f t="shared" ref="DI304:DU304" ca="1" si="756">DI300/DI46</f>
        <v>0.31260403726708069</v>
      </c>
      <c r="DJ304" s="905">
        <f t="shared" ref="DJ304" ca="1" si="757">DJ300/DJ46</f>
        <v>0.34556603773584899</v>
      </c>
      <c r="DK304" s="1363">
        <f t="shared" ca="1" si="756"/>
        <v>0.32228988903347894</v>
      </c>
      <c r="DL304" s="905">
        <f t="shared" si="756"/>
        <v>0.36880774354704415</v>
      </c>
      <c r="DM304" s="905">
        <f t="shared" ref="DM304" si="758">DM300/DM46</f>
        <v>0.29932147696476968</v>
      </c>
      <c r="DN304" s="905">
        <f t="shared" ca="1" si="756"/>
        <v>0.30577251908396941</v>
      </c>
      <c r="DO304" s="1477">
        <f t="shared" ref="DO304:DQ304" ca="1" si="759">DO300/DO46</f>
        <v>0.31134765342960291</v>
      </c>
      <c r="DP304" s="1477">
        <f t="shared" ca="1" si="756"/>
        <v>0.31911724085726517</v>
      </c>
      <c r="DQ304" s="905">
        <f t="shared" si="759"/>
        <v>0.34955171428571435</v>
      </c>
      <c r="DR304" s="905">
        <f t="shared" ca="1" si="756"/>
        <v>0.29055070209848372</v>
      </c>
      <c r="DS304" s="905">
        <f t="shared" ca="1" si="756"/>
        <v>0.29600157562788676</v>
      </c>
      <c r="DT304" s="1477">
        <f t="shared" ca="1" si="756"/>
        <v>0.31203142646114423</v>
      </c>
      <c r="DU304" s="1363">
        <f t="shared" ca="1" si="756"/>
        <v>0.31042131916138643</v>
      </c>
      <c r="DV304" s="905">
        <f t="shared" ref="DV304:DZ304" ca="1" si="760">DV300/DV46</f>
        <v>0.34769312168828775</v>
      </c>
      <c r="DW304" s="905">
        <f t="shared" ca="1" si="760"/>
        <v>0.29058200066701345</v>
      </c>
      <c r="DX304" s="905">
        <f t="shared" ca="1" si="760"/>
        <v>0.28373289448201011</v>
      </c>
      <c r="DY304" s="1477">
        <f t="shared" ca="1" si="760"/>
        <v>0.28713231367790448</v>
      </c>
      <c r="DZ304" s="1363">
        <f t="shared" ca="1" si="760"/>
        <v>0.30019605813170219</v>
      </c>
      <c r="EA304" s="905">
        <f t="shared" ref="EA304:EE304" ca="1" si="761">EA300/EA46</f>
        <v>0.35221726905479173</v>
      </c>
      <c r="EB304" s="905">
        <f t="shared" ca="1" si="761"/>
        <v>0.29943657536435198</v>
      </c>
      <c r="EC304" s="905">
        <f t="shared" ca="1" si="761"/>
        <v>0.28979041456217125</v>
      </c>
      <c r="ED304" s="1477">
        <f t="shared" ca="1" si="761"/>
        <v>0.29239090929400802</v>
      </c>
      <c r="EE304" s="1363">
        <f t="shared" ca="1" si="761"/>
        <v>0.30652255244989374</v>
      </c>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row>
    <row r="305" spans="2:232" s="54" customFormat="1" ht="12" thickBot="1">
      <c r="F305" s="426"/>
      <c r="G305" s="426"/>
      <c r="H305" s="426"/>
      <c r="I305" s="426"/>
      <c r="J305" s="426"/>
      <c r="K305" s="426"/>
      <c r="L305" s="426"/>
      <c r="M305" s="426"/>
      <c r="N305" s="426"/>
      <c r="O305" s="426"/>
      <c r="P305" s="426"/>
      <c r="Q305" s="426"/>
      <c r="R305" s="426"/>
      <c r="S305" s="426"/>
      <c r="T305" s="426"/>
      <c r="U305" s="426"/>
      <c r="V305" s="426"/>
      <c r="W305" s="426"/>
      <c r="X305" s="426"/>
      <c r="Y305" s="426"/>
      <c r="Z305" s="426"/>
      <c r="AA305" s="426"/>
      <c r="AB305" s="426"/>
      <c r="AC305" s="426"/>
      <c r="AD305" s="426"/>
      <c r="AE305" s="426"/>
      <c r="AF305" s="426"/>
      <c r="AG305" s="426"/>
      <c r="AH305" s="426"/>
      <c r="AI305" s="426"/>
      <c r="AJ305" s="426"/>
      <c r="AK305" s="426"/>
      <c r="AL305" s="426"/>
      <c r="AM305" s="426"/>
      <c r="AN305" s="426"/>
      <c r="AO305" s="426"/>
      <c r="AP305" s="426"/>
      <c r="AQ305" s="426"/>
      <c r="AR305" s="426"/>
      <c r="AS305" s="426"/>
      <c r="AT305" s="426"/>
      <c r="AU305" s="426"/>
      <c r="AV305" s="426"/>
      <c r="AW305" s="426"/>
      <c r="AX305" s="426"/>
      <c r="AY305" s="426"/>
      <c r="AZ305" s="426"/>
      <c r="BA305" s="426"/>
      <c r="BB305" s="426"/>
      <c r="BC305" s="426"/>
      <c r="BD305" s="426"/>
      <c r="BE305" s="426"/>
      <c r="BF305" s="426"/>
      <c r="BG305" s="426"/>
      <c r="BH305" s="426"/>
      <c r="BI305" s="426"/>
      <c r="BJ305" s="426"/>
      <c r="BK305" s="426"/>
      <c r="BL305" s="426"/>
      <c r="BM305" s="426"/>
      <c r="BN305" s="426"/>
      <c r="BO305" s="426"/>
      <c r="BP305" s="426"/>
      <c r="BQ305" s="426"/>
      <c r="BR305" s="426"/>
      <c r="BS305" s="426"/>
      <c r="BT305" s="426"/>
      <c r="BU305" s="426"/>
      <c r="BV305" s="426"/>
      <c r="BW305" s="426"/>
      <c r="BX305" s="426"/>
      <c r="BY305" s="426"/>
      <c r="BZ305" s="426"/>
      <c r="CA305" s="426"/>
      <c r="CB305" s="426"/>
      <c r="CC305" s="426"/>
      <c r="CD305" s="426"/>
      <c r="CE305" s="426"/>
      <c r="CF305" s="426"/>
      <c r="CG305" s="426"/>
      <c r="CH305" s="426"/>
      <c r="CI305" s="426"/>
      <c r="CJ305" s="426"/>
      <c r="CK305" s="426"/>
      <c r="CL305" s="426"/>
      <c r="CM305" s="76"/>
      <c r="CN305" s="76"/>
      <c r="CO305" s="76"/>
      <c r="CP305" s="76"/>
      <c r="CQ305" s="426"/>
      <c r="CR305" s="76"/>
      <c r="CS305" s="76"/>
      <c r="CT305" s="76"/>
      <c r="CU305" s="76"/>
      <c r="CV305" s="426"/>
      <c r="CW305" s="76"/>
      <c r="CX305" s="76"/>
      <c r="CY305" s="76"/>
      <c r="CZ305" s="76"/>
      <c r="DA305" s="73"/>
      <c r="DB305" s="76"/>
      <c r="DC305" s="76"/>
      <c r="DD305" s="76"/>
      <c r="DE305" s="76"/>
      <c r="DF305" s="426"/>
      <c r="DG305" s="76"/>
      <c r="DH305" s="76"/>
      <c r="DI305" s="76"/>
      <c r="DJ305" s="76"/>
      <c r="DK305" s="426"/>
      <c r="DL305" s="73"/>
      <c r="DM305" s="73"/>
      <c r="DN305" s="73"/>
      <c r="DO305" s="2256"/>
      <c r="DP305" s="426"/>
      <c r="DQ305" s="73"/>
      <c r="DR305" s="73"/>
      <c r="DS305" s="73"/>
      <c r="DT305" s="73"/>
      <c r="DU305" s="426"/>
      <c r="DV305" s="73"/>
      <c r="DW305" s="73"/>
      <c r="DX305" s="73"/>
      <c r="DY305" s="73"/>
      <c r="DZ305" s="426"/>
      <c r="EA305" s="73"/>
      <c r="EB305" s="73"/>
      <c r="EC305" s="73"/>
      <c r="ED305" s="73"/>
      <c r="EE305" s="426"/>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row>
    <row r="306" spans="2:232" s="68" customFormat="1" ht="12" thickBot="1">
      <c r="B306" s="754" t="s">
        <v>387</v>
      </c>
      <c r="C306" s="684"/>
      <c r="D306" s="684"/>
      <c r="E306" s="684"/>
      <c r="F306" s="755"/>
      <c r="G306" s="755"/>
      <c r="H306" s="756"/>
      <c r="I306" s="755"/>
      <c r="J306" s="755"/>
      <c r="K306" s="755"/>
      <c r="L306" s="755"/>
      <c r="M306" s="755"/>
      <c r="N306" s="755"/>
      <c r="O306" s="755"/>
      <c r="P306" s="755"/>
      <c r="Q306" s="755"/>
      <c r="R306" s="755"/>
      <c r="S306" s="755"/>
      <c r="T306" s="757"/>
      <c r="U306" s="757"/>
      <c r="V306" s="757"/>
      <c r="W306" s="757"/>
      <c r="X306" s="757"/>
      <c r="Y306" s="757"/>
      <c r="Z306" s="757"/>
      <c r="AA306" s="757"/>
      <c r="AB306" s="757"/>
      <c r="AC306" s="757"/>
      <c r="AD306" s="757"/>
      <c r="AE306" s="757"/>
      <c r="AF306" s="757"/>
      <c r="AG306" s="757"/>
      <c r="AH306" s="757"/>
      <c r="AI306" s="757"/>
      <c r="AJ306" s="757"/>
      <c r="AK306" s="757"/>
      <c r="AL306" s="757"/>
      <c r="AM306" s="757"/>
      <c r="AN306" s="757"/>
      <c r="AO306" s="757"/>
      <c r="AP306" s="757"/>
      <c r="AQ306" s="757"/>
      <c r="AR306" s="757"/>
      <c r="AS306" s="755"/>
      <c r="AT306" s="755"/>
      <c r="AU306" s="755"/>
      <c r="AV306" s="755"/>
      <c r="AW306" s="755"/>
      <c r="AX306" s="755"/>
      <c r="AY306" s="755"/>
      <c r="AZ306" s="755"/>
      <c r="BA306" s="755"/>
      <c r="BB306" s="755"/>
      <c r="BC306" s="755"/>
      <c r="BD306" s="755"/>
      <c r="BE306" s="755"/>
      <c r="BF306" s="755"/>
      <c r="BG306" s="755"/>
      <c r="BH306" s="755"/>
      <c r="BI306" s="755"/>
      <c r="BJ306" s="755"/>
      <c r="BK306" s="755"/>
      <c r="BL306" s="755"/>
      <c r="BM306" s="755"/>
      <c r="BN306" s="755"/>
      <c r="BO306" s="755"/>
      <c r="BP306" s="755"/>
      <c r="BQ306" s="755"/>
      <c r="BR306" s="755"/>
      <c r="BS306" s="755"/>
      <c r="BT306" s="755"/>
      <c r="BU306" s="755"/>
      <c r="BV306" s="755"/>
      <c r="BW306" s="755"/>
      <c r="BX306" s="755"/>
      <c r="BY306" s="755"/>
      <c r="BZ306" s="755"/>
      <c r="CA306" s="755"/>
      <c r="CB306" s="755"/>
      <c r="CC306" s="755"/>
      <c r="CD306" s="755"/>
      <c r="CE306" s="755"/>
      <c r="CF306" s="755"/>
      <c r="CG306" s="755"/>
      <c r="CH306" s="755"/>
      <c r="CI306" s="755"/>
      <c r="CJ306" s="755"/>
      <c r="CK306" s="755"/>
      <c r="CL306" s="755"/>
      <c r="CM306" s="755"/>
      <c r="CN306" s="755"/>
      <c r="CO306" s="755"/>
      <c r="CP306" s="755"/>
      <c r="CQ306" s="755"/>
      <c r="CR306" s="755"/>
      <c r="CS306" s="755"/>
      <c r="CT306" s="755"/>
      <c r="CU306" s="755"/>
      <c r="CV306" s="755"/>
      <c r="CW306" s="755"/>
      <c r="CX306" s="755"/>
      <c r="CY306" s="755"/>
      <c r="CZ306" s="755"/>
      <c r="DA306" s="755"/>
      <c r="DB306" s="755"/>
      <c r="DC306" s="755"/>
      <c r="DD306" s="755"/>
      <c r="DE306" s="755"/>
      <c r="DF306" s="755"/>
      <c r="DG306" s="755"/>
      <c r="DH306" s="755"/>
      <c r="DI306" s="755"/>
      <c r="DJ306" s="755"/>
      <c r="DK306" s="758"/>
      <c r="DL306" s="755"/>
      <c r="DM306" s="755"/>
      <c r="DN306" s="755"/>
      <c r="DO306" s="758"/>
      <c r="DP306" s="758"/>
      <c r="DQ306" s="755"/>
      <c r="DR306" s="755"/>
      <c r="DS306" s="755"/>
      <c r="DT306" s="758"/>
      <c r="DU306" s="758"/>
      <c r="DV306" s="755"/>
      <c r="DW306" s="755"/>
      <c r="DX306" s="755"/>
      <c r="DY306" s="758"/>
      <c r="DZ306" s="758"/>
      <c r="EA306" s="755"/>
      <c r="EB306" s="755"/>
      <c r="EC306" s="755"/>
      <c r="ED306" s="758"/>
      <c r="EE306" s="758"/>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row>
    <row r="307" spans="2:232" s="54" customFormat="1">
      <c r="B307" s="689" t="s">
        <v>221</v>
      </c>
      <c r="C307" s="477"/>
      <c r="D307" s="477"/>
      <c r="E307" s="477"/>
      <c r="F307" s="478">
        <f>(F203+F204-F220-F221)</f>
        <v>377.30100000000004</v>
      </c>
      <c r="G307" s="478">
        <f>(G203+G204-G220-G221)</f>
        <v>355.13899999999995</v>
      </c>
      <c r="H307" s="478">
        <f>(H203+H204-H220-H221)</f>
        <v>371.52300000000002</v>
      </c>
      <c r="I307" s="478">
        <f>(I203+I204-I220-I221)</f>
        <v>431.64100000000008</v>
      </c>
      <c r="J307" s="478">
        <f>(J203+J204-J220-J221)</f>
        <v>645.48500000000013</v>
      </c>
      <c r="K307" s="478"/>
      <c r="L307" s="478"/>
      <c r="M307" s="478"/>
      <c r="N307" s="478"/>
      <c r="O307" s="478">
        <f>(O203+O204-O220-O221)</f>
        <v>761.31700000000001</v>
      </c>
      <c r="P307" s="478"/>
      <c r="Q307" s="478"/>
      <c r="R307" s="478"/>
      <c r="S307" s="478"/>
      <c r="T307" s="478">
        <f>(T203+T204-T220-T221)</f>
        <v>697.65000000000032</v>
      </c>
      <c r="U307" s="478"/>
      <c r="V307" s="478"/>
      <c r="W307" s="478"/>
      <c r="X307" s="478"/>
      <c r="Y307" s="478">
        <f>(Y203+Y204-Y220-Y221)</f>
        <v>884.8180000000001</v>
      </c>
      <c r="Z307" s="478"/>
      <c r="AA307" s="478"/>
      <c r="AB307" s="478"/>
      <c r="AC307" s="478"/>
      <c r="AD307" s="478">
        <f>(AD203+AD204-AD220-AD221)</f>
        <v>1088.6999999999998</v>
      </c>
      <c r="AE307" s="478"/>
      <c r="AF307" s="478"/>
      <c r="AG307" s="478"/>
      <c r="AH307" s="478"/>
      <c r="AI307" s="478">
        <f>(AI203+AI204-AI220-AI221)</f>
        <v>1233.6000000000001</v>
      </c>
      <c r="AJ307" s="478"/>
      <c r="AK307" s="478"/>
      <c r="AL307" s="478"/>
      <c r="AM307" s="478"/>
      <c r="AN307" s="478">
        <f>(AN203+AN204-AN220-AN221)</f>
        <v>1796.3999999999996</v>
      </c>
      <c r="AO307" s="478"/>
      <c r="AP307" s="478"/>
      <c r="AQ307" s="478"/>
      <c r="AR307" s="478"/>
      <c r="AS307" s="478">
        <f>(AS203+AS204-AS220-AS221)</f>
        <v>1745.6999999999998</v>
      </c>
      <c r="AT307" s="478"/>
      <c r="AU307" s="478"/>
      <c r="AV307" s="478"/>
      <c r="AW307" s="478"/>
      <c r="AX307" s="478">
        <f>(AX203+AX204-AX220-AX221)</f>
        <v>1654.8999999999999</v>
      </c>
      <c r="AY307" s="478"/>
      <c r="AZ307" s="478"/>
      <c r="BA307" s="478"/>
      <c r="BB307" s="478"/>
      <c r="BC307" s="478">
        <f>(BC203+BC204-BC220-BC221)</f>
        <v>1895.7000000000007</v>
      </c>
      <c r="BD307" s="478"/>
      <c r="BE307" s="478"/>
      <c r="BF307" s="478"/>
      <c r="BG307" s="478"/>
      <c r="BH307" s="478">
        <f>(BH203+BH204-BH220-BH221)</f>
        <v>2578.9</v>
      </c>
      <c r="BI307" s="478"/>
      <c r="BJ307" s="478"/>
      <c r="BK307" s="478"/>
      <c r="BL307" s="478"/>
      <c r="BM307" s="478">
        <f>(BM203+BM204-BM220-BM221)</f>
        <v>2360.5999999999995</v>
      </c>
      <c r="BN307" s="478"/>
      <c r="BO307" s="478"/>
      <c r="BP307" s="478"/>
      <c r="BQ307" s="478"/>
      <c r="BR307" s="478">
        <f t="shared" ref="BR307:DF307" si="762">(BR203+BR204-BR220-BR221)</f>
        <v>3189.2999999999997</v>
      </c>
      <c r="BS307" s="478">
        <f t="shared" si="762"/>
        <v>3608</v>
      </c>
      <c r="BT307" s="478">
        <f t="shared" si="762"/>
        <v>3386.7000000000003</v>
      </c>
      <c r="BU307" s="478">
        <f t="shared" si="762"/>
        <v>3116.0999999999995</v>
      </c>
      <c r="BV307" s="478">
        <f t="shared" si="762"/>
        <v>3214.7000000000007</v>
      </c>
      <c r="BW307" s="478">
        <f t="shared" si="762"/>
        <v>3214.7000000000007</v>
      </c>
      <c r="BX307" s="1478">
        <f t="shared" si="762"/>
        <v>3802</v>
      </c>
      <c r="BY307" s="478">
        <f t="shared" si="762"/>
        <v>3399</v>
      </c>
      <c r="BZ307" s="478">
        <f t="shared" si="762"/>
        <v>2777</v>
      </c>
      <c r="CA307" s="478">
        <f t="shared" si="762"/>
        <v>2571.2999999999993</v>
      </c>
      <c r="CB307" s="478">
        <f t="shared" si="762"/>
        <v>2571.2999999999993</v>
      </c>
      <c r="CC307" s="1478">
        <f t="shared" si="762"/>
        <v>2562</v>
      </c>
      <c r="CD307" s="478">
        <f t="shared" si="762"/>
        <v>2868</v>
      </c>
      <c r="CE307" s="478">
        <f t="shared" si="762"/>
        <v>2724</v>
      </c>
      <c r="CF307" s="1483">
        <f t="shared" si="762"/>
        <v>2480</v>
      </c>
      <c r="CG307" s="1263">
        <f t="shared" si="762"/>
        <v>2480</v>
      </c>
      <c r="CH307" s="478">
        <f t="shared" si="762"/>
        <v>2646</v>
      </c>
      <c r="CI307" s="478">
        <f t="shared" si="762"/>
        <v>2722</v>
      </c>
      <c r="CJ307" s="478">
        <f t="shared" si="762"/>
        <v>2326</v>
      </c>
      <c r="CK307" s="478">
        <f t="shared" si="762"/>
        <v>2656</v>
      </c>
      <c r="CL307" s="1263">
        <f t="shared" si="762"/>
        <v>2656</v>
      </c>
      <c r="CM307" s="478">
        <f t="shared" si="762"/>
        <v>2948</v>
      </c>
      <c r="CN307" s="478">
        <f t="shared" si="762"/>
        <v>2880</v>
      </c>
      <c r="CO307" s="478">
        <f t="shared" si="762"/>
        <v>2014</v>
      </c>
      <c r="CP307" s="478">
        <f t="shared" si="762"/>
        <v>1800</v>
      </c>
      <c r="CQ307" s="1263">
        <f t="shared" si="762"/>
        <v>1800</v>
      </c>
      <c r="CR307" s="478">
        <f t="shared" si="762"/>
        <v>2236</v>
      </c>
      <c r="CS307" s="478">
        <f t="shared" si="762"/>
        <v>2117</v>
      </c>
      <c r="CT307" s="478">
        <f t="shared" si="762"/>
        <v>1548</v>
      </c>
      <c r="CU307" s="478">
        <f t="shared" si="762"/>
        <v>1272</v>
      </c>
      <c r="CV307" s="1263">
        <f t="shared" si="762"/>
        <v>1272</v>
      </c>
      <c r="CW307" s="478">
        <f>(CW203+CW204-CW220-CW221)</f>
        <v>2484</v>
      </c>
      <c r="CX307" s="478">
        <f t="shared" si="762"/>
        <v>2219</v>
      </c>
      <c r="CY307" s="478">
        <f t="shared" si="762"/>
        <v>1863</v>
      </c>
      <c r="CZ307" s="478">
        <f t="shared" si="762"/>
        <v>1278</v>
      </c>
      <c r="DA307" s="1263">
        <f t="shared" si="762"/>
        <v>1278</v>
      </c>
      <c r="DB307" s="478">
        <f>(DB203+DB204-DB220-DB221)</f>
        <v>1312</v>
      </c>
      <c r="DC307" s="478">
        <f t="shared" si="762"/>
        <v>963</v>
      </c>
      <c r="DD307" s="478">
        <f>(DD203+DD204-DD220-DD221)</f>
        <v>882</v>
      </c>
      <c r="DE307" s="478">
        <f>(DE203+DE204-DE220-DE221)</f>
        <v>214</v>
      </c>
      <c r="DF307" s="1263">
        <f t="shared" si="762"/>
        <v>214</v>
      </c>
      <c r="DG307" s="478">
        <f>(DG203+DG204-DG220-DG221)</f>
        <v>1176</v>
      </c>
      <c r="DH307" s="478">
        <f>(DH203+DH204-DH220-DH221)</f>
        <v>835</v>
      </c>
      <c r="DI307" s="478">
        <f>(DI203+DI204-DI220-DI221)</f>
        <v>250</v>
      </c>
      <c r="DJ307" s="478">
        <f>(DJ203+DJ204-DJ220-DJ221)</f>
        <v>-1268</v>
      </c>
      <c r="DK307" s="1263">
        <f t="shared" ref="DK307:DU307" si="763">(DK203+DK204-DK220-DK221)</f>
        <v>-1268</v>
      </c>
      <c r="DL307" s="478">
        <f>(DL203+DL204-DL220-DL221)</f>
        <v>-75</v>
      </c>
      <c r="DM307" s="478">
        <f>(DM203+DM204-DM220-DM221)</f>
        <v>-1295</v>
      </c>
      <c r="DN307" s="478">
        <f t="shared" ref="DN307:DO307" si="764">(DN203+DN204-DN220-DN221)</f>
        <v>-1573</v>
      </c>
      <c r="DO307" s="478">
        <f t="shared" si="764"/>
        <v>-2540</v>
      </c>
      <c r="DP307" s="1263">
        <f t="shared" si="763"/>
        <v>-2540</v>
      </c>
      <c r="DQ307" s="1478">
        <f t="shared" si="763"/>
        <v>-1885</v>
      </c>
      <c r="DR307" s="478">
        <f t="shared" ca="1" si="763"/>
        <v>-891.87809299959736</v>
      </c>
      <c r="DS307" s="478">
        <f t="shared" ca="1" si="763"/>
        <v>-1646.4404678613691</v>
      </c>
      <c r="DT307" s="1483">
        <f t="shared" si="763"/>
        <v>-2445.9616448220477</v>
      </c>
      <c r="DU307" s="1263">
        <f t="shared" si="763"/>
        <v>-2445.9616448220477</v>
      </c>
      <c r="DV307" s="1478">
        <f t="shared" ref="DV307:DZ307" si="765">(DV203+DV204-DV220-DV221)</f>
        <v>-2343.9389298887099</v>
      </c>
      <c r="DW307" s="478">
        <f t="shared" ca="1" si="765"/>
        <v>-1218.3314311063596</v>
      </c>
      <c r="DX307" s="478">
        <f t="shared" ca="1" si="765"/>
        <v>-1860.3020535963196</v>
      </c>
      <c r="DY307" s="1483">
        <f t="shared" si="765"/>
        <v>-2635.5273610031909</v>
      </c>
      <c r="DZ307" s="1263">
        <f t="shared" si="765"/>
        <v>-2635.5273610031909</v>
      </c>
      <c r="EA307" s="1478">
        <f t="shared" ref="EA307:EE307" si="766">(EA203+EA204-EA220-EA221)</f>
        <v>-2683.6866194658451</v>
      </c>
      <c r="EB307" s="478">
        <f t="shared" ca="1" si="766"/>
        <v>-1552.6050203420536</v>
      </c>
      <c r="EC307" s="478">
        <f t="shared" ca="1" si="766"/>
        <v>-2201.4038416593048</v>
      </c>
      <c r="ED307" s="1483">
        <f t="shared" si="766"/>
        <v>-2614.8944805861829</v>
      </c>
      <c r="EE307" s="1263">
        <f t="shared" si="766"/>
        <v>-2614.8944805861829</v>
      </c>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row>
    <row r="308" spans="2:232" s="55" customFormat="1">
      <c r="B308" s="906" t="s">
        <v>334</v>
      </c>
      <c r="C308" s="72"/>
      <c r="D308" s="72"/>
      <c r="E308" s="72"/>
      <c r="F308" s="115">
        <f>F307/F402</f>
        <v>5.6037209915752825E-2</v>
      </c>
      <c r="G308" s="115">
        <f>G307/G402</f>
        <v>4.7510481994487992E-2</v>
      </c>
      <c r="H308" s="115">
        <f>H307/H402</f>
        <v>4.4789652362191436E-2</v>
      </c>
      <c r="I308" s="115">
        <f>I307/I402</f>
        <v>4.6739797322744039E-2</v>
      </c>
      <c r="J308" s="115">
        <f>J307/J402</f>
        <v>6.2095145634056687E-2</v>
      </c>
      <c r="K308" s="115"/>
      <c r="L308" s="115"/>
      <c r="M308" s="115"/>
      <c r="N308" s="115"/>
      <c r="O308" s="115">
        <f>O307/O402</f>
        <v>6.4636663970207189E-2</v>
      </c>
      <c r="P308" s="115"/>
      <c r="Q308" s="115"/>
      <c r="R308" s="115"/>
      <c r="S308" s="115"/>
      <c r="T308" s="115">
        <f>T307/T402</f>
        <v>5.2207498258440496E-2</v>
      </c>
      <c r="U308" s="115"/>
      <c r="V308" s="115"/>
      <c r="W308" s="115"/>
      <c r="X308" s="115"/>
      <c r="Y308" s="115">
        <f>Y307/Y402</f>
        <v>5.7806456839420491E-2</v>
      </c>
      <c r="Z308" s="115"/>
      <c r="AA308" s="115"/>
      <c r="AB308" s="115"/>
      <c r="AC308" s="115"/>
      <c r="AD308" s="115">
        <f>AD307/AD402</f>
        <v>6.1029889902908259E-2</v>
      </c>
      <c r="AE308" s="115"/>
      <c r="AF308" s="115"/>
      <c r="AG308" s="115"/>
      <c r="AH308" s="115"/>
      <c r="AI308" s="115">
        <f>AI307/AI402</f>
        <v>5.8169746639065587E-2</v>
      </c>
      <c r="AJ308" s="115"/>
      <c r="AK308" s="115"/>
      <c r="AL308" s="115"/>
      <c r="AM308" s="115"/>
      <c r="AN308" s="115">
        <f>AN307/AN402</f>
        <v>7.2956179182065539E-2</v>
      </c>
      <c r="AO308" s="115"/>
      <c r="AP308" s="115"/>
      <c r="AQ308" s="115"/>
      <c r="AR308" s="115"/>
      <c r="AS308" s="115">
        <f>AS307/AS402</f>
        <v>6.0865866371931338E-2</v>
      </c>
      <c r="AT308" s="115"/>
      <c r="AU308" s="115"/>
      <c r="AV308" s="115"/>
      <c r="AW308" s="115"/>
      <c r="AX308" s="115">
        <f>AX307/AX402</f>
        <v>5.0911540851673869E-2</v>
      </c>
      <c r="AY308" s="115"/>
      <c r="AZ308" s="115"/>
      <c r="BA308" s="115"/>
      <c r="BB308" s="115"/>
      <c r="BC308" s="115">
        <f>BC307/BC402</f>
        <v>5.0540948379287749E-2</v>
      </c>
      <c r="BD308" s="115"/>
      <c r="BE308" s="115"/>
      <c r="BF308" s="115"/>
      <c r="BG308" s="115"/>
      <c r="BH308" s="115">
        <f>BH307/BH402</f>
        <v>6.1109057476493783E-2</v>
      </c>
      <c r="BI308" s="115"/>
      <c r="BJ308" s="115"/>
      <c r="BK308" s="115"/>
      <c r="BL308" s="115"/>
      <c r="BM308" s="115">
        <f>BM307/BM402</f>
        <v>4.9792233542154431E-2</v>
      </c>
      <c r="BN308" s="115"/>
      <c r="BO308" s="115"/>
      <c r="BP308" s="115"/>
      <c r="BQ308" s="115"/>
      <c r="BR308" s="115">
        <f>BR307/BR402</f>
        <v>5.9322569844871838E-2</v>
      </c>
      <c r="BS308" s="115">
        <f>BS307/BS402/4</f>
        <v>6.430042985764084E-2</v>
      </c>
      <c r="BT308" s="115">
        <f>BT307/BT402/4</f>
        <v>5.5001753975678205E-2</v>
      </c>
      <c r="BU308" s="115">
        <f>BU307/BU402/4</f>
        <v>5.1880698202547988E-2</v>
      </c>
      <c r="BV308" s="115">
        <f>BV307/BV402/4</f>
        <v>5.5057168889710982E-2</v>
      </c>
      <c r="BW308" s="115">
        <f>BW307/BW402</f>
        <v>5.445478306679339E-2</v>
      </c>
      <c r="BX308" s="1474">
        <f>BX307/BX402/4</f>
        <v>6.3591356124974907E-2</v>
      </c>
      <c r="BY308" s="115">
        <f>BY307/BY402/4</f>
        <v>5.1578148710166923E-2</v>
      </c>
      <c r="BZ308" s="115">
        <f>BZ307/BZ402/4</f>
        <v>4.2828500925354722E-2</v>
      </c>
      <c r="CA308" s="115">
        <f>CA307/CA402/4</f>
        <v>4.0936445265235932E-2</v>
      </c>
      <c r="CB308" s="115">
        <f>CB307/CB402</f>
        <v>4.0598405305123535E-2</v>
      </c>
      <c r="CC308" s="1474">
        <f>CC307/CC402/4</f>
        <v>3.914079687118064E-2</v>
      </c>
      <c r="CD308" s="115">
        <f>CD307/CD402/4</f>
        <v>4.2208747866015188E-2</v>
      </c>
      <c r="CE308" s="115">
        <f>CE307/CE402/4</f>
        <v>3.9595325309611025E-2</v>
      </c>
      <c r="CF308" s="1475">
        <f>CF307/CF402/4</f>
        <v>3.6751630112625965E-2</v>
      </c>
      <c r="CG308" s="1362">
        <f>CG307/CG402</f>
        <v>3.6784336991990504E-2</v>
      </c>
      <c r="CH308" s="115">
        <f>CH307/CH402/4</f>
        <v>3.8139990774907748E-2</v>
      </c>
      <c r="CI308" s="115">
        <f>CI307/CI402/4</f>
        <v>3.6779807588368824E-2</v>
      </c>
      <c r="CJ308" s="115">
        <f>CJ307/CJ402/4</f>
        <v>3.1653148984813022E-2</v>
      </c>
      <c r="CK308" s="115">
        <f>CK307/CK402/4</f>
        <v>3.6956642733901042E-2</v>
      </c>
      <c r="CL308" s="1362">
        <f>CL307/CL402</f>
        <v>3.6794857586168683E-2</v>
      </c>
      <c r="CM308" s="115">
        <f>CM307/CM402/4</f>
        <v>4.0590405904059039E-2</v>
      </c>
      <c r="CN308" s="115">
        <f>CN307/CN402/4</f>
        <v>3.8603828212964451E-2</v>
      </c>
      <c r="CO308" s="115">
        <f>CO307/CO402/4</f>
        <v>2.8363001351960342E-2</v>
      </c>
      <c r="CP308" s="115">
        <f>CP307/CP402/4</f>
        <v>2.6357406431207171E-2</v>
      </c>
      <c r="CQ308" s="1362">
        <f>CQ307/CQ402</f>
        <v>2.5128083425236973E-2</v>
      </c>
      <c r="CR308" s="115">
        <f>CR307/CR402/4</f>
        <v>3.2282282282282283E-2</v>
      </c>
      <c r="CS308" s="115">
        <f>CS307/CS402/4</f>
        <v>2.8382581648522552E-2</v>
      </c>
      <c r="CT308" s="115">
        <f>CT307/CT402/4</f>
        <v>2.1132528804674276E-2</v>
      </c>
      <c r="CU308" s="115">
        <f>CU307/CU402/4</f>
        <v>1.7724764505880387E-2</v>
      </c>
      <c r="CV308" s="1362">
        <f>CV307/CV402</f>
        <v>1.7613581289724026E-2</v>
      </c>
      <c r="CW308" s="115">
        <f>CW307/CW402/4</f>
        <v>3.3880735446560097E-2</v>
      </c>
      <c r="CX308" s="115">
        <f>CX307/CX402/4</f>
        <v>2.829635297118082E-2</v>
      </c>
      <c r="CY308" s="115">
        <f>CY307/CY402/4</f>
        <v>2.4006494510592238E-2</v>
      </c>
      <c r="CZ308" s="115">
        <f>CZ307/CZ402/4</f>
        <v>1.676549299470011E-2</v>
      </c>
      <c r="DA308" s="1362">
        <f>DA307/DA402</f>
        <v>1.6729500471253534E-2</v>
      </c>
      <c r="DB308" s="115"/>
      <c r="DC308" s="115">
        <f>DC307/DC402/4</f>
        <v>9.0599480675874009E-3</v>
      </c>
      <c r="DD308" s="115">
        <f>DD307/DD402/4</f>
        <v>7.6575794408751518E-3</v>
      </c>
      <c r="DE308" s="115">
        <f>DE307/DE402/4</f>
        <v>1.8757450389173269E-3</v>
      </c>
      <c r="DF308" s="1362">
        <f>DF307/DF402</f>
        <v>2.0687521750899036E-3</v>
      </c>
      <c r="DG308" s="115">
        <f>DG307/DG402/4</f>
        <v>1.0126407880687494E-2</v>
      </c>
      <c r="DH308" s="115">
        <f>DH307/DH402/4</f>
        <v>6.915915716936125E-3</v>
      </c>
      <c r="DI308" s="115">
        <f>DI307/DI402/4</f>
        <v>2.1187877144213168E-3</v>
      </c>
      <c r="DJ308" s="115">
        <f>DJ307/DJ402/4</f>
        <v>-1.1069981841039252E-2</v>
      </c>
      <c r="DK308" s="1362">
        <f>DK307/DK402</f>
        <v>-1.0805191263815392E-2</v>
      </c>
      <c r="DL308" s="115">
        <f>DL307/DL402/4</f>
        <v>-6.5787165362618852E-4</v>
      </c>
      <c r="DM308" s="115">
        <f>DM307/DM402/4</f>
        <v>-1.0994702166677988E-2</v>
      </c>
      <c r="DN308" s="115">
        <f>DN307/DN402/4</f>
        <v>-1.3056975894813732E-2</v>
      </c>
      <c r="DO308" s="115">
        <f>DO307/DO402/4</f>
        <v>-2.1062058443066106E-2</v>
      </c>
      <c r="DP308" s="1362">
        <f>DP307/DP402</f>
        <v>-2.1486456764850188E-2</v>
      </c>
      <c r="DQ308" s="1474">
        <f>DQ307/DQ402/4</f>
        <v>-1.5330188679245283E-2</v>
      </c>
      <c r="DR308" s="115">
        <f ca="1">DR307/DR402/4</f>
        <v>-6.6425489896617292E-3</v>
      </c>
      <c r="DS308" s="115">
        <f ca="1">DS307/DS402/4</f>
        <v>-1.2160986616216335E-2</v>
      </c>
      <c r="DT308" s="1475">
        <f>DT307/DT402/4</f>
        <v>-1.8362533242870436E-2</v>
      </c>
      <c r="DU308" s="1362">
        <f ca="1">DU307/DU402</f>
        <v>-1.8606890648730359E-2</v>
      </c>
      <c r="DV308" s="1474">
        <f>DV307/DV402/4</f>
        <v>-1.7602298965737107E-2</v>
      </c>
      <c r="DW308" s="115">
        <f ca="1">DW307/DW402/4</f>
        <v>-8.8642291769085793E-3</v>
      </c>
      <c r="DX308" s="115">
        <f ca="1">DX307/DX402/4</f>
        <v>-1.3533826469312494E-2</v>
      </c>
      <c r="DY308" s="1475">
        <f>DY307/DY402/4</f>
        <v>-1.9492220759434471E-2</v>
      </c>
      <c r="DZ308" s="1362">
        <f ca="1">DZ307/DZ402</f>
        <v>-1.9404936557860134E-2</v>
      </c>
      <c r="EA308" s="1474">
        <f>EA307/EA402/4</f>
        <v>-1.9798003084638863E-2</v>
      </c>
      <c r="EB308" s="115">
        <f ca="1">EB307/EB402/4</f>
        <v>-1.1102851429648787E-2</v>
      </c>
      <c r="EC308" s="115">
        <f ca="1">EC307/EC402/4</f>
        <v>-1.5727082013956947E-2</v>
      </c>
      <c r="ED308" s="1475">
        <f>ED307/ED402/4</f>
        <v>-1.8973200361137126E-2</v>
      </c>
      <c r="EE308" s="1362">
        <f ca="1">EE307/EE402</f>
        <v>-1.8907832269519646E-2</v>
      </c>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row>
    <row r="309" spans="2:232" s="54" customFormat="1">
      <c r="B309" s="693" t="s">
        <v>222</v>
      </c>
      <c r="C309" s="64"/>
      <c r="D309" s="64"/>
      <c r="E309" s="64"/>
      <c r="F309" s="73">
        <f>F206-F225</f>
        <v>563.62599999999986</v>
      </c>
      <c r="G309" s="73">
        <f>G206-G225</f>
        <v>636.82899999999995</v>
      </c>
      <c r="H309" s="73">
        <f>H206-H225</f>
        <v>579.62599999999998</v>
      </c>
      <c r="I309" s="73">
        <f>I206-I225</f>
        <v>622.12200000000007</v>
      </c>
      <c r="J309" s="73">
        <f>J206-J225</f>
        <v>735.15499999999997</v>
      </c>
      <c r="K309" s="73"/>
      <c r="L309" s="73"/>
      <c r="M309" s="73"/>
      <c r="N309" s="73"/>
      <c r="O309" s="73">
        <f>O206-O225</f>
        <v>837.08300000000008</v>
      </c>
      <c r="P309" s="73"/>
      <c r="Q309" s="73"/>
      <c r="R309" s="73"/>
      <c r="S309" s="73"/>
      <c r="T309" s="73">
        <f>T206-T225</f>
        <v>887.02299999999968</v>
      </c>
      <c r="U309" s="73"/>
      <c r="V309" s="73"/>
      <c r="W309" s="73"/>
      <c r="X309" s="73"/>
      <c r="Y309" s="73">
        <f>Y206-Y225</f>
        <v>1043.0350000000001</v>
      </c>
      <c r="Z309" s="73"/>
      <c r="AA309" s="73"/>
      <c r="AB309" s="73"/>
      <c r="AC309" s="73"/>
      <c r="AD309" s="73">
        <f>AD206-AD225</f>
        <v>1297.8999999999996</v>
      </c>
      <c r="AE309" s="73"/>
      <c r="AF309" s="73"/>
      <c r="AG309" s="73"/>
      <c r="AH309" s="73"/>
      <c r="AI309" s="73">
        <f>AI206-AI225</f>
        <v>1246.4000000000005</v>
      </c>
      <c r="AJ309" s="73"/>
      <c r="AK309" s="73"/>
      <c r="AL309" s="73"/>
      <c r="AM309" s="73"/>
      <c r="AN309" s="73">
        <f>AN206-AN225</f>
        <v>1382.3000000000006</v>
      </c>
      <c r="AO309" s="73"/>
      <c r="AP309" s="73"/>
      <c r="AQ309" s="73"/>
      <c r="AR309" s="73"/>
      <c r="AS309" s="73">
        <f>AS206-AS225</f>
        <v>2449.6999999999994</v>
      </c>
      <c r="AT309" s="73"/>
      <c r="AU309" s="73"/>
      <c r="AV309" s="73"/>
      <c r="AW309" s="73"/>
      <c r="AX309" s="73">
        <f>AX206-AX225</f>
        <v>2937.6000000000004</v>
      </c>
      <c r="AY309" s="73"/>
      <c r="AZ309" s="73"/>
      <c r="BA309" s="73"/>
      <c r="BB309" s="73"/>
      <c r="BC309" s="73">
        <f>BC206-BC225</f>
        <v>3686.5000004359295</v>
      </c>
      <c r="BD309" s="73"/>
      <c r="BE309" s="73"/>
      <c r="BF309" s="73"/>
      <c r="BG309" s="73"/>
      <c r="BH309" s="73">
        <f>BH206-BH225</f>
        <v>3835.5000004359299</v>
      </c>
      <c r="BI309" s="73"/>
      <c r="BJ309" s="73"/>
      <c r="BK309" s="73"/>
      <c r="BL309" s="73"/>
      <c r="BM309" s="73">
        <f>BM206-BM225</f>
        <v>3950.100000435933</v>
      </c>
      <c r="BN309" s="73"/>
      <c r="BO309" s="73"/>
      <c r="BP309" s="73"/>
      <c r="BQ309" s="73"/>
      <c r="BR309" s="73">
        <f t="shared" ref="BR309:CV309" si="767">BR206-BR225</f>
        <v>2766.2000004359288</v>
      </c>
      <c r="BS309" s="73">
        <f t="shared" si="767"/>
        <v>2789</v>
      </c>
      <c r="BT309" s="73">
        <f t="shared" si="767"/>
        <v>2912.699999999998</v>
      </c>
      <c r="BU309" s="73">
        <f t="shared" si="767"/>
        <v>2681.2</v>
      </c>
      <c r="BV309" s="73">
        <f t="shared" si="767"/>
        <v>3789.0000004359299</v>
      </c>
      <c r="BW309" s="73">
        <f t="shared" si="767"/>
        <v>3789.0000004359299</v>
      </c>
      <c r="BX309" s="1446">
        <f t="shared" si="767"/>
        <v>3662.7000004359288</v>
      </c>
      <c r="BY309" s="73">
        <f t="shared" si="767"/>
        <v>4920.7000004359288</v>
      </c>
      <c r="BZ309" s="73">
        <f t="shared" si="767"/>
        <v>5278.7000004359288</v>
      </c>
      <c r="CA309" s="73">
        <f t="shared" si="767"/>
        <v>5280.0000004359281</v>
      </c>
      <c r="CB309" s="73">
        <f t="shared" si="767"/>
        <v>5280.0000004359281</v>
      </c>
      <c r="CC309" s="1446">
        <f t="shared" si="767"/>
        <v>5550.7000004359288</v>
      </c>
      <c r="CD309" s="73">
        <f t="shared" si="767"/>
        <v>5861.7000004359288</v>
      </c>
      <c r="CE309" s="73">
        <f t="shared" si="767"/>
        <v>4994.7000004359288</v>
      </c>
      <c r="CF309" s="736">
        <f t="shared" si="767"/>
        <v>4488.7000004359288</v>
      </c>
      <c r="CG309" s="777">
        <f t="shared" si="767"/>
        <v>4489</v>
      </c>
      <c r="CH309" s="73">
        <f t="shared" si="767"/>
        <v>4513.7000004359288</v>
      </c>
      <c r="CI309" s="73">
        <f t="shared" si="767"/>
        <v>4992.7000004359288</v>
      </c>
      <c r="CJ309" s="73">
        <f t="shared" si="767"/>
        <v>5086.7000004359288</v>
      </c>
      <c r="CK309" s="73">
        <f t="shared" si="767"/>
        <v>4238.7000004359288</v>
      </c>
      <c r="CL309" s="777">
        <f t="shared" si="767"/>
        <v>4239</v>
      </c>
      <c r="CM309" s="73">
        <f t="shared" si="767"/>
        <v>3877.7000004359288</v>
      </c>
      <c r="CN309" s="73">
        <f t="shared" si="767"/>
        <v>3955.7000004359288</v>
      </c>
      <c r="CO309" s="73">
        <f t="shared" si="767"/>
        <v>4068.7000004359288</v>
      </c>
      <c r="CP309" s="73">
        <f t="shared" si="767"/>
        <v>2037.7000004359288</v>
      </c>
      <c r="CQ309" s="777">
        <f t="shared" si="767"/>
        <v>2037.7000004359288</v>
      </c>
      <c r="CR309" s="73">
        <f t="shared" si="767"/>
        <v>2841.7000004359288</v>
      </c>
      <c r="CS309" s="73">
        <f t="shared" si="767"/>
        <v>3406.7000004359288</v>
      </c>
      <c r="CT309" s="73">
        <f t="shared" si="767"/>
        <v>2880.7000004359288</v>
      </c>
      <c r="CU309" s="73">
        <f t="shared" si="767"/>
        <v>2991</v>
      </c>
      <c r="CV309" s="777">
        <f t="shared" si="767"/>
        <v>2991</v>
      </c>
      <c r="CW309" s="73">
        <f t="shared" ref="CW309:DF309" si="768">CW206-CW225</f>
        <v>2901</v>
      </c>
      <c r="CX309" s="73">
        <f t="shared" si="768"/>
        <v>3537</v>
      </c>
      <c r="CY309" s="73">
        <f t="shared" si="768"/>
        <v>3519</v>
      </c>
      <c r="CZ309" s="73">
        <f t="shared" si="768"/>
        <v>3347</v>
      </c>
      <c r="DA309" s="777">
        <f t="shared" si="768"/>
        <v>3347</v>
      </c>
      <c r="DB309" s="73">
        <f t="shared" si="768"/>
        <v>13403</v>
      </c>
      <c r="DC309" s="73">
        <f t="shared" si="768"/>
        <v>4025</v>
      </c>
      <c r="DD309" s="73">
        <f>DD206-DD225</f>
        <v>4872</v>
      </c>
      <c r="DE309" s="73">
        <f>DE206-DE225</f>
        <v>3100</v>
      </c>
      <c r="DF309" s="777">
        <f t="shared" si="768"/>
        <v>3100</v>
      </c>
      <c r="DG309" s="73">
        <f>DG206-DG225</f>
        <v>3357</v>
      </c>
      <c r="DH309" s="73">
        <f>DH206-DH225</f>
        <v>4106</v>
      </c>
      <c r="DI309" s="73">
        <f>DI206-DI225</f>
        <v>3902</v>
      </c>
      <c r="DJ309" s="73">
        <f>DJ206-DJ225</f>
        <v>8870</v>
      </c>
      <c r="DK309" s="777">
        <f t="shared" ref="DK309:DU309" si="769">DK206-DK225</f>
        <v>8870</v>
      </c>
      <c r="DL309" s="73">
        <f>DL206-DL225</f>
        <v>8939</v>
      </c>
      <c r="DM309" s="73">
        <f>DM206-DM225</f>
        <v>9831</v>
      </c>
      <c r="DN309" s="73">
        <f t="shared" ref="DN309:DO309" si="770">DN206-DN225</f>
        <v>6439</v>
      </c>
      <c r="DO309" s="73">
        <f t="shared" si="770"/>
        <v>1206</v>
      </c>
      <c r="DP309" s="777">
        <f t="shared" si="769"/>
        <v>1206</v>
      </c>
      <c r="DQ309" s="1446">
        <f t="shared" si="769"/>
        <v>-836</v>
      </c>
      <c r="DR309" s="73">
        <f t="shared" ca="1" si="769"/>
        <v>790.44671001502502</v>
      </c>
      <c r="DS309" s="73">
        <f t="shared" ca="1" si="769"/>
        <v>1409.3275090841526</v>
      </c>
      <c r="DT309" s="736">
        <f t="shared" ca="1" si="769"/>
        <v>2119.3478814537193</v>
      </c>
      <c r="DU309" s="777">
        <f t="shared" ca="1" si="769"/>
        <v>2119.3478814537193</v>
      </c>
      <c r="DV309" s="1446">
        <f t="shared" ref="DV309:DZ309" ca="1" si="771">DV206-DV225</f>
        <v>285.85674608727277</v>
      </c>
      <c r="DW309" s="73">
        <f t="shared" ca="1" si="771"/>
        <v>329.86225161676339</v>
      </c>
      <c r="DX309" s="73">
        <f t="shared" ca="1" si="771"/>
        <v>361.31846884545666</v>
      </c>
      <c r="DY309" s="736">
        <f t="shared" ca="1" si="771"/>
        <v>251.82710976778981</v>
      </c>
      <c r="DZ309" s="777">
        <f t="shared" ca="1" si="771"/>
        <v>251.82710976778981</v>
      </c>
      <c r="EA309" s="1446">
        <f t="shared" ref="EA309:EE309" ca="1" si="772">EA206-EA225</f>
        <v>-139.98477798133172</v>
      </c>
      <c r="EB309" s="73">
        <f t="shared" ca="1" si="772"/>
        <v>84.533636889351328</v>
      </c>
      <c r="EC309" s="73">
        <f t="shared" ca="1" si="772"/>
        <v>311.41915420210353</v>
      </c>
      <c r="ED309" s="736">
        <f t="shared" ca="1" si="772"/>
        <v>397.6633946122929</v>
      </c>
      <c r="EE309" s="777">
        <f t="shared" ca="1" si="772"/>
        <v>397.6633946122929</v>
      </c>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row>
    <row r="310" spans="2:232" s="55" customFormat="1">
      <c r="B310" s="906" t="s">
        <v>334</v>
      </c>
      <c r="C310" s="72"/>
      <c r="D310" s="72"/>
      <c r="E310" s="72"/>
      <c r="F310" s="115">
        <f>F309/F402</f>
        <v>8.3710428745155968E-2</v>
      </c>
      <c r="G310" s="115">
        <f>G309/G402</f>
        <v>8.5194959545608323E-2</v>
      </c>
      <c r="H310" s="115">
        <f>H309/H402</f>
        <v>6.9877899995659951E-2</v>
      </c>
      <c r="I310" s="115">
        <f>I309/I402</f>
        <v>6.7365834547737979E-2</v>
      </c>
      <c r="J310" s="115">
        <f>J309/J402</f>
        <v>7.0721328595714755E-2</v>
      </c>
      <c r="K310" s="115"/>
      <c r="L310" s="115"/>
      <c r="M310" s="115"/>
      <c r="N310" s="115"/>
      <c r="O310" s="115">
        <f>O309/O402</f>
        <v>7.1069282028606934E-2</v>
      </c>
      <c r="P310" s="115"/>
      <c r="Q310" s="115"/>
      <c r="R310" s="115"/>
      <c r="S310" s="115"/>
      <c r="T310" s="115">
        <f>T309/T402</f>
        <v>6.6378917405141014E-2</v>
      </c>
      <c r="U310" s="115"/>
      <c r="V310" s="115"/>
      <c r="W310" s="115"/>
      <c r="X310" s="115"/>
      <c r="Y310" s="115">
        <f>Y309/Y402</f>
        <v>6.8143005351953681E-2</v>
      </c>
      <c r="Z310" s="115"/>
      <c r="AA310" s="115"/>
      <c r="AB310" s="115"/>
      <c r="AC310" s="115"/>
      <c r="AD310" s="115">
        <f>AD309/AD402</f>
        <v>7.2757136130232963E-2</v>
      </c>
      <c r="AE310" s="115"/>
      <c r="AF310" s="115"/>
      <c r="AG310" s="115"/>
      <c r="AH310" s="115"/>
      <c r="AI310" s="115">
        <f>AI309/AI402</f>
        <v>5.8773323776695342E-2</v>
      </c>
      <c r="AJ310" s="115"/>
      <c r="AK310" s="115"/>
      <c r="AL310" s="115"/>
      <c r="AM310" s="115"/>
      <c r="AN310" s="115">
        <f>AN309/AN402</f>
        <v>5.6138569630020736E-2</v>
      </c>
      <c r="AO310" s="115"/>
      <c r="AP310" s="115"/>
      <c r="AQ310" s="115"/>
      <c r="AR310" s="115"/>
      <c r="AS310" s="115">
        <f>AS309/AS402</f>
        <v>8.5411647391487752E-2</v>
      </c>
      <c r="AT310" s="115"/>
      <c r="AU310" s="115"/>
      <c r="AV310" s="115"/>
      <c r="AW310" s="115"/>
      <c r="AX310" s="115">
        <f>AX309/AX402</f>
        <v>9.0372676539897986E-2</v>
      </c>
      <c r="AY310" s="115"/>
      <c r="AZ310" s="115"/>
      <c r="BA310" s="115"/>
      <c r="BB310" s="115"/>
      <c r="BC310" s="115">
        <f>BC309/BC402</f>
        <v>9.8285174986694368E-2</v>
      </c>
      <c r="BD310" s="115"/>
      <c r="BE310" s="115"/>
      <c r="BF310" s="115"/>
      <c r="BG310" s="115"/>
      <c r="BH310" s="115">
        <f>BH309/BH402</f>
        <v>9.0885179719155912E-2</v>
      </c>
      <c r="BI310" s="115"/>
      <c r="BJ310" s="115"/>
      <c r="BK310" s="115"/>
      <c r="BL310" s="115"/>
      <c r="BM310" s="115">
        <f>BM309/BM402</f>
        <v>8.3319622865614826E-2</v>
      </c>
      <c r="BN310" s="115"/>
      <c r="BO310" s="115"/>
      <c r="BP310" s="115"/>
      <c r="BQ310" s="115"/>
      <c r="BR310" s="115">
        <f>BR309/BR402</f>
        <v>5.1452698940439877E-2</v>
      </c>
      <c r="BS310" s="115">
        <f>BS309/BS402/4</f>
        <v>4.9704517425986784E-2</v>
      </c>
      <c r="BT310" s="115">
        <f>BT309/BT402/4</f>
        <v>4.7303749610227597E-2</v>
      </c>
      <c r="BU310" s="115">
        <f>BU309/BU402/4</f>
        <v>4.4639943525776347E-2</v>
      </c>
      <c r="BV310" s="115">
        <f>BV309/BV402/4</f>
        <v>6.4893026704549703E-2</v>
      </c>
      <c r="BW310" s="115">
        <f>BW309/BW402</f>
        <v>6.418302580763946E-2</v>
      </c>
      <c r="BX310" s="1474">
        <f>BX309/BX402/4</f>
        <v>6.126145715588293E-2</v>
      </c>
      <c r="BY310" s="115">
        <f>BY309/BY402/4</f>
        <v>7.466919575775309E-2</v>
      </c>
      <c r="BZ310" s="115">
        <f>BZ309/BZ402/4</f>
        <v>8.141116595366947E-2</v>
      </c>
      <c r="CA310" s="115">
        <f>CA309/CA402/4</f>
        <v>8.4060370636756157E-2</v>
      </c>
      <c r="CB310" s="115">
        <f>CB309/CB402</f>
        <v>8.3366227211430138E-2</v>
      </c>
      <c r="CC310" s="1474">
        <f>CC309/CC402/4</f>
        <v>8.4800476662734187E-2</v>
      </c>
      <c r="CD310" s="115">
        <f>CD309/CD402/4</f>
        <v>8.6267439813326796E-2</v>
      </c>
      <c r="CE310" s="115">
        <f>CE309/CE402/4</f>
        <v>7.2601604750798424E-2</v>
      </c>
      <c r="CF310" s="1475">
        <f>CF309/CF402/4</f>
        <v>6.6518968589744057E-2</v>
      </c>
      <c r="CG310" s="1362">
        <f>CG309/CG402</f>
        <v>6.6582616434292488E-2</v>
      </c>
      <c r="CH310" s="115">
        <f>CH309/CH402/4</f>
        <v>6.506140452657877E-2</v>
      </c>
      <c r="CI310" s="115">
        <f>CI309/CI402/4</f>
        <v>6.7461625776077297E-2</v>
      </c>
      <c r="CJ310" s="115">
        <f>CJ309/CJ402/4</f>
        <v>6.9221871433726101E-2</v>
      </c>
      <c r="CK310" s="115">
        <f>CK309/CK402/4</f>
        <v>5.8978961435352716E-2</v>
      </c>
      <c r="CL310" s="1362">
        <f>CL309/CL402</f>
        <v>5.8724925191178098E-2</v>
      </c>
      <c r="CM310" s="115">
        <f>CM309/CM402/4</f>
        <v>5.3391254067796566E-2</v>
      </c>
      <c r="CN310" s="115">
        <f>CN309/CN402/4</f>
        <v>5.3022626138490278E-2</v>
      </c>
      <c r="CO310" s="115">
        <f>CO309/CO402/4</f>
        <v>5.7299177563597467E-2</v>
      </c>
      <c r="CP310" s="115">
        <f>CP309/CP402/4</f>
        <v>2.9838048386867114E-2</v>
      </c>
      <c r="CQ310" s="1362">
        <f>CQ309/CQ402</f>
        <v>2.8446386448088574E-2</v>
      </c>
      <c r="CR310" s="115">
        <f>CR309/CR402/4</f>
        <v>4.1027084783378506E-2</v>
      </c>
      <c r="CS310" s="115">
        <f>CS309/CS402/4</f>
        <v>4.567356679943059E-2</v>
      </c>
      <c r="CT310" s="115">
        <f>CT309/CT402/4</f>
        <v>3.9325888718887252E-2</v>
      </c>
      <c r="CU310" s="115">
        <f>CU309/CU402/4</f>
        <v>4.1678278802742323E-2</v>
      </c>
      <c r="CV310" s="1362">
        <f>CV309/CV402</f>
        <v>4.141684091003503E-2</v>
      </c>
      <c r="CW310" s="115">
        <f>CW309/CW402/4</f>
        <v>3.9568443450270066E-2</v>
      </c>
      <c r="CX310" s="115">
        <f>CX309/CX402/4</f>
        <v>4.5103289977046671E-2</v>
      </c>
      <c r="CY310" s="115">
        <f>CY309/CY402/4</f>
        <v>4.5345600742229784E-2</v>
      </c>
      <c r="CZ310" s="115">
        <f>CZ309/CZ402/4</f>
        <v>4.3907750432911792E-2</v>
      </c>
      <c r="DA310" s="1362">
        <f>DA309/DA402</f>
        <v>4.381348832338465E-2</v>
      </c>
      <c r="DB310" s="115">
        <f>DB309/DB402/4</f>
        <v>0.17135880126828271</v>
      </c>
      <c r="DC310" s="115">
        <f>DC309/DC402/4</f>
        <v>3.7867384186956683E-2</v>
      </c>
      <c r="DD310" s="115">
        <f>DD309/DD402/4</f>
        <v>4.2299010244834172E-2</v>
      </c>
      <c r="DE310" s="115">
        <f>DE309/DE402/4</f>
        <v>2.7172007573101467E-2</v>
      </c>
      <c r="DF310" s="1362">
        <f>DF309/DF402</f>
        <v>2.9967905340087392E-2</v>
      </c>
      <c r="DG310" s="115">
        <f>DG309/DG402/4</f>
        <v>2.8906761271656391E-2</v>
      </c>
      <c r="DH310" s="115">
        <f>DH309/DH402/4</f>
        <v>3.4008083752981713E-2</v>
      </c>
      <c r="DI310" s="115">
        <f>DI309/DI402/4</f>
        <v>3.3070038646687908E-2</v>
      </c>
      <c r="DJ310" s="115">
        <f>DJ309/DJ402/4</f>
        <v>7.7437491269730416E-2</v>
      </c>
      <c r="DK310" s="1362">
        <f>DK309/DK402</f>
        <v>7.5585210181421544E-2</v>
      </c>
      <c r="DL310" s="115">
        <f>DL309/DL402/4</f>
        <v>7.8409529490193322E-2</v>
      </c>
      <c r="DM310" s="115">
        <f>DM309/DM402/4</f>
        <v>8.3466345174217207E-2</v>
      </c>
      <c r="DN310" s="115">
        <f>DN309/DN402/4</f>
        <v>5.3448104123779802E-2</v>
      </c>
      <c r="DO310" s="115">
        <f>DO309/DO402/4</f>
        <v>1.0000331685959733E-2</v>
      </c>
      <c r="DP310" s="1362">
        <f>DP309/DP402</f>
        <v>1.0201837345830442E-2</v>
      </c>
      <c r="DQ310" s="1474">
        <f>DQ309/DQ402/4</f>
        <v>-6.7989590110605078E-3</v>
      </c>
      <c r="DR310" s="115">
        <f ca="1">DR309/DR402/4</f>
        <v>5.8871061372668025E-3</v>
      </c>
      <c r="DS310" s="115">
        <f ca="1">DS309/DS402/4</f>
        <v>1.0409615962671405E-2</v>
      </c>
      <c r="DT310" s="1475">
        <f ca="1">DT309/DT402/4</f>
        <v>1.5910550359113367E-2</v>
      </c>
      <c r="DU310" s="1362">
        <f ca="1">DU309/DU402</f>
        <v>1.6122278270515034E-2</v>
      </c>
      <c r="DV310" s="1474">
        <f ca="1">DV309/DV402/4</f>
        <v>2.1467009408132841E-3</v>
      </c>
      <c r="DW310" s="115">
        <f ca="1">DW309/DW402/4</f>
        <v>2.3999828950377069E-3</v>
      </c>
      <c r="DX310" s="115">
        <f ca="1">DX309/DX402/4</f>
        <v>2.6286169216761099E-3</v>
      </c>
      <c r="DY310" s="1475">
        <f ca="1">DY309/DY402/4</f>
        <v>1.8624999646885292E-3</v>
      </c>
      <c r="DZ310" s="1362">
        <f ca="1">DZ309/DZ402</f>
        <v>1.8541598774118454E-3</v>
      </c>
      <c r="EA310" s="1474">
        <f ca="1">EA309/EA402/4</f>
        <v>-1.0326910177122352E-3</v>
      </c>
      <c r="EB310" s="115">
        <f ca="1">EB309/EB402/4</f>
        <v>6.0450945275416612E-4</v>
      </c>
      <c r="EC310" s="115">
        <f ca="1">EC309/EC402/4</f>
        <v>2.2248142236192077E-3</v>
      </c>
      <c r="ED310" s="1475">
        <f ca="1">ED309/ED402/4</f>
        <v>2.8853735086769596E-3</v>
      </c>
      <c r="EE310" s="1362">
        <f ca="1">EE309/EE402</f>
        <v>2.8754325732377193E-3</v>
      </c>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row>
    <row r="311" spans="2:232" s="54" customFormat="1">
      <c r="B311" s="693" t="s">
        <v>223</v>
      </c>
      <c r="C311" s="64"/>
      <c r="D311" s="64"/>
      <c r="E311" s="64"/>
      <c r="F311" s="474">
        <f>F206/F225</f>
        <v>1.8242592465307683</v>
      </c>
      <c r="G311" s="474">
        <f>G206/G225</f>
        <v>1.8068633475448674</v>
      </c>
      <c r="H311" s="474">
        <f>H206/H225</f>
        <v>1.6560513951785327</v>
      </c>
      <c r="I311" s="474">
        <f>I206/I225</f>
        <v>1.5921086068284716</v>
      </c>
      <c r="J311" s="474">
        <f>J206/J225</f>
        <v>1.6821125628849412</v>
      </c>
      <c r="K311" s="474"/>
      <c r="L311" s="474"/>
      <c r="M311" s="474"/>
      <c r="N311" s="474"/>
      <c r="O311" s="474">
        <f>O206/O225</f>
        <v>1.7082190100299928</v>
      </c>
      <c r="P311" s="474"/>
      <c r="Q311" s="474"/>
      <c r="R311" s="474"/>
      <c r="S311" s="474"/>
      <c r="T311" s="474">
        <f>T206/T225</f>
        <v>1.6166245166887494</v>
      </c>
      <c r="U311" s="474"/>
      <c r="V311" s="474"/>
      <c r="W311" s="474"/>
      <c r="X311" s="474"/>
      <c r="Y311" s="474">
        <f>Y206/Y225</f>
        <v>1.6601102973750896</v>
      </c>
      <c r="Z311" s="474"/>
      <c r="AA311" s="474"/>
      <c r="AB311" s="474"/>
      <c r="AC311" s="474"/>
      <c r="AD311" s="474">
        <f>AD206/AD225</f>
        <v>1.6746543299719303</v>
      </c>
      <c r="AE311" s="474"/>
      <c r="AF311" s="474"/>
      <c r="AG311" s="474"/>
      <c r="AH311" s="474"/>
      <c r="AI311" s="474">
        <f>AI206/AI225</f>
        <v>1.5410426704866087</v>
      </c>
      <c r="AJ311" s="474"/>
      <c r="AK311" s="474"/>
      <c r="AL311" s="474"/>
      <c r="AM311" s="474"/>
      <c r="AN311" s="474">
        <f>AN206/AN225</f>
        <v>1.4589918979944219</v>
      </c>
      <c r="AO311" s="474"/>
      <c r="AP311" s="474"/>
      <c r="AQ311" s="474"/>
      <c r="AR311" s="474"/>
      <c r="AS311" s="474">
        <f>AS206/AS225</f>
        <v>1.8289455874390901</v>
      </c>
      <c r="AT311" s="474"/>
      <c r="AU311" s="474"/>
      <c r="AV311" s="474"/>
      <c r="AW311" s="474"/>
      <c r="AX311" s="474">
        <f>AX206/AX225</f>
        <v>1.8001307403170452</v>
      </c>
      <c r="AY311" s="474"/>
      <c r="AZ311" s="474"/>
      <c r="BA311" s="474"/>
      <c r="BB311" s="474"/>
      <c r="BC311" s="474">
        <f>BC206/BC225</f>
        <v>1.904019225688695</v>
      </c>
      <c r="BD311" s="474"/>
      <c r="BE311" s="474"/>
      <c r="BF311" s="474"/>
      <c r="BG311" s="474"/>
      <c r="BH311" s="474">
        <f>BH206/BH225</f>
        <v>1.855947333281841</v>
      </c>
      <c r="BI311" s="474"/>
      <c r="BJ311" s="474"/>
      <c r="BK311" s="474"/>
      <c r="BL311" s="474"/>
      <c r="BM311" s="474">
        <f>BM206/BM225</f>
        <v>1.6863412854996147</v>
      </c>
      <c r="BN311" s="474"/>
      <c r="BO311" s="474"/>
      <c r="BP311" s="474"/>
      <c r="BQ311" s="474"/>
      <c r="BR311" s="474">
        <f t="shared" ref="BR311:CV311" si="773">BR206/BR225</f>
        <v>1.4101537595355973</v>
      </c>
      <c r="BS311" s="474">
        <f t="shared" si="773"/>
        <v>1.3695997879671349</v>
      </c>
      <c r="BT311" s="474">
        <f t="shared" si="773"/>
        <v>1.4028352119493808</v>
      </c>
      <c r="BU311" s="474">
        <f t="shared" si="773"/>
        <v>1.3573837356543992</v>
      </c>
      <c r="BV311" s="474">
        <f t="shared" si="773"/>
        <v>1.5702546505983881</v>
      </c>
      <c r="BW311" s="474">
        <f t="shared" si="773"/>
        <v>1.5702546505983881</v>
      </c>
      <c r="BX311" s="1484">
        <f t="shared" si="773"/>
        <v>1.4311087571134569</v>
      </c>
      <c r="BY311" s="474">
        <f t="shared" si="773"/>
        <v>1.6776890236105122</v>
      </c>
      <c r="BZ311" s="474">
        <f t="shared" si="773"/>
        <v>1.7570199340937802</v>
      </c>
      <c r="CA311" s="474">
        <f t="shared" si="773"/>
        <v>1.7800265918800307</v>
      </c>
      <c r="CB311" s="474">
        <f t="shared" si="773"/>
        <v>1.7800265918800307</v>
      </c>
      <c r="CC311" s="1484">
        <f t="shared" si="773"/>
        <v>1.7096266939958999</v>
      </c>
      <c r="CD311" s="474">
        <f t="shared" si="773"/>
        <v>1.8033027272078839</v>
      </c>
      <c r="CE311" s="474">
        <f t="shared" si="773"/>
        <v>1.6803841439089946</v>
      </c>
      <c r="CF311" s="1485">
        <f t="shared" si="773"/>
        <v>1.6038880667880975</v>
      </c>
      <c r="CG311" s="779">
        <f t="shared" si="773"/>
        <v>1.6039284272837346</v>
      </c>
      <c r="CH311" s="474">
        <f t="shared" si="773"/>
        <v>1.5538961836343022</v>
      </c>
      <c r="CI311" s="474">
        <f t="shared" si="773"/>
        <v>1.6618107105561941</v>
      </c>
      <c r="CJ311" s="474">
        <f t="shared" si="773"/>
        <v>1.6424223289259825</v>
      </c>
      <c r="CK311" s="474">
        <f t="shared" si="773"/>
        <v>1.5243968823995953</v>
      </c>
      <c r="CL311" s="779">
        <f t="shared" si="773"/>
        <v>1.5244339972782384</v>
      </c>
      <c r="CM311" s="474">
        <f t="shared" si="773"/>
        <v>1.4712237210397288</v>
      </c>
      <c r="CN311" s="474">
        <f t="shared" si="773"/>
        <v>1.5453129308568967</v>
      </c>
      <c r="CO311" s="474">
        <f t="shared" si="773"/>
        <v>1.5424210105900451</v>
      </c>
      <c r="CP311" s="474">
        <f t="shared" si="773"/>
        <v>1.2336276083966899</v>
      </c>
      <c r="CQ311" s="779">
        <f t="shared" si="773"/>
        <v>1.2336276083966899</v>
      </c>
      <c r="CR311" s="474">
        <f t="shared" si="773"/>
        <v>1.3049034335231684</v>
      </c>
      <c r="CS311" s="474">
        <f t="shared" si="773"/>
        <v>1.3774736842588287</v>
      </c>
      <c r="CT311" s="474">
        <f t="shared" si="773"/>
        <v>1.2972858617580938</v>
      </c>
      <c r="CU311" s="474">
        <f t="shared" si="773"/>
        <v>1.3367105707531239</v>
      </c>
      <c r="CV311" s="779">
        <f t="shared" si="773"/>
        <v>1.3367105707531239</v>
      </c>
      <c r="CW311" s="474">
        <f t="shared" ref="CW311:DF311" si="774">CW206/CW225</f>
        <v>1.3288742772928239</v>
      </c>
      <c r="CX311" s="474">
        <f t="shared" si="774"/>
        <v>1.4161666078362161</v>
      </c>
      <c r="CY311" s="474">
        <f t="shared" si="774"/>
        <v>1.4184801997859435</v>
      </c>
      <c r="CZ311" s="474">
        <f t="shared" si="774"/>
        <v>1.3762788083192805</v>
      </c>
      <c r="DA311" s="779">
        <f t="shared" si="774"/>
        <v>1.3762788083192805</v>
      </c>
      <c r="DB311" s="474">
        <f t="shared" si="774"/>
        <v>2.3569909891667509</v>
      </c>
      <c r="DC311" s="474">
        <f t="shared" si="774"/>
        <v>1.2411623726782504</v>
      </c>
      <c r="DD311" s="474">
        <f>DD206/DD225</f>
        <v>1.301541127684595</v>
      </c>
      <c r="DE311" s="474">
        <f>DE206/DE225</f>
        <v>1.1872319864709791</v>
      </c>
      <c r="DF311" s="779">
        <f t="shared" si="774"/>
        <v>1.1872319864709791</v>
      </c>
      <c r="DG311" s="474">
        <f>DG206/DG225</f>
        <v>1.1989451226739363</v>
      </c>
      <c r="DH311" s="474">
        <f>DH206/DH225</f>
        <v>1.2523352999016715</v>
      </c>
      <c r="DI311" s="474">
        <f>DI206/DI225</f>
        <v>1.2467902093479224</v>
      </c>
      <c r="DJ311" s="474">
        <f>DJ206/DJ225</f>
        <v>1.5213660142244165</v>
      </c>
      <c r="DK311" s="779">
        <f t="shared" ref="DK311:DU311" si="775">DK206/DK225</f>
        <v>1.5213660142244165</v>
      </c>
      <c r="DL311" s="474">
        <f>DL206/DL225</f>
        <v>1.5042021546618534</v>
      </c>
      <c r="DM311" s="474">
        <f>DM206/DM225</f>
        <v>1.5561149451295395</v>
      </c>
      <c r="DN311" s="474">
        <f t="shared" ref="DN311:DO311" si="776">DN206/DN225</f>
        <v>1.2965504536452817</v>
      </c>
      <c r="DO311" s="474">
        <f t="shared" si="776"/>
        <v>1.0650239930986143</v>
      </c>
      <c r="DP311" s="779">
        <f t="shared" si="775"/>
        <v>1.0650239930986143</v>
      </c>
      <c r="DQ311" s="1484">
        <f t="shared" si="775"/>
        <v>0.95925330213968907</v>
      </c>
      <c r="DR311" s="474">
        <f t="shared" ca="1" si="775"/>
        <v>1.0392619986224003</v>
      </c>
      <c r="DS311" s="474">
        <f t="shared" ca="1" si="775"/>
        <v>1.0703833417599482</v>
      </c>
      <c r="DT311" s="1485">
        <f t="shared" ca="1" si="775"/>
        <v>1.1016618266807028</v>
      </c>
      <c r="DU311" s="779">
        <f t="shared" ca="1" si="775"/>
        <v>1.1016618266807028</v>
      </c>
      <c r="DV311" s="1484">
        <f t="shared" ref="DV311:DZ311" ca="1" si="777">DV206/DV225</f>
        <v>1.013165637388812</v>
      </c>
      <c r="DW311" s="474">
        <f t="shared" ca="1" si="777"/>
        <v>1.016027075193888</v>
      </c>
      <c r="DX311" s="474">
        <f t="shared" ca="1" si="777"/>
        <v>1.0179038886730594</v>
      </c>
      <c r="DY311" s="1485">
        <f t="shared" ca="1" si="777"/>
        <v>1.012004151608209</v>
      </c>
      <c r="DZ311" s="779">
        <f t="shared" ca="1" si="777"/>
        <v>1.012004151608209</v>
      </c>
      <c r="EA311" s="1484">
        <f t="shared" ref="EA311:EE311" ca="1" si="778">EA206/EA225</f>
        <v>0.9936568838705705</v>
      </c>
      <c r="EB311" s="474">
        <f t="shared" ca="1" si="778"/>
        <v>1.0040395192001801</v>
      </c>
      <c r="EC311" s="474">
        <f t="shared" ca="1" si="778"/>
        <v>1.0151720851715131</v>
      </c>
      <c r="ED311" s="1485">
        <f t="shared" ca="1" si="778"/>
        <v>1.018950138775752</v>
      </c>
      <c r="EE311" s="779">
        <f t="shared" ca="1" si="778"/>
        <v>1.018950138775752</v>
      </c>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row>
    <row r="312" spans="2:232" s="54" customFormat="1">
      <c r="B312" s="693" t="s">
        <v>224</v>
      </c>
      <c r="C312" s="64"/>
      <c r="D312" s="64"/>
      <c r="E312" s="64"/>
      <c r="F312" s="474">
        <f>(F206-F204)/F225</f>
        <v>0.49053739633253718</v>
      </c>
      <c r="G312" s="474">
        <f>(G206-G204)/G225</f>
        <v>0.54725092332739955</v>
      </c>
      <c r="H312" s="474">
        <f>(H206-H204)/H225</f>
        <v>0.41776465834452919</v>
      </c>
      <c r="I312" s="474">
        <f>(I206-I204)/I225</f>
        <v>0.38965954721140128</v>
      </c>
      <c r="J312" s="474">
        <f>(J206-J204)/J225</f>
        <v>0.33313106233101542</v>
      </c>
      <c r="K312" s="474"/>
      <c r="L312" s="474"/>
      <c r="M312" s="474"/>
      <c r="N312" s="474"/>
      <c r="O312" s="474">
        <f>(O206-O204)/O225</f>
        <v>0.32747778045695486</v>
      </c>
      <c r="P312" s="474"/>
      <c r="Q312" s="474"/>
      <c r="R312" s="474"/>
      <c r="S312" s="474"/>
      <c r="T312" s="474">
        <f>(T206-T204)/T225</f>
        <v>0.41213015653653684</v>
      </c>
      <c r="U312" s="474"/>
      <c r="V312" s="474"/>
      <c r="W312" s="474"/>
      <c r="X312" s="474"/>
      <c r="Y312" s="474">
        <f>(Y206-Y204)/Y225</f>
        <v>0.37737169734420528</v>
      </c>
      <c r="Z312" s="474"/>
      <c r="AA312" s="474"/>
      <c r="AB312" s="474"/>
      <c r="AC312" s="474"/>
      <c r="AD312" s="474">
        <f>(AD206-AD204)/AD225</f>
        <v>0.3945836365526561</v>
      </c>
      <c r="AE312" s="474"/>
      <c r="AF312" s="474"/>
      <c r="AG312" s="474"/>
      <c r="AH312" s="474"/>
      <c r="AI312" s="474">
        <f>(AI206-AI204)/AI225</f>
        <v>0.31223683639362776</v>
      </c>
      <c r="AJ312" s="474"/>
      <c r="AK312" s="474"/>
      <c r="AL312" s="474"/>
      <c r="AM312" s="474"/>
      <c r="AN312" s="474">
        <f>(AN206-AN204)/AN225</f>
        <v>0.30266303625979563</v>
      </c>
      <c r="AO312" s="474"/>
      <c r="AP312" s="474"/>
      <c r="AQ312" s="474"/>
      <c r="AR312" s="474"/>
      <c r="AS312" s="474">
        <f>(AS206-AS204)/AS225</f>
        <v>0.59545885219274486</v>
      </c>
      <c r="AT312" s="474"/>
      <c r="AU312" s="474"/>
      <c r="AV312" s="474"/>
      <c r="AW312" s="474"/>
      <c r="AX312" s="474">
        <f>(AX206-AX204)/AX225</f>
        <v>0.65541755188756357</v>
      </c>
      <c r="AY312" s="474"/>
      <c r="AZ312" s="474"/>
      <c r="BA312" s="474"/>
      <c r="BB312" s="474"/>
      <c r="BC312" s="474">
        <f>(BC206-BC204)/BC225</f>
        <v>0.74199955870323675</v>
      </c>
      <c r="BD312" s="474"/>
      <c r="BE312" s="474"/>
      <c r="BF312" s="474"/>
      <c r="BG312" s="474"/>
      <c r="BH312" s="474">
        <f>(BH206-BH204)/BH225</f>
        <v>0.60785538951928808</v>
      </c>
      <c r="BI312" s="474"/>
      <c r="BJ312" s="474"/>
      <c r="BK312" s="474"/>
      <c r="BL312" s="474"/>
      <c r="BM312" s="474">
        <f>(BM206-BM204)/BM225</f>
        <v>0.63506680806142746</v>
      </c>
      <c r="BN312" s="474"/>
      <c r="BO312" s="474"/>
      <c r="BP312" s="474"/>
      <c r="BQ312" s="474"/>
      <c r="BR312" s="474">
        <f t="shared" ref="BR312:CV312" si="779">(BR206-BR204)/BR225</f>
        <v>0.40330353045326117</v>
      </c>
      <c r="BS312" s="474">
        <f t="shared" si="779"/>
        <v>0.36867214418234828</v>
      </c>
      <c r="BT312" s="474">
        <f t="shared" si="779"/>
        <v>0.38939215821865691</v>
      </c>
      <c r="BU312" s="474">
        <f t="shared" si="779"/>
        <v>0.41583247804006768</v>
      </c>
      <c r="BV312" s="474">
        <f t="shared" si="779"/>
        <v>0.47926073090661758</v>
      </c>
      <c r="BW312" s="474">
        <f t="shared" si="779"/>
        <v>0.47926073090661758</v>
      </c>
      <c r="BX312" s="1484">
        <f t="shared" si="779"/>
        <v>0.45441384185921951</v>
      </c>
      <c r="BY312" s="474">
        <f t="shared" si="779"/>
        <v>0.63320479278831132</v>
      </c>
      <c r="BZ312" s="474">
        <f t="shared" si="779"/>
        <v>0.76877957843624389</v>
      </c>
      <c r="CA312" s="474">
        <f t="shared" si="779"/>
        <v>0.77702762600619413</v>
      </c>
      <c r="CB312" s="474">
        <f t="shared" si="779"/>
        <v>0.77702762600619413</v>
      </c>
      <c r="CC312" s="1484">
        <f t="shared" si="779"/>
        <v>0.75411659427715783</v>
      </c>
      <c r="CD312" s="474">
        <f t="shared" si="779"/>
        <v>0.81659586137260909</v>
      </c>
      <c r="CE312" s="474">
        <f t="shared" si="779"/>
        <v>0.71185124648357567</v>
      </c>
      <c r="CF312" s="1485">
        <f t="shared" si="779"/>
        <v>0.61128750174033752</v>
      </c>
      <c r="CG312" s="779">
        <f t="shared" si="779"/>
        <v>0.61132786223597468</v>
      </c>
      <c r="CH312" s="474">
        <f t="shared" si="779"/>
        <v>0.58334765007190192</v>
      </c>
      <c r="CI312" s="474">
        <f t="shared" si="779"/>
        <v>0.65345970313307644</v>
      </c>
      <c r="CJ312" s="474">
        <f t="shared" si="779"/>
        <v>0.68864612281332771</v>
      </c>
      <c r="CK312" s="474">
        <f t="shared" si="779"/>
        <v>0.52922182363428538</v>
      </c>
      <c r="CL312" s="779">
        <f t="shared" si="779"/>
        <v>0.52925893851292838</v>
      </c>
      <c r="CM312" s="474">
        <f t="shared" si="779"/>
        <v>0.47098067814265754</v>
      </c>
      <c r="CN312" s="474">
        <f t="shared" si="779"/>
        <v>0.53249241803638392</v>
      </c>
      <c r="CO312" s="474">
        <f t="shared" si="779"/>
        <v>0.60867884287907326</v>
      </c>
      <c r="CP312" s="474">
        <f t="shared" si="779"/>
        <v>0.42693189640402762</v>
      </c>
      <c r="CQ312" s="779">
        <f t="shared" si="779"/>
        <v>0.42693189640402762</v>
      </c>
      <c r="CR312" s="474">
        <f t="shared" si="779"/>
        <v>0.46574034339441295</v>
      </c>
      <c r="CS312" s="474">
        <f t="shared" si="779"/>
        <v>0.57381717456353787</v>
      </c>
      <c r="CT312" s="474">
        <f t="shared" si="779"/>
        <v>0.58717234266624652</v>
      </c>
      <c r="CU312" s="474">
        <f t="shared" si="779"/>
        <v>0.56534954407294835</v>
      </c>
      <c r="CV312" s="779">
        <f t="shared" si="779"/>
        <v>0.56534954407294835</v>
      </c>
      <c r="CW312" s="474">
        <f t="shared" ref="CW312:DF312" si="780">(CW206-CW204)/CW225</f>
        <v>0.45266976533272874</v>
      </c>
      <c r="CX312" s="474">
        <f t="shared" si="780"/>
        <v>0.56747852688551592</v>
      </c>
      <c r="CY312" s="474">
        <f t="shared" si="780"/>
        <v>0.65275300273516468</v>
      </c>
      <c r="CZ312" s="474">
        <f t="shared" si="780"/>
        <v>0.69319842608206861</v>
      </c>
      <c r="DA312" s="779">
        <f t="shared" si="780"/>
        <v>0.69319842608206861</v>
      </c>
      <c r="DB312" s="474">
        <f t="shared" si="780"/>
        <v>1.6970740103270223</v>
      </c>
      <c r="DC312" s="474">
        <f t="shared" si="780"/>
        <v>0.67920910724985017</v>
      </c>
      <c r="DD312" s="474">
        <f>(DD206-DD204)/DD225</f>
        <v>0.75911369684966268</v>
      </c>
      <c r="DE312" s="474">
        <f>(DE206-DE204)/DE225</f>
        <v>0.66310321918221904</v>
      </c>
      <c r="DF312" s="779">
        <f t="shared" si="780"/>
        <v>0.66310321918221904</v>
      </c>
      <c r="DG312" s="474">
        <f>(DG206-DG204)/DG225</f>
        <v>0.61319189285290976</v>
      </c>
      <c r="DH312" s="474">
        <f>(DH206-DH204)/DH225</f>
        <v>0.69770157325467064</v>
      </c>
      <c r="DI312" s="474">
        <f>(DI206-DI204)/DI225</f>
        <v>0.68193030168869773</v>
      </c>
      <c r="DJ312" s="474">
        <f>(DJ206-DJ204)/DJ225</f>
        <v>0.99494504202668543</v>
      </c>
      <c r="DK312" s="779">
        <f t="shared" ref="DK312:DU312" si="781">(DK206-DK204)/DK225</f>
        <v>0.99494504202668543</v>
      </c>
      <c r="DL312" s="474">
        <f>(DL206-DL204)/DL225</f>
        <v>0.93795476338202943</v>
      </c>
      <c r="DM312" s="474">
        <f>(DM206-DM204)/DM225</f>
        <v>1.0339970584907796</v>
      </c>
      <c r="DN312" s="474">
        <f t="shared" ref="DN312:DO312" si="782">(DN206-DN204)/DN225</f>
        <v>0.89674388615115364</v>
      </c>
      <c r="DO312" s="474">
        <f t="shared" si="782"/>
        <v>0.58521593788752901</v>
      </c>
      <c r="DP312" s="779">
        <f t="shared" si="781"/>
        <v>0.58521593788752901</v>
      </c>
      <c r="DQ312" s="1484">
        <f t="shared" si="781"/>
        <v>0.47136520933859727</v>
      </c>
      <c r="DR312" s="474">
        <f t="shared" ca="1" si="781"/>
        <v>0.53506173200118434</v>
      </c>
      <c r="DS312" s="474">
        <f t="shared" ca="1" si="781"/>
        <v>0.60961702738996115</v>
      </c>
      <c r="DT312" s="1485">
        <f t="shared" ca="1" si="781"/>
        <v>0.65223414585747697</v>
      </c>
      <c r="DU312" s="779">
        <f t="shared" ca="1" si="781"/>
        <v>0.65223414585747697</v>
      </c>
      <c r="DV312" s="1484">
        <f t="shared" ref="DV312:DZ312" ca="1" si="783">(DV206-DV204)/DV225</f>
        <v>0.53698922697093543</v>
      </c>
      <c r="DW312" s="474">
        <f t="shared" ca="1" si="783"/>
        <v>0.52529327689377248</v>
      </c>
      <c r="DX312" s="474">
        <f t="shared" ca="1" si="783"/>
        <v>0.56912161496881242</v>
      </c>
      <c r="DY312" s="1485">
        <f t="shared" ca="1" si="783"/>
        <v>0.57338224998389309</v>
      </c>
      <c r="DZ312" s="779">
        <f t="shared" ca="1" si="783"/>
        <v>0.57338224998389309</v>
      </c>
      <c r="EA312" s="1484">
        <f t="shared" ref="EA312:EE312" ca="1" si="784">(EA206-EA204)/EA225</f>
        <v>0.53033006521401449</v>
      </c>
      <c r="EB312" s="474">
        <f t="shared" ca="1" si="784"/>
        <v>0.5271251131482203</v>
      </c>
      <c r="EC312" s="474">
        <f t="shared" ca="1" si="784"/>
        <v>0.58044630026659416</v>
      </c>
      <c r="ED312" s="1485">
        <f t="shared" ca="1" si="784"/>
        <v>0.58596351975419558</v>
      </c>
      <c r="EE312" s="779">
        <f t="shared" ca="1" si="784"/>
        <v>0.58596351975419558</v>
      </c>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row>
    <row r="313" spans="2:232" s="54" customFormat="1">
      <c r="B313" s="693" t="s">
        <v>176</v>
      </c>
      <c r="C313" s="64"/>
      <c r="D313" s="64"/>
      <c r="E313" s="64"/>
      <c r="F313" s="266">
        <f>F406/AVERAGE(Model!F238,Model!E238)</f>
        <v>0.18032996132846574</v>
      </c>
      <c r="G313" s="266">
        <f>G406/AVERAGE(Model!G238,Model!F238)</f>
        <v>0.19065123849249049</v>
      </c>
      <c r="H313" s="266">
        <f>H406/AVERAGE(Model!H238,Model!G238)</f>
        <v>0.16972497962336999</v>
      </c>
      <c r="I313" s="266">
        <f>I406/AVERAGE(Model!I238,Model!H238)</f>
        <v>0.190983511330308</v>
      </c>
      <c r="J313" s="266">
        <f>J406/AVERAGE(Model!J238,Model!I238)</f>
        <v>0.19059385792873068</v>
      </c>
      <c r="K313" s="266"/>
      <c r="L313" s="266"/>
      <c r="M313" s="266"/>
      <c r="N313" s="266"/>
      <c r="O313" s="266">
        <f>O406/AVERAGE(Model!O238,Model!J238)</f>
        <v>0.19597407611822704</v>
      </c>
      <c r="P313" s="266"/>
      <c r="Q313" s="266"/>
      <c r="R313" s="266"/>
      <c r="S313" s="266"/>
      <c r="T313" s="266">
        <f>T406/AVERAGE(Model!T238,Model!O238)</f>
        <v>0.20514967543377369</v>
      </c>
      <c r="U313" s="266"/>
      <c r="V313" s="266"/>
      <c r="W313" s="266"/>
      <c r="X313" s="266"/>
      <c r="Y313" s="266">
        <f>Y406/AVERAGE(Model!Y238,Model!T238)</f>
        <v>0.21343316907236795</v>
      </c>
      <c r="Z313" s="266"/>
      <c r="AA313" s="266"/>
      <c r="AB313" s="266"/>
      <c r="AC313" s="266"/>
      <c r="AD313" s="266">
        <f>AD406/AVERAGE(Model!AD238,Model!Y238)</f>
        <v>0.19708751952203787</v>
      </c>
      <c r="AE313" s="266"/>
      <c r="AF313" s="266"/>
      <c r="AG313" s="266"/>
      <c r="AH313" s="266"/>
      <c r="AI313" s="266">
        <f>AI406/AVERAGE(Model!AI238,Model!AD238)</f>
        <v>0.20587435056942596</v>
      </c>
      <c r="AJ313" s="266"/>
      <c r="AK313" s="266"/>
      <c r="AL313" s="266"/>
      <c r="AM313" s="266"/>
      <c r="AN313" s="266">
        <f>AN406/AVERAGE(Model!AN238,Model!AI238)</f>
        <v>0.18760327077066435</v>
      </c>
      <c r="AO313" s="266"/>
      <c r="AP313" s="266"/>
      <c r="AQ313" s="266"/>
      <c r="AR313" s="266"/>
      <c r="AS313" s="266">
        <f>AS406/AVERAGE(Model!AS238,Model!AN238)</f>
        <v>0.17268195755322979</v>
      </c>
      <c r="AT313" s="266"/>
      <c r="AU313" s="266"/>
      <c r="AV313" s="266"/>
      <c r="AW313" s="266"/>
      <c r="AX313" s="266">
        <f>AX406/AVERAGE(Model!AX238,Model!AS238)</f>
        <v>0.17150974503915697</v>
      </c>
      <c r="AY313" s="266"/>
      <c r="AZ313" s="266"/>
      <c r="BA313" s="266"/>
      <c r="BB313" s="266"/>
      <c r="BC313" s="266">
        <f>BC406/AVERAGE(Model!BC238,Model!AX238)</f>
        <v>0.17693593319971979</v>
      </c>
      <c r="BD313" s="266"/>
      <c r="BE313" s="266"/>
      <c r="BF313" s="266"/>
      <c r="BG313" s="266"/>
      <c r="BH313" s="266">
        <f>BH406/AVERAGE(Model!BH238,Model!BC238)</f>
        <v>0.18315383982056413</v>
      </c>
      <c r="BI313" s="266"/>
      <c r="BJ313" s="266"/>
      <c r="BK313" s="266"/>
      <c r="BL313" s="266"/>
      <c r="BM313" s="266">
        <f>BM406/AVERAGE(Model!BM238,Model!BH238)</f>
        <v>0.18422035725655184</v>
      </c>
      <c r="BN313" s="266"/>
      <c r="BO313" s="266"/>
      <c r="BP313" s="266"/>
      <c r="BQ313" s="266"/>
      <c r="BR313" s="266">
        <f>BR406/AVERAGE(Model!BR238,Model!BM238)</f>
        <v>0.19237421123520923</v>
      </c>
      <c r="BS313" s="266">
        <f>BS406/AVERAGE(Model!BS238,Model!BR238)*4</f>
        <v>0.16131502192719735</v>
      </c>
      <c r="BT313" s="266">
        <f>BT406/AVERAGE(Model!BT238,Model!BS238)*4</f>
        <v>0.23276568463867073</v>
      </c>
      <c r="BU313" s="266">
        <f>BU406/AVERAGE(Model!BU238,Model!BT238)*4</f>
        <v>0.18641938670558558</v>
      </c>
      <c r="BV313" s="266">
        <f>BV406/AVERAGE(Model!BV238,Model!BU238)*4</f>
        <v>0.13960927566570525</v>
      </c>
      <c r="BW313" s="266">
        <f>BW406/AVERAGE(Model!BW238,Model!BR238)</f>
        <v>0.16923173182996334</v>
      </c>
      <c r="BX313" s="1486">
        <f>BX406/AVERAGE(Model!BX238,Model!BW238)*4</f>
        <v>0.12553942722215353</v>
      </c>
      <c r="BY313" s="266">
        <f>BY406/AVERAGE(Model!BY238,Model!BX238)*4</f>
        <v>0.19097779136547235</v>
      </c>
      <c r="BZ313" s="266">
        <f>BZ406/AVERAGE(Model!BZ238,Model!BY238)*4</f>
        <v>0.14986327129233173</v>
      </c>
      <c r="CA313" s="266">
        <f>CA406/AVERAGE(Model!CA238,Model!BZ238)*4</f>
        <v>0.12211730683351123</v>
      </c>
      <c r="CB313" s="266">
        <f>CB406/AVERAGE(Model!CB238,Model!BW238)</f>
        <v>0.14725583682466256</v>
      </c>
      <c r="CC313" s="1486">
        <f>CC406/AVERAGE(Model!CC238,Model!CB238)*4</f>
        <v>0.1349119037643034</v>
      </c>
      <c r="CD313" s="266">
        <f>CD406/AVERAGE(Model!CD238,Model!CC238)*4</f>
        <v>0.18100404485336338</v>
      </c>
      <c r="CE313" s="266">
        <f>CE406/AVERAGE(Model!CE238,Model!CD238)*4</f>
        <v>0.12322268574530987</v>
      </c>
      <c r="CF313" s="1487">
        <f>CF406/AVERAGE(Model!CF238,Model!CE238)*4</f>
        <v>0.12740839132975454</v>
      </c>
      <c r="CG313" s="1365">
        <f>CG406/AVERAGE(Model!CG238,Model!CB238)</f>
        <v>0.14532944119879923</v>
      </c>
      <c r="CH313" s="266">
        <f>CH406/AVERAGE(Model!CH238,Model!CG238)*4</f>
        <v>0.16132004296987681</v>
      </c>
      <c r="CI313" s="266">
        <f>CI406/AVERAGE(Model!CI238,Model!CH238)*4</f>
        <v>0.20355743472949198</v>
      </c>
      <c r="CJ313" s="266">
        <f>CJ406/AVERAGE(Model!CJ238,Model!CI238)*4</f>
        <v>0.16406265941547443</v>
      </c>
      <c r="CK313" s="266">
        <f>CK406/AVERAGE(Model!CK238,Model!CJ238)*4</f>
        <v>0.21427556865588013</v>
      </c>
      <c r="CL313" s="1365">
        <f>CL406/AVERAGE(Model!CL238,Model!CG238)</f>
        <v>0.18559168461722569</v>
      </c>
      <c r="CM313" s="266">
        <f>CM406/AVERAGE(Model!CM238,Model!CL238)*4</f>
        <v>0.15013194131353771</v>
      </c>
      <c r="CN313" s="266">
        <f>CN406/AVERAGE(Model!CN238,Model!CM238)*4</f>
        <v>0.18528691664931995</v>
      </c>
      <c r="CO313" s="266">
        <f>CO406/AVERAGE(Model!CO238,Model!CN238)*4</f>
        <v>0.14389356698870373</v>
      </c>
      <c r="CP313" s="266">
        <f>CP406/AVERAGE(Model!CP238,Model!CO238)*4</f>
        <v>8.4867499712280178E-2</v>
      </c>
      <c r="CQ313" s="1365">
        <f>CQ406/AVERAGE(Model!CQ238,Model!CL238)</f>
        <v>0.12858684448197835</v>
      </c>
      <c r="CR313" s="266">
        <f>CR406/AVERAGE(Model!CR238,Model!CQ238)*4</f>
        <v>9.0237720677128749E-2</v>
      </c>
      <c r="CS313" s="266">
        <f>CS406/AVERAGE(Model!CS238,Model!CR238)*4</f>
        <v>0.16192164149134972</v>
      </c>
      <c r="CT313" s="266">
        <f>CT406/AVERAGE(Model!CT238,Model!CS238)*4</f>
        <v>0.13153318367217884</v>
      </c>
      <c r="CU313" s="266">
        <f>CU406/AVERAGE(Model!CU238,Model!CT238)*4</f>
        <v>0.13675498325688135</v>
      </c>
      <c r="CV313" s="1365">
        <f>CV406/AVERAGE(Model!CV238,Model!CQ238)</f>
        <v>0.13000899449831985</v>
      </c>
      <c r="CW313" s="266">
        <f>CW406/AVERAGE(Model!CW238,Model!CV238)*4</f>
        <v>0.14072386737534801</v>
      </c>
      <c r="CX313" s="266">
        <f>CX406/AVERAGE(Model!CX238,Model!CW238)*4</f>
        <v>0.14752133825723299</v>
      </c>
      <c r="CY313" s="266">
        <f>CY406/AVERAGE(Model!CY238,Model!CX238)*4</f>
        <v>0.13649038234321093</v>
      </c>
      <c r="CZ313" s="266">
        <f>CZ406/AVERAGE(Model!CZ238,Model!CY238)*4</f>
        <v>-4.5474004661561145E-2</v>
      </c>
      <c r="DA313" s="1365">
        <f>DA406/AVERAGE(Model!DA238,Model!CV238)</f>
        <v>9.6563788579282772E-2</v>
      </c>
      <c r="DB313" s="266">
        <f>DB406/AVERAGE(Model!DB238,Model!DA238)*4</f>
        <v>0.16453735965931088</v>
      </c>
      <c r="DC313" s="266">
        <f>DC406/AVERAGE(Model!DC238,Model!DB238)*4</f>
        <v>0.31540941826115498</v>
      </c>
      <c r="DD313" s="266">
        <f>DD406/AVERAGE(Model!DD238,Model!DC238)*4</f>
        <v>0.16545151298546582</v>
      </c>
      <c r="DE313" s="266">
        <f>DE406/AVERAGE(Model!DE238,Model!DD238)*4</f>
        <v>3.2896297584968921E-3</v>
      </c>
      <c r="DF313" s="1365">
        <f>DF406/AVERAGE(Model!DF238,Model!DA238)</f>
        <v>0.1627427161065155</v>
      </c>
      <c r="DG313" s="266">
        <f>DG406/AVERAGE(Model!DG238,Model!DF238)*4</f>
        <v>0.14218464790085503</v>
      </c>
      <c r="DH313" s="266">
        <f>DH406/AVERAGE(Model!DH238,Model!DG238)*4</f>
        <v>0.12182342153523709</v>
      </c>
      <c r="DI313" s="266">
        <f>DI406/AVERAGE(Model!DI238,Model!DH238)*4</f>
        <v>0.14410765612751503</v>
      </c>
      <c r="DJ313" s="266">
        <f>DJ406/AVERAGE(Model!DJ238,Model!DI238)*4</f>
        <v>0.13377709229645263</v>
      </c>
      <c r="DK313" s="1365">
        <f>DK406/AVERAGE(Model!DK238,Model!DF238)</f>
        <v>0.13552881570614314</v>
      </c>
      <c r="DL313" s="266">
        <f>DL406/AVERAGE(Model!DL238,Model!DK238)*4</f>
        <v>0.14059660180414521</v>
      </c>
      <c r="DM313" s="266">
        <f>DM406/AVERAGE(Model!DM238,Model!DL238)*4</f>
        <v>0.141067655914694</v>
      </c>
      <c r="DN313" s="266">
        <f>DN406/AVERAGE(Model!DN238,Model!DM238)*4</f>
        <v>0.15016557628624505</v>
      </c>
      <c r="DO313" s="266">
        <f>DO406/AVERAGE(Model!DO238,Model!DN238)*4</f>
        <v>0.10736637772348472</v>
      </c>
      <c r="DP313" s="1365">
        <f>DP406/AVERAGE(Model!DP238,Model!DK238)</f>
        <v>0.13928784903082572</v>
      </c>
      <c r="DQ313" s="1486">
        <f>DQ406/AVERAGE(Model!DQ238,Model!DP238)*4</f>
        <v>0.11935308013810648</v>
      </c>
      <c r="DR313" s="266">
        <f ca="1">DR406/AVERAGE(Model!DR238,Model!DQ238)*4</f>
        <v>0.18591791947572109</v>
      </c>
      <c r="DS313" s="266">
        <f ca="1">DS406/AVERAGE(Model!DS238,Model!DR238)*4</f>
        <v>0.1740960470980161</v>
      </c>
      <c r="DT313" s="1487">
        <f ca="1">DT406/AVERAGE(Model!DT238,Model!DS238)*4</f>
        <v>0.16839563872150168</v>
      </c>
      <c r="DU313" s="1365">
        <f ca="1">DU406/AVERAGE(Model!DU238,Model!DP238)</f>
        <v>0.15710495751048223</v>
      </c>
      <c r="DV313" s="1486">
        <f ca="1">DV406/AVERAGE(Model!DV238,Model!DU238)*4</f>
        <v>0.15284431185472322</v>
      </c>
      <c r="DW313" s="266">
        <f ca="1">DW406/AVERAGE(Model!DW238,Model!DV238)*4</f>
        <v>0.18973616149758407</v>
      </c>
      <c r="DX313" s="266">
        <f ca="1">DX406/AVERAGE(Model!DX238,Model!DW238)*4</f>
        <v>0.19268090448938466</v>
      </c>
      <c r="DY313" s="1487">
        <f ca="1">DY406/AVERAGE(Model!DY238,Model!DX238)*4</f>
        <v>0.19712060934635578</v>
      </c>
      <c r="DZ313" s="1365">
        <f ca="1">DZ406/AVERAGE(Model!DZ238,Model!DU238)</f>
        <v>0.18223929008194709</v>
      </c>
      <c r="EA313" s="1486">
        <f ca="1">EA406/AVERAGE(Model!EA238,Model!DZ238)*4</f>
        <v>0.18536264486273085</v>
      </c>
      <c r="EB313" s="266">
        <f ca="1">EB406/AVERAGE(Model!EB238,Model!EA238)*4</f>
        <v>0.2184056742640938</v>
      </c>
      <c r="EC313" s="266">
        <f ca="1">EC406/AVERAGE(Model!EC238,Model!EB238)*4</f>
        <v>0.22197472956027522</v>
      </c>
      <c r="ED313" s="1487">
        <f ca="1">ED406/AVERAGE(Model!ED238,Model!EC238)*4</f>
        <v>0.22531226584283529</v>
      </c>
      <c r="EE313" s="1365">
        <f ca="1">EE406/AVERAGE(Model!EE238,Model!DZ238)</f>
        <v>0.21187797703142147</v>
      </c>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row>
    <row r="314" spans="2:232" s="54" customFormat="1">
      <c r="B314" s="693" t="s">
        <v>177</v>
      </c>
      <c r="C314" s="64"/>
      <c r="D314" s="64"/>
      <c r="E314" s="64"/>
      <c r="F314" s="266">
        <f>F406/AVERAGE(Model!F216,Model!E216)</f>
        <v>9.3078180133359639E-2</v>
      </c>
      <c r="G314" s="266">
        <f>G406/AVERAGE(Model!G216,Model!F216)</f>
        <v>9.8755043152849012E-2</v>
      </c>
      <c r="H314" s="266">
        <f>H406/AVERAGE(Model!H216,Model!G216)</f>
        <v>9.0314807809171324E-2</v>
      </c>
      <c r="I314" s="266">
        <f>I406/AVERAGE(Model!I216,Model!H216)</f>
        <v>0.10357535167544082</v>
      </c>
      <c r="J314" s="266">
        <f>J406/AVERAGE(Model!J216,Model!I216)</f>
        <v>0.10412999995455537</v>
      </c>
      <c r="K314" s="266"/>
      <c r="L314" s="266"/>
      <c r="M314" s="266"/>
      <c r="N314" s="266"/>
      <c r="O314" s="266">
        <f>O406/AVERAGE(Model!O216,Model!J216)</f>
        <v>0.10915892866555997</v>
      </c>
      <c r="P314" s="266"/>
      <c r="Q314" s="266"/>
      <c r="R314" s="266"/>
      <c r="S314" s="266"/>
      <c r="T314" s="266">
        <f>T406/AVERAGE(Model!T216,Model!O216)</f>
        <v>0.11555257509908531</v>
      </c>
      <c r="U314" s="266"/>
      <c r="V314" s="266"/>
      <c r="W314" s="266"/>
      <c r="X314" s="266"/>
      <c r="Y314" s="266">
        <f>Y406/AVERAGE(Model!Y216,Model!T216)</f>
        <v>0.12236532755861861</v>
      </c>
      <c r="Z314" s="266"/>
      <c r="AA314" s="266"/>
      <c r="AB314" s="266"/>
      <c r="AC314" s="266"/>
      <c r="AD314" s="266">
        <f>AD406/AVERAGE(Model!AD216,Model!Y216)</f>
        <v>0.11548518256271795</v>
      </c>
      <c r="AE314" s="266"/>
      <c r="AF314" s="266"/>
      <c r="AG314" s="266"/>
      <c r="AH314" s="266"/>
      <c r="AI314" s="266">
        <f>AI406/AVERAGE(Model!AI216,Model!AD216)</f>
        <v>0.12213306278054484</v>
      </c>
      <c r="AJ314" s="266"/>
      <c r="AK314" s="266"/>
      <c r="AL314" s="266"/>
      <c r="AM314" s="266"/>
      <c r="AN314" s="266">
        <f>AN406/AVERAGE(Model!AN216,Model!AI216)</f>
        <v>0.11113411764705859</v>
      </c>
      <c r="AO314" s="266"/>
      <c r="AP314" s="266"/>
      <c r="AQ314" s="266"/>
      <c r="AR314" s="266"/>
      <c r="AS314" s="266">
        <f>AS406/AVERAGE(Model!AS216,Model!AN216)</f>
        <v>0.10639016410743497</v>
      </c>
      <c r="AT314" s="266"/>
      <c r="AU314" s="266"/>
      <c r="AV314" s="266"/>
      <c r="AW314" s="266"/>
      <c r="AX314" s="266">
        <f>AX406/AVERAGE(Model!AX216,Model!AS216)</f>
        <v>0.10701754385964922</v>
      </c>
      <c r="AY314" s="266"/>
      <c r="AZ314" s="266"/>
      <c r="BA314" s="266"/>
      <c r="BB314" s="266"/>
      <c r="BC314" s="266">
        <f>BC406/AVERAGE(Model!BC216,Model!AX216)</f>
        <v>0.1079887515380589</v>
      </c>
      <c r="BD314" s="266"/>
      <c r="BE314" s="266"/>
      <c r="BF314" s="266"/>
      <c r="BG314" s="266"/>
      <c r="BH314" s="266">
        <f>BH406/AVERAGE(Model!BH216,Model!BC216)</f>
        <v>0.11158853560717938</v>
      </c>
      <c r="BI314" s="266"/>
      <c r="BJ314" s="266"/>
      <c r="BK314" s="266"/>
      <c r="BL314" s="266"/>
      <c r="BM314" s="266">
        <f>BM406/AVERAGE(Model!BM216,Model!BH216)</f>
        <v>0.11030910620083353</v>
      </c>
      <c r="BN314" s="266"/>
      <c r="BO314" s="266"/>
      <c r="BP314" s="266"/>
      <c r="BQ314" s="266"/>
      <c r="BR314" s="266">
        <f>BR406/AVERAGE(Model!BR216,Model!BM216)</f>
        <v>0.11201079992158886</v>
      </c>
      <c r="BS314" s="266">
        <f>BS406/AVERAGE(Model!BS216,Model!BR216)*4</f>
        <v>9.1601825601666395E-2</v>
      </c>
      <c r="BT314" s="266">
        <f>BT406/AVERAGE(Model!BT216,Model!BS216)*4</f>
        <v>0.13298952316958693</v>
      </c>
      <c r="BU314" s="266">
        <f>BU406/AVERAGE(Model!BU216,Model!BT216)*4</f>
        <v>0.10831469273122823</v>
      </c>
      <c r="BV314" s="266">
        <f>BV406/AVERAGE(Model!BV216,Model!BU216)*4</f>
        <v>8.0609666846180081E-2</v>
      </c>
      <c r="BW314" s="266">
        <f>BW406/AVERAGE(Model!BW216,Model!BR216)</f>
        <v>9.7236109844146823E-2</v>
      </c>
      <c r="BX314" s="1486">
        <f>BX406/AVERAGE(Model!BX216,Model!BW216)*4</f>
        <v>6.9560918015283635E-2</v>
      </c>
      <c r="BY314" s="266">
        <f>BY406/AVERAGE(Model!BY216,Model!BX216)*4</f>
        <v>0.10377522933736927</v>
      </c>
      <c r="BZ314" s="266">
        <f>BZ406/AVERAGE(Model!BZ216,Model!BY216)*4</f>
        <v>8.357449056639199E-2</v>
      </c>
      <c r="CA314" s="266">
        <f>CA406/AVERAGE(Model!CA216,Model!BZ216)*4</f>
        <v>6.9365035486729038E-2</v>
      </c>
      <c r="CB314" s="266">
        <f>CB406/AVERAGE(Model!CB216,Model!BW216)</f>
        <v>8.4370439221033738E-2</v>
      </c>
      <c r="CC314" s="1486">
        <f>CC406/AVERAGE(Model!CC216,Model!CB216)*4</f>
        <v>7.5682389333542571E-2</v>
      </c>
      <c r="CD314" s="266">
        <f>CD406/AVERAGE(Model!CD216,Model!CC216)*4</f>
        <v>0.10120760796635039</v>
      </c>
      <c r="CE314" s="266">
        <f>CE406/AVERAGE(Model!CE216,Model!CD216)*4</f>
        <v>6.9833560831726663E-2</v>
      </c>
      <c r="CF314" s="1487">
        <f>CF406/AVERAGE(Model!CF216,Model!CE216)*4</f>
        <v>7.0968302082204809E-2</v>
      </c>
      <c r="CG314" s="1365">
        <f>CG406/AVERAGE(Model!CG216,Model!CB216)</f>
        <v>8.1334967033559788E-2</v>
      </c>
      <c r="CH314" s="266">
        <f>CH406/AVERAGE(Model!CH216,Model!CG216)*4</f>
        <v>8.7023877175588751E-2</v>
      </c>
      <c r="CI314" s="266">
        <f>CI406/AVERAGE(Model!CI216,Model!CH216)*4</f>
        <v>0.10964107014848296</v>
      </c>
      <c r="CJ314" s="266">
        <f>CJ406/AVERAGE(Model!CJ216,Model!CI216)*4</f>
        <v>8.9014529443112847E-2</v>
      </c>
      <c r="CK314" s="266">
        <f>CK406/AVERAGE(Model!CK216,Model!CJ216)*4</f>
        <v>0.11568503580282309</v>
      </c>
      <c r="CL314" s="1365">
        <f>CL406/AVERAGE(Model!CL216,Model!CG216)</f>
        <v>0.10102551694615571</v>
      </c>
      <c r="CM314" s="266">
        <f>CM406/AVERAGE(Model!CM216,Model!CL216)*4</f>
        <v>8.0754044534339542E-2</v>
      </c>
      <c r="CN314" s="266">
        <f>CN406/AVERAGE(Model!CN216,Model!CM216)*4</f>
        <v>0.10109083373873021</v>
      </c>
      <c r="CO314" s="266">
        <f>CO406/AVERAGE(Model!CO216,Model!CN216)*4</f>
        <v>7.9821034402018709E-2</v>
      </c>
      <c r="CP314" s="266">
        <f>CP406/AVERAGE(Model!CP216,Model!CO216)*4</f>
        <v>4.6554259450307139E-2</v>
      </c>
      <c r="CQ314" s="1365">
        <f>CQ406/AVERAGE(Model!CQ216,Model!CL216)</f>
        <v>6.9834213510959531E-2</v>
      </c>
      <c r="CR314" s="266">
        <f>CR406/AVERAGE(Model!CR216,Model!CQ216)*4</f>
        <v>4.8078881961660325E-2</v>
      </c>
      <c r="CS314" s="266">
        <f>CS406/AVERAGE(Model!CS216,Model!CR216)*4</f>
        <v>8.5396710644168317E-2</v>
      </c>
      <c r="CT314" s="266">
        <f>CT406/AVERAGE(Model!CT216,Model!CS216)*4</f>
        <v>6.9911658104249139E-2</v>
      </c>
      <c r="CU314" s="266">
        <f>CU406/AVERAGE(Model!CU216,Model!CT216)*4</f>
        <v>7.3694261353387178E-2</v>
      </c>
      <c r="CV314" s="1365">
        <f>CV406/AVERAGE(Model!CV216,Model!CQ216)</f>
        <v>7.1073514671879945E-2</v>
      </c>
      <c r="CW314" s="266">
        <f>CW406/AVERAGE(Model!CW216,Model!CV216)*4</f>
        <v>7.7262999916622666E-2</v>
      </c>
      <c r="CX314" s="266">
        <f>CX406/AVERAGE(Model!CX216,Model!CW216)*4</f>
        <v>8.1998858106087383E-2</v>
      </c>
      <c r="CY314" s="266">
        <f>CY406/AVERAGE(Model!CY216,Model!CX216)*4</f>
        <v>7.755935116553872E-2</v>
      </c>
      <c r="CZ314" s="266">
        <f>CZ406/AVERAGE(Model!CZ216,Model!CY216)*4</f>
        <v>-2.5639306451396619E-2</v>
      </c>
      <c r="DA314" s="1365">
        <f>DA406/AVERAGE(Model!DA216,Model!CV216)</f>
        <v>5.3176995169481031E-2</v>
      </c>
      <c r="DB314" s="266">
        <f>DB406/AVERAGE(Model!DB216,Model!DA216)*4</f>
        <v>7.92596218849803E-2</v>
      </c>
      <c r="DC314" s="266">
        <f>DC406/AVERAGE(Model!DC216,Model!DB216)*4</f>
        <v>0.13616851019846793</v>
      </c>
      <c r="DD314" s="266">
        <f>DD406/AVERAGE(Model!DD216,Model!DC216)*4</f>
        <v>7.3351596115520307E-2</v>
      </c>
      <c r="DE314" s="266">
        <f>DE406/AVERAGE(Model!DE216,Model!DD216)*4</f>
        <v>1.4918307919613272E-3</v>
      </c>
      <c r="DF314" s="1365">
        <f>DF406/AVERAGE(Model!DF216,Model!DA216)</f>
        <v>7.9649692348344722E-2</v>
      </c>
      <c r="DG314" s="266">
        <f>DG406/AVERAGE(Model!DG216,Model!DF216)*4</f>
        <v>6.4610481740990544E-2</v>
      </c>
      <c r="DH314" s="266">
        <f>DH406/AVERAGE(Model!DH216,Model!DG216)*4</f>
        <v>5.5093970764650994E-2</v>
      </c>
      <c r="DI314" s="266">
        <f>DI406/AVERAGE(Model!DI216,Model!DH216)*4</f>
        <v>6.5989619946454484E-2</v>
      </c>
      <c r="DJ314" s="266">
        <f>DJ406/AVERAGE(Model!DJ216,Model!DI216)*4</f>
        <v>5.8848315609801388E-2</v>
      </c>
      <c r="DK314" s="1365">
        <f>DK406/AVERAGE(Model!DK216,Model!DF216)</f>
        <v>5.8994839895384184E-2</v>
      </c>
      <c r="DL314" s="266">
        <f>DL406/AVERAGE(Model!DL216,Model!DK216)*4</f>
        <v>5.8312586445366528E-2</v>
      </c>
      <c r="DM314" s="266">
        <f>DM406/AVERAGE(Model!DM216,Model!DL216)*4</f>
        <v>5.8718848888981212E-2</v>
      </c>
      <c r="DN314" s="266">
        <f>DN406/AVERAGE(Model!DN216,Model!DM216)*4</f>
        <v>6.3376920874296083E-2</v>
      </c>
      <c r="DO314" s="266">
        <f>DO406/AVERAGE(Model!DO216,Model!DN216)*4</f>
        <v>4.5769071635445351E-2</v>
      </c>
      <c r="DP314" s="1365">
        <f>DP406/AVERAGE(Model!DP216,Model!DK216)</f>
        <v>5.880444422013454E-2</v>
      </c>
      <c r="DQ314" s="1486">
        <f>DQ406/AVERAGE(Model!DQ216,Model!DP216)*4</f>
        <v>4.9522344620627774E-2</v>
      </c>
      <c r="DR314" s="266">
        <f ca="1">DR406/AVERAGE(Model!DR216,Model!DQ216)*4</f>
        <v>7.507578969605333E-2</v>
      </c>
      <c r="DS314" s="266">
        <f ca="1">DS406/AVERAGE(Model!DS216,Model!DR216)*4</f>
        <v>7.1348829351842891E-2</v>
      </c>
      <c r="DT314" s="1487">
        <f ca="1">DT406/AVERAGE(Model!DT216,Model!DS216)*4</f>
        <v>6.9824004672027179E-2</v>
      </c>
      <c r="DU314" s="1365">
        <f ca="1">DU406/AVERAGE(Model!DU216,Model!DP216)</f>
        <v>6.6261101234723535E-2</v>
      </c>
      <c r="DV314" s="1486">
        <f ca="1">DV406/AVERAGE(Model!DV216,Model!DU216)*4</f>
        <v>6.3596928435563999E-2</v>
      </c>
      <c r="DW314" s="266">
        <f ca="1">DW406/AVERAGE(Model!DW216,Model!DV216)*4</f>
        <v>7.9640310772528103E-2</v>
      </c>
      <c r="DX314" s="266">
        <f ca="1">DX406/AVERAGE(Model!DX216,Model!DW216)*4</f>
        <v>8.1703466681430165E-2</v>
      </c>
      <c r="DY314" s="1487">
        <f ca="1">DY406/AVERAGE(Model!DY216,Model!DX216)*4</f>
        <v>8.3309752513504323E-2</v>
      </c>
      <c r="DZ314" s="1365">
        <f ca="1">DZ406/AVERAGE(Model!DZ216,Model!DU216)</f>
        <v>7.6149600849562835E-2</v>
      </c>
      <c r="EA314" s="1486">
        <f ca="1">EA406/AVERAGE(Model!EA216,Model!DZ216)*4</f>
        <v>7.7308729675716337E-2</v>
      </c>
      <c r="EB314" s="266">
        <f ca="1">EB406/AVERAGE(Model!EB216,Model!EA216)*4</f>
        <v>9.1276738707817467E-2</v>
      </c>
      <c r="EC314" s="266">
        <f ca="1">EC406/AVERAGE(Model!EC216,Model!EB216)*4</f>
        <v>9.4074168647349576E-2</v>
      </c>
      <c r="ED314" s="1487">
        <f ca="1">ED406/AVERAGE(Model!ED216,Model!EC216)*4</f>
        <v>9.5780261337335082E-2</v>
      </c>
      <c r="EE314" s="1365">
        <f ca="1">EE406/AVERAGE(Model!EE216,Model!DZ216)</f>
        <v>8.9483500675644881E-2</v>
      </c>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row>
    <row r="315" spans="2:232" s="54" customFormat="1">
      <c r="B315" s="693" t="s">
        <v>178</v>
      </c>
      <c r="C315" s="64"/>
      <c r="D315" s="64"/>
      <c r="E315" s="64"/>
      <c r="F315" s="485">
        <f>F238/Model!F52</f>
        <v>1.0924678772755863</v>
      </c>
      <c r="G315" s="485">
        <f>G238/Model!G52</f>
        <v>1.245320682136897</v>
      </c>
      <c r="H315" s="485">
        <f>H238/Model!H52</f>
        <v>1.3910616732382912</v>
      </c>
      <c r="I315" s="485">
        <f>I238/Model!I52</f>
        <v>1.5892830460224476</v>
      </c>
      <c r="J315" s="485">
        <f>J238/Model!J52</f>
        <v>1.8063355862398247</v>
      </c>
      <c r="K315" s="485"/>
      <c r="L315" s="485"/>
      <c r="M315" s="485"/>
      <c r="N315" s="485"/>
      <c r="O315" s="485">
        <f>O238/Model!O52</f>
        <v>2.0528591798954356</v>
      </c>
      <c r="P315" s="485"/>
      <c r="Q315" s="485"/>
      <c r="R315" s="485"/>
      <c r="S315" s="485"/>
      <c r="T315" s="485">
        <f>T238/Model!T52</f>
        <v>2.3794336215758078</v>
      </c>
      <c r="U315" s="485"/>
      <c r="V315" s="485"/>
      <c r="W315" s="485"/>
      <c r="X315" s="485"/>
      <c r="Y315" s="485">
        <f>Y238/Model!Y52</f>
        <v>2.8328001182134215</v>
      </c>
      <c r="Z315" s="485"/>
      <c r="AA315" s="485"/>
      <c r="AB315" s="485"/>
      <c r="AC315" s="485"/>
      <c r="AD315" s="485">
        <f>AD238/Model!AD52</f>
        <v>3.4352388971144969</v>
      </c>
      <c r="AE315" s="485"/>
      <c r="AF315" s="485"/>
      <c r="AG315" s="485"/>
      <c r="AH315" s="485"/>
      <c r="AI315" s="485">
        <f>AI238/Model!AI52</f>
        <v>4.1514329471884936</v>
      </c>
      <c r="AJ315" s="485"/>
      <c r="AK315" s="485"/>
      <c r="AL315" s="485"/>
      <c r="AM315" s="485"/>
      <c r="AN315" s="485">
        <f>AN238/Model!AN52</f>
        <v>5.0607095977680228</v>
      </c>
      <c r="AO315" s="485"/>
      <c r="AP315" s="485"/>
      <c r="AQ315" s="485"/>
      <c r="AR315" s="485"/>
      <c r="AS315" s="485">
        <f>AS238/Model!AS52</f>
        <v>6.2663837949373704</v>
      </c>
      <c r="AT315" s="485"/>
      <c r="AU315" s="485"/>
      <c r="AV315" s="485"/>
      <c r="AW315" s="485"/>
      <c r="AX315" s="485">
        <f>AX238/Model!AX52</f>
        <v>6.9001017885705975</v>
      </c>
      <c r="AY315" s="485"/>
      <c r="AZ315" s="485"/>
      <c r="BA315" s="485"/>
      <c r="BB315" s="485"/>
      <c r="BC315" s="485">
        <f>BC238/Model!BC52</f>
        <v>7.88883504597396</v>
      </c>
      <c r="BD315" s="485"/>
      <c r="BE315" s="485"/>
      <c r="BF315" s="485"/>
      <c r="BG315" s="485"/>
      <c r="BH315" s="485">
        <f>BH238/Model!BH52</f>
        <v>8.6447607161759947</v>
      </c>
      <c r="BI315" s="485"/>
      <c r="BJ315" s="485"/>
      <c r="BK315" s="485"/>
      <c r="BL315" s="485"/>
      <c r="BM315" s="485">
        <f>BM238/Model!BM52</f>
        <v>9.9232714270315796</v>
      </c>
      <c r="BN315" s="485"/>
      <c r="BO315" s="485"/>
      <c r="BP315" s="485"/>
      <c r="BQ315" s="485"/>
      <c r="BR315" s="485">
        <f>BR238/Model!BR52</f>
        <v>11.034341524833264</v>
      </c>
      <c r="BS315" s="485">
        <f>BS238/Model!BS52</f>
        <v>11.518796992481203</v>
      </c>
      <c r="BT315" s="485">
        <f>BT238/Model!BT52</f>
        <v>12.12391959798995</v>
      </c>
      <c r="BU315" s="485">
        <f>BU238/Model!BU52</f>
        <v>12.61066398390342</v>
      </c>
      <c r="BV315" s="485">
        <f>BV238/Model!BV52</f>
        <v>12.967654172144226</v>
      </c>
      <c r="BW315" s="485">
        <f>BW238/Model!BW52</f>
        <v>12.926707276786392</v>
      </c>
      <c r="BX315" s="1468">
        <f>BX238/Model!BX52</f>
        <v>13.260654413690091</v>
      </c>
      <c r="BY315" s="485">
        <f>BY238/Model!BY52</f>
        <v>13.832237840465092</v>
      </c>
      <c r="BZ315" s="485">
        <f>BZ238/Model!BZ52</f>
        <v>14.286706949079486</v>
      </c>
      <c r="CA315" s="485">
        <f>CA238/Model!CA52</f>
        <v>14.472165718140088</v>
      </c>
      <c r="CB315" s="485">
        <f>CB238/Model!CB52</f>
        <v>14.50171692161137</v>
      </c>
      <c r="CC315" s="1468">
        <f>CC238/Model!CC52</f>
        <v>14.7178377294503</v>
      </c>
      <c r="CD315" s="485">
        <f>CD238/Model!CD52</f>
        <v>15.10173772523331</v>
      </c>
      <c r="CE315" s="485">
        <f>CE238/Model!CE52</f>
        <v>15.388696538122128</v>
      </c>
      <c r="CF315" s="1482">
        <f>CF238/Model!CF52</f>
        <v>14.921968912368838</v>
      </c>
      <c r="CG315" s="1361">
        <f>CG238/Model!CG52</f>
        <v>14.576374126935923</v>
      </c>
      <c r="CH315" s="485">
        <f>CH238/Model!CH52</f>
        <v>15.372685433411034</v>
      </c>
      <c r="CI315" s="485">
        <f>CI238/Model!CI52</f>
        <v>15.819719828055957</v>
      </c>
      <c r="CJ315" s="485">
        <f>CJ238/Model!CJ52</f>
        <v>15.964758187416969</v>
      </c>
      <c r="CK315" s="485">
        <f>CK238/Model!CK52</f>
        <v>16.302514549726506</v>
      </c>
      <c r="CL315" s="1361">
        <f>CL238/Model!CL52</f>
        <v>16.06553861254093</v>
      </c>
      <c r="CM315" s="485">
        <f>CM238/Model!CM52</f>
        <v>16.577642208027939</v>
      </c>
      <c r="CN315" s="485">
        <f>CN238/Model!CN52</f>
        <v>16.938035898520553</v>
      </c>
      <c r="CO315" s="485">
        <f>CO238/Model!CO52</f>
        <v>17.382917245071578</v>
      </c>
      <c r="CP315" s="485">
        <f>CP238/Model!CP52</f>
        <v>20.368256450838746</v>
      </c>
      <c r="CQ315" s="1361">
        <f>CQ238/Model!CQ52</f>
        <v>20.814414102562242</v>
      </c>
      <c r="CR315" s="485">
        <f>CR238/Model!CR52</f>
        <v>19.321593776282594</v>
      </c>
      <c r="CS315" s="485">
        <f>CS238/Model!CS52</f>
        <v>19.900041955108037</v>
      </c>
      <c r="CT315" s="485">
        <f>CT238/Model!CT52</f>
        <v>19.791136600625652</v>
      </c>
      <c r="CU315" s="485">
        <f>CU238/Model!CU52</f>
        <v>20.321738222082939</v>
      </c>
      <c r="CV315" s="1361">
        <f>CV238/Model!CV52</f>
        <v>20.361603901419457</v>
      </c>
      <c r="CW315" s="485">
        <f>CW238/Model!CW52</f>
        <v>20.859074362974518</v>
      </c>
      <c r="CX315" s="485">
        <f>CX238/Model!CX52</f>
        <v>21.61772335789146</v>
      </c>
      <c r="CY315" s="485">
        <f>CY238/Model!CY52</f>
        <v>22.204423315419596</v>
      </c>
      <c r="CZ315" s="485">
        <f>CZ238/Model!CZ52</f>
        <v>21.242896993491062</v>
      </c>
      <c r="DA315" s="1361">
        <f>DA238/Model!DA52</f>
        <v>21.301212603437381</v>
      </c>
      <c r="DB315" s="485">
        <f>DB238/Model!DB52</f>
        <v>21.722803347280333</v>
      </c>
      <c r="DC315" s="485">
        <f>DC238/Model!DC52</f>
        <v>29.41689579975349</v>
      </c>
      <c r="DD315" s="485">
        <f>DD238/Model!DD52</f>
        <v>28.963171262699561</v>
      </c>
      <c r="DE315" s="485">
        <f>DE238/Model!DE52</f>
        <v>28.390022675736962</v>
      </c>
      <c r="DF315" s="1361">
        <f>DF238/Model!DF52</f>
        <v>29.699212448998953</v>
      </c>
      <c r="DG315" s="485">
        <f>DG238/Model!DG52</f>
        <v>28.357910067358457</v>
      </c>
      <c r="DH315" s="485">
        <f>DH238/Model!DH52</f>
        <v>27.488055861815507</v>
      </c>
      <c r="DI315" s="485">
        <f>DI238/Model!DI52</f>
        <v>28.775960301415179</v>
      </c>
      <c r="DJ315" s="485">
        <f>DJ238/Model!DJ52</f>
        <v>27.806244260789715</v>
      </c>
      <c r="DK315" s="1361">
        <f>DK238/Model!DK52</f>
        <v>27.760943101697841</v>
      </c>
      <c r="DL315" s="485">
        <f>DL238/Model!DL52</f>
        <v>27.282918312965176</v>
      </c>
      <c r="DM315" s="485">
        <f>DM238/Model!DM52</f>
        <v>28.024873330262551</v>
      </c>
      <c r="DN315" s="485">
        <f>DN238/Model!DN52</f>
        <v>29.081840014779239</v>
      </c>
      <c r="DO315" s="485">
        <f>DO238/Model!DO52</f>
        <v>26.686172722982541</v>
      </c>
      <c r="DP315" s="1361">
        <f>DP238/Model!DP52</f>
        <v>26.2114998874255</v>
      </c>
      <c r="DQ315" s="1468">
        <f>DQ238/Model!DQ52</f>
        <v>26.462268816140835</v>
      </c>
      <c r="DR315" s="485">
        <f ca="1">DR238/Model!DR52</f>
        <v>27.733629725214499</v>
      </c>
      <c r="DS315" s="485">
        <f ca="1">DS238/Model!DS52</f>
        <v>28.555834489479853</v>
      </c>
      <c r="DT315" s="1482">
        <f ca="1">DT238/Model!DT52</f>
        <v>29.372425903221579</v>
      </c>
      <c r="DU315" s="1361">
        <f ca="1">DU238/Model!DU52</f>
        <v>29.271706787796688</v>
      </c>
      <c r="DV315" s="1468">
        <f ca="1">DV238/Model!DV52</f>
        <v>29.221807890234498</v>
      </c>
      <c r="DW315" s="485">
        <f ca="1">DW238/Model!DW52</f>
        <v>29.521747916708211</v>
      </c>
      <c r="DX315" s="485">
        <f ca="1">DX238/Model!DX52</f>
        <v>29.854986861521684</v>
      </c>
      <c r="DY315" s="1482">
        <f ca="1">DY238/Model!DY52</f>
        <v>30.235612299781579</v>
      </c>
      <c r="DZ315" s="1361">
        <f ca="1">DZ238/Model!DZ52</f>
        <v>29.692787802206642</v>
      </c>
      <c r="EA315" s="1468">
        <f ca="1">EA238/Model!EA52</f>
        <v>30.490584881448051</v>
      </c>
      <c r="EB315" s="485">
        <f ca="1">EB238/Model!EB52</f>
        <v>31.014713981207841</v>
      </c>
      <c r="EC315" s="485">
        <f ca="1">EC238/Model!EC52</f>
        <v>31.59614640118885</v>
      </c>
      <c r="ED315" s="1482">
        <f ca="1">ED238/Model!ED52</f>
        <v>32.238110062577128</v>
      </c>
      <c r="EE315" s="1361">
        <f ca="1">EE238/Model!EE52</f>
        <v>31.628544874490366</v>
      </c>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row>
    <row r="316" spans="2:232" s="54" customFormat="1">
      <c r="B316" s="693" t="s">
        <v>22</v>
      </c>
      <c r="C316" s="64"/>
      <c r="D316" s="64"/>
      <c r="E316" s="64"/>
      <c r="F316" s="474">
        <f>F402/AVERAGE(Model!F216,Model!E216)</f>
        <v>3.214420446120259</v>
      </c>
      <c r="G316" s="474">
        <f>G402/AVERAGE(Model!G216,Model!F216)</f>
        <v>3.3458586223002755</v>
      </c>
      <c r="H316" s="474">
        <f>H402/AVERAGE(Model!H216,Model!G216)</f>
        <v>3.379620151073361</v>
      </c>
      <c r="I316" s="474">
        <f>I402/AVERAGE(Model!I216,Model!H216)</f>
        <v>3.392755247118814</v>
      </c>
      <c r="J316" s="474">
        <f>J402/AVERAGE(Model!J216,Model!I216)</f>
        <v>3.3742883871667209</v>
      </c>
      <c r="K316" s="474"/>
      <c r="L316" s="474"/>
      <c r="M316" s="474"/>
      <c r="N316" s="474"/>
      <c r="O316" s="474">
        <f>O402/AVERAGE(Model!O216,Model!J216)</f>
        <v>3.4208467217222487</v>
      </c>
      <c r="P316" s="474"/>
      <c r="Q316" s="474"/>
      <c r="R316" s="474"/>
      <c r="S316" s="474"/>
      <c r="T316" s="474">
        <f>T402/AVERAGE(Model!T216,Model!O216)</f>
        <v>3.4086266189226793</v>
      </c>
      <c r="U316" s="474"/>
      <c r="V316" s="474"/>
      <c r="W316" s="474"/>
      <c r="X316" s="474"/>
      <c r="Y316" s="474">
        <f>Y402/AVERAGE(Model!Y216,Model!T216)</f>
        <v>3.360875209621597</v>
      </c>
      <c r="Z316" s="474"/>
      <c r="AA316" s="474"/>
      <c r="AB316" s="474"/>
      <c r="AC316" s="474"/>
      <c r="AD316" s="474">
        <f>AD402/AVERAGE(Model!AD216,Model!Y216)</f>
        <v>3.3009406740903975</v>
      </c>
      <c r="AE316" s="474"/>
      <c r="AF316" s="474"/>
      <c r="AG316" s="474"/>
      <c r="AH316" s="474"/>
      <c r="AI316" s="474">
        <f>AI402/AVERAGE(Model!AI216,Model!AD216)</f>
        <v>3.2599920063948846</v>
      </c>
      <c r="AJ316" s="474"/>
      <c r="AK316" s="474"/>
      <c r="AL316" s="474"/>
      <c r="AM316" s="474"/>
      <c r="AN316" s="474">
        <f>AN402/AVERAGE(Model!AN216,Model!AI216)</f>
        <v>3.0899450980392151</v>
      </c>
      <c r="AO316" s="474"/>
      <c r="AP316" s="474"/>
      <c r="AQ316" s="474"/>
      <c r="AR316" s="474"/>
      <c r="AS316" s="474">
        <f>AS402/AVERAGE(Model!AS216,Model!AN216)</f>
        <v>3.0268692944963327</v>
      </c>
      <c r="AT316" s="474"/>
      <c r="AU316" s="474"/>
      <c r="AV316" s="474"/>
      <c r="AW316" s="474"/>
      <c r="AX316" s="474">
        <f>AX402/AVERAGE(Model!AX216,Model!AS216)</f>
        <v>2.9857077248094059</v>
      </c>
      <c r="AY316" s="474"/>
      <c r="AZ316" s="474"/>
      <c r="BA316" s="474"/>
      <c r="BB316" s="474"/>
      <c r="BC316" s="474">
        <f>BC402/AVERAGE(Model!BC216,Model!AX216)</f>
        <v>3.0007880346211975</v>
      </c>
      <c r="BD316" s="474"/>
      <c r="BE316" s="474"/>
      <c r="BF316" s="474"/>
      <c r="BG316" s="474"/>
      <c r="BH316" s="474">
        <f>BH402/AVERAGE(Model!BH216,Model!BC216)</f>
        <v>3.0196952512215076</v>
      </c>
      <c r="BI316" s="474"/>
      <c r="BJ316" s="474"/>
      <c r="BK316" s="474"/>
      <c r="BL316" s="474"/>
      <c r="BM316" s="474">
        <f>BM402/AVERAGE(Model!BM216,Model!BH216)</f>
        <v>2.9873440054126017</v>
      </c>
      <c r="BN316" s="474"/>
      <c r="BO316" s="474"/>
      <c r="BP316" s="474"/>
      <c r="BQ316" s="474"/>
      <c r="BR316" s="474">
        <f>BR402/AVERAGE(Model!BR216,Model!BM216)</f>
        <v>2.950332970155543</v>
      </c>
      <c r="BS316" s="474">
        <f>BS402/AVERAGE(Model!BS216,Model!BR216)*4</f>
        <v>2.8204153848938036</v>
      </c>
      <c r="BT316" s="474">
        <f>BT402/AVERAGE(Model!BT216,Model!BS216)*4</f>
        <v>2.98728662463644</v>
      </c>
      <c r="BU316" s="474">
        <f>BU402/AVERAGE(Model!BU216,Model!BT216)*4</f>
        <v>2.8374405646271841</v>
      </c>
      <c r="BV316" s="474">
        <f>BV402/AVERAGE(Model!BV216,Model!BU216)*4</f>
        <v>2.6541508893363526</v>
      </c>
      <c r="BW316" s="474">
        <f>BW402/AVERAGE(Model!BW216,Model!BR216)</f>
        <v>2.829766224493762</v>
      </c>
      <c r="BX316" s="1484">
        <f>BX402/AVERAGE(Model!BX216,Model!BW216)*4</f>
        <v>2.5483505920942271</v>
      </c>
      <c r="BY316" s="474">
        <f>BY402/AVERAGE(Model!BY216,Model!BX216)*4</f>
        <v>2.6714014114580604</v>
      </c>
      <c r="BZ316" s="474">
        <f>BZ402/AVERAGE(Model!BZ216,Model!BY216)*4</f>
        <v>2.5952921304237817</v>
      </c>
      <c r="CA316" s="474">
        <f>CA402/AVERAGE(Model!CA216,Model!BZ216)*4</f>
        <v>2.4982549363488671</v>
      </c>
      <c r="CB316" s="474">
        <f>CB402/AVERAGE(Model!CB216,Model!BW216)</f>
        <v>2.6638094556650906</v>
      </c>
      <c r="CC316" s="1484">
        <f>CC402/AVERAGE(Model!CC216,Model!CB216)*4</f>
        <v>2.5326515727077519</v>
      </c>
      <c r="CD316" s="474">
        <f>CD402/AVERAGE(Model!CD216,Model!CC216)*4</f>
        <v>2.5698260635641166</v>
      </c>
      <c r="CE316" s="474">
        <f>CE402/AVERAGE(Model!CE216,Model!CD216)*4</f>
        <v>2.5940980836822178</v>
      </c>
      <c r="CF316" s="1485">
        <f>CF402/AVERAGE(Model!CF216,Model!CE216)*4</f>
        <v>2.5473090555889257</v>
      </c>
      <c r="CG316" s="779">
        <f>CG402/AVERAGE(Model!CG216,Model!CB216)</f>
        <v>2.6224789466296512</v>
      </c>
      <c r="CH316" s="474">
        <f>CH402/AVERAGE(Model!CH216,Model!CG216)*4</f>
        <v>2.602314009885192</v>
      </c>
      <c r="CI316" s="474">
        <f>CI402/AVERAGE(Model!CI216,Model!CH216)*4</f>
        <v>2.7450325844211525</v>
      </c>
      <c r="CJ316" s="474">
        <f>CJ402/AVERAGE(Model!CJ216,Model!CI216)*4</f>
        <v>2.7119169492527799</v>
      </c>
      <c r="CK316" s="474">
        <f>CK402/AVERAGE(Model!CK216,Model!CJ216)*4</f>
        <v>2.6243851493299526</v>
      </c>
      <c r="CL316" s="779">
        <f>CL402/AVERAGE(Model!CL216,Model!CG216)</f>
        <v>2.6869660704647398</v>
      </c>
      <c r="CM316" s="474">
        <f>CM402/AVERAGE(Model!CM216,Model!CL216)*4</f>
        <v>2.6466627917148071</v>
      </c>
      <c r="CN316" s="474">
        <f>CN402/AVERAGE(Model!CN216,Model!CM216)*4</f>
        <v>2.7605346120952521</v>
      </c>
      <c r="CO316" s="474">
        <f>CO402/AVERAGE(Model!CO216,Model!CN216)*4</f>
        <v>2.6387020534536982</v>
      </c>
      <c r="CP316" s="474">
        <f>CP402/AVERAGE(Model!CP216,Model!CO216)*4</f>
        <v>2.2516171999861014</v>
      </c>
      <c r="CQ316" s="779">
        <f>CQ402/AVERAGE(Model!CQ216,Model!CL216)</f>
        <v>2.3518731624027098</v>
      </c>
      <c r="CR316" s="474">
        <f>CR402/AVERAGE(Model!CR216,Model!CQ216)*4</f>
        <v>2.0158206296564409</v>
      </c>
      <c r="CS316" s="474">
        <f>CS402/AVERAGE(Model!CS216,Model!CR216)*4</f>
        <v>2.1063392372775218</v>
      </c>
      <c r="CT316" s="474">
        <f>CT402/AVERAGE(Model!CT216,Model!CS216)*4</f>
        <v>2.0517503122806322</v>
      </c>
      <c r="CU316" s="474">
        <f>CU402/AVERAGE(Model!CU216,Model!CT216)*4</f>
        <v>2.0124029572924194</v>
      </c>
      <c r="CV316" s="779">
        <f>CV402/AVERAGE(Model!CV216,Model!CQ216)</f>
        <v>2.0949861261465932</v>
      </c>
      <c r="CW316" s="474">
        <f>CW402/AVERAGE(Model!CW216,Model!CV216)*4</f>
        <v>2.0376309719018373</v>
      </c>
      <c r="CX316" s="474">
        <f>CX402/AVERAGE(Model!CX216,Model!CW216)*4</f>
        <v>2.1320790625594737</v>
      </c>
      <c r="CY316" s="474">
        <f>CY402/AVERAGE(Model!CY216,Model!CX216)*4</f>
        <v>2.0841121495327104</v>
      </c>
      <c r="CZ316" s="474">
        <f>CZ402/AVERAGE(Model!CZ216,Model!CY216)*4</f>
        <v>2.0443860378421146</v>
      </c>
      <c r="DA316" s="779">
        <f>DA402/AVERAGE(Model!DA216,Model!CV216)</f>
        <v>2.1026382065150075</v>
      </c>
      <c r="DB316" s="474">
        <f>DB402/AVERAGE(Model!DB216,Model!DA216)*4</f>
        <v>1.8233442898104764</v>
      </c>
      <c r="DC316" s="474">
        <f>DC402/AVERAGE(Model!DC216,Model!DB216)*4</f>
        <v>1.7719910977002393</v>
      </c>
      <c r="DD316" s="474">
        <f>DD402/AVERAGE(Model!DD216,Model!DC216)*4</f>
        <v>1.6222420968866416</v>
      </c>
      <c r="DE316" s="474">
        <f>DE402/AVERAGE(Model!DE216,Model!DD216)*4</f>
        <v>1.6365383787815759</v>
      </c>
      <c r="DF316" s="779">
        <f>DF402/AVERAGE(Model!DF216,Model!DA216)</f>
        <v>1.9524366766071497</v>
      </c>
      <c r="DG316" s="474">
        <f>DG402/AVERAGE(Model!DG216,Model!DF216)*4</f>
        <v>1.6899424471947555</v>
      </c>
      <c r="DH316" s="474">
        <f>DH402/AVERAGE(Model!DH216,Model!DG216)*4</f>
        <v>1.7881251758712104</v>
      </c>
      <c r="DI316" s="474">
        <f>DI402/AVERAGE(Model!DI216,Model!DH216)*4</f>
        <v>1.7647885849324698</v>
      </c>
      <c r="DJ316" s="474">
        <f>DJ402/AVERAGE(Model!DJ216,Model!DI216)*4</f>
        <v>1.6360974425264783</v>
      </c>
      <c r="DK316" s="779">
        <f>DK402/AVERAGE(Model!DK216,Model!DF216)</f>
        <v>1.6590231144412242</v>
      </c>
      <c r="DL316" s="474">
        <f>DL402/AVERAGE(Model!DL216,Model!DK216)*4</f>
        <v>1.5768188105117567</v>
      </c>
      <c r="DM316" s="474">
        <f>DM402/AVERAGE(Model!DM216,Model!DL216)*4</f>
        <v>1.6311653060235292</v>
      </c>
      <c r="DN316" s="474">
        <f>DN402/AVERAGE(Model!DN216,Model!DM216)*4</f>
        <v>1.6426730661721594</v>
      </c>
      <c r="DO316" s="474">
        <f>DO402/AVERAGE(Model!DO216,Model!DN216)*4</f>
        <v>1.7205632677519225</v>
      </c>
      <c r="DP316" s="779">
        <f>DP402/AVERAGE(Model!DP216,Model!DK216)</f>
        <v>1.7046367261007809</v>
      </c>
      <c r="DQ316" s="1484">
        <f>DQ402/AVERAGE(Model!DQ216,Model!DP216)*4</f>
        <v>1.8542227449915929</v>
      </c>
      <c r="DR316" s="474">
        <f ca="1">DR402/AVERAGE(Model!DR216,Model!DQ216)*4</f>
        <v>1.9944536991826789</v>
      </c>
      <c r="DS316" s="474">
        <f ca="1">DS402/AVERAGE(Model!DS216,Model!DR216)*4</f>
        <v>1.979990603430033</v>
      </c>
      <c r="DT316" s="1485">
        <f ca="1">DT402/AVERAGE(Model!DT216,Model!DS216)*4</f>
        <v>1.9152062754888222</v>
      </c>
      <c r="DU316" s="779">
        <f ca="1">DU402/AVERAGE(Model!DU216,Model!DP216)</f>
        <v>1.927798715927314</v>
      </c>
      <c r="DV316" s="1484">
        <f ca="1">DV402/AVERAGE(Model!DV216,Model!DU216)*4</f>
        <v>1.9052518859403682</v>
      </c>
      <c r="DW316" s="474">
        <f ca="1">DW402/AVERAGE(Model!DW216,Model!DV216)*4</f>
        <v>1.9972299238082742</v>
      </c>
      <c r="DX316" s="474">
        <f ca="1">DX402/AVERAGE(Model!DX216,Model!DW216)*4</f>
        <v>2.0213887237239332</v>
      </c>
      <c r="DY316" s="1485">
        <f ca="1">DY402/AVERAGE(Model!DY216,Model!DX216)*4</f>
        <v>1.9831454317554107</v>
      </c>
      <c r="DZ316" s="779">
        <f ca="1">DZ402/AVERAGE(Model!DZ216,Model!DU216)</f>
        <v>1.9549648656210508</v>
      </c>
      <c r="EA316" s="1484">
        <f ca="1">EA402/AVERAGE(Model!EA216,Model!DZ216)*4</f>
        <v>1.9664531896043338</v>
      </c>
      <c r="EB316" s="474">
        <f ca="1">EB402/AVERAGE(Model!EB216,Model!EA216)*4</f>
        <v>2.0332705274633436</v>
      </c>
      <c r="EC316" s="474">
        <f ca="1">EC402/AVERAGE(Model!EC216,Model!EB216)*4</f>
        <v>2.0542813417898147</v>
      </c>
      <c r="ED316" s="1485">
        <f ca="1">ED402/AVERAGE(Model!ED216,Model!EC216)*4</f>
        <v>2.0166207903844819</v>
      </c>
      <c r="EE316" s="779">
        <f ca="1">EE402/AVERAGE(Model!EE216,Model!DZ216)</f>
        <v>2.0153075174846662</v>
      </c>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row>
    <row r="317" spans="2:232" s="54" customFormat="1">
      <c r="B317" s="693"/>
      <c r="C317" s="64"/>
      <c r="D317" s="64"/>
      <c r="E317" s="64"/>
      <c r="F317" s="73"/>
      <c r="G317" s="73"/>
      <c r="H317" s="73"/>
      <c r="I317" s="73"/>
      <c r="J317" s="73"/>
      <c r="K317" s="73"/>
      <c r="L317" s="73"/>
      <c r="M317" s="73"/>
      <c r="N317" s="73"/>
      <c r="O317" s="73"/>
      <c r="P317" s="73"/>
      <c r="Q317" s="73"/>
      <c r="R317" s="73"/>
      <c r="S317" s="73"/>
      <c r="T317" s="73"/>
      <c r="U317" s="73"/>
      <c r="V317" s="73"/>
      <c r="W317" s="73"/>
      <c r="X317" s="73"/>
      <c r="Y317" s="73"/>
      <c r="Z317" s="73"/>
      <c r="AA317" s="73"/>
      <c r="AB317" s="73"/>
      <c r="AC317" s="73"/>
      <c r="AD317" s="73"/>
      <c r="AE317" s="73"/>
      <c r="AF317" s="73"/>
      <c r="AG317" s="73"/>
      <c r="AH317" s="73"/>
      <c r="AI317" s="73"/>
      <c r="AJ317" s="73"/>
      <c r="AK317" s="73"/>
      <c r="AL317" s="73"/>
      <c r="AM317" s="73"/>
      <c r="AN317" s="73"/>
      <c r="AO317" s="73"/>
      <c r="AP317" s="73"/>
      <c r="AQ317" s="73"/>
      <c r="AR317" s="73"/>
      <c r="AS317" s="73"/>
      <c r="AT317" s="73"/>
      <c r="AU317" s="73"/>
      <c r="AV317" s="73"/>
      <c r="AW317" s="73"/>
      <c r="AX317" s="73"/>
      <c r="AY317" s="73"/>
      <c r="AZ317" s="73"/>
      <c r="BA317" s="73"/>
      <c r="BB317" s="73"/>
      <c r="BC317" s="73"/>
      <c r="BD317" s="73"/>
      <c r="BE317" s="73"/>
      <c r="BF317" s="73"/>
      <c r="BG317" s="73"/>
      <c r="BH317" s="73"/>
      <c r="BI317" s="73"/>
      <c r="BJ317" s="73"/>
      <c r="BK317" s="73"/>
      <c r="BL317" s="73"/>
      <c r="BM317" s="73"/>
      <c r="BN317" s="73"/>
      <c r="BO317" s="73"/>
      <c r="BP317" s="73"/>
      <c r="BQ317" s="73"/>
      <c r="BR317" s="73"/>
      <c r="BS317" s="73"/>
      <c r="BT317" s="73"/>
      <c r="BU317" s="73"/>
      <c r="BV317" s="73"/>
      <c r="BW317" s="73"/>
      <c r="BX317" s="1446"/>
      <c r="BY317" s="73"/>
      <c r="BZ317" s="73"/>
      <c r="CA317" s="73"/>
      <c r="CB317" s="73"/>
      <c r="CC317" s="1446"/>
      <c r="CD317" s="73"/>
      <c r="CE317" s="73"/>
      <c r="CF317" s="736"/>
      <c r="CG317" s="777"/>
      <c r="CH317" s="73"/>
      <c r="CI317" s="73"/>
      <c r="CJ317" s="73"/>
      <c r="CK317" s="73"/>
      <c r="CL317" s="777"/>
      <c r="CM317" s="73"/>
      <c r="CN317" s="76"/>
      <c r="CO317" s="76"/>
      <c r="CP317" s="76"/>
      <c r="CQ317" s="777"/>
      <c r="CR317" s="73"/>
      <c r="CS317" s="76"/>
      <c r="CT317" s="76"/>
      <c r="CU317" s="76"/>
      <c r="CV317" s="777"/>
      <c r="CW317" s="73"/>
      <c r="CX317" s="76"/>
      <c r="CY317" s="76"/>
      <c r="CZ317" s="76"/>
      <c r="DA317" s="777"/>
      <c r="DB317" s="73"/>
      <c r="DC317" s="76"/>
      <c r="DD317" s="76"/>
      <c r="DE317" s="76"/>
      <c r="DF317" s="777"/>
      <c r="DG317" s="76"/>
      <c r="DH317" s="76"/>
      <c r="DI317" s="76"/>
      <c r="DJ317" s="76"/>
      <c r="DK317" s="807"/>
      <c r="DL317" s="76"/>
      <c r="DM317" s="76"/>
      <c r="DN317" s="76"/>
      <c r="DO317" s="76"/>
      <c r="DP317" s="807"/>
      <c r="DQ317" s="1436"/>
      <c r="DR317" s="76"/>
      <c r="DS317" s="76"/>
      <c r="DT317" s="1437"/>
      <c r="DU317" s="807"/>
      <c r="DV317" s="1436"/>
      <c r="DW317" s="76"/>
      <c r="DX317" s="76"/>
      <c r="DY317" s="1437"/>
      <c r="DZ317" s="807"/>
      <c r="EA317" s="1436"/>
      <c r="EB317" s="76"/>
      <c r="EC317" s="76"/>
      <c r="ED317" s="1437"/>
      <c r="EE317" s="80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row>
    <row r="318" spans="2:232" s="54" customFormat="1">
      <c r="B318" s="693" t="s">
        <v>179</v>
      </c>
      <c r="C318" s="64"/>
      <c r="D318" s="64"/>
      <c r="E318" s="64"/>
      <c r="F318" s="73">
        <f>F402/AVERAGE(Model!F203,Model!E203)</f>
        <v>50.851118143300575</v>
      </c>
      <c r="G318" s="73">
        <f>G402/AVERAGE(Model!G203,Model!F203)</f>
        <v>57.247590419115824</v>
      </c>
      <c r="H318" s="73">
        <f>H402/AVERAGE(Model!H203,Model!G203)</f>
        <v>61.8900134675864</v>
      </c>
      <c r="I318" s="73">
        <f>I402/AVERAGE(Model!I203,Model!H203)</f>
        <v>55.424888144687209</v>
      </c>
      <c r="J318" s="73">
        <f>J402/AVERAGE(Model!J203,Model!I203)</f>
        <v>47.248718228428054</v>
      </c>
      <c r="K318" s="73"/>
      <c r="L318" s="73"/>
      <c r="M318" s="73"/>
      <c r="N318" s="73"/>
      <c r="O318" s="73">
        <f>O402/AVERAGE(Model!O203,Model!J203)</f>
        <v>44.062398994433465</v>
      </c>
      <c r="P318" s="73"/>
      <c r="Q318" s="73"/>
      <c r="R318" s="73"/>
      <c r="S318" s="73"/>
      <c r="T318" s="73">
        <f>T402/AVERAGE(Model!T203,Model!O203)</f>
        <v>40.188334185438038</v>
      </c>
      <c r="U318" s="73"/>
      <c r="V318" s="73"/>
      <c r="W318" s="73"/>
      <c r="X318" s="73"/>
      <c r="Y318" s="73">
        <f>Y402/AVERAGE(Model!Y203,Model!T203)</f>
        <v>40.831267080761904</v>
      </c>
      <c r="Z318" s="73"/>
      <c r="AA318" s="73"/>
      <c r="AB318" s="73"/>
      <c r="AC318" s="73"/>
      <c r="AD318" s="73">
        <f>AD402/AVERAGE(Model!AD203,Model!Y203)</f>
        <v>41.49692067018313</v>
      </c>
      <c r="AE318" s="73"/>
      <c r="AF318" s="73"/>
      <c r="AG318" s="73"/>
      <c r="AH318" s="73"/>
      <c r="AI318" s="73">
        <f>AI402/AVERAGE(Model!AI203,Model!AD203)</f>
        <v>38.522979109900092</v>
      </c>
      <c r="AJ318" s="73"/>
      <c r="AK318" s="73"/>
      <c r="AL318" s="73"/>
      <c r="AM318" s="73"/>
      <c r="AN318" s="73">
        <f>AN402/AVERAGE(Model!AN203,Model!AI203)</f>
        <v>34.857021517553797</v>
      </c>
      <c r="AO318" s="73"/>
      <c r="AP318" s="73"/>
      <c r="AQ318" s="73"/>
      <c r="AR318" s="73"/>
      <c r="AS318" s="73">
        <f>AS402/AVERAGE(Model!AS203,Model!AN203)</f>
        <v>32.720438081113457</v>
      </c>
      <c r="AT318" s="73"/>
      <c r="AU318" s="73"/>
      <c r="AV318" s="73"/>
      <c r="AW318" s="73"/>
      <c r="AX318" s="73">
        <f>AX402/AVERAGE(Model!AX203,Model!AS203)</f>
        <v>32.956909662374535</v>
      </c>
      <c r="AY318" s="73"/>
      <c r="AZ318" s="73"/>
      <c r="BA318" s="73"/>
      <c r="BB318" s="73"/>
      <c r="BC318" s="73">
        <f>BC402/AVERAGE(Model!BC203,Model!AX203)</f>
        <v>34.30262014724039</v>
      </c>
      <c r="BD318" s="73"/>
      <c r="BE318" s="73"/>
      <c r="BF318" s="73"/>
      <c r="BG318" s="73"/>
      <c r="BH318" s="73">
        <f>BH402/AVERAGE(Model!BH203,Model!BC203)</f>
        <v>32.900600296250104</v>
      </c>
      <c r="BI318" s="73"/>
      <c r="BJ318" s="73"/>
      <c r="BK318" s="73"/>
      <c r="BL318" s="73"/>
      <c r="BM318" s="73">
        <f>BM402/AVERAGE(Model!BM203,Model!BH203)</f>
        <v>27.411968777103208</v>
      </c>
      <c r="BN318" s="73"/>
      <c r="BO318" s="73"/>
      <c r="BP318" s="73"/>
      <c r="BQ318" s="73"/>
      <c r="BR318" s="73">
        <f>BR402/AVERAGE(Model!BR203,Model!BM203)</f>
        <v>25.010234462225533</v>
      </c>
      <c r="BS318" s="73">
        <f>BS402/AVERAGE(Model!BS203,Model!BR203)*4</f>
        <v>25.030266532842646</v>
      </c>
      <c r="BT318" s="73">
        <f>BT402/AVERAGE(Model!BT203,Model!BS203)*4</f>
        <v>26.847936514857533</v>
      </c>
      <c r="BU318" s="73">
        <f>BU402/AVERAGE(Model!BU203,Model!BT203)*4</f>
        <v>25.36971488912355</v>
      </c>
      <c r="BV318" s="73">
        <f>BV402/AVERAGE(Model!BV203,Model!BU203)*4</f>
        <v>23.724513428954534</v>
      </c>
      <c r="BW318" s="73">
        <f>BW402/AVERAGE(Model!BW203,Model!BR203)</f>
        <v>24.785582332689557</v>
      </c>
      <c r="BX318" s="1446">
        <f>BX402/AVERAGE(Model!BX203,Model!BW203)*4</f>
        <v>22.548320793498142</v>
      </c>
      <c r="BY318" s="73">
        <f>BY402/AVERAGE(Model!BY203,Model!BX203)*4</f>
        <v>23.485388453314325</v>
      </c>
      <c r="BZ318" s="73">
        <f>BZ402/AVERAGE(Model!BZ203,Model!BY203)*4</f>
        <v>23.021480560979938</v>
      </c>
      <c r="CA318" s="73">
        <f>CA402/AVERAGE(Model!CA203,Model!BZ203)*4</f>
        <v>23.733988286416022</v>
      </c>
      <c r="CB318" s="73">
        <f>CB402/AVERAGE(Model!CB203,Model!BW203)</f>
        <v>25.217495172303956</v>
      </c>
      <c r="CC318" s="1446">
        <f>CC402/AVERAGE(Model!CC203,Model!CB203)*4</f>
        <v>25.805637689729942</v>
      </c>
      <c r="CD318" s="73">
        <f>CD402/AVERAGE(Model!CD203,Model!CC203)*4</f>
        <v>25.781825080629861</v>
      </c>
      <c r="CE318" s="73">
        <f>CE402/AVERAGE(Model!CE203,Model!CD203)*4</f>
        <v>25.371934353678775</v>
      </c>
      <c r="CF318" s="736">
        <f>CF402/AVERAGE(Model!CF203,Model!CE203)*4</f>
        <v>26.059084765398726</v>
      </c>
      <c r="CG318" s="777">
        <f>CG402/AVERAGE(Model!CG203,Model!CB203)</f>
        <v>27.262434290335626</v>
      </c>
      <c r="CH318" s="73">
        <f>CH402/AVERAGE(Model!CH203,Model!CG203)*4</f>
        <v>28.19016659894352</v>
      </c>
      <c r="CI318" s="73">
        <f>CI402/AVERAGE(Model!CI203,Model!CH203)*4</f>
        <v>29.787884886295029</v>
      </c>
      <c r="CJ318" s="73">
        <f>CJ402/AVERAGE(Model!CJ203,Model!CI203)*4</f>
        <v>28.845534838076546</v>
      </c>
      <c r="CK318" s="73">
        <f>CK402/AVERAGE(Model!CK203,Model!CJ203)*4</f>
        <v>28.211187438665359</v>
      </c>
      <c r="CL318" s="777">
        <f>CL402/AVERAGE(Model!CL203,Model!CG203)</f>
        <v>29.18293915504346</v>
      </c>
      <c r="CM318" s="73">
        <f>CM402/AVERAGE(Model!CM203,Model!CL203)*4</f>
        <v>28.576824709817036</v>
      </c>
      <c r="CN318" s="73">
        <f>CN402/AVERAGE(Model!CN203,Model!CM203)*4</f>
        <v>29.285181550539743</v>
      </c>
      <c r="CO318" s="73">
        <f>CO402/AVERAGE(Model!CO203,Model!CN203)*4</f>
        <v>29.56818655007287</v>
      </c>
      <c r="CP318" s="73">
        <f>CP402/AVERAGE(Model!CP203,Model!CO203)*4</f>
        <v>30.617350369872227</v>
      </c>
      <c r="CQ318" s="777">
        <f>CQ402/AVERAGE(Model!CQ203,Model!CL203)</f>
        <v>30.717409948542024</v>
      </c>
      <c r="CR318" s="73">
        <f>CR402/AVERAGE(Model!CR203,Model!CQ203)*4</f>
        <v>31.263371699390657</v>
      </c>
      <c r="CS318" s="73">
        <f>CS402/AVERAGE(Model!CS203,Model!CR203)*4</f>
        <v>31.438566912539514</v>
      </c>
      <c r="CT318" s="73">
        <f>CT402/AVERAGE(Model!CT203,Model!CS203)*4</f>
        <v>29.904878546642173</v>
      </c>
      <c r="CU318" s="73">
        <f>CU402/AVERAGE(Model!CU203,Model!CT203)*4</f>
        <v>28.421386138613862</v>
      </c>
      <c r="CV318" s="777">
        <f>CV402/AVERAGE(Model!CV203,Model!CQ203)</f>
        <v>30.096686809752033</v>
      </c>
      <c r="CW318" s="73">
        <f>CW402/AVERAGE(Model!CW203,Model!CV203)*4</f>
        <v>27.361821235305094</v>
      </c>
      <c r="CX318" s="73">
        <f>CX402/AVERAGE(Model!CX203,Model!CW203)*4</f>
        <v>28.511179785493546</v>
      </c>
      <c r="CY318" s="73">
        <f>CY402/AVERAGE(Model!CY203,Model!CX203)*4</f>
        <v>26.746165776322592</v>
      </c>
      <c r="CZ318" s="73">
        <f>CZ402/AVERAGE(Model!CZ203,Model!CY203)*4</f>
        <v>24.404674243636947</v>
      </c>
      <c r="DA318" s="777">
        <f>DA402/AVERAGE(Model!DA203,Model!CV203)</f>
        <v>26.116923076923076</v>
      </c>
      <c r="DB318" s="73">
        <f>DB402/AVERAGE(Model!DB203,Model!DA203)*4</f>
        <v>23.014859496836841</v>
      </c>
      <c r="DC318" s="73">
        <f>DC402/AVERAGE(Model!DC203,Model!DB203)*4</f>
        <v>20.062665156662892</v>
      </c>
      <c r="DD318" s="73">
        <f>DD402/AVERAGE(Model!DD203,Model!DC203)*4</f>
        <v>16.553607358436331</v>
      </c>
      <c r="DE318" s="73">
        <f>DE402/AVERAGE(Model!DE203,Model!DD203)*4</f>
        <v>16.597032295606635</v>
      </c>
      <c r="DF318" s="777">
        <f>DF402/AVERAGE(Model!DF203,Model!DA203)</f>
        <v>20.551107579219231</v>
      </c>
      <c r="DG318" s="73">
        <f>DG402/AVERAGE(Model!DG203,Model!DF203)*4</f>
        <v>16.990782735918067</v>
      </c>
      <c r="DH318" s="73">
        <f>DH402/AVERAGE(Model!DH203,Model!DG203)*4</f>
        <v>17.815552604397226</v>
      </c>
      <c r="DI318" s="73">
        <f>DI402/AVERAGE(Model!DI203,Model!DH203)*4</f>
        <v>17.82221886564459</v>
      </c>
      <c r="DJ318" s="73">
        <f>DJ402/AVERAGE(Model!DJ203,Model!DI203)*4</f>
        <v>17.942355889724311</v>
      </c>
      <c r="DK318" s="777">
        <f>DK402/AVERAGE(Model!DK203,Model!DF203)</f>
        <v>17.903882828591044</v>
      </c>
      <c r="DL318" s="73">
        <f>DL402/AVERAGE(Model!DL203,Model!DK203)*4</f>
        <v>18.390708178738507</v>
      </c>
      <c r="DM318" s="73">
        <f>DM402/AVERAGE(Model!DM203,Model!DL203)*4</f>
        <v>19.943108703013884</v>
      </c>
      <c r="DN318" s="73">
        <f>DN402/AVERAGE(Model!DN203,Model!DM203)*4</f>
        <v>20.056938316823441</v>
      </c>
      <c r="DO318" s="73">
        <f>DO402/AVERAGE(Model!DO203,Model!DN203)*4</f>
        <v>18.745006606046477</v>
      </c>
      <c r="DP318" s="777">
        <f>DP402/AVERAGE(Model!DP203,Model!DK203)</f>
        <v>18.488270253362526</v>
      </c>
      <c r="DQ318" s="1446">
        <f>DQ402/AVERAGE(Model!DQ203,Model!DP203)*4</f>
        <v>18.371432840280889</v>
      </c>
      <c r="DR318" s="73">
        <f ca="1">DR402/AVERAGE(Model!DR203,Model!DQ203)*4</f>
        <v>18.932417421003329</v>
      </c>
      <c r="DS318" s="73">
        <f ca="1">DS402/AVERAGE(Model!DS203,Model!DR203)*4</f>
        <v>18.403956305925544</v>
      </c>
      <c r="DT318" s="736">
        <f ca="1">DT402/AVERAGE(Model!DT203,Model!DS203)*4</f>
        <v>18.178885653922432</v>
      </c>
      <c r="DU318" s="777">
        <f ca="1">DU402/AVERAGE(Model!DU203,Model!DP203)</f>
        <v>19.057138269364376</v>
      </c>
      <c r="DV318" s="1446">
        <f>DV402/AVERAGE(Model!DV203,Model!DU203)*4</f>
        <v>18.324899934258518</v>
      </c>
      <c r="DW318" s="73">
        <f ca="1">DW402/AVERAGE(Model!DW203,Model!DV203)*4</f>
        <v>18.617916717435939</v>
      </c>
      <c r="DX318" s="73">
        <f ca="1">DX402/AVERAGE(Model!DX203,Model!DW203)*4</f>
        <v>18.328667205252792</v>
      </c>
      <c r="DY318" s="736">
        <f ca="1">DY402/AVERAGE(Model!DY203,Model!DX203)*4</f>
        <v>18.176849994304309</v>
      </c>
      <c r="DZ318" s="777">
        <f ca="1">DZ402/AVERAGE(Model!DZ203,Model!DU203)</f>
        <v>18.547835950571553</v>
      </c>
      <c r="EA318" s="1446">
        <f>EA402/AVERAGE(Model!EA203,Model!DZ203)*4</f>
        <v>18.351156687554305</v>
      </c>
      <c r="EB318" s="73">
        <f ca="1">EB402/AVERAGE(Model!EB203,Model!EA203)*4</f>
        <v>18.613032489710822</v>
      </c>
      <c r="EC318" s="73">
        <f ca="1">EC402/AVERAGE(Model!EC203,Model!EB203)*4</f>
        <v>18.336827311147683</v>
      </c>
      <c r="ED318" s="736">
        <f ca="1">ED402/AVERAGE(Model!ED203,Model!EC203)*4</f>
        <v>18.185683476658426</v>
      </c>
      <c r="EE318" s="777">
        <f ca="1">EE402/AVERAGE(Model!EE203,Model!DZ203)</f>
        <v>18.567112303411655</v>
      </c>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row>
    <row r="319" spans="2:232" s="54" customFormat="1">
      <c r="B319" s="693" t="s">
        <v>180</v>
      </c>
      <c r="C319" s="64"/>
      <c r="D319" s="64"/>
      <c r="E319" s="64"/>
      <c r="F319" s="73">
        <f>F403/AVERAGE(Model!F204,Model!E204)</f>
        <v>5.251013437573671</v>
      </c>
      <c r="G319" s="73">
        <f>G403/AVERAGE(Model!G204,Model!F204)</f>
        <v>5.6058427322322393</v>
      </c>
      <c r="H319" s="73">
        <f>H403/AVERAGE(Model!H204,Model!G204)</f>
        <v>5.6803682400609521</v>
      </c>
      <c r="I319" s="73">
        <f>I403/AVERAGE(Model!I204,Model!H204)</f>
        <v>5.6072307401900785</v>
      </c>
      <c r="J319" s="73">
        <f>J403/AVERAGE(Model!J204,Model!I204)</f>
        <v>5.4914195477022805</v>
      </c>
      <c r="K319" s="73"/>
      <c r="L319" s="73"/>
      <c r="M319" s="73"/>
      <c r="N319" s="73"/>
      <c r="O319" s="73">
        <f>O403/AVERAGE(Model!O204,Model!J204)</f>
        <v>5.5158981870502668</v>
      </c>
      <c r="P319" s="73"/>
      <c r="Q319" s="73"/>
      <c r="R319" s="73"/>
      <c r="S319" s="73"/>
      <c r="T319" s="73">
        <f>T403/AVERAGE(Model!T204,Model!O204)</f>
        <v>5.7451959427650259</v>
      </c>
      <c r="U319" s="73"/>
      <c r="V319" s="73"/>
      <c r="W319" s="73"/>
      <c r="X319" s="73"/>
      <c r="Y319" s="73">
        <f>Y403/AVERAGE(Model!Y204,Model!T204)</f>
        <v>5.9012269362608647</v>
      </c>
      <c r="Z319" s="73"/>
      <c r="AA319" s="73"/>
      <c r="AB319" s="73"/>
      <c r="AC319" s="73"/>
      <c r="AD319" s="73">
        <f>AD403/AVERAGE(Model!AD204,Model!Y204)</f>
        <v>5.7818282660774329</v>
      </c>
      <c r="AE319" s="73"/>
      <c r="AF319" s="73"/>
      <c r="AG319" s="73"/>
      <c r="AH319" s="73"/>
      <c r="AI319" s="73">
        <f>AI403/AVERAGE(Model!AI204,Model!AD204)</f>
        <v>5.8368156572335366</v>
      </c>
      <c r="AJ319" s="73"/>
      <c r="AK319" s="73"/>
      <c r="AL319" s="73"/>
      <c r="AM319" s="73"/>
      <c r="AN319" s="73">
        <f>AN403/AVERAGE(Model!AN204,Model!AI204)</f>
        <v>5.7178293100171071</v>
      </c>
      <c r="AO319" s="73"/>
      <c r="AP319" s="73"/>
      <c r="AQ319" s="73"/>
      <c r="AR319" s="73"/>
      <c r="AS319" s="73">
        <f>AS403/AVERAGE(Model!AS204,Model!AN204)</f>
        <v>5.9139401762163972</v>
      </c>
      <c r="AT319" s="73"/>
      <c r="AU319" s="73"/>
      <c r="AV319" s="73"/>
      <c r="AW319" s="73"/>
      <c r="AX319" s="73">
        <f>AX403/AVERAGE(Model!AX204,Model!AS204)</f>
        <v>6.0414123523490364</v>
      </c>
      <c r="AY319" s="73"/>
      <c r="AZ319" s="73"/>
      <c r="BA319" s="73"/>
      <c r="BB319" s="73"/>
      <c r="BC319" s="73">
        <f>BC403/AVERAGE(Model!BC204,Model!AX204)</f>
        <v>6.1088208649748923</v>
      </c>
      <c r="BD319" s="73"/>
      <c r="BE319" s="73"/>
      <c r="BF319" s="73"/>
      <c r="BG319" s="73"/>
      <c r="BH319" s="73">
        <f>BH403/AVERAGE(Model!BH204,Model!BC204)</f>
        <v>5.8877004829982678</v>
      </c>
      <c r="BI319" s="73"/>
      <c r="BJ319" s="73"/>
      <c r="BK319" s="73"/>
      <c r="BL319" s="73"/>
      <c r="BM319" s="73">
        <f>BM403/AVERAGE(Model!BM204,Model!BH204)</f>
        <v>5.8816638180553289</v>
      </c>
      <c r="BN319" s="73"/>
      <c r="BO319" s="73"/>
      <c r="BP319" s="73"/>
      <c r="BQ319" s="73"/>
      <c r="BR319" s="73">
        <f>BR403/AVERAGE(Model!BR204,Model!BM204)</f>
        <v>5.9992835393157815</v>
      </c>
      <c r="BS319" s="73">
        <f>BS403/AVERAGE(Model!BS204,Model!BR204)*4</f>
        <v>5.6371178582633252</v>
      </c>
      <c r="BT319" s="73">
        <f>BT403/AVERAGE(Model!BT204,Model!BS204)*4</f>
        <v>5.8878950587001952</v>
      </c>
      <c r="BU319" s="73">
        <f>BU403/AVERAGE(Model!BU204,Model!BT204)*4</f>
        <v>5.98686724802835</v>
      </c>
      <c r="BV319" s="73">
        <f>BV403/AVERAGE(Model!BV204,Model!BU204)*4</f>
        <v>5.9038063830976473</v>
      </c>
      <c r="BW319" s="73">
        <f>BW403/AVERAGE(Model!BW204,Model!BR204)</f>
        <v>6.0388902738701518</v>
      </c>
      <c r="BX319" s="1446">
        <f>BX403/AVERAGE(Model!BX204,Model!BW204)*4</f>
        <v>5.5552839776162601</v>
      </c>
      <c r="BY319" s="73">
        <f>BY403/AVERAGE(Model!BY204,Model!BX204)*4</f>
        <v>5.9529026570960832</v>
      </c>
      <c r="BZ319" s="73">
        <f>BZ403/AVERAGE(Model!BZ204,Model!BY204)*4</f>
        <v>6.4945077720207252</v>
      </c>
      <c r="CA319" s="73">
        <f>CA403/AVERAGE(Model!CA204,Model!BZ204)*4</f>
        <v>6.6413748236515282</v>
      </c>
      <c r="CB319" s="73">
        <f>CB403/AVERAGE(Model!CB204,Model!BW204)</f>
        <v>6.5138941324804289</v>
      </c>
      <c r="CC319" s="1446">
        <f>CC403/AVERAGE(Model!CC204,Model!CB204)*4</f>
        <v>6.6329671254197837</v>
      </c>
      <c r="CD319" s="73">
        <f>CD403/AVERAGE(Model!CD204,Model!CC204)*4</f>
        <v>6.5912498296306392</v>
      </c>
      <c r="CE319" s="73">
        <f>CE403/AVERAGE(Model!CE204,Model!CD204)*4</f>
        <v>6.9601677148846957</v>
      </c>
      <c r="CF319" s="736">
        <f>CF403/AVERAGE(Model!CF204,Model!CE204)*4</f>
        <v>6.669243511871894</v>
      </c>
      <c r="CG319" s="777">
        <f>CG403/AVERAGE(Model!CG204,Model!CB204)</f>
        <v>6.8388472044779176</v>
      </c>
      <c r="CH319" s="73">
        <f>CH403/AVERAGE(Model!CH204,Model!CG204)*4</f>
        <v>6.488650487342186</v>
      </c>
      <c r="CI319" s="73">
        <f>CI403/AVERAGE(Model!CI204,Model!CH204)*4</f>
        <v>6.7945346738850221</v>
      </c>
      <c r="CJ319" s="73">
        <f>CJ403/AVERAGE(Model!CJ204,Model!CI204)*4</f>
        <v>6.9751302856388948</v>
      </c>
      <c r="CK319" s="73">
        <f>CK403/AVERAGE(Model!CK204,Model!CJ204)*4</f>
        <v>6.61605539882021</v>
      </c>
      <c r="CL319" s="777">
        <f>CL403/AVERAGE(Model!CL204,Model!CG204)</f>
        <v>6.7036700817014658</v>
      </c>
      <c r="CM319" s="73">
        <f>CM403/AVERAGE(Model!CM204,Model!CL204)*4</f>
        <v>6.4162211981566823</v>
      </c>
      <c r="CN319" s="73">
        <f>CN403/AVERAGE(Model!CN204,Model!CM204)*4</f>
        <v>6.8106303761715239</v>
      </c>
      <c r="CO319" s="73">
        <f>CO403/AVERAGE(Model!CO204,Model!CN204)*4</f>
        <v>7.1008292105079782</v>
      </c>
      <c r="CP319" s="73">
        <f>CP403/AVERAGE(Model!CP204,Model!CO204)*4</f>
        <v>6.973219373219373</v>
      </c>
      <c r="CQ319" s="777">
        <f>CQ403/AVERAGE(Model!CQ204,Model!CL204)</f>
        <v>6.8025198938992046</v>
      </c>
      <c r="CR319" s="73">
        <f>CR403/AVERAGE(Model!CR204,Model!CQ204)*4</f>
        <v>6.5784478696910549</v>
      </c>
      <c r="CS319" s="73">
        <f>CS403/AVERAGE(Model!CS204,Model!CR204)*4</f>
        <v>6.9205254079872631</v>
      </c>
      <c r="CT319" s="73">
        <f>CT403/AVERAGE(Model!CT204,Model!CS204)*4</f>
        <v>7.4096504881845195</v>
      </c>
      <c r="CU319" s="73">
        <f>CU403/AVERAGE(Model!CU204,Model!CT204)*4</f>
        <v>7.4273647418626663</v>
      </c>
      <c r="CV319" s="777">
        <f>CV403/AVERAGE(Model!CV204,Model!CQ204)</f>
        <v>7.3585829493087553</v>
      </c>
      <c r="CW319" s="73">
        <f>CW403/AVERAGE(Model!CW204,Model!CV204)*4</f>
        <v>7.2296824634798709</v>
      </c>
      <c r="CX319" s="73">
        <f>CX403/AVERAGE(Model!CX204,Model!CW204)*4</f>
        <v>7.4715566858519606</v>
      </c>
      <c r="CY319" s="73">
        <f>CY403/AVERAGE(Model!CY204,Model!CX204)*4</f>
        <v>8.1810723703486676</v>
      </c>
      <c r="CZ319" s="73">
        <f>CZ403/AVERAGE(Model!CZ204,Model!CY204)*4</f>
        <v>8.7766679984019174</v>
      </c>
      <c r="DA319" s="777">
        <f>DA403/AVERAGE(Model!DA204,Model!CV204)</f>
        <v>8.4812809405940595</v>
      </c>
      <c r="DB319" s="73">
        <f>DB403/AVERAGE(Model!DB204,Model!DA204)*4</f>
        <v>9.0570112752104173</v>
      </c>
      <c r="DC319" s="73">
        <f>DC403/AVERAGE(Model!DC204,Model!DB204)*4</f>
        <v>9.9092910612065168</v>
      </c>
      <c r="DD319" s="73">
        <f>DD403/AVERAGE(Model!DD204,Model!DC204)*4</f>
        <v>9.3982252108251121</v>
      </c>
      <c r="DE319" s="73">
        <f>DE403/AVERAGE(Model!DE204,Model!DD204)*4</f>
        <v>9.749799334938654</v>
      </c>
      <c r="DF319" s="777">
        <f>DF403/AVERAGE(Model!DF204,Model!DA204)</f>
        <v>10.37278026297953</v>
      </c>
      <c r="DG319" s="73">
        <f>DG403/AVERAGE(Model!DG204,Model!DF204)*4</f>
        <v>9.2796034910031242</v>
      </c>
      <c r="DH319" s="73">
        <f>DH403/AVERAGE(Model!DH204,Model!DG204)*4</f>
        <v>9.409276006134645</v>
      </c>
      <c r="DI319" s="73">
        <f>DI403/AVERAGE(Model!DI204,Model!DH204)*4</f>
        <v>9.8021831142793499</v>
      </c>
      <c r="DJ319" s="73">
        <f>DJ403/AVERAGE(Model!DJ204,Model!DI204)*4</f>
        <v>9.6074243864258957</v>
      </c>
      <c r="DK319" s="777">
        <f>DK403/AVERAGE(Model!DK204,Model!DF204)</f>
        <v>9.8959963706476124</v>
      </c>
      <c r="DL319" s="73">
        <f>DL403/AVERAGE(Model!DL204,Model!DK204)*4</f>
        <v>9.0065806791260865</v>
      </c>
      <c r="DM319" s="73">
        <f>DM403/AVERAGE(Model!DM204,Model!DL204)*4</f>
        <v>9.0860968394831083</v>
      </c>
      <c r="DN319" s="73">
        <f>DN403/AVERAGE(Model!DN204,Model!DM204)*4</f>
        <v>10.260956953827257</v>
      </c>
      <c r="DO319" s="73">
        <f>DO403/AVERAGE(Model!DO204,Model!DN204)*4</f>
        <v>10.379522184300342</v>
      </c>
      <c r="DP319" s="777">
        <f>DP403/AVERAGE(Model!DP204,Model!DK204)</f>
        <v>9.9750210025203021</v>
      </c>
      <c r="DQ319" s="1446">
        <f>DQ403/AVERAGE(Model!DQ204,Model!DP204)*4</f>
        <v>9.8996245174255648</v>
      </c>
      <c r="DR319" s="73">
        <f ca="1">DR403/AVERAGE(Model!DR204,Model!DQ204)*4</f>
        <v>10.026957263567882</v>
      </c>
      <c r="DS319" s="73">
        <f ca="1">DS403/AVERAGE(Model!DS204,Model!DR204)*4</f>
        <v>10.616453001469399</v>
      </c>
      <c r="DT319" s="736">
        <f ca="1">DT403/AVERAGE(Model!DT204,Model!DS204)*4</f>
        <v>10.870410321485469</v>
      </c>
      <c r="DU319" s="777">
        <f ca="1">DU403/AVERAGE(Model!DU204,Model!DP204)</f>
        <v>10.909645609151022</v>
      </c>
      <c r="DV319" s="1446">
        <f>DV403/AVERAGE(Model!DV204,Model!DU204)*4</f>
        <v>10.2957107297234</v>
      </c>
      <c r="DW319" s="73">
        <f ca="1">DW403/AVERAGE(Model!DW204,Model!DV204)*4</f>
        <v>10.114712804284746</v>
      </c>
      <c r="DX319" s="73">
        <f ca="1">DX403/AVERAGE(Model!DX204,Model!DW204)*4</f>
        <v>10.870692004284786</v>
      </c>
      <c r="DY319" s="736">
        <f ca="1">DY403/AVERAGE(Model!DY204,Model!DX204)*4</f>
        <v>11.201262166178399</v>
      </c>
      <c r="DZ319" s="777">
        <f ca="1">DZ403/AVERAGE(Model!DZ204,Model!DU204)</f>
        <v>11.071287996979146</v>
      </c>
      <c r="EA319" s="1446">
        <f>EA403/AVERAGE(Model!EA204,Model!DZ204)*4</f>
        <v>10.612896489687463</v>
      </c>
      <c r="EB319" s="73">
        <f ca="1">EB403/AVERAGE(Model!EB204,Model!EA204)*4</f>
        <v>10.399509797549982</v>
      </c>
      <c r="EC319" s="73">
        <f ca="1">EC403/AVERAGE(Model!EC204,Model!EB204)*4</f>
        <v>11.203834826789041</v>
      </c>
      <c r="ED319" s="736">
        <f ca="1">ED403/AVERAGE(Model!ED204,Model!EC204)*4</f>
        <v>11.562981906116471</v>
      </c>
      <c r="EE319" s="777">
        <f ca="1">EE403/AVERAGE(Model!EE204,Model!DZ204)</f>
        <v>11.432944880963491</v>
      </c>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row>
    <row r="320" spans="2:232" s="54" customFormat="1">
      <c r="B320" s="693" t="s">
        <v>181</v>
      </c>
      <c r="C320" s="64"/>
      <c r="D320" s="64"/>
      <c r="E320" s="64"/>
      <c r="F320" s="73">
        <f>F403/AVERAGE(Model!F220,Model!E220)</f>
        <v>13.100886359905893</v>
      </c>
      <c r="G320" s="73">
        <f>G403/AVERAGE(Model!G220,Model!F220)</f>
        <v>13.748499465404398</v>
      </c>
      <c r="H320" s="73">
        <f>H403/AVERAGE(Model!H220,Model!G220)</f>
        <v>14.140200842087195</v>
      </c>
      <c r="I320" s="73">
        <f>I403/AVERAGE(Model!I220,Model!H220)</f>
        <v>13.769446073493674</v>
      </c>
      <c r="J320" s="73">
        <f>J403/AVERAGE(Model!J220,Model!I220)</f>
        <v>13.099820117832035</v>
      </c>
      <c r="K320" s="73"/>
      <c r="L320" s="73"/>
      <c r="M320" s="73"/>
      <c r="N320" s="73"/>
      <c r="O320" s="73">
        <f>O403/AVERAGE(Model!O220,Model!J220)</f>
        <v>13.112452902282492</v>
      </c>
      <c r="P320" s="73"/>
      <c r="Q320" s="73"/>
      <c r="R320" s="73"/>
      <c r="S320" s="73"/>
      <c r="T320" s="73">
        <f>T403/AVERAGE(Model!T220,Model!O220)</f>
        <v>12.848159208477258</v>
      </c>
      <c r="U320" s="73"/>
      <c r="V320" s="73"/>
      <c r="W320" s="73"/>
      <c r="X320" s="73"/>
      <c r="Y320" s="73">
        <f>Y403/AVERAGE(Model!Y220,Model!T220)</f>
        <v>12.901944204720708</v>
      </c>
      <c r="Z320" s="73"/>
      <c r="AA320" s="73"/>
      <c r="AB320" s="73"/>
      <c r="AC320" s="73"/>
      <c r="AD320" s="73">
        <f>AD403/AVERAGE(Model!AD220,Model!Y220)</f>
        <v>12.741825036263632</v>
      </c>
      <c r="AE320" s="73"/>
      <c r="AF320" s="73"/>
      <c r="AG320" s="73"/>
      <c r="AH320" s="73"/>
      <c r="AI320" s="73">
        <f>AI403/AVERAGE(Model!AI220,Model!AD220)</f>
        <v>12.386882091167863</v>
      </c>
      <c r="AJ320" s="73"/>
      <c r="AK320" s="73"/>
      <c r="AL320" s="73"/>
      <c r="AM320" s="73"/>
      <c r="AN320" s="73">
        <f>AN403/AVERAGE(Model!AN220,Model!AI220)</f>
        <v>12.401332966881958</v>
      </c>
      <c r="AO320" s="73"/>
      <c r="AP320" s="73"/>
      <c r="AQ320" s="73"/>
      <c r="AR320" s="73"/>
      <c r="AS320" s="73">
        <f>AS403/AVERAGE(Model!AS220,Model!AN220)</f>
        <v>12.459269330811066</v>
      </c>
      <c r="AT320" s="73"/>
      <c r="AU320" s="73"/>
      <c r="AV320" s="73"/>
      <c r="AW320" s="73"/>
      <c r="AX320" s="73">
        <f>AX403/AVERAGE(Model!AX220,Model!AS220)</f>
        <v>11.171104095000233</v>
      </c>
      <c r="AY320" s="73"/>
      <c r="AZ320" s="73"/>
      <c r="BA320" s="73"/>
      <c r="BB320" s="73"/>
      <c r="BC320" s="73">
        <f>BC403/AVERAGE(Model!BC220,Model!AX220)</f>
        <v>10.817499455370051</v>
      </c>
      <c r="BD320" s="73"/>
      <c r="BE320" s="73"/>
      <c r="BF320" s="73"/>
      <c r="BG320" s="73"/>
      <c r="BH320" s="73">
        <f>BH403/AVERAGE(Model!BH220,Model!BC220)</f>
        <v>10.94080615860568</v>
      </c>
      <c r="BI320" s="73"/>
      <c r="BJ320" s="73"/>
      <c r="BK320" s="73"/>
      <c r="BL320" s="73"/>
      <c r="BM320" s="73">
        <f>BM403/AVERAGE(Model!BM220,Model!BH220)</f>
        <v>9.8428723373674067</v>
      </c>
      <c r="BN320" s="73"/>
      <c r="BO320" s="73"/>
      <c r="BP320" s="73"/>
      <c r="BQ320" s="73"/>
      <c r="BR320" s="73">
        <f>BR403/AVERAGE(Model!BR220,Model!BM220)</f>
        <v>9.9113798649083318</v>
      </c>
      <c r="BS320" s="73">
        <f>BS403/AVERAGE(Model!BS220,Model!BR220)*4</f>
        <v>10.312870680968841</v>
      </c>
      <c r="BT320" s="73">
        <f>BT403/AVERAGE(Model!BT220,Model!BS220)*4</f>
        <v>10.565946721657442</v>
      </c>
      <c r="BU320" s="73">
        <f>BU403/AVERAGE(Model!BU220,Model!BT220)*4</f>
        <v>10.307946306797788</v>
      </c>
      <c r="BV320" s="73">
        <f>BV403/AVERAGE(Model!BV220,Model!BU220)*4</f>
        <v>9.9849929691469619</v>
      </c>
      <c r="BW320" s="73">
        <f>BW403/AVERAGE(Model!BW220,Model!BR220)</f>
        <v>10.567888616051953</v>
      </c>
      <c r="BX320" s="1446">
        <f>BX403/AVERAGE(Model!BX220,Model!BW220)*4</f>
        <v>9.2715288661785866</v>
      </c>
      <c r="BY320" s="73">
        <f>BY403/AVERAGE(Model!BY220,Model!BX220)*4</f>
        <v>9.4923694779116463</v>
      </c>
      <c r="BZ320" s="73">
        <f>BZ403/AVERAGE(Model!BZ220,Model!BY220)*4</f>
        <v>9.8613238225112774</v>
      </c>
      <c r="CA320" s="73">
        <f>CA403/AVERAGE(Model!CA220,Model!BZ220)*4</f>
        <v>10.200516447737735</v>
      </c>
      <c r="CB320" s="73">
        <f>CB403/AVERAGE(Model!CB220,Model!BW220)</f>
        <v>10.636238862912043</v>
      </c>
      <c r="CC320" s="1446">
        <f>CC403/AVERAGE(Model!CC220,Model!CB220)*4</f>
        <v>10.117420596727623</v>
      </c>
      <c r="CD320" s="73">
        <f>CD403/AVERAGE(Model!CD220,Model!CC220)*4</f>
        <v>10.018645121193288</v>
      </c>
      <c r="CE320" s="73">
        <f>CE403/AVERAGE(Model!CE220,Model!CD220)*4</f>
        <v>10.831973898858076</v>
      </c>
      <c r="CF320" s="736">
        <f>CF403/AVERAGE(Model!CF220,Model!CE220)*4</f>
        <v>10.538117570073073</v>
      </c>
      <c r="CG320" s="777">
        <f>CG403/AVERAGE(Model!CG220,Model!CB220)</f>
        <v>10.894861126728888</v>
      </c>
      <c r="CH320" s="73">
        <f>CH403/AVERAGE(Model!CH220,Model!CG220)*4</f>
        <v>10.397484276729561</v>
      </c>
      <c r="CI320" s="73">
        <f>CI403/AVERAGE(Model!CI220,Model!CH220)*4</f>
        <v>10.708379888268157</v>
      </c>
      <c r="CJ320" s="73">
        <f>CJ403/AVERAGE(Model!CJ220,Model!CI220)*4</f>
        <v>10.675012619888944</v>
      </c>
      <c r="CK320" s="73">
        <f>CK403/AVERAGE(Model!CK220,Model!CJ220)*4</f>
        <v>10.502188295165395</v>
      </c>
      <c r="CL320" s="777">
        <f>CL403/AVERAGE(Model!CL220,Model!CG220)</f>
        <v>11.004151144225652</v>
      </c>
      <c r="CM320" s="73">
        <f>CM403/AVERAGE(Model!CM220,Model!CL220)*4</f>
        <v>10.891113892365457</v>
      </c>
      <c r="CN320" s="73">
        <f>CN403/AVERAGE(Model!CN220,Model!CM220)*4</f>
        <v>11.813383810266117</v>
      </c>
      <c r="CO320" s="73">
        <f>CO403/AVERAGE(Model!CO220,Model!CN220)*4</f>
        <v>11.799907364520612</v>
      </c>
      <c r="CP320" s="73">
        <f>CP403/AVERAGE(Model!CP220,Model!CO220)*4</f>
        <v>11.104003629352388</v>
      </c>
      <c r="CQ320" s="777">
        <f>CQ403/AVERAGE(Model!CQ220,Model!CL220)</f>
        <v>11.15749401783772</v>
      </c>
      <c r="CR320" s="73">
        <f>CR403/AVERAGE(Model!CR220,Model!CQ220)*4</f>
        <v>10.617707767517654</v>
      </c>
      <c r="CS320" s="73">
        <f>CS403/AVERAGE(Model!CS220,Model!CR220)*4</f>
        <v>11.328048648061678</v>
      </c>
      <c r="CT320" s="73">
        <f>CT403/AVERAGE(Model!CT220,Model!CS220)*4</f>
        <v>11.743440233236152</v>
      </c>
      <c r="CU320" s="73">
        <f>CU403/AVERAGE(Model!CU220,Model!CT220)*4</f>
        <v>11.129296235679215</v>
      </c>
      <c r="CV320" s="777">
        <f>CV403/AVERAGE(Model!CV220,Model!CQ220)</f>
        <v>11.331189710610932</v>
      </c>
      <c r="CW320" s="73">
        <f>CW403/AVERAGE(Model!CW220,Model!CV220)*4</f>
        <v>11.218048313291476</v>
      </c>
      <c r="CX320" s="73">
        <f>CX403/AVERAGE(Model!CX220,Model!CW220)*4</f>
        <v>12.069189189189188</v>
      </c>
      <c r="CY320" s="73">
        <f>CY403/AVERAGE(Model!CY220,Model!CX220)*4</f>
        <v>12.8038518858191</v>
      </c>
      <c r="CZ320" s="73">
        <f>CZ403/AVERAGE(Model!CZ220,Model!CY220)*4</f>
        <v>12.846783625730994</v>
      </c>
      <c r="DA320" s="777">
        <f>DA403/AVERAGE(Model!DA220,Model!CV220)</f>
        <v>12.250949720670391</v>
      </c>
      <c r="DB320" s="73">
        <f>DB403/AVERAGE(Model!DB220,Model!DA220)*4</f>
        <v>12.001683501683502</v>
      </c>
      <c r="DC320" s="73">
        <f>DC403/AVERAGE(Model!DC220,Model!DB220)*4</f>
        <v>10.17491280196357</v>
      </c>
      <c r="DD320" s="73">
        <f>DD403/AVERAGE(Model!DD220,Model!DC220)*4</f>
        <v>8.4307540173053148</v>
      </c>
      <c r="DE320" s="73">
        <f>DE403/AVERAGE(Model!DE220,Model!DD220)*4</f>
        <v>8.4943056943056945</v>
      </c>
      <c r="DF320" s="777">
        <f>DF403/AVERAGE(Model!DF220,Model!DA220)</f>
        <v>10.625564118586405</v>
      </c>
      <c r="DG320" s="73">
        <f>DG403/AVERAGE(Model!DG220,Model!DF220)*4</f>
        <v>8.3087164150306307</v>
      </c>
      <c r="DH320" s="73">
        <f>DH403/AVERAGE(Model!DH220,Model!DG220)*4</f>
        <v>8.6722558003509462</v>
      </c>
      <c r="DI320" s="73">
        <f>DI403/AVERAGE(Model!DI220,Model!DH220)*4</f>
        <v>8.7089559623948531</v>
      </c>
      <c r="DJ320" s="73">
        <f>DJ403/AVERAGE(Model!DJ220,Model!DI220)*4</f>
        <v>8.0539907203449399</v>
      </c>
      <c r="DK320" s="777">
        <f>DK403/AVERAGE(Model!DK220,Model!DF220)</f>
        <v>8.2751327769347505</v>
      </c>
      <c r="DL320" s="73">
        <f>DL403/AVERAGE(Model!DL220,Model!DK220)*4</f>
        <v>7.6470588235294121</v>
      </c>
      <c r="DM320" s="73">
        <f>DM403/AVERAGE(Model!DM220,Model!DL220)*4</f>
        <v>7.734582081639866</v>
      </c>
      <c r="DN320" s="73">
        <f>DN403/AVERAGE(Model!DN220,Model!DM220)*4</f>
        <v>8.0635310635310642</v>
      </c>
      <c r="DO320" s="73">
        <f>DO403/AVERAGE(Model!DO220,Model!DN220)*4</f>
        <v>7.5960369661143954</v>
      </c>
      <c r="DP320" s="777">
        <f>DP403/AVERAGE(Model!DP220,Model!DK220)</f>
        <v>7.5808291478675409</v>
      </c>
      <c r="DQ320" s="1446">
        <f>DQ403/AVERAGE(Model!DQ220,Model!DP220)*4</f>
        <v>7.1820135052179248</v>
      </c>
      <c r="DR320" s="73">
        <f ca="1">DR403/AVERAGE(Model!DR220,Model!DQ220)*4</f>
        <v>7.6884437306384337</v>
      </c>
      <c r="DS320" s="73">
        <f ca="1">DS403/AVERAGE(Model!DS220,Model!DR220)*4</f>
        <v>8.1162478949221271</v>
      </c>
      <c r="DT320" s="736">
        <f ca="1">DT403/AVERAGE(Model!DT220,Model!DS220)*4</f>
        <v>7.7261870599068843</v>
      </c>
      <c r="DU320" s="777">
        <f ca="1">DU403/AVERAGE(Model!DU220,Model!DP220)</f>
        <v>7.6554321179231151</v>
      </c>
      <c r="DV320" s="1446">
        <f>DV403/AVERAGE(Model!DV220,Model!DU220)*4</f>
        <v>7.2650751912584921</v>
      </c>
      <c r="DW320" s="73">
        <f ca="1">DW403/AVERAGE(Model!DW220,Model!DV220)*4</f>
        <v>7.5447741722678119</v>
      </c>
      <c r="DX320" s="73">
        <f ca="1">DX403/AVERAGE(Model!DX220,Model!DW220)*4</f>
        <v>8.0748021753111434</v>
      </c>
      <c r="DY320" s="736">
        <f ca="1">DY403/AVERAGE(Model!DY220,Model!DX220)*4</f>
        <v>7.7241467017904197</v>
      </c>
      <c r="DZ320" s="777">
        <f ca="1">DZ403/AVERAGE(Model!DZ220,Model!DU220)</f>
        <v>7.5481382757730859</v>
      </c>
      <c r="EA320" s="1446">
        <f>EA403/AVERAGE(Model!EA220,Model!DZ220)*4</f>
        <v>7.2800835530983177</v>
      </c>
      <c r="EB320" s="73">
        <f ca="1">EB403/AVERAGE(Model!EB220,Model!EA220)*4</f>
        <v>7.5460157271208788</v>
      </c>
      <c r="EC320" s="73">
        <f ca="1">EC403/AVERAGE(Model!EC220,Model!EB220)*4</f>
        <v>8.0772050451135886</v>
      </c>
      <c r="ED320" s="736">
        <f ca="1">ED403/AVERAGE(Model!ED220,Model!EC220)*4</f>
        <v>7.8354206109820312</v>
      </c>
      <c r="EE320" s="777">
        <f ca="1">EE403/AVERAGE(Model!EE220,Model!DZ220)</f>
        <v>7.6643117172940292</v>
      </c>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row>
    <row r="321" spans="2:232" s="54" customFormat="1">
      <c r="B321" s="693"/>
      <c r="C321" s="64"/>
      <c r="D321" s="64"/>
      <c r="E321" s="64"/>
      <c r="F321" s="73"/>
      <c r="G321" s="73"/>
      <c r="H321" s="73"/>
      <c r="I321" s="73"/>
      <c r="J321" s="73"/>
      <c r="K321" s="73"/>
      <c r="L321" s="73"/>
      <c r="M321" s="73"/>
      <c r="N321" s="73"/>
      <c r="O321" s="73"/>
      <c r="P321" s="73"/>
      <c r="Q321" s="73"/>
      <c r="R321" s="73"/>
      <c r="S321" s="73"/>
      <c r="T321" s="73"/>
      <c r="U321" s="73"/>
      <c r="V321" s="73"/>
      <c r="W321" s="73"/>
      <c r="X321" s="73"/>
      <c r="Y321" s="73"/>
      <c r="Z321" s="73"/>
      <c r="AA321" s="73"/>
      <c r="AB321" s="73"/>
      <c r="AC321" s="73"/>
      <c r="AD321" s="73"/>
      <c r="AE321" s="73"/>
      <c r="AF321" s="73"/>
      <c r="AG321" s="73"/>
      <c r="AH321" s="73"/>
      <c r="AI321" s="73"/>
      <c r="AJ321" s="73"/>
      <c r="AK321" s="73"/>
      <c r="AL321" s="73"/>
      <c r="AM321" s="73"/>
      <c r="AN321" s="73"/>
      <c r="AO321" s="73"/>
      <c r="AP321" s="73"/>
      <c r="AQ321" s="73"/>
      <c r="AR321" s="73"/>
      <c r="AS321" s="73"/>
      <c r="AT321" s="73"/>
      <c r="AU321" s="73"/>
      <c r="AV321" s="73"/>
      <c r="AW321" s="73"/>
      <c r="AX321" s="73"/>
      <c r="AY321" s="73"/>
      <c r="AZ321" s="73"/>
      <c r="BA321" s="73"/>
      <c r="BB321" s="73"/>
      <c r="BC321" s="73"/>
      <c r="BD321" s="73"/>
      <c r="BE321" s="73"/>
      <c r="BF321" s="73"/>
      <c r="BG321" s="73"/>
      <c r="BH321" s="73"/>
      <c r="BI321" s="73"/>
      <c r="BJ321" s="73"/>
      <c r="BK321" s="73"/>
      <c r="BL321" s="73"/>
      <c r="BM321" s="73"/>
      <c r="BN321" s="73"/>
      <c r="BO321" s="73"/>
      <c r="BP321" s="73"/>
      <c r="BQ321" s="73"/>
      <c r="BR321" s="73"/>
      <c r="BS321" s="73"/>
      <c r="BT321" s="73"/>
      <c r="BU321" s="73"/>
      <c r="BV321" s="73"/>
      <c r="BW321" s="73"/>
      <c r="BX321" s="1446"/>
      <c r="BY321" s="73"/>
      <c r="BZ321" s="73"/>
      <c r="CA321" s="73"/>
      <c r="CB321" s="73"/>
      <c r="CC321" s="1446"/>
      <c r="CD321" s="73"/>
      <c r="CE321" s="73"/>
      <c r="CF321" s="736"/>
      <c r="CG321" s="777"/>
      <c r="CH321" s="73"/>
      <c r="CI321" s="73"/>
      <c r="CJ321" s="73"/>
      <c r="CK321" s="73"/>
      <c r="CL321" s="777"/>
      <c r="CM321" s="73"/>
      <c r="CN321" s="76"/>
      <c r="CO321" s="76"/>
      <c r="CP321" s="76"/>
      <c r="CQ321" s="777"/>
      <c r="CR321" s="73"/>
      <c r="CS321" s="76"/>
      <c r="CT321" s="76"/>
      <c r="CU321" s="76"/>
      <c r="CV321" s="777"/>
      <c r="CW321" s="73"/>
      <c r="CX321" s="76"/>
      <c r="CY321" s="76"/>
      <c r="CZ321" s="76"/>
      <c r="DA321" s="777"/>
      <c r="DB321" s="73"/>
      <c r="DC321" s="76"/>
      <c r="DD321" s="76"/>
      <c r="DE321" s="76"/>
      <c r="DF321" s="777"/>
      <c r="DG321" s="76"/>
      <c r="DH321" s="76"/>
      <c r="DI321" s="76"/>
      <c r="DJ321" s="76"/>
      <c r="DK321" s="807"/>
      <c r="DL321" s="76"/>
      <c r="DM321" s="76"/>
      <c r="DN321" s="76"/>
      <c r="DO321" s="76"/>
      <c r="DP321" s="807"/>
      <c r="DQ321" s="1436"/>
      <c r="DR321" s="76"/>
      <c r="DS321" s="76"/>
      <c r="DT321" s="1437"/>
      <c r="DU321" s="807"/>
      <c r="DV321" s="1436"/>
      <c r="DW321" s="76"/>
      <c r="DX321" s="76"/>
      <c r="DY321" s="1437"/>
      <c r="DZ321" s="807"/>
      <c r="EA321" s="1436"/>
      <c r="EB321" s="76"/>
      <c r="EC321" s="76"/>
      <c r="ED321" s="1437"/>
      <c r="EE321" s="807"/>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row>
    <row r="322" spans="2:232" s="54" customFormat="1">
      <c r="B322" s="693" t="s">
        <v>311</v>
      </c>
      <c r="C322" s="64"/>
      <c r="D322" s="64"/>
      <c r="E322" s="64"/>
      <c r="F322" s="73">
        <f>F203/F323</f>
        <v>7.1778166012282121</v>
      </c>
      <c r="G322" s="73">
        <f>G203/G323</f>
        <v>6.2862361422353903</v>
      </c>
      <c r="H322" s="73">
        <f>H203/H323</f>
        <v>6.130226140588606</v>
      </c>
      <c r="I322" s="73">
        <f>I203/I323</f>
        <v>7.664820641695087</v>
      </c>
      <c r="J322" s="73">
        <f>J203/J323</f>
        <v>8.640746559723933</v>
      </c>
      <c r="K322" s="73"/>
      <c r="L322" s="73"/>
      <c r="M322" s="73"/>
      <c r="N322" s="73"/>
      <c r="O322" s="73">
        <f>O203/O323</f>
        <v>8.9414774899969505</v>
      </c>
      <c r="P322" s="73"/>
      <c r="Q322" s="73"/>
      <c r="R322" s="73"/>
      <c r="S322" s="73"/>
      <c r="T322" s="73">
        <f>T203/T323</f>
        <v>10.283296676208669</v>
      </c>
      <c r="U322" s="73"/>
      <c r="V322" s="73"/>
      <c r="W322" s="73"/>
      <c r="X322" s="73"/>
      <c r="Y322" s="73">
        <f>Y203/Y323</f>
        <v>8.9008715870842305</v>
      </c>
      <c r="Z322" s="73"/>
      <c r="AA322" s="73"/>
      <c r="AB322" s="73"/>
      <c r="AC322" s="73"/>
      <c r="AD322" s="73">
        <f>AD203/AD323</f>
        <v>9.9542850415947264</v>
      </c>
      <c r="AE322" s="73"/>
      <c r="AF322" s="73"/>
      <c r="AG322" s="73"/>
      <c r="AH322" s="73"/>
      <c r="AI322" s="73">
        <f>AI203/AI323</f>
        <v>10.576392589204456</v>
      </c>
      <c r="AJ322" s="73"/>
      <c r="AK322" s="73"/>
      <c r="AL322" s="73"/>
      <c r="AM322" s="73"/>
      <c r="AN322" s="73">
        <f>AN203/AN323</f>
        <v>11.833631157860538</v>
      </c>
      <c r="AO322" s="73"/>
      <c r="AP322" s="73"/>
      <c r="AQ322" s="73"/>
      <c r="AR322" s="73"/>
      <c r="AS322" s="73">
        <f>AS203/AS323</f>
        <v>12.150928660337295</v>
      </c>
      <c r="AT322" s="73"/>
      <c r="AU322" s="73"/>
      <c r="AV322" s="73"/>
      <c r="AW322" s="73"/>
      <c r="AX322" s="73">
        <f>AX203/AX323</f>
        <v>11.428777987657433</v>
      </c>
      <c r="AY322" s="73"/>
      <c r="AZ322" s="73"/>
      <c r="BA322" s="73"/>
      <c r="BB322" s="73"/>
      <c r="BC322" s="73">
        <f>BC203/BC323</f>
        <v>11.376752283500675</v>
      </c>
      <c r="BD322" s="73"/>
      <c r="BE322" s="73"/>
      <c r="BF322" s="73"/>
      <c r="BG322" s="73"/>
      <c r="BH322" s="73">
        <f>BH203/BH323</f>
        <v>12.076544491204125</v>
      </c>
      <c r="BI322" s="73"/>
      <c r="BJ322" s="73"/>
      <c r="BK322" s="73"/>
      <c r="BL322" s="73"/>
      <c r="BM322" s="73">
        <f>BM203/BM323</f>
        <v>15.880645025206185</v>
      </c>
      <c r="BN322" s="73"/>
      <c r="BO322" s="73"/>
      <c r="BP322" s="73"/>
      <c r="BQ322" s="73"/>
      <c r="BR322" s="73">
        <f t="shared" ref="BR322:CR322" si="785">BR203/BR323</f>
        <v>15.184005431345561</v>
      </c>
      <c r="BS322" s="73">
        <f t="shared" si="785"/>
        <v>14.416270432495242</v>
      </c>
      <c r="BT322" s="73">
        <f t="shared" si="785"/>
        <v>13.680425631431245</v>
      </c>
      <c r="BU322" s="73">
        <f t="shared" si="785"/>
        <v>14.674587265328954</v>
      </c>
      <c r="BV322" s="73">
        <f t="shared" si="785"/>
        <v>15.927355433613526</v>
      </c>
      <c r="BW322" s="73">
        <f t="shared" si="785"/>
        <v>15.624670742263396</v>
      </c>
      <c r="BX322" s="1446">
        <f t="shared" si="785"/>
        <v>16.715059878236435</v>
      </c>
      <c r="BY322" s="73">
        <f t="shared" si="785"/>
        <v>15.492564491654022</v>
      </c>
      <c r="BZ322" s="73">
        <f t="shared" si="785"/>
        <v>15.87439851943245</v>
      </c>
      <c r="CA322" s="73">
        <f t="shared" si="785"/>
        <v>14.623447748837801</v>
      </c>
      <c r="CB322" s="73">
        <f t="shared" si="785"/>
        <v>14.384463566748243</v>
      </c>
      <c r="CC322" s="1446">
        <f t="shared" si="785"/>
        <v>14.173185040332436</v>
      </c>
      <c r="CD322" s="73">
        <f t="shared" si="785"/>
        <v>14.27326779301819</v>
      </c>
      <c r="CE322" s="73">
        <f t="shared" si="785"/>
        <v>14.597825454968312</v>
      </c>
      <c r="CF322" s="736">
        <f t="shared" si="785"/>
        <v>13.360995850622405</v>
      </c>
      <c r="CG322" s="777">
        <f t="shared" si="785"/>
        <v>13.263868288341738</v>
      </c>
      <c r="CH322" s="73">
        <f t="shared" si="785"/>
        <v>12.82749077490775</v>
      </c>
      <c r="CI322" s="73">
        <f t="shared" si="785"/>
        <v>12.146254458977408</v>
      </c>
      <c r="CJ322" s="73">
        <f t="shared" si="785"/>
        <v>13.010505688313103</v>
      </c>
      <c r="CK322" s="73">
        <f t="shared" si="785"/>
        <v>12.785885234040185</v>
      </c>
      <c r="CL322" s="777">
        <f t="shared" si="785"/>
        <v>12.626135985814031</v>
      </c>
      <c r="CM322" s="73">
        <f t="shared" si="785"/>
        <v>12.818196838684806</v>
      </c>
      <c r="CN322" s="73">
        <f t="shared" si="785"/>
        <v>12.107125623290978</v>
      </c>
      <c r="CO322" s="73">
        <f t="shared" si="785"/>
        <v>11.888688598467779</v>
      </c>
      <c r="CP322" s="73">
        <f t="shared" si="785"/>
        <v>11.677151057224858</v>
      </c>
      <c r="CQ322" s="777">
        <f t="shared" si="785"/>
        <v>11.041768458671283</v>
      </c>
      <c r="CR322" s="73">
        <f t="shared" si="785"/>
        <v>11.767151767151766</v>
      </c>
      <c r="CS322" s="76">
        <f t="shared" ref="CS322:CX322" si="786">CS203/CS323</f>
        <v>11.974580361452244</v>
      </c>
      <c r="CT322" s="76">
        <f t="shared" si="786"/>
        <v>11.883361546442417</v>
      </c>
      <c r="CU322" s="76">
        <f t="shared" si="786"/>
        <v>13.203277409285993</v>
      </c>
      <c r="CV322" s="777">
        <f t="shared" si="786"/>
        <v>13.302684963374274</v>
      </c>
      <c r="CW322" s="73">
        <f t="shared" si="786"/>
        <v>13.390255878662229</v>
      </c>
      <c r="CX322" s="76">
        <f t="shared" si="786"/>
        <v>12.734506503442999</v>
      </c>
      <c r="CY322" s="76">
        <f t="shared" ref="CY322:DE322" si="787">CY203/CY323</f>
        <v>14.051337559919592</v>
      </c>
      <c r="CZ322" s="76">
        <f t="shared" si="787"/>
        <v>15.197565199139424</v>
      </c>
      <c r="DA322" s="777">
        <f t="shared" si="787"/>
        <v>15.37556288616609</v>
      </c>
      <c r="DB322" s="73">
        <f t="shared" si="787"/>
        <v>16.472844430806994</v>
      </c>
      <c r="DC322" s="76">
        <f t="shared" si="787"/>
        <v>23.76585255710684</v>
      </c>
      <c r="DD322" s="76">
        <f t="shared" si="787"/>
        <v>21.56311859697864</v>
      </c>
      <c r="DE322" s="76">
        <f t="shared" si="787"/>
        <v>21.61173830727158</v>
      </c>
      <c r="DF322" s="777">
        <f t="shared" ref="DF322:DU322" si="788">DE322</f>
        <v>21.61173830727158</v>
      </c>
      <c r="DG322" s="1549">
        <f t="shared" ref="DG322:DH322" si="789">DG203/DG323</f>
        <v>21.144559639031446</v>
      </c>
      <c r="DH322" s="1549">
        <f t="shared" si="789"/>
        <v>20.075868009541477</v>
      </c>
      <c r="DI322" s="1549">
        <f t="shared" ref="DI322:DJ322" si="790">DI203/DI323</f>
        <v>19.856261441453658</v>
      </c>
      <c r="DJ322" s="1549">
        <f t="shared" si="790"/>
        <v>19.674535549657772</v>
      </c>
      <c r="DK322" s="1962">
        <f t="shared" si="788"/>
        <v>19.674535549657772</v>
      </c>
      <c r="DL322" s="1549">
        <f t="shared" ref="DL322:DM322" si="791">DL203/DL323</f>
        <v>19.382477807796217</v>
      </c>
      <c r="DM322" s="1549">
        <f t="shared" si="791"/>
        <v>17.342253616790053</v>
      </c>
      <c r="DN322" s="1549">
        <f t="shared" ref="DN322:DO322" si="792">DN203/DN323</f>
        <v>18.942492861411779</v>
      </c>
      <c r="DO322" s="1549">
        <f t="shared" si="792"/>
        <v>19.487213506252282</v>
      </c>
      <c r="DP322" s="1377">
        <f t="shared" si="788"/>
        <v>19.487213506252282</v>
      </c>
      <c r="DQ322" s="1752">
        <f t="shared" ref="DQ322" si="793">DQ203/DQ323</f>
        <v>20.078724788549124</v>
      </c>
      <c r="DR322" s="192">
        <f t="shared" si="788"/>
        <v>20.078724788549124</v>
      </c>
      <c r="DS322" s="192">
        <f t="shared" si="788"/>
        <v>20.078724788549124</v>
      </c>
      <c r="DT322" s="1753">
        <f t="shared" si="788"/>
        <v>20.078724788549124</v>
      </c>
      <c r="DU322" s="1377">
        <f t="shared" si="788"/>
        <v>20.078724788549124</v>
      </c>
      <c r="DV322" s="1752">
        <f t="shared" ref="DV322" si="794">DU322</f>
        <v>20.078724788549124</v>
      </c>
      <c r="DW322" s="192">
        <f t="shared" ref="DW322" si="795">DV322</f>
        <v>20.078724788549124</v>
      </c>
      <c r="DX322" s="192">
        <f t="shared" ref="DX322" si="796">DW322</f>
        <v>20.078724788549124</v>
      </c>
      <c r="DY322" s="1753">
        <f t="shared" ref="DY322" si="797">DX322</f>
        <v>20.078724788549124</v>
      </c>
      <c r="DZ322" s="1377">
        <f t="shared" ref="DZ322" si="798">DY322</f>
        <v>20.078724788549124</v>
      </c>
      <c r="EA322" s="1752">
        <f t="shared" ref="EA322" si="799">DZ322</f>
        <v>20.078724788549124</v>
      </c>
      <c r="EB322" s="192">
        <f t="shared" ref="EB322" si="800">EA322</f>
        <v>20.078724788549124</v>
      </c>
      <c r="EC322" s="192">
        <f t="shared" ref="EC322" si="801">EB322</f>
        <v>20.078724788549124</v>
      </c>
      <c r="ED322" s="1753">
        <f t="shared" ref="ED322" si="802">EC322</f>
        <v>20.078724788549124</v>
      </c>
      <c r="EE322" s="1377">
        <f t="shared" ref="EE322" si="803">ED322</f>
        <v>20.078724788549124</v>
      </c>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row>
    <row r="323" spans="2:232" s="54" customFormat="1">
      <c r="B323" s="538" t="s">
        <v>310</v>
      </c>
      <c r="C323" s="64"/>
      <c r="D323" s="64"/>
      <c r="E323" s="64"/>
      <c r="F323" s="73">
        <f>F402/365</f>
        <v>18.446695890410957</v>
      </c>
      <c r="G323" s="73">
        <f>G402/365</f>
        <v>20.479345205479454</v>
      </c>
      <c r="H323" s="73">
        <f>H402/365</f>
        <v>22.725589041095891</v>
      </c>
      <c r="I323" s="73">
        <f>I402/365</f>
        <v>25.301309589041093</v>
      </c>
      <c r="J323" s="73">
        <f>J402/365</f>
        <v>28.479715068493149</v>
      </c>
      <c r="K323" s="73"/>
      <c r="L323" s="73"/>
      <c r="M323" s="73"/>
      <c r="N323" s="73"/>
      <c r="O323" s="73">
        <f>O402/365</f>
        <v>32.26961095890411</v>
      </c>
      <c r="P323" s="73"/>
      <c r="Q323" s="73"/>
      <c r="R323" s="73"/>
      <c r="S323" s="73"/>
      <c r="T323" s="73">
        <f>T402/365</f>
        <v>36.611021917808223</v>
      </c>
      <c r="U323" s="73"/>
      <c r="V323" s="73"/>
      <c r="W323" s="73"/>
      <c r="X323" s="73"/>
      <c r="Y323" s="73">
        <f>Y402/365</f>
        <v>41.93578082191781</v>
      </c>
      <c r="Z323" s="73"/>
      <c r="AA323" s="73"/>
      <c r="AB323" s="73"/>
      <c r="AC323" s="73"/>
      <c r="AD323" s="73">
        <f>AD402/365</f>
        <v>48.873424657534244</v>
      </c>
      <c r="AE323" s="73"/>
      <c r="AF323" s="73"/>
      <c r="AG323" s="73"/>
      <c r="AH323" s="73"/>
      <c r="AI323" s="73">
        <f>AI402/365</f>
        <v>58.10109589041096</v>
      </c>
      <c r="AJ323" s="73"/>
      <c r="AK323" s="73"/>
      <c r="AL323" s="73"/>
      <c r="AM323" s="73"/>
      <c r="AN323" s="73">
        <f>AN402/365</f>
        <v>67.460273972602735</v>
      </c>
      <c r="AO323" s="73"/>
      <c r="AP323" s="73"/>
      <c r="AQ323" s="73"/>
      <c r="AR323" s="73"/>
      <c r="AS323" s="73">
        <f>AS402/365</f>
        <v>78.578356164383564</v>
      </c>
      <c r="AT323" s="73"/>
      <c r="AU323" s="73"/>
      <c r="AV323" s="73"/>
      <c r="AW323" s="73"/>
      <c r="AX323" s="73">
        <f>AX402/365</f>
        <v>89.055890410958909</v>
      </c>
      <c r="AY323" s="73"/>
      <c r="AZ323" s="73"/>
      <c r="BA323" s="73"/>
      <c r="BB323" s="73"/>
      <c r="BC323" s="73">
        <f>BC402/365</f>
        <v>102.76219178082191</v>
      </c>
      <c r="BD323" s="73"/>
      <c r="BE323" s="73"/>
      <c r="BF323" s="73"/>
      <c r="BG323" s="73"/>
      <c r="BH323" s="73">
        <f>BH402/365</f>
        <v>115.62082191780821</v>
      </c>
      <c r="BI323" s="73"/>
      <c r="BJ323" s="73"/>
      <c r="BK323" s="73"/>
      <c r="BL323" s="73"/>
      <c r="BM323" s="73">
        <f>BM402/365</f>
        <v>129.8876712328767</v>
      </c>
      <c r="BN323" s="73"/>
      <c r="BO323" s="73"/>
      <c r="BP323" s="73"/>
      <c r="BQ323" s="73"/>
      <c r="BR323" s="73">
        <f>BR402/365</f>
        <v>147.2931506849315</v>
      </c>
      <c r="BS323" s="73">
        <f>BS402/90</f>
        <v>155.86555555555555</v>
      </c>
      <c r="BT323" s="73">
        <f>BT402/90</f>
        <v>171.04</v>
      </c>
      <c r="BU323" s="73">
        <f>BU402/92</f>
        <v>163.21413043478262</v>
      </c>
      <c r="BV323" s="73">
        <f>BV402/92</f>
        <v>158.66413043478261</v>
      </c>
      <c r="BW323" s="73">
        <f>BW402/365</f>
        <v>161.73780821917808</v>
      </c>
      <c r="BX323" s="1446">
        <f>BX402/90</f>
        <v>166.07777777777778</v>
      </c>
      <c r="BY323" s="73">
        <f>BY402/90</f>
        <v>183.05555555555554</v>
      </c>
      <c r="BZ323" s="73">
        <f>BZ402/92</f>
        <v>176.19565217391303</v>
      </c>
      <c r="CA323" s="73">
        <f>CA402/92</f>
        <v>170.68478260869566</v>
      </c>
      <c r="CB323" s="73">
        <f>CB402/365</f>
        <v>173.52054794520549</v>
      </c>
      <c r="CC323" s="1446">
        <f>CC402/90</f>
        <v>181.82222222222222</v>
      </c>
      <c r="CD323" s="73">
        <f>CD402/90</f>
        <v>188.74444444444444</v>
      </c>
      <c r="CE323" s="73">
        <f>CE402/92</f>
        <v>186.94565217391303</v>
      </c>
      <c r="CF323" s="736">
        <f>CF402/92</f>
        <v>183.36956521739131</v>
      </c>
      <c r="CG323" s="777">
        <f>CG402/365</f>
        <v>184.7123287671233</v>
      </c>
      <c r="CH323" s="73">
        <f>CH402/90</f>
        <v>192.71111111111111</v>
      </c>
      <c r="CI323" s="73">
        <f>CI402/90</f>
        <v>205.57777777777778</v>
      </c>
      <c r="CJ323" s="73">
        <f>CJ402/92</f>
        <v>199.68478260869566</v>
      </c>
      <c r="CK323" s="73">
        <f>CK402/92</f>
        <v>195.29347826086956</v>
      </c>
      <c r="CL323" s="777">
        <f>CL402/365</f>
        <v>197.76438356164383</v>
      </c>
      <c r="CM323" s="73">
        <f>CM402/90</f>
        <v>201.74444444444444</v>
      </c>
      <c r="CN323" s="73">
        <f>CN402/90</f>
        <v>207.23333333333332</v>
      </c>
      <c r="CO323" s="73">
        <f>CO402/92</f>
        <v>192.95652173913044</v>
      </c>
      <c r="CP323" s="73">
        <f>CP402/92</f>
        <v>185.57608695652175</v>
      </c>
      <c r="CQ323" s="777">
        <f>CQ402/365</f>
        <v>196.25479452054793</v>
      </c>
      <c r="CR323" s="73">
        <f>CR402/90</f>
        <v>192.4</v>
      </c>
      <c r="CS323" s="73">
        <f>CS402/90</f>
        <v>207.1888888888889</v>
      </c>
      <c r="CT323" s="73">
        <f>CT402/90</f>
        <v>203.47777777777779</v>
      </c>
      <c r="CU323" s="73">
        <f>CU402/90</f>
        <v>199.34444444444443</v>
      </c>
      <c r="CV323" s="777">
        <f>CV402/365</f>
        <v>197.85479452054796</v>
      </c>
      <c r="CW323" s="73">
        <f>CW402/90</f>
        <v>203.65555555555557</v>
      </c>
      <c r="CX323" s="73">
        <f>CX402/90</f>
        <v>217.83333333333334</v>
      </c>
      <c r="CY323" s="73">
        <f>CY402/90</f>
        <v>215.56666666666666</v>
      </c>
      <c r="CZ323" s="73">
        <f>CZ402/90</f>
        <v>211.74444444444444</v>
      </c>
      <c r="DA323" s="777">
        <f>DA402/365</f>
        <v>209.2931506849315</v>
      </c>
      <c r="DB323" s="73">
        <f>DB402/90</f>
        <v>217.26666666666668</v>
      </c>
      <c r="DC323" s="73">
        <f>DC402/90</f>
        <v>295.25555555555553</v>
      </c>
      <c r="DD323" s="73">
        <f>DD402/90</f>
        <v>319.94444444444446</v>
      </c>
      <c r="DE323" s="73">
        <f>DE402/90</f>
        <v>316.9111111111111</v>
      </c>
      <c r="DF323" s="777">
        <f>DF402/365</f>
        <v>283.40821917808222</v>
      </c>
      <c r="DG323" s="73">
        <f>DG402/90</f>
        <v>322.5888888888889</v>
      </c>
      <c r="DH323" s="73">
        <f>DH402/90</f>
        <v>335.37777777777779</v>
      </c>
      <c r="DI323" s="73">
        <f>DI402/90</f>
        <v>327.75555555555553</v>
      </c>
      <c r="DJ323" s="73">
        <f>DJ402/90</f>
        <v>318.17777777777781</v>
      </c>
      <c r="DK323" s="777">
        <f>DK402/365</f>
        <v>321.50958904109586</v>
      </c>
      <c r="DL323" s="73">
        <f>DL402/90</f>
        <v>316.67777777777781</v>
      </c>
      <c r="DM323" s="73">
        <f>DM402/90</f>
        <v>327.17777777777781</v>
      </c>
      <c r="DN323" s="73">
        <f t="shared" ref="DN323:DO323" si="804">DN402/90</f>
        <v>334.64444444444445</v>
      </c>
      <c r="DO323" s="73">
        <f t="shared" si="804"/>
        <v>334.98888888888888</v>
      </c>
      <c r="DP323" s="777">
        <f>DP402/365</f>
        <v>323.87397260273974</v>
      </c>
      <c r="DQ323" s="1446">
        <f t="shared" ref="DQ323" si="805">DQ402/90</f>
        <v>341.55555555555554</v>
      </c>
      <c r="DR323" s="73">
        <f ca="1">DR402/92</f>
        <v>364.85719235603983</v>
      </c>
      <c r="DS323" s="73">
        <f ca="1">DS402/92</f>
        <v>367.89967390695637</v>
      </c>
      <c r="DT323" s="736">
        <f>DT402/92</f>
        <v>361.96720879938539</v>
      </c>
      <c r="DU323" s="777">
        <f ca="1">DU402/365</f>
        <v>360.1496298787373</v>
      </c>
      <c r="DV323" s="1446">
        <f>DV402/92</f>
        <v>361.85041956167044</v>
      </c>
      <c r="DW323" s="73">
        <f ca="1">DW402/92</f>
        <v>373.48800111423481</v>
      </c>
      <c r="DX323" s="73">
        <f ca="1">DX402/92</f>
        <v>373.52101679192288</v>
      </c>
      <c r="DY323" s="736">
        <f>DY402/92</f>
        <v>367.41627449989073</v>
      </c>
      <c r="DZ323" s="777">
        <f ca="1">DZ402/365</f>
        <v>372.10237123569897</v>
      </c>
      <c r="EA323" s="1446">
        <f>EA402/92</f>
        <v>368.35162880590724</v>
      </c>
      <c r="EB323" s="73">
        <f ca="1">EB402/92</f>
        <v>379.99566220420331</v>
      </c>
      <c r="EC323" s="73">
        <f ca="1">EC402/92</f>
        <v>380.36780448999502</v>
      </c>
      <c r="ED323" s="736">
        <f>ED402/92</f>
        <v>374.51201632206619</v>
      </c>
      <c r="EE323" s="777">
        <f ca="1">EE402/365</f>
        <v>378.89560078805425</v>
      </c>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row>
    <row r="324" spans="2:232" s="54" customFormat="1">
      <c r="B324" s="538"/>
      <c r="C324" s="64"/>
      <c r="D324" s="64"/>
      <c r="E324" s="64"/>
      <c r="F324" s="73"/>
      <c r="G324" s="73"/>
      <c r="H324" s="73"/>
      <c r="I324" s="73"/>
      <c r="J324" s="73"/>
      <c r="K324" s="73"/>
      <c r="L324" s="73"/>
      <c r="M324" s="73"/>
      <c r="N324" s="73"/>
      <c r="O324" s="73"/>
      <c r="P324" s="73"/>
      <c r="Q324" s="73"/>
      <c r="R324" s="73"/>
      <c r="S324" s="73"/>
      <c r="T324" s="73"/>
      <c r="U324" s="73"/>
      <c r="V324" s="73"/>
      <c r="W324" s="73"/>
      <c r="X324" s="73"/>
      <c r="Y324" s="73"/>
      <c r="Z324" s="73"/>
      <c r="AA324" s="73"/>
      <c r="AB324" s="73"/>
      <c r="AC324" s="73"/>
      <c r="AD324" s="73"/>
      <c r="AE324" s="73"/>
      <c r="AF324" s="73"/>
      <c r="AG324" s="73"/>
      <c r="AH324" s="73"/>
      <c r="AI324" s="73"/>
      <c r="AJ324" s="73"/>
      <c r="AK324" s="73"/>
      <c r="AL324" s="73"/>
      <c r="AM324" s="73"/>
      <c r="AN324" s="73"/>
      <c r="AO324" s="73"/>
      <c r="AP324" s="73"/>
      <c r="AQ324" s="73"/>
      <c r="AR324" s="73"/>
      <c r="AS324" s="73"/>
      <c r="AT324" s="73"/>
      <c r="AU324" s="73"/>
      <c r="AV324" s="73"/>
      <c r="AW324" s="73"/>
      <c r="AX324" s="73"/>
      <c r="AY324" s="73"/>
      <c r="AZ324" s="73"/>
      <c r="BA324" s="73"/>
      <c r="BB324" s="73"/>
      <c r="BC324" s="73"/>
      <c r="BD324" s="73"/>
      <c r="BE324" s="73"/>
      <c r="BF324" s="73"/>
      <c r="BG324" s="73"/>
      <c r="BH324" s="73"/>
      <c r="BI324" s="73"/>
      <c r="BJ324" s="73"/>
      <c r="BK324" s="73"/>
      <c r="BL324" s="73"/>
      <c r="BM324" s="73"/>
      <c r="BN324" s="73"/>
      <c r="BO324" s="73"/>
      <c r="BP324" s="73"/>
      <c r="BQ324" s="73"/>
      <c r="BR324" s="73"/>
      <c r="BS324" s="73"/>
      <c r="BT324" s="73"/>
      <c r="BU324" s="73"/>
      <c r="BV324" s="73"/>
      <c r="BW324" s="73"/>
      <c r="BX324" s="1446"/>
      <c r="BY324" s="73"/>
      <c r="BZ324" s="73"/>
      <c r="CA324" s="73"/>
      <c r="CB324" s="73"/>
      <c r="CC324" s="1446"/>
      <c r="CD324" s="73"/>
      <c r="CE324" s="73"/>
      <c r="CF324" s="736"/>
      <c r="CG324" s="777"/>
      <c r="CH324" s="73"/>
      <c r="CI324" s="73"/>
      <c r="CJ324" s="73"/>
      <c r="CK324" s="73"/>
      <c r="CL324" s="777"/>
      <c r="CM324" s="73"/>
      <c r="CN324" s="76"/>
      <c r="CO324" s="76"/>
      <c r="CP324" s="76"/>
      <c r="CQ324" s="777"/>
      <c r="CR324" s="73"/>
      <c r="CS324" s="76"/>
      <c r="CT324" s="76"/>
      <c r="CU324" s="76"/>
      <c r="CV324" s="777"/>
      <c r="CW324" s="73"/>
      <c r="CX324" s="76"/>
      <c r="CY324" s="76"/>
      <c r="CZ324" s="76"/>
      <c r="DA324" s="777"/>
      <c r="DB324" s="73"/>
      <c r="DC324" s="76"/>
      <c r="DD324" s="76"/>
      <c r="DE324" s="76"/>
      <c r="DF324" s="777"/>
      <c r="DG324" s="76"/>
      <c r="DH324" s="76"/>
      <c r="DI324" s="76"/>
      <c r="DJ324" s="76"/>
      <c r="DK324" s="807"/>
      <c r="DL324" s="76"/>
      <c r="DM324" s="76"/>
      <c r="DN324" s="76"/>
      <c r="DO324" s="76"/>
      <c r="DP324" s="807"/>
      <c r="DQ324" s="1436"/>
      <c r="DR324" s="76"/>
      <c r="DS324" s="76"/>
      <c r="DT324" s="1437"/>
      <c r="DU324" s="807"/>
      <c r="DV324" s="1436"/>
      <c r="DW324" s="76"/>
      <c r="DX324" s="76"/>
      <c r="DY324" s="1437"/>
      <c r="DZ324" s="807"/>
      <c r="EA324" s="1436"/>
      <c r="EB324" s="76"/>
      <c r="EC324" s="76"/>
      <c r="ED324" s="1437"/>
      <c r="EE324" s="807"/>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row>
    <row r="325" spans="2:232" s="54" customFormat="1">
      <c r="B325" s="538" t="s">
        <v>312</v>
      </c>
      <c r="C325" s="64"/>
      <c r="D325" s="64"/>
      <c r="E325" s="64"/>
      <c r="F325" s="73">
        <f>F204/F327</f>
        <v>69.510391534753921</v>
      </c>
      <c r="G325" s="73">
        <f>G204/G327</f>
        <v>67.917500573198623</v>
      </c>
      <c r="H325" s="73">
        <f>H204/H327</f>
        <v>67.329419524687808</v>
      </c>
      <c r="I325" s="73">
        <f>I204/I327</f>
        <v>69.771101233844647</v>
      </c>
      <c r="J325" s="73">
        <f>J204/J327</f>
        <v>71.126681021570562</v>
      </c>
      <c r="K325" s="73"/>
      <c r="L325" s="73"/>
      <c r="M325" s="73"/>
      <c r="N325" s="73"/>
      <c r="O325" s="73">
        <f>O204/O327</f>
        <v>69.99134494257828</v>
      </c>
      <c r="P325" s="73"/>
      <c r="Q325" s="73"/>
      <c r="R325" s="73"/>
      <c r="S325" s="73"/>
      <c r="T325" s="73">
        <f>T204/T327</f>
        <v>65.432906197259811</v>
      </c>
      <c r="U325" s="73"/>
      <c r="V325" s="73"/>
      <c r="W325" s="73"/>
      <c r="X325" s="73"/>
      <c r="Y325" s="73">
        <f>Y204/Y327</f>
        <v>66.691098936969738</v>
      </c>
      <c r="Z325" s="73"/>
      <c r="AA325" s="73"/>
      <c r="AB325" s="73"/>
      <c r="AC325" s="73"/>
      <c r="AD325" s="73">
        <f>AD204/AD327</f>
        <v>69.256237190451969</v>
      </c>
      <c r="AE325" s="73"/>
      <c r="AF325" s="73"/>
      <c r="AG325" s="73"/>
      <c r="AH325" s="73"/>
      <c r="AI325" s="73">
        <f>AI204/AI327</f>
        <v>66.883864243962122</v>
      </c>
      <c r="AJ325" s="73"/>
      <c r="AK325" s="73"/>
      <c r="AL325" s="73"/>
      <c r="AM325" s="73"/>
      <c r="AN325" s="73">
        <f>AN204/AN327</f>
        <v>70.424014759902263</v>
      </c>
      <c r="AO325" s="73"/>
      <c r="AP325" s="73"/>
      <c r="AQ325" s="73"/>
      <c r="AR325" s="73"/>
      <c r="AS325" s="73">
        <f>AS204/AS327</f>
        <v>63.128282746807997</v>
      </c>
      <c r="AT325" s="73"/>
      <c r="AU325" s="73"/>
      <c r="AV325" s="73"/>
      <c r="AW325" s="73"/>
      <c r="AX325" s="73">
        <f>AX204/AX327</f>
        <v>64.708198699074487</v>
      </c>
      <c r="AY325" s="73"/>
      <c r="AZ325" s="73"/>
      <c r="BA325" s="73"/>
      <c r="BB325" s="73"/>
      <c r="BC325" s="73">
        <f>BC204/BC327</f>
        <v>63.330782412560787</v>
      </c>
      <c r="BD325" s="73"/>
      <c r="BE325" s="73"/>
      <c r="BF325" s="73"/>
      <c r="BG325" s="73"/>
      <c r="BH325" s="73">
        <f>BH204/BH327</f>
        <v>67.118725710039527</v>
      </c>
      <c r="BI325" s="73"/>
      <c r="BJ325" s="73"/>
      <c r="BK325" s="73"/>
      <c r="BL325" s="73"/>
      <c r="BM325" s="73">
        <f>BM204/BM327</f>
        <v>64.49679326176097</v>
      </c>
      <c r="BN325" s="73"/>
      <c r="BO325" s="73"/>
      <c r="BP325" s="73"/>
      <c r="BQ325" s="73"/>
      <c r="BR325" s="73">
        <f t="shared" ref="BR325:CR325" si="806">BR204/BR327</f>
        <v>64.347215984173673</v>
      </c>
      <c r="BS325" s="73">
        <f t="shared" si="806"/>
        <v>67.257346393588605</v>
      </c>
      <c r="BT325" s="73">
        <f t="shared" si="806"/>
        <v>60.216672753834921</v>
      </c>
      <c r="BU325" s="73">
        <f t="shared" si="806"/>
        <v>60.340724233983288</v>
      </c>
      <c r="BV325" s="73">
        <f t="shared" si="806"/>
        <v>63.139218934911241</v>
      </c>
      <c r="BW325" s="73">
        <f t="shared" si="806"/>
        <v>62.415460646591889</v>
      </c>
      <c r="BX325" s="1446">
        <f t="shared" si="806"/>
        <v>69.175620600222302</v>
      </c>
      <c r="BY325" s="73">
        <f t="shared" si="806"/>
        <v>57.75596547639195</v>
      </c>
      <c r="BZ325" s="73">
        <f t="shared" si="806"/>
        <v>53.950472300229769</v>
      </c>
      <c r="CA325" s="73">
        <f t="shared" si="806"/>
        <v>54.998291802412609</v>
      </c>
      <c r="CB325" s="73">
        <f t="shared" si="806"/>
        <v>54.199171077380697</v>
      </c>
      <c r="CC325" s="1446">
        <f t="shared" si="806"/>
        <v>56.879756468797559</v>
      </c>
      <c r="CD325" s="73">
        <f t="shared" si="806"/>
        <v>53.598014888337467</v>
      </c>
      <c r="CE325" s="73">
        <f t="shared" si="806"/>
        <v>52.539759036144574</v>
      </c>
      <c r="CF325" s="736">
        <f t="shared" si="806"/>
        <v>56.199370756747804</v>
      </c>
      <c r="CG325" s="777">
        <f t="shared" si="806"/>
        <v>55.589340269176788</v>
      </c>
      <c r="CH325" s="73">
        <f t="shared" si="806"/>
        <v>57.408661988870065</v>
      </c>
      <c r="CI325" s="73">
        <f t="shared" si="806"/>
        <v>51.952496585217787</v>
      </c>
      <c r="CJ325" s="73">
        <f t="shared" si="806"/>
        <v>52.567451010062797</v>
      </c>
      <c r="CK325" s="73">
        <f t="shared" si="806"/>
        <v>57.376957667855486</v>
      </c>
      <c r="CL325" s="777">
        <f t="shared" si="806"/>
        <v>56.799117851891978</v>
      </c>
      <c r="CM325" s="73">
        <f t="shared" si="806"/>
        <v>56.752470696391633</v>
      </c>
      <c r="CN325" s="73">
        <f t="shared" si="806"/>
        <v>49.858995626602322</v>
      </c>
      <c r="CO325" s="73">
        <f t="shared" si="806"/>
        <v>50.586277280577796</v>
      </c>
      <c r="CP325" s="73">
        <f t="shared" si="806"/>
        <v>52.89361006700441</v>
      </c>
      <c r="CQ325" s="777">
        <f t="shared" si="806"/>
        <v>50.069992786258794</v>
      </c>
      <c r="CR325" s="73">
        <f t="shared" si="806"/>
        <v>57.615617582057787</v>
      </c>
      <c r="CS325" s="73">
        <f t="shared" ref="CS325:CX325" si="807">CS204/CS327</f>
        <v>50.059049079754601</v>
      </c>
      <c r="CT325" s="73">
        <f t="shared" si="807"/>
        <v>48.357803070812011</v>
      </c>
      <c r="CU325" s="73">
        <f t="shared" si="807"/>
        <v>49.441882352941178</v>
      </c>
      <c r="CV325" s="777">
        <f t="shared" si="807"/>
        <v>48.944772789541666</v>
      </c>
      <c r="CW325" s="73">
        <f t="shared" si="807"/>
        <v>52.789709342035373</v>
      </c>
      <c r="CX325" s="73">
        <f t="shared" si="807"/>
        <v>46.51881046219993</v>
      </c>
      <c r="CY325" s="73">
        <f t="shared" ref="CY325:DE325" si="808">CY204/CY327</f>
        <v>41.50920421173268</v>
      </c>
      <c r="CZ325" s="73">
        <f t="shared" si="808"/>
        <v>39.828113619810637</v>
      </c>
      <c r="DA325" s="777">
        <f t="shared" si="808"/>
        <v>40.452729693741681</v>
      </c>
      <c r="DB325" s="73">
        <f t="shared" si="808"/>
        <v>41.143217842614675</v>
      </c>
      <c r="DC325" s="73">
        <f t="shared" si="808"/>
        <v>42.86780762785029</v>
      </c>
      <c r="DD325" s="73">
        <f t="shared" si="808"/>
        <v>37.006662287698227</v>
      </c>
      <c r="DE325" s="73">
        <f t="shared" si="808"/>
        <v>36.74177917862351</v>
      </c>
      <c r="DF325" s="777">
        <f t="shared" ref="DF325:DU325" si="809">DE325</f>
        <v>36.74177917862351</v>
      </c>
      <c r="DG325" s="1549">
        <f t="shared" ref="DG325:DH325" si="810">DG204/DG327</f>
        <v>41.315312804793095</v>
      </c>
      <c r="DH325" s="1549">
        <f t="shared" si="810"/>
        <v>36.522032374100718</v>
      </c>
      <c r="DI325" s="1549">
        <f t="shared" ref="DI325:DJ325" si="811">DI204/DI327</f>
        <v>36.534248443252579</v>
      </c>
      <c r="DJ325" s="1549">
        <f t="shared" si="811"/>
        <v>37.523392765699924</v>
      </c>
      <c r="DK325" s="1962">
        <f t="shared" si="809"/>
        <v>37.523392765699924</v>
      </c>
      <c r="DL325" s="1549">
        <f t="shared" ref="DL325:DM325" si="812">DL204/DL327</f>
        <v>42.249707739069443</v>
      </c>
      <c r="DM325" s="1549">
        <f t="shared" si="812"/>
        <v>37.957505140507202</v>
      </c>
      <c r="DN325" s="1549">
        <f t="shared" ref="DN325:DO325" si="813">DN204/DN327</f>
        <v>34.009054106995166</v>
      </c>
      <c r="DO325" s="1549">
        <f t="shared" si="813"/>
        <v>35.113770879915819</v>
      </c>
      <c r="DP325" s="1377">
        <f t="shared" si="809"/>
        <v>35.113770879915819</v>
      </c>
      <c r="DQ325" s="1752">
        <f t="shared" ref="DQ325" si="814">DQ204/DQ327</f>
        <v>38.501645369460235</v>
      </c>
      <c r="DR325" s="192">
        <f>DM325-1</f>
        <v>36.957505140507202</v>
      </c>
      <c r="DS325" s="192">
        <f>DN325-1</f>
        <v>33.009054106995166</v>
      </c>
      <c r="DT325" s="1753">
        <f>DO325-1</f>
        <v>34.113770879915819</v>
      </c>
      <c r="DU325" s="1377">
        <f t="shared" si="809"/>
        <v>34.113770879915819</v>
      </c>
      <c r="DV325" s="1752">
        <f>DQ325-1</f>
        <v>37.501645369460235</v>
      </c>
      <c r="DW325" s="192">
        <f>DR325-1</f>
        <v>35.957505140507202</v>
      </c>
      <c r="DX325" s="192">
        <f>DS325-1</f>
        <v>32.009054106995166</v>
      </c>
      <c r="DY325" s="1753">
        <f>DT325-1</f>
        <v>33.113770879915819</v>
      </c>
      <c r="DZ325" s="1377">
        <f t="shared" ref="DZ325" si="815">DY325</f>
        <v>33.113770879915819</v>
      </c>
      <c r="EA325" s="1752">
        <f>DV325-1</f>
        <v>36.501645369460235</v>
      </c>
      <c r="EB325" s="192">
        <f>DW325-1</f>
        <v>34.957505140507202</v>
      </c>
      <c r="EC325" s="192">
        <f>DX325-1</f>
        <v>31.009054106995166</v>
      </c>
      <c r="ED325" s="1753">
        <f>DY325-1</f>
        <v>32.113770879915819</v>
      </c>
      <c r="EE325" s="1377">
        <f t="shared" ref="EE325" si="816">ED325</f>
        <v>32.113770879915819</v>
      </c>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row>
    <row r="326" spans="2:232" s="54" customFormat="1">
      <c r="B326" s="693" t="s">
        <v>313</v>
      </c>
      <c r="C326" s="64"/>
      <c r="D326" s="64"/>
      <c r="E326" s="64"/>
      <c r="F326" s="73">
        <f>F220/F327</f>
        <v>27.860710334611429</v>
      </c>
      <c r="G326" s="73">
        <f>G220/G327</f>
        <v>28.124502486980198</v>
      </c>
      <c r="H326" s="73">
        <f>H220/H327</f>
        <v>26.289943264752736</v>
      </c>
      <c r="I326" s="73">
        <f>I220/I327</f>
        <v>29.424694534598839</v>
      </c>
      <c r="J326" s="73">
        <f>J220/J327</f>
        <v>29.659562932716248</v>
      </c>
      <c r="K326" s="73"/>
      <c r="L326" s="73"/>
      <c r="M326" s="73"/>
      <c r="N326" s="73"/>
      <c r="O326" s="73">
        <f>O220/O327</f>
        <v>29.671141893004169</v>
      </c>
      <c r="P326" s="73"/>
      <c r="Q326" s="73"/>
      <c r="R326" s="73"/>
      <c r="S326" s="73"/>
      <c r="T326" s="73">
        <f>T220/T327</f>
        <v>30.691021720579094</v>
      </c>
      <c r="U326" s="73"/>
      <c r="V326" s="73"/>
      <c r="W326" s="73"/>
      <c r="X326" s="73"/>
      <c r="Y326" s="73">
        <f>Y220/Y327</f>
        <v>29.839392473265132</v>
      </c>
      <c r="Z326" s="73"/>
      <c r="AA326" s="73"/>
      <c r="AB326" s="73"/>
      <c r="AC326" s="73"/>
      <c r="AD326" s="73">
        <f>AD220/AD327</f>
        <v>31.78767355492888</v>
      </c>
      <c r="AE326" s="73"/>
      <c r="AF326" s="73"/>
      <c r="AG326" s="73"/>
      <c r="AH326" s="73"/>
      <c r="AI326" s="73">
        <f>AI220/AI327</f>
        <v>32.227494287397313</v>
      </c>
      <c r="AJ326" s="73"/>
      <c r="AK326" s="73"/>
      <c r="AL326" s="73"/>
      <c r="AM326" s="73"/>
      <c r="AN326" s="73">
        <f>AN220/AN327</f>
        <v>31.280687465718128</v>
      </c>
      <c r="AO326" s="73"/>
      <c r="AP326" s="73"/>
      <c r="AQ326" s="73"/>
      <c r="AR326" s="73"/>
      <c r="AS326" s="73">
        <f>AS220/AS327</f>
        <v>31.803132458092346</v>
      </c>
      <c r="AT326" s="73"/>
      <c r="AU326" s="73"/>
      <c r="AV326" s="73"/>
      <c r="AW326" s="73"/>
      <c r="AX326" s="73">
        <f>AX220/AX327</f>
        <v>37.072453619728172</v>
      </c>
      <c r="AY326" s="73"/>
      <c r="AZ326" s="73"/>
      <c r="BA326" s="73"/>
      <c r="BB326" s="73"/>
      <c r="BC326" s="73">
        <f>BC220/BC327</f>
        <v>35.303309362001293</v>
      </c>
      <c r="BD326" s="73"/>
      <c r="BE326" s="73"/>
      <c r="BF326" s="73"/>
      <c r="BG326" s="73"/>
      <c r="BH326" s="73">
        <f>BH220/BH327</f>
        <v>35.021700675351319</v>
      </c>
      <c r="BI326" s="73"/>
      <c r="BJ326" s="73"/>
      <c r="BK326" s="73"/>
      <c r="BL326" s="73"/>
      <c r="BM326" s="73">
        <f>BM220/BM327</f>
        <v>43.057557738811468</v>
      </c>
      <c r="BN326" s="73"/>
      <c r="BO326" s="73"/>
      <c r="BP326" s="73"/>
      <c r="BQ326" s="73"/>
      <c r="BR326" s="73">
        <f t="shared" ref="BR326:CR326" si="817">BR220/BR327</f>
        <v>35.376991596158689</v>
      </c>
      <c r="BS326" s="73">
        <f t="shared" si="817"/>
        <v>36.571682991985753</v>
      </c>
      <c r="BT326" s="73">
        <f t="shared" si="817"/>
        <v>34.393444119795475</v>
      </c>
      <c r="BU326" s="73">
        <f t="shared" si="817"/>
        <v>35.649359331476326</v>
      </c>
      <c r="BV326" s="73">
        <f t="shared" si="817"/>
        <v>37.360927810650885</v>
      </c>
      <c r="BW326" s="73">
        <f t="shared" si="817"/>
        <v>36.932663387707443</v>
      </c>
      <c r="BX326" s="1446">
        <f t="shared" si="817"/>
        <v>41.898851426454243</v>
      </c>
      <c r="BY326" s="73">
        <f t="shared" si="817"/>
        <v>37.574885767473347</v>
      </c>
      <c r="BZ326" s="73">
        <f t="shared" si="817"/>
        <v>36.006127138115907</v>
      </c>
      <c r="CA326" s="73">
        <f t="shared" si="817"/>
        <v>34.897948401866692</v>
      </c>
      <c r="CB326" s="73">
        <f t="shared" si="817"/>
        <v>34.390884038318532</v>
      </c>
      <c r="CC326" s="1446">
        <f t="shared" si="817"/>
        <v>38.378995433789953</v>
      </c>
      <c r="CD326" s="73">
        <f t="shared" si="817"/>
        <v>34.325062034739453</v>
      </c>
      <c r="CE326" s="73">
        <f t="shared" si="817"/>
        <v>33.873734939759032</v>
      </c>
      <c r="CF326" s="736">
        <f t="shared" si="817"/>
        <v>34.924656400066233</v>
      </c>
      <c r="CG326" s="777">
        <f t="shared" si="817"/>
        <v>34.54555775741062</v>
      </c>
      <c r="CH326" s="73">
        <f t="shared" si="817"/>
        <v>35.966610210500846</v>
      </c>
      <c r="CI326" s="73">
        <f t="shared" si="817"/>
        <v>33.396570040977387</v>
      </c>
      <c r="CJ326" s="73">
        <f t="shared" si="817"/>
        <v>34.908072936369827</v>
      </c>
      <c r="CK326" s="73">
        <f t="shared" si="817"/>
        <v>34.309195224065746</v>
      </c>
      <c r="CL326" s="777">
        <f t="shared" si="817"/>
        <v>33.96366942660373</v>
      </c>
      <c r="CM326" s="73">
        <f t="shared" si="817"/>
        <v>32.944150769937949</v>
      </c>
      <c r="CN326" s="73">
        <f t="shared" si="817"/>
        <v>28.522847232694918</v>
      </c>
      <c r="CO326" s="73">
        <f t="shared" si="817"/>
        <v>32.017271157167528</v>
      </c>
      <c r="CP326" s="73">
        <f t="shared" si="817"/>
        <v>32.957019120771371</v>
      </c>
      <c r="CQ326" s="777">
        <f t="shared" si="817"/>
        <v>31.197676005537033</v>
      </c>
      <c r="CR326" s="73">
        <f t="shared" si="817"/>
        <v>35.515265613489404</v>
      </c>
      <c r="CS326" s="73">
        <f t="shared" ref="CS326:CX326" si="818">CS220/CS327</f>
        <v>30.285276073619631</v>
      </c>
      <c r="CT326" s="73">
        <f t="shared" si="818"/>
        <v>31.835612252692691</v>
      </c>
      <c r="CU326" s="73">
        <f t="shared" si="818"/>
        <v>33.444705882352942</v>
      </c>
      <c r="CV326" s="777">
        <f t="shared" si="818"/>
        <v>33.108438686445652</v>
      </c>
      <c r="CW326" s="73">
        <f t="shared" si="818"/>
        <v>32.524853912119603</v>
      </c>
      <c r="CX326" s="73">
        <f t="shared" si="818"/>
        <v>28.944464349695451</v>
      </c>
      <c r="CY326" s="73">
        <f t="shared" ref="CY326:DE326" si="819">CY220/CY327</f>
        <v>27.301052933170975</v>
      </c>
      <c r="CZ326" s="73">
        <f t="shared" si="819"/>
        <v>28.284777858703571</v>
      </c>
      <c r="DA326" s="777">
        <f t="shared" si="819"/>
        <v>28.728362183754996</v>
      </c>
      <c r="DB326" s="73">
        <f t="shared" si="819"/>
        <v>32.754243231869829</v>
      </c>
      <c r="DC326" s="73">
        <f t="shared" si="819"/>
        <v>47.045350667817786</v>
      </c>
      <c r="DD326" s="73">
        <f t="shared" si="819"/>
        <v>41.938631885145917</v>
      </c>
      <c r="DE326" s="73">
        <f t="shared" si="819"/>
        <v>42.711577362751093</v>
      </c>
      <c r="DF326" s="777">
        <f>DE326</f>
        <v>42.711577362751093</v>
      </c>
      <c r="DG326" s="1834">
        <f t="shared" ref="DG326:DH326" si="820">DG220/DG327</f>
        <v>44.487947610422182</v>
      </c>
      <c r="DH326" s="1834">
        <f t="shared" si="820"/>
        <v>39.953687050359711</v>
      </c>
      <c r="DI326" s="1834">
        <f t="shared" ref="DI326:DJ326" si="821">DI220/DI327</f>
        <v>42.285805190673152</v>
      </c>
      <c r="DJ326" s="1834">
        <f t="shared" si="821"/>
        <v>46.087239886411247</v>
      </c>
      <c r="DK326" s="2051">
        <f>DJ326</f>
        <v>46.087239886411247</v>
      </c>
      <c r="DL326" s="1834">
        <f t="shared" ref="DL326:DM326" si="822">DL220/DL327</f>
        <v>47.859714753331772</v>
      </c>
      <c r="DM326" s="1834">
        <f t="shared" si="822"/>
        <v>46.322138450993833</v>
      </c>
      <c r="DN326" s="1834">
        <f t="shared" ref="DN326:DO326" si="823">DN220/DN327</f>
        <v>45.162582161668041</v>
      </c>
      <c r="DO326" s="1834">
        <f t="shared" si="823"/>
        <v>49.298960936472447</v>
      </c>
      <c r="DP326" s="1427">
        <f>DO326</f>
        <v>49.298960936472447</v>
      </c>
      <c r="DQ326" s="1856">
        <f t="shared" ref="DQ326" si="824">DQ220/DQ327</f>
        <v>52.19453822812941</v>
      </c>
      <c r="DR326" s="1347">
        <f t="shared" ref="DR326" si="825">DM326</f>
        <v>46.322138450993833</v>
      </c>
      <c r="DS326" s="1347">
        <f t="shared" ref="DS326" si="826">DN326</f>
        <v>45.162582161668041</v>
      </c>
      <c r="DT326" s="1857">
        <f t="shared" ref="DT326" si="827">DO326</f>
        <v>49.298960936472447</v>
      </c>
      <c r="DU326" s="1427">
        <f>DT326</f>
        <v>49.298960936472447</v>
      </c>
      <c r="DV326" s="1856">
        <f>DQ326</f>
        <v>52.19453822812941</v>
      </c>
      <c r="DW326" s="1347">
        <f t="shared" ref="DW326" si="828">DR326</f>
        <v>46.322138450993833</v>
      </c>
      <c r="DX326" s="1347">
        <f t="shared" ref="DX326" si="829">DS326</f>
        <v>45.162582161668041</v>
      </c>
      <c r="DY326" s="1857">
        <f t="shared" ref="DY326" si="830">DT326</f>
        <v>49.298960936472447</v>
      </c>
      <c r="DZ326" s="1427">
        <f>DY326</f>
        <v>49.298960936472447</v>
      </c>
      <c r="EA326" s="1856">
        <f>DV326</f>
        <v>52.19453822812941</v>
      </c>
      <c r="EB326" s="1347">
        <f t="shared" ref="EB326" si="831">DW326</f>
        <v>46.322138450993833</v>
      </c>
      <c r="EC326" s="1347">
        <f t="shared" ref="EC326" si="832">DX326</f>
        <v>45.162582161668041</v>
      </c>
      <c r="ED326" s="1857">
        <v>48</v>
      </c>
      <c r="EE326" s="1427">
        <f>ED326</f>
        <v>48</v>
      </c>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row>
    <row r="327" spans="2:232" s="54" customFormat="1">
      <c r="B327" s="549" t="s">
        <v>168</v>
      </c>
      <c r="C327" s="64"/>
      <c r="D327" s="64"/>
      <c r="E327" s="64"/>
      <c r="F327" s="73">
        <f>F403/365</f>
        <v>13.120268493150686</v>
      </c>
      <c r="G327" s="73">
        <f>G403/365</f>
        <v>14.637876712328769</v>
      </c>
      <c r="H327" s="73">
        <f>H403/365</f>
        <v>16.248989041095893</v>
      </c>
      <c r="I327" s="73">
        <f>I403/365</f>
        <v>18.107783561643835</v>
      </c>
      <c r="J327" s="73">
        <f>J403/365</f>
        <v>20.440726027397261</v>
      </c>
      <c r="K327" s="73"/>
      <c r="L327" s="73"/>
      <c r="M327" s="73"/>
      <c r="N327" s="73"/>
      <c r="O327" s="73">
        <f>O403/365</f>
        <v>23.316797260273976</v>
      </c>
      <c r="P327" s="73"/>
      <c r="Q327" s="73"/>
      <c r="R327" s="73"/>
      <c r="S327" s="73"/>
      <c r="T327" s="73">
        <f>T403/365</f>
        <v>26.480284931506848</v>
      </c>
      <c r="U327" s="73"/>
      <c r="V327" s="73"/>
      <c r="W327" s="73"/>
      <c r="X327" s="73"/>
      <c r="Y327" s="73">
        <f>Y403/365</f>
        <v>30.391536986301372</v>
      </c>
      <c r="Z327" s="73"/>
      <c r="AA327" s="73"/>
      <c r="AB327" s="73"/>
      <c r="AC327" s="73"/>
      <c r="AD327" s="73">
        <f>AD403/365</f>
        <v>35.557808219178085</v>
      </c>
      <c r="AE327" s="73"/>
      <c r="AF327" s="73"/>
      <c r="AG327" s="73"/>
      <c r="AH327" s="73"/>
      <c r="AI327" s="73">
        <f>AI403/365</f>
        <v>42.3241095890411</v>
      </c>
      <c r="AJ327" s="73"/>
      <c r="AK327" s="73"/>
      <c r="AL327" s="73"/>
      <c r="AM327" s="73"/>
      <c r="AN327" s="73">
        <f>AN403/365</f>
        <v>49.449041095890415</v>
      </c>
      <c r="AO327" s="73"/>
      <c r="AP327" s="73"/>
      <c r="AQ327" s="73"/>
      <c r="AR327" s="73"/>
      <c r="AS327" s="73">
        <f>AS403/365</f>
        <v>57.742739726027395</v>
      </c>
      <c r="AT327" s="73"/>
      <c r="AU327" s="73"/>
      <c r="AV327" s="73"/>
      <c r="AW327" s="73"/>
      <c r="AX327" s="73">
        <f>AX403/365</f>
        <v>64.948493150684939</v>
      </c>
      <c r="AY327" s="73"/>
      <c r="AZ327" s="73"/>
      <c r="BA327" s="73"/>
      <c r="BB327" s="73"/>
      <c r="BC327" s="73">
        <f>BC403/365</f>
        <v>74.823013698630135</v>
      </c>
      <c r="BD327" s="73"/>
      <c r="BE327" s="73"/>
      <c r="BF327" s="73"/>
      <c r="BG327" s="73"/>
      <c r="BH327" s="73">
        <f>BH403/365</f>
        <v>83.325479452054793</v>
      </c>
      <c r="BI327" s="73"/>
      <c r="BJ327" s="73"/>
      <c r="BK327" s="73"/>
      <c r="BL327" s="73"/>
      <c r="BM327" s="73">
        <f>BM403/365</f>
        <v>93.809315068493135</v>
      </c>
      <c r="BN327" s="73"/>
      <c r="BO327" s="73"/>
      <c r="BP327" s="73"/>
      <c r="BQ327" s="73"/>
      <c r="BR327" s="73">
        <f>BR403/365</f>
        <v>105.52904109589042</v>
      </c>
      <c r="BS327" s="73">
        <f>BS403/90</f>
        <v>112.3</v>
      </c>
      <c r="BT327" s="73">
        <f>BT403/90</f>
        <v>121.68888888888888</v>
      </c>
      <c r="BU327" s="73">
        <f>BU403/92</f>
        <v>117.06521739130434</v>
      </c>
      <c r="BV327" s="73">
        <f>BV403/92</f>
        <v>114.80978260869566</v>
      </c>
      <c r="BW327" s="73">
        <f>BW403/365</f>
        <v>116.14109589041095</v>
      </c>
      <c r="BX327" s="1446">
        <f>BX403/90</f>
        <v>119.95555555555555</v>
      </c>
      <c r="BY327" s="73">
        <f>BY403/90</f>
        <v>131.3111111111111</v>
      </c>
      <c r="BZ327" s="73">
        <f>BZ403/92</f>
        <v>127.72826086956522</v>
      </c>
      <c r="CA327" s="73">
        <f>CA403/92</f>
        <v>123.44565217391305</v>
      </c>
      <c r="CB327" s="73">
        <f>CB403/365</f>
        <v>125.26575342465753</v>
      </c>
      <c r="CC327" s="1446">
        <f>CC403/90</f>
        <v>131.4</v>
      </c>
      <c r="CD327" s="73">
        <f>CD403/90</f>
        <v>134.33333333333334</v>
      </c>
      <c r="CE327" s="73">
        <f>CE403/92</f>
        <v>135.32608695652175</v>
      </c>
      <c r="CF327" s="736">
        <f>CF403/92</f>
        <v>131.28260869565219</v>
      </c>
      <c r="CG327" s="777">
        <f>CG403/365</f>
        <v>132.72328767123287</v>
      </c>
      <c r="CH327" s="73">
        <f>CH403/90</f>
        <v>137.76666666666668</v>
      </c>
      <c r="CI327" s="73">
        <f>CI403/90</f>
        <v>146.42222222222222</v>
      </c>
      <c r="CJ327" s="73">
        <f>CJ403/92</f>
        <v>143.66304347826087</v>
      </c>
      <c r="CK327" s="73">
        <f>CK403/92</f>
        <v>140.19565217391303</v>
      </c>
      <c r="CL327" s="777">
        <f>CL403/365</f>
        <v>141.62191780821917</v>
      </c>
      <c r="CM327" s="73">
        <f>CM403/90</f>
        <v>145.03333333333333</v>
      </c>
      <c r="CN327" s="73">
        <f>CN403/90</f>
        <v>147.35555555555555</v>
      </c>
      <c r="CO327" s="73">
        <f>CO403/92</f>
        <v>138.45652173913044</v>
      </c>
      <c r="CP327" s="73">
        <f>CP403/92</f>
        <v>133.02173913043478</v>
      </c>
      <c r="CQ327" s="777">
        <f>CQ403/365</f>
        <v>140.52328767123288</v>
      </c>
      <c r="CR327" s="73">
        <f>CR403/90</f>
        <v>135.74444444444444</v>
      </c>
      <c r="CS327" s="73">
        <f>CS403/90</f>
        <v>144.88888888888889</v>
      </c>
      <c r="CT327" s="73">
        <f>CT403/92</f>
        <v>142.29347826086956</v>
      </c>
      <c r="CU327" s="73">
        <f>CU403/92</f>
        <v>138.58695652173913</v>
      </c>
      <c r="CV327" s="777">
        <f>CV403/365</f>
        <v>139.9945205479452</v>
      </c>
      <c r="CW327" s="73">
        <f>CW403/90</f>
        <v>146.4111111111111</v>
      </c>
      <c r="CX327" s="73">
        <f>CX403/90</f>
        <v>155.05555555555554</v>
      </c>
      <c r="CY327" s="73">
        <f>CY403/90</f>
        <v>155.12222222222223</v>
      </c>
      <c r="CZ327" s="73">
        <f>CZ403/90</f>
        <v>152.55555555555554</v>
      </c>
      <c r="DA327" s="777">
        <f>DA403/365</f>
        <v>150.19999999999999</v>
      </c>
      <c r="DB327" s="73">
        <f>DB403/90</f>
        <v>158.42222222222222</v>
      </c>
      <c r="DC327" s="73">
        <f>DC403/90</f>
        <v>218.78888888888889</v>
      </c>
      <c r="DD327" s="73">
        <f>DD403/90</f>
        <v>236.82222222222222</v>
      </c>
      <c r="DE327" s="73">
        <f>DE403/90</f>
        <v>236.1888888888889</v>
      </c>
      <c r="DF327" s="777">
        <f>DF403/365</f>
        <v>209.64383561643837</v>
      </c>
      <c r="DG327" s="73">
        <f>DG403/90</f>
        <v>239.23333333333332</v>
      </c>
      <c r="DH327" s="73">
        <f>DH403/90</f>
        <v>247.11111111111111</v>
      </c>
      <c r="DI327" s="73">
        <f>DI403/90</f>
        <v>244.45555555555555</v>
      </c>
      <c r="DJ327" s="73">
        <f>DJ403/90</f>
        <v>238.67777777777778</v>
      </c>
      <c r="DK327" s="777">
        <f>DK403/365</f>
        <v>239.04931506849314</v>
      </c>
      <c r="DL327" s="73">
        <f>DL403/90</f>
        <v>237.61111111111111</v>
      </c>
      <c r="DM327" s="73">
        <f>DM403/90</f>
        <v>243.16666666666666</v>
      </c>
      <c r="DN327" s="73">
        <f t="shared" ref="DN327:DO327" si="833">DN403/90</f>
        <v>255.25555555555556</v>
      </c>
      <c r="DO327" s="73">
        <f t="shared" si="833"/>
        <v>253.43333333333334</v>
      </c>
      <c r="DP327" s="777">
        <f>DP403/365</f>
        <v>243.97808219178083</v>
      </c>
      <c r="DQ327" s="1446">
        <f t="shared" ref="DQ327" si="834">DQ403/90</f>
        <v>259.98888888888888</v>
      </c>
      <c r="DR327" s="73">
        <f ca="1">DR403/92</f>
        <v>274.66328990666386</v>
      </c>
      <c r="DS327" s="73">
        <f ca="1">DS403/92</f>
        <v>279.50506854234516</v>
      </c>
      <c r="DT327" s="736">
        <f>DT403/92</f>
        <v>274.646728695013</v>
      </c>
      <c r="DU327" s="777">
        <f ca="1">DU403/365</f>
        <v>273.01366580068503</v>
      </c>
      <c r="DV327" s="1446">
        <f>DV403/92</f>
        <v>275.69196607480217</v>
      </c>
      <c r="DW327" s="73">
        <f ca="1">DW403/92</f>
        <v>280.88902043908848</v>
      </c>
      <c r="DX327" s="73">
        <f ca="1">DX403/92</f>
        <v>282.94736013664311</v>
      </c>
      <c r="DY327" s="736">
        <f>DY403/92</f>
        <v>277.87705228834415</v>
      </c>
      <c r="DZ327" s="777">
        <f ca="1">DZ403/365</f>
        <v>281.64738822568978</v>
      </c>
      <c r="EA327" s="1446">
        <f>EA403/92</f>
        <v>280.12582463960473</v>
      </c>
      <c r="EB327" s="73">
        <f ca="1">EB403/92</f>
        <v>285.49590832466652</v>
      </c>
      <c r="EC327" s="73">
        <f ca="1">EC403/92</f>
        <v>287.75768455409525</v>
      </c>
      <c r="ED327" s="736">
        <f>ED403/92</f>
        <v>282.93481560420844</v>
      </c>
      <c r="EE327" s="777">
        <f ca="1">EE403/365</f>
        <v>286.41345054048458</v>
      </c>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row>
    <row r="328" spans="2:232" s="54" customFormat="1">
      <c r="B328" s="693"/>
      <c r="C328" s="64"/>
      <c r="D328" s="64"/>
      <c r="E328" s="64"/>
      <c r="F328" s="73"/>
      <c r="G328" s="73"/>
      <c r="H328" s="73"/>
      <c r="I328" s="73"/>
      <c r="J328" s="73"/>
      <c r="K328" s="73"/>
      <c r="L328" s="73"/>
      <c r="M328" s="73"/>
      <c r="N328" s="73"/>
      <c r="O328" s="73"/>
      <c r="P328" s="73"/>
      <c r="Q328" s="73"/>
      <c r="R328" s="73"/>
      <c r="S328" s="73"/>
      <c r="T328" s="73"/>
      <c r="U328" s="73"/>
      <c r="V328" s="73"/>
      <c r="W328" s="73"/>
      <c r="X328" s="73"/>
      <c r="Y328" s="73"/>
      <c r="Z328" s="73"/>
      <c r="AA328" s="73"/>
      <c r="AB328" s="73"/>
      <c r="AC328" s="73"/>
      <c r="AD328" s="73"/>
      <c r="AE328" s="73"/>
      <c r="AF328" s="73"/>
      <c r="AG328" s="73"/>
      <c r="AH328" s="73"/>
      <c r="AI328" s="73"/>
      <c r="AJ328" s="73"/>
      <c r="AK328" s="73"/>
      <c r="AL328" s="73"/>
      <c r="AM328" s="73"/>
      <c r="AN328" s="73"/>
      <c r="AO328" s="73"/>
      <c r="AP328" s="73"/>
      <c r="AQ328" s="73"/>
      <c r="AR328" s="73"/>
      <c r="AS328" s="73"/>
      <c r="AT328" s="73"/>
      <c r="AU328" s="73"/>
      <c r="AV328" s="73"/>
      <c r="AW328" s="73"/>
      <c r="AX328" s="73"/>
      <c r="AY328" s="73"/>
      <c r="AZ328" s="73"/>
      <c r="BA328" s="73"/>
      <c r="BB328" s="73"/>
      <c r="BC328" s="73"/>
      <c r="BD328" s="73"/>
      <c r="BE328" s="73"/>
      <c r="BF328" s="73"/>
      <c r="BG328" s="73"/>
      <c r="BH328" s="73"/>
      <c r="BI328" s="73"/>
      <c r="BJ328" s="73"/>
      <c r="BK328" s="73"/>
      <c r="BL328" s="73"/>
      <c r="BM328" s="73"/>
      <c r="BN328" s="73"/>
      <c r="BO328" s="73"/>
      <c r="BP328" s="73"/>
      <c r="BQ328" s="73"/>
      <c r="BR328" s="73"/>
      <c r="BS328" s="73"/>
      <c r="BT328" s="73"/>
      <c r="BU328" s="73"/>
      <c r="BV328" s="73"/>
      <c r="BW328" s="73"/>
      <c r="BX328" s="1446"/>
      <c r="BY328" s="73"/>
      <c r="BZ328" s="73"/>
      <c r="CA328" s="73"/>
      <c r="CB328" s="73"/>
      <c r="CC328" s="1446"/>
      <c r="CD328" s="73"/>
      <c r="CE328" s="73"/>
      <c r="CF328" s="736"/>
      <c r="CG328" s="777"/>
      <c r="CH328" s="73"/>
      <c r="CI328" s="73"/>
      <c r="CJ328" s="73"/>
      <c r="CK328" s="73"/>
      <c r="CL328" s="777"/>
      <c r="CM328" s="73"/>
      <c r="CN328" s="76"/>
      <c r="CO328" s="76"/>
      <c r="CP328" s="76"/>
      <c r="CQ328" s="777"/>
      <c r="CR328" s="73"/>
      <c r="CS328" s="76"/>
      <c r="CT328" s="76"/>
      <c r="CU328" s="76"/>
      <c r="CV328" s="777"/>
      <c r="CW328" s="73"/>
      <c r="CX328" s="76"/>
      <c r="CY328" s="76"/>
      <c r="CZ328" s="76"/>
      <c r="DA328" s="777"/>
      <c r="DB328" s="73"/>
      <c r="DC328" s="76"/>
      <c r="DD328" s="76"/>
      <c r="DE328" s="76"/>
      <c r="DF328" s="777"/>
      <c r="DG328" s="76"/>
      <c r="DH328" s="76"/>
      <c r="DI328" s="76"/>
      <c r="DJ328" s="76"/>
      <c r="DK328" s="807"/>
      <c r="DL328" s="76"/>
      <c r="DM328" s="76"/>
      <c r="DN328" s="76"/>
      <c r="DO328" s="76"/>
      <c r="DP328" s="807"/>
      <c r="DQ328" s="1436"/>
      <c r="DR328" s="76"/>
      <c r="DS328" s="76"/>
      <c r="DT328" s="1437"/>
      <c r="DU328" s="807"/>
      <c r="DV328" s="1436"/>
      <c r="DW328" s="76"/>
      <c r="DX328" s="76"/>
      <c r="DY328" s="1437"/>
      <c r="DZ328" s="807"/>
      <c r="EA328" s="1436"/>
      <c r="EB328" s="76"/>
      <c r="EC328" s="76"/>
      <c r="ED328" s="1437"/>
      <c r="EE328" s="807"/>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row>
    <row r="329" spans="2:232" s="54" customFormat="1">
      <c r="B329" s="693" t="s">
        <v>182</v>
      </c>
      <c r="C329" s="64"/>
      <c r="D329" s="64"/>
      <c r="E329" s="64"/>
      <c r="F329" s="73">
        <f>F322</f>
        <v>7.1778166012282121</v>
      </c>
      <c r="G329" s="73">
        <f>G322</f>
        <v>6.2862361422353903</v>
      </c>
      <c r="H329" s="73">
        <f>H322</f>
        <v>6.130226140588606</v>
      </c>
      <c r="I329" s="73">
        <f>I322</f>
        <v>7.664820641695087</v>
      </c>
      <c r="J329" s="73">
        <f>J322</f>
        <v>8.640746559723933</v>
      </c>
      <c r="K329" s="73"/>
      <c r="L329" s="73"/>
      <c r="M329" s="73"/>
      <c r="N329" s="73"/>
      <c r="O329" s="73">
        <f>O322</f>
        <v>8.9414774899969505</v>
      </c>
      <c r="P329" s="73"/>
      <c r="Q329" s="73"/>
      <c r="R329" s="73"/>
      <c r="S329" s="73"/>
      <c r="T329" s="73">
        <f>T322</f>
        <v>10.283296676208669</v>
      </c>
      <c r="U329" s="73"/>
      <c r="V329" s="73"/>
      <c r="W329" s="73"/>
      <c r="X329" s="73"/>
      <c r="Y329" s="73">
        <f>Y322</f>
        <v>8.9008715870842305</v>
      </c>
      <c r="Z329" s="73"/>
      <c r="AA329" s="73"/>
      <c r="AB329" s="73"/>
      <c r="AC329" s="73"/>
      <c r="AD329" s="73">
        <f>AD322</f>
        <v>9.9542850415947264</v>
      </c>
      <c r="AE329" s="73"/>
      <c r="AF329" s="73"/>
      <c r="AG329" s="73"/>
      <c r="AH329" s="73"/>
      <c r="AI329" s="73">
        <f>AI322</f>
        <v>10.576392589204456</v>
      </c>
      <c r="AJ329" s="73"/>
      <c r="AK329" s="73"/>
      <c r="AL329" s="73"/>
      <c r="AM329" s="73"/>
      <c r="AN329" s="73">
        <f>AN322</f>
        <v>11.833631157860538</v>
      </c>
      <c r="AO329" s="73"/>
      <c r="AP329" s="73"/>
      <c r="AQ329" s="73"/>
      <c r="AR329" s="73"/>
      <c r="AS329" s="73">
        <f>AS322</f>
        <v>12.150928660337295</v>
      </c>
      <c r="AT329" s="73"/>
      <c r="AU329" s="73"/>
      <c r="AV329" s="73"/>
      <c r="AW329" s="73"/>
      <c r="AX329" s="73">
        <f>AX322</f>
        <v>11.428777987657433</v>
      </c>
      <c r="AY329" s="73"/>
      <c r="AZ329" s="73"/>
      <c r="BA329" s="73"/>
      <c r="BB329" s="73"/>
      <c r="BC329" s="73">
        <f>BC322</f>
        <v>11.376752283500675</v>
      </c>
      <c r="BD329" s="73"/>
      <c r="BE329" s="73"/>
      <c r="BF329" s="73"/>
      <c r="BG329" s="73"/>
      <c r="BH329" s="73">
        <f>BH322</f>
        <v>12.076544491204125</v>
      </c>
      <c r="BI329" s="73"/>
      <c r="BJ329" s="73"/>
      <c r="BK329" s="73"/>
      <c r="BL329" s="73"/>
      <c r="BM329" s="73">
        <f>BM322</f>
        <v>15.880645025206185</v>
      </c>
      <c r="BN329" s="73"/>
      <c r="BO329" s="73"/>
      <c r="BP329" s="73"/>
      <c r="BQ329" s="73"/>
      <c r="BR329" s="73">
        <f t="shared" ref="BR329:DF329" si="835">BR322</f>
        <v>15.184005431345561</v>
      </c>
      <c r="BS329" s="73">
        <f t="shared" si="835"/>
        <v>14.416270432495242</v>
      </c>
      <c r="BT329" s="73">
        <f t="shared" si="835"/>
        <v>13.680425631431245</v>
      </c>
      <c r="BU329" s="73">
        <f t="shared" si="835"/>
        <v>14.674587265328954</v>
      </c>
      <c r="BV329" s="73">
        <f t="shared" si="835"/>
        <v>15.927355433613526</v>
      </c>
      <c r="BW329" s="73">
        <f t="shared" si="835"/>
        <v>15.624670742263396</v>
      </c>
      <c r="BX329" s="1446">
        <f t="shared" si="835"/>
        <v>16.715059878236435</v>
      </c>
      <c r="BY329" s="73">
        <f t="shared" si="835"/>
        <v>15.492564491654022</v>
      </c>
      <c r="BZ329" s="73">
        <f t="shared" si="835"/>
        <v>15.87439851943245</v>
      </c>
      <c r="CA329" s="73">
        <f t="shared" si="835"/>
        <v>14.623447748837801</v>
      </c>
      <c r="CB329" s="73">
        <f t="shared" si="835"/>
        <v>14.384463566748243</v>
      </c>
      <c r="CC329" s="1446">
        <f t="shared" si="835"/>
        <v>14.173185040332436</v>
      </c>
      <c r="CD329" s="73">
        <f t="shared" si="835"/>
        <v>14.27326779301819</v>
      </c>
      <c r="CE329" s="73">
        <f t="shared" si="835"/>
        <v>14.597825454968312</v>
      </c>
      <c r="CF329" s="736">
        <f t="shared" si="835"/>
        <v>13.360995850622405</v>
      </c>
      <c r="CG329" s="777">
        <f t="shared" si="835"/>
        <v>13.263868288341738</v>
      </c>
      <c r="CH329" s="73">
        <f t="shared" si="835"/>
        <v>12.82749077490775</v>
      </c>
      <c r="CI329" s="73">
        <f t="shared" si="835"/>
        <v>12.146254458977408</v>
      </c>
      <c r="CJ329" s="73">
        <f t="shared" si="835"/>
        <v>13.010505688313103</v>
      </c>
      <c r="CK329" s="73">
        <f t="shared" si="835"/>
        <v>12.785885234040185</v>
      </c>
      <c r="CL329" s="777">
        <f t="shared" si="835"/>
        <v>12.626135985814031</v>
      </c>
      <c r="CM329" s="73">
        <f t="shared" si="835"/>
        <v>12.818196838684806</v>
      </c>
      <c r="CN329" s="73">
        <f t="shared" si="835"/>
        <v>12.107125623290978</v>
      </c>
      <c r="CO329" s="73">
        <f t="shared" si="835"/>
        <v>11.888688598467779</v>
      </c>
      <c r="CP329" s="73">
        <f t="shared" si="835"/>
        <v>11.677151057224858</v>
      </c>
      <c r="CQ329" s="777">
        <f t="shared" si="835"/>
        <v>11.041768458671283</v>
      </c>
      <c r="CR329" s="73">
        <f t="shared" si="835"/>
        <v>11.767151767151766</v>
      </c>
      <c r="CS329" s="73">
        <f t="shared" si="835"/>
        <v>11.974580361452244</v>
      </c>
      <c r="CT329" s="73">
        <f t="shared" si="835"/>
        <v>11.883361546442417</v>
      </c>
      <c r="CU329" s="73">
        <f>CU322</f>
        <v>13.203277409285993</v>
      </c>
      <c r="CV329" s="777">
        <f t="shared" si="835"/>
        <v>13.302684963374274</v>
      </c>
      <c r="CW329" s="73">
        <f>CW322</f>
        <v>13.390255878662229</v>
      </c>
      <c r="CX329" s="73">
        <f>CX322</f>
        <v>12.734506503442999</v>
      </c>
      <c r="CY329" s="73">
        <f>CY322</f>
        <v>14.051337559919592</v>
      </c>
      <c r="CZ329" s="73">
        <f>CZ322</f>
        <v>15.197565199139424</v>
      </c>
      <c r="DA329" s="777">
        <f t="shared" si="835"/>
        <v>15.37556288616609</v>
      </c>
      <c r="DB329" s="73">
        <f>DB322</f>
        <v>16.472844430806994</v>
      </c>
      <c r="DC329" s="73">
        <f>DC322</f>
        <v>23.76585255710684</v>
      </c>
      <c r="DD329" s="73">
        <f>DD322</f>
        <v>21.56311859697864</v>
      </c>
      <c r="DE329" s="73">
        <f>DE322</f>
        <v>21.61173830727158</v>
      </c>
      <c r="DF329" s="777">
        <f t="shared" si="835"/>
        <v>21.61173830727158</v>
      </c>
      <c r="DG329" s="73">
        <f>DG322</f>
        <v>21.144559639031446</v>
      </c>
      <c r="DH329" s="73">
        <f>DH322</f>
        <v>20.075868009541477</v>
      </c>
      <c r="DI329" s="73">
        <f>DI322</f>
        <v>19.856261441453658</v>
      </c>
      <c r="DJ329" s="73">
        <f>DJ322</f>
        <v>19.674535549657772</v>
      </c>
      <c r="DK329" s="777">
        <f t="shared" ref="DK329:DU329" si="836">DK322</f>
        <v>19.674535549657772</v>
      </c>
      <c r="DL329" s="73">
        <f>DL322</f>
        <v>19.382477807796217</v>
      </c>
      <c r="DM329" s="73">
        <f>DM322</f>
        <v>17.342253616790053</v>
      </c>
      <c r="DN329" s="73">
        <f t="shared" ref="DN329:DO329" si="837">DN322</f>
        <v>18.942492861411779</v>
      </c>
      <c r="DO329" s="73">
        <f t="shared" si="837"/>
        <v>19.487213506252282</v>
      </c>
      <c r="DP329" s="777">
        <f t="shared" si="836"/>
        <v>19.487213506252282</v>
      </c>
      <c r="DQ329" s="1446">
        <f t="shared" si="836"/>
        <v>20.078724788549124</v>
      </c>
      <c r="DR329" s="73">
        <f t="shared" si="836"/>
        <v>20.078724788549124</v>
      </c>
      <c r="DS329" s="73">
        <f t="shared" si="836"/>
        <v>20.078724788549124</v>
      </c>
      <c r="DT329" s="736">
        <f t="shared" si="836"/>
        <v>20.078724788549124</v>
      </c>
      <c r="DU329" s="777">
        <f t="shared" si="836"/>
        <v>20.078724788549124</v>
      </c>
      <c r="DV329" s="1446">
        <f t="shared" ref="DV329:DZ329" si="838">DV322</f>
        <v>20.078724788549124</v>
      </c>
      <c r="DW329" s="73">
        <f t="shared" si="838"/>
        <v>20.078724788549124</v>
      </c>
      <c r="DX329" s="73">
        <f t="shared" si="838"/>
        <v>20.078724788549124</v>
      </c>
      <c r="DY329" s="736">
        <f t="shared" si="838"/>
        <v>20.078724788549124</v>
      </c>
      <c r="DZ329" s="777">
        <f t="shared" si="838"/>
        <v>20.078724788549124</v>
      </c>
      <c r="EA329" s="1446">
        <f t="shared" ref="EA329:EE329" si="839">EA322</f>
        <v>20.078724788549124</v>
      </c>
      <c r="EB329" s="73">
        <f t="shared" si="839"/>
        <v>20.078724788549124</v>
      </c>
      <c r="EC329" s="73">
        <f t="shared" si="839"/>
        <v>20.078724788549124</v>
      </c>
      <c r="ED329" s="736">
        <f t="shared" si="839"/>
        <v>20.078724788549124</v>
      </c>
      <c r="EE329" s="777">
        <f t="shared" si="839"/>
        <v>20.078724788549124</v>
      </c>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row>
    <row r="330" spans="2:232" s="54" customFormat="1">
      <c r="B330" s="693" t="s">
        <v>240</v>
      </c>
      <c r="C330" s="64"/>
      <c r="D330" s="64"/>
      <c r="E330" s="64"/>
      <c r="F330" s="73">
        <f>F325</f>
        <v>69.510391534753921</v>
      </c>
      <c r="G330" s="73">
        <f>G325</f>
        <v>67.917500573198623</v>
      </c>
      <c r="H330" s="73">
        <f>H325</f>
        <v>67.329419524687808</v>
      </c>
      <c r="I330" s="73">
        <f>I325</f>
        <v>69.771101233844647</v>
      </c>
      <c r="J330" s="73">
        <f>J325</f>
        <v>71.126681021570562</v>
      </c>
      <c r="K330" s="73"/>
      <c r="L330" s="73"/>
      <c r="M330" s="73"/>
      <c r="N330" s="73"/>
      <c r="O330" s="73">
        <f>O325</f>
        <v>69.99134494257828</v>
      </c>
      <c r="P330" s="73"/>
      <c r="Q330" s="73"/>
      <c r="R330" s="73"/>
      <c r="S330" s="73"/>
      <c r="T330" s="73">
        <f>T325</f>
        <v>65.432906197259811</v>
      </c>
      <c r="U330" s="73"/>
      <c r="V330" s="73"/>
      <c r="W330" s="73"/>
      <c r="X330" s="73"/>
      <c r="Y330" s="73">
        <f>Y325</f>
        <v>66.691098936969738</v>
      </c>
      <c r="Z330" s="73"/>
      <c r="AA330" s="73"/>
      <c r="AB330" s="73"/>
      <c r="AC330" s="73"/>
      <c r="AD330" s="73">
        <f>AD325</f>
        <v>69.256237190451969</v>
      </c>
      <c r="AE330" s="73"/>
      <c r="AF330" s="73"/>
      <c r="AG330" s="73"/>
      <c r="AH330" s="73"/>
      <c r="AI330" s="73">
        <f>AI325</f>
        <v>66.883864243962122</v>
      </c>
      <c r="AJ330" s="73"/>
      <c r="AK330" s="73"/>
      <c r="AL330" s="73"/>
      <c r="AM330" s="73"/>
      <c r="AN330" s="73">
        <f>AN325</f>
        <v>70.424014759902263</v>
      </c>
      <c r="AO330" s="73"/>
      <c r="AP330" s="73"/>
      <c r="AQ330" s="73"/>
      <c r="AR330" s="73"/>
      <c r="AS330" s="73">
        <f>AS325</f>
        <v>63.128282746807997</v>
      </c>
      <c r="AT330" s="73"/>
      <c r="AU330" s="73"/>
      <c r="AV330" s="73"/>
      <c r="AW330" s="73"/>
      <c r="AX330" s="73">
        <f>AX325</f>
        <v>64.708198699074487</v>
      </c>
      <c r="AY330" s="73"/>
      <c r="AZ330" s="73"/>
      <c r="BA330" s="73"/>
      <c r="BB330" s="73"/>
      <c r="BC330" s="73">
        <f>BC325</f>
        <v>63.330782412560787</v>
      </c>
      <c r="BD330" s="73"/>
      <c r="BE330" s="73"/>
      <c r="BF330" s="73"/>
      <c r="BG330" s="73"/>
      <c r="BH330" s="73">
        <f>BH325</f>
        <v>67.118725710039527</v>
      </c>
      <c r="BI330" s="73"/>
      <c r="BJ330" s="73"/>
      <c r="BK330" s="73"/>
      <c r="BL330" s="73"/>
      <c r="BM330" s="73">
        <f>BM325</f>
        <v>64.49679326176097</v>
      </c>
      <c r="BN330" s="73"/>
      <c r="BO330" s="73"/>
      <c r="BP330" s="73"/>
      <c r="BQ330" s="73"/>
      <c r="BR330" s="73">
        <f t="shared" ref="BR330:DF330" si="840">BR325</f>
        <v>64.347215984173673</v>
      </c>
      <c r="BS330" s="73">
        <f t="shared" si="840"/>
        <v>67.257346393588605</v>
      </c>
      <c r="BT330" s="73">
        <f t="shared" si="840"/>
        <v>60.216672753834921</v>
      </c>
      <c r="BU330" s="73">
        <f t="shared" si="840"/>
        <v>60.340724233983288</v>
      </c>
      <c r="BV330" s="73">
        <f t="shared" si="840"/>
        <v>63.139218934911241</v>
      </c>
      <c r="BW330" s="73">
        <f t="shared" si="840"/>
        <v>62.415460646591889</v>
      </c>
      <c r="BX330" s="1446">
        <f t="shared" si="840"/>
        <v>69.175620600222302</v>
      </c>
      <c r="BY330" s="73">
        <f t="shared" si="840"/>
        <v>57.75596547639195</v>
      </c>
      <c r="BZ330" s="73">
        <f t="shared" si="840"/>
        <v>53.950472300229769</v>
      </c>
      <c r="CA330" s="73">
        <f t="shared" si="840"/>
        <v>54.998291802412609</v>
      </c>
      <c r="CB330" s="73">
        <f t="shared" si="840"/>
        <v>54.199171077380697</v>
      </c>
      <c r="CC330" s="1446">
        <f t="shared" si="840"/>
        <v>56.879756468797559</v>
      </c>
      <c r="CD330" s="73">
        <f t="shared" si="840"/>
        <v>53.598014888337467</v>
      </c>
      <c r="CE330" s="73">
        <f t="shared" si="840"/>
        <v>52.539759036144574</v>
      </c>
      <c r="CF330" s="736">
        <f t="shared" si="840"/>
        <v>56.199370756747804</v>
      </c>
      <c r="CG330" s="777">
        <f t="shared" si="840"/>
        <v>55.589340269176788</v>
      </c>
      <c r="CH330" s="73">
        <f t="shared" si="840"/>
        <v>57.408661988870065</v>
      </c>
      <c r="CI330" s="73">
        <f t="shared" si="840"/>
        <v>51.952496585217787</v>
      </c>
      <c r="CJ330" s="73">
        <f t="shared" si="840"/>
        <v>52.567451010062797</v>
      </c>
      <c r="CK330" s="73">
        <f t="shared" si="840"/>
        <v>57.376957667855486</v>
      </c>
      <c r="CL330" s="777">
        <f t="shared" si="840"/>
        <v>56.799117851891978</v>
      </c>
      <c r="CM330" s="73">
        <f t="shared" si="840"/>
        <v>56.752470696391633</v>
      </c>
      <c r="CN330" s="73">
        <f t="shared" si="840"/>
        <v>49.858995626602322</v>
      </c>
      <c r="CO330" s="73">
        <f t="shared" si="840"/>
        <v>50.586277280577796</v>
      </c>
      <c r="CP330" s="73">
        <f t="shared" si="840"/>
        <v>52.89361006700441</v>
      </c>
      <c r="CQ330" s="777">
        <f t="shared" si="840"/>
        <v>50.069992786258794</v>
      </c>
      <c r="CR330" s="73">
        <f t="shared" si="840"/>
        <v>57.615617582057787</v>
      </c>
      <c r="CS330" s="73">
        <f t="shared" si="840"/>
        <v>50.059049079754601</v>
      </c>
      <c r="CT330" s="73">
        <f t="shared" si="840"/>
        <v>48.357803070812011</v>
      </c>
      <c r="CU330" s="73">
        <f>CU325</f>
        <v>49.441882352941178</v>
      </c>
      <c r="CV330" s="777">
        <f t="shared" si="840"/>
        <v>48.944772789541666</v>
      </c>
      <c r="CW330" s="73">
        <f>CW325</f>
        <v>52.789709342035373</v>
      </c>
      <c r="CX330" s="73">
        <f>CX325</f>
        <v>46.51881046219993</v>
      </c>
      <c r="CY330" s="73">
        <f>CY325</f>
        <v>41.50920421173268</v>
      </c>
      <c r="CZ330" s="73">
        <f>CZ325</f>
        <v>39.828113619810637</v>
      </c>
      <c r="DA330" s="777">
        <f t="shared" si="840"/>
        <v>40.452729693741681</v>
      </c>
      <c r="DB330" s="73">
        <f>DB325</f>
        <v>41.143217842614675</v>
      </c>
      <c r="DC330" s="73">
        <f>DC325</f>
        <v>42.86780762785029</v>
      </c>
      <c r="DD330" s="73">
        <f>DD325</f>
        <v>37.006662287698227</v>
      </c>
      <c r="DE330" s="73">
        <f>DE325</f>
        <v>36.74177917862351</v>
      </c>
      <c r="DF330" s="777">
        <f t="shared" si="840"/>
        <v>36.74177917862351</v>
      </c>
      <c r="DG330" s="73">
        <f>DG325</f>
        <v>41.315312804793095</v>
      </c>
      <c r="DH330" s="73">
        <f>DH325</f>
        <v>36.522032374100718</v>
      </c>
      <c r="DI330" s="73">
        <f>DI325</f>
        <v>36.534248443252579</v>
      </c>
      <c r="DJ330" s="73">
        <f>DJ325</f>
        <v>37.523392765699924</v>
      </c>
      <c r="DK330" s="777">
        <f t="shared" ref="DK330:DU330" si="841">DK325</f>
        <v>37.523392765699924</v>
      </c>
      <c r="DL330" s="73">
        <f>DL325</f>
        <v>42.249707739069443</v>
      </c>
      <c r="DM330" s="73">
        <f>DM325</f>
        <v>37.957505140507202</v>
      </c>
      <c r="DN330" s="73">
        <f t="shared" ref="DN330:DO330" si="842">DN325</f>
        <v>34.009054106995166</v>
      </c>
      <c r="DO330" s="73">
        <f t="shared" si="842"/>
        <v>35.113770879915819</v>
      </c>
      <c r="DP330" s="777">
        <f t="shared" si="841"/>
        <v>35.113770879915819</v>
      </c>
      <c r="DQ330" s="1446">
        <f t="shared" si="841"/>
        <v>38.501645369460235</v>
      </c>
      <c r="DR330" s="73">
        <f t="shared" si="841"/>
        <v>36.957505140507202</v>
      </c>
      <c r="DS330" s="73">
        <f t="shared" si="841"/>
        <v>33.009054106995166</v>
      </c>
      <c r="DT330" s="736">
        <f t="shared" si="841"/>
        <v>34.113770879915819</v>
      </c>
      <c r="DU330" s="777">
        <f t="shared" si="841"/>
        <v>34.113770879915819</v>
      </c>
      <c r="DV330" s="1446">
        <f t="shared" ref="DV330:DZ330" si="843">DV325</f>
        <v>37.501645369460235</v>
      </c>
      <c r="DW330" s="73">
        <f t="shared" si="843"/>
        <v>35.957505140507202</v>
      </c>
      <c r="DX330" s="73">
        <f t="shared" si="843"/>
        <v>32.009054106995166</v>
      </c>
      <c r="DY330" s="736">
        <f t="shared" si="843"/>
        <v>33.113770879915819</v>
      </c>
      <c r="DZ330" s="777">
        <f t="shared" si="843"/>
        <v>33.113770879915819</v>
      </c>
      <c r="EA330" s="1446">
        <f t="shared" ref="EA330:EE330" si="844">EA325</f>
        <v>36.501645369460235</v>
      </c>
      <c r="EB330" s="73">
        <f t="shared" si="844"/>
        <v>34.957505140507202</v>
      </c>
      <c r="EC330" s="73">
        <f t="shared" si="844"/>
        <v>31.009054106995166</v>
      </c>
      <c r="ED330" s="736">
        <f t="shared" si="844"/>
        <v>32.113770879915819</v>
      </c>
      <c r="EE330" s="777">
        <f t="shared" si="844"/>
        <v>32.113770879915819</v>
      </c>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row>
    <row r="331" spans="2:232" s="54" customFormat="1">
      <c r="B331" s="907" t="s">
        <v>241</v>
      </c>
      <c r="C331" s="270"/>
      <c r="D331" s="270"/>
      <c r="E331" s="270"/>
      <c r="F331" s="269">
        <f>-F326</f>
        <v>-27.860710334611429</v>
      </c>
      <c r="G331" s="269">
        <f>-G326</f>
        <v>-28.124502486980198</v>
      </c>
      <c r="H331" s="269">
        <f>-H326</f>
        <v>-26.289943264752736</v>
      </c>
      <c r="I331" s="269">
        <f>-I326</f>
        <v>-29.424694534598839</v>
      </c>
      <c r="J331" s="269">
        <f>-J326</f>
        <v>-29.659562932716248</v>
      </c>
      <c r="K331" s="269"/>
      <c r="L331" s="269"/>
      <c r="M331" s="269"/>
      <c r="N331" s="269"/>
      <c r="O331" s="269">
        <f>-O326</f>
        <v>-29.671141893004169</v>
      </c>
      <c r="P331" s="269"/>
      <c r="Q331" s="269"/>
      <c r="R331" s="269"/>
      <c r="S331" s="269"/>
      <c r="T331" s="269">
        <f>-T326</f>
        <v>-30.691021720579094</v>
      </c>
      <c r="U331" s="269"/>
      <c r="V331" s="269"/>
      <c r="W331" s="269"/>
      <c r="X331" s="269"/>
      <c r="Y331" s="269">
        <f>-Y326</f>
        <v>-29.839392473265132</v>
      </c>
      <c r="Z331" s="269"/>
      <c r="AA331" s="269"/>
      <c r="AB331" s="73"/>
      <c r="AC331" s="73"/>
      <c r="AD331" s="73">
        <f>-AD326</f>
        <v>-31.78767355492888</v>
      </c>
      <c r="AE331" s="73"/>
      <c r="AF331" s="73"/>
      <c r="AG331" s="73"/>
      <c r="AH331" s="73"/>
      <c r="AI331" s="73">
        <f>-AI326</f>
        <v>-32.227494287397313</v>
      </c>
      <c r="AJ331" s="73"/>
      <c r="AK331" s="73"/>
      <c r="AL331" s="73"/>
      <c r="AM331" s="73"/>
      <c r="AN331" s="73">
        <f>-AN326</f>
        <v>-31.280687465718128</v>
      </c>
      <c r="AO331" s="73"/>
      <c r="AP331" s="73"/>
      <c r="AQ331" s="73"/>
      <c r="AR331" s="73"/>
      <c r="AS331" s="73">
        <f>-AS326</f>
        <v>-31.803132458092346</v>
      </c>
      <c r="AT331" s="73"/>
      <c r="AU331" s="73"/>
      <c r="AV331" s="73"/>
      <c r="AW331" s="73"/>
      <c r="AX331" s="73">
        <f>-AX326</f>
        <v>-37.072453619728172</v>
      </c>
      <c r="AY331" s="73"/>
      <c r="AZ331" s="73"/>
      <c r="BA331" s="73"/>
      <c r="BB331" s="73"/>
      <c r="BC331" s="73">
        <f>-BC326</f>
        <v>-35.303309362001293</v>
      </c>
      <c r="BD331" s="73"/>
      <c r="BE331" s="73"/>
      <c r="BF331" s="73"/>
      <c r="BG331" s="73"/>
      <c r="BH331" s="73">
        <f>-BH326</f>
        <v>-35.021700675351319</v>
      </c>
      <c r="BI331" s="73"/>
      <c r="BJ331" s="73"/>
      <c r="BK331" s="73"/>
      <c r="BL331" s="73"/>
      <c r="BM331" s="73">
        <f>-BM326</f>
        <v>-43.057557738811468</v>
      </c>
      <c r="BN331" s="73"/>
      <c r="BO331" s="73"/>
      <c r="BP331" s="73"/>
      <c r="BQ331" s="73"/>
      <c r="BR331" s="73">
        <f t="shared" ref="BR331:DF331" si="845">-BR326</f>
        <v>-35.376991596158689</v>
      </c>
      <c r="BS331" s="73">
        <f t="shared" si="845"/>
        <v>-36.571682991985753</v>
      </c>
      <c r="BT331" s="73">
        <f t="shared" si="845"/>
        <v>-34.393444119795475</v>
      </c>
      <c r="BU331" s="73">
        <f t="shared" si="845"/>
        <v>-35.649359331476326</v>
      </c>
      <c r="BV331" s="73">
        <f t="shared" si="845"/>
        <v>-37.360927810650885</v>
      </c>
      <c r="BW331" s="73">
        <f t="shared" si="845"/>
        <v>-36.932663387707443</v>
      </c>
      <c r="BX331" s="1446">
        <f t="shared" si="845"/>
        <v>-41.898851426454243</v>
      </c>
      <c r="BY331" s="73">
        <f t="shared" si="845"/>
        <v>-37.574885767473347</v>
      </c>
      <c r="BZ331" s="73">
        <f t="shared" si="845"/>
        <v>-36.006127138115907</v>
      </c>
      <c r="CA331" s="73">
        <f t="shared" si="845"/>
        <v>-34.897948401866692</v>
      </c>
      <c r="CB331" s="73">
        <f t="shared" si="845"/>
        <v>-34.390884038318532</v>
      </c>
      <c r="CC331" s="1446">
        <f t="shared" si="845"/>
        <v>-38.378995433789953</v>
      </c>
      <c r="CD331" s="73">
        <f t="shared" si="845"/>
        <v>-34.325062034739453</v>
      </c>
      <c r="CE331" s="73">
        <f t="shared" si="845"/>
        <v>-33.873734939759032</v>
      </c>
      <c r="CF331" s="736">
        <f t="shared" si="845"/>
        <v>-34.924656400066233</v>
      </c>
      <c r="CG331" s="777">
        <f t="shared" si="845"/>
        <v>-34.54555775741062</v>
      </c>
      <c r="CH331" s="73">
        <f t="shared" si="845"/>
        <v>-35.966610210500846</v>
      </c>
      <c r="CI331" s="73">
        <f t="shared" si="845"/>
        <v>-33.396570040977387</v>
      </c>
      <c r="CJ331" s="73">
        <f t="shared" si="845"/>
        <v>-34.908072936369827</v>
      </c>
      <c r="CK331" s="73">
        <f t="shared" si="845"/>
        <v>-34.309195224065746</v>
      </c>
      <c r="CL331" s="777">
        <f t="shared" si="845"/>
        <v>-33.96366942660373</v>
      </c>
      <c r="CM331" s="73">
        <f t="shared" si="845"/>
        <v>-32.944150769937949</v>
      </c>
      <c r="CN331" s="73">
        <f t="shared" si="845"/>
        <v>-28.522847232694918</v>
      </c>
      <c r="CO331" s="73">
        <f t="shared" si="845"/>
        <v>-32.017271157167528</v>
      </c>
      <c r="CP331" s="73">
        <f t="shared" si="845"/>
        <v>-32.957019120771371</v>
      </c>
      <c r="CQ331" s="777">
        <f t="shared" si="845"/>
        <v>-31.197676005537033</v>
      </c>
      <c r="CR331" s="73">
        <f t="shared" si="845"/>
        <v>-35.515265613489404</v>
      </c>
      <c r="CS331" s="73">
        <f t="shared" si="845"/>
        <v>-30.285276073619631</v>
      </c>
      <c r="CT331" s="73">
        <f t="shared" si="845"/>
        <v>-31.835612252692691</v>
      </c>
      <c r="CU331" s="73">
        <f>-CU326</f>
        <v>-33.444705882352942</v>
      </c>
      <c r="CV331" s="777">
        <f t="shared" si="845"/>
        <v>-33.108438686445652</v>
      </c>
      <c r="CW331" s="73">
        <f>-CW326</f>
        <v>-32.524853912119603</v>
      </c>
      <c r="CX331" s="73">
        <f>-CX326</f>
        <v>-28.944464349695451</v>
      </c>
      <c r="CY331" s="73">
        <f>-CY326</f>
        <v>-27.301052933170975</v>
      </c>
      <c r="CZ331" s="73">
        <f>-CZ326</f>
        <v>-28.284777858703571</v>
      </c>
      <c r="DA331" s="777">
        <f t="shared" si="845"/>
        <v>-28.728362183754996</v>
      </c>
      <c r="DB331" s="73">
        <f>-DB326</f>
        <v>-32.754243231869829</v>
      </c>
      <c r="DC331" s="73">
        <f>-DC326</f>
        <v>-47.045350667817786</v>
      </c>
      <c r="DD331" s="73">
        <f>-DD326</f>
        <v>-41.938631885145917</v>
      </c>
      <c r="DE331" s="73">
        <f>-DE326</f>
        <v>-42.711577362751093</v>
      </c>
      <c r="DF331" s="777">
        <f t="shared" si="845"/>
        <v>-42.711577362751093</v>
      </c>
      <c r="DG331" s="73">
        <f>-DG326</f>
        <v>-44.487947610422182</v>
      </c>
      <c r="DH331" s="73">
        <f>-DH326</f>
        <v>-39.953687050359711</v>
      </c>
      <c r="DI331" s="73">
        <f>-DI326</f>
        <v>-42.285805190673152</v>
      </c>
      <c r="DJ331" s="73">
        <f>-DJ326</f>
        <v>-46.087239886411247</v>
      </c>
      <c r="DK331" s="777">
        <f t="shared" ref="DK331:DU331" si="846">-DK326</f>
        <v>-46.087239886411247</v>
      </c>
      <c r="DL331" s="73">
        <f>-DL326</f>
        <v>-47.859714753331772</v>
      </c>
      <c r="DM331" s="73">
        <f>-DM326</f>
        <v>-46.322138450993833</v>
      </c>
      <c r="DN331" s="73">
        <f t="shared" ref="DN331:DO331" si="847">-DN326</f>
        <v>-45.162582161668041</v>
      </c>
      <c r="DO331" s="73">
        <f t="shared" si="847"/>
        <v>-49.298960936472447</v>
      </c>
      <c r="DP331" s="777">
        <f t="shared" si="846"/>
        <v>-49.298960936472447</v>
      </c>
      <c r="DQ331" s="1446">
        <f t="shared" si="846"/>
        <v>-52.19453822812941</v>
      </c>
      <c r="DR331" s="73">
        <f t="shared" si="846"/>
        <v>-46.322138450993833</v>
      </c>
      <c r="DS331" s="73">
        <f t="shared" si="846"/>
        <v>-45.162582161668041</v>
      </c>
      <c r="DT331" s="736">
        <f t="shared" si="846"/>
        <v>-49.298960936472447</v>
      </c>
      <c r="DU331" s="777">
        <f t="shared" si="846"/>
        <v>-49.298960936472447</v>
      </c>
      <c r="DV331" s="1446">
        <f t="shared" ref="DV331:DZ331" si="848">-DV326</f>
        <v>-52.19453822812941</v>
      </c>
      <c r="DW331" s="73">
        <f t="shared" si="848"/>
        <v>-46.322138450993833</v>
      </c>
      <c r="DX331" s="73">
        <f t="shared" si="848"/>
        <v>-45.162582161668041</v>
      </c>
      <c r="DY331" s="736">
        <f t="shared" si="848"/>
        <v>-49.298960936472447</v>
      </c>
      <c r="DZ331" s="777">
        <f t="shared" si="848"/>
        <v>-49.298960936472447</v>
      </c>
      <c r="EA331" s="1446">
        <f t="shared" ref="EA331:EE331" si="849">-EA326</f>
        <v>-52.19453822812941</v>
      </c>
      <c r="EB331" s="73">
        <f t="shared" si="849"/>
        <v>-46.322138450993833</v>
      </c>
      <c r="EC331" s="73">
        <f t="shared" si="849"/>
        <v>-45.162582161668041</v>
      </c>
      <c r="ED331" s="736">
        <f t="shared" si="849"/>
        <v>-48</v>
      </c>
      <c r="EE331" s="777">
        <f t="shared" si="849"/>
        <v>-48</v>
      </c>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row>
    <row r="332" spans="2:232" s="54" customFormat="1">
      <c r="B332" s="693" t="s">
        <v>242</v>
      </c>
      <c r="C332" s="64"/>
      <c r="D332" s="64"/>
      <c r="E332" s="64"/>
      <c r="F332" s="73">
        <f>SUM(F329:F331)</f>
        <v>48.827497801370711</v>
      </c>
      <c r="G332" s="73">
        <f>SUM(G329:G331)</f>
        <v>46.079234228453821</v>
      </c>
      <c r="H332" s="73">
        <f>SUM(H329:H331)</f>
        <v>47.169702400523676</v>
      </c>
      <c r="I332" s="73">
        <f>SUM(I329:I331)</f>
        <v>48.011227340940891</v>
      </c>
      <c r="J332" s="73">
        <f>SUM(J329:J331)</f>
        <v>50.10786464857825</v>
      </c>
      <c r="K332" s="73"/>
      <c r="L332" s="73"/>
      <c r="M332" s="73"/>
      <c r="N332" s="73"/>
      <c r="O332" s="73">
        <f>SUM(O329:O331)</f>
        <v>49.261680539571067</v>
      </c>
      <c r="P332" s="73"/>
      <c r="Q332" s="73"/>
      <c r="R332" s="73"/>
      <c r="S332" s="73"/>
      <c r="T332" s="73">
        <f>SUM(T329:T331)</f>
        <v>45.025181152889381</v>
      </c>
      <c r="U332" s="73"/>
      <c r="V332" s="73"/>
      <c r="W332" s="73"/>
      <c r="X332" s="73"/>
      <c r="Y332" s="73">
        <f>SUM(Y329:Y331)</f>
        <v>45.752578050788827</v>
      </c>
      <c r="Z332" s="73"/>
      <c r="AA332" s="73"/>
      <c r="AB332" s="81"/>
      <c r="AC332" s="81"/>
      <c r="AD332" s="81">
        <f>SUM(AD329:AD331)</f>
        <v>47.42284867711782</v>
      </c>
      <c r="AE332" s="81"/>
      <c r="AF332" s="81"/>
      <c r="AG332" s="81"/>
      <c r="AH332" s="81"/>
      <c r="AI332" s="81">
        <f>SUM(AI329:AI331)</f>
        <v>45.232762545769269</v>
      </c>
      <c r="AJ332" s="81"/>
      <c r="AK332" s="81"/>
      <c r="AL332" s="81"/>
      <c r="AM332" s="81"/>
      <c r="AN332" s="81">
        <f>SUM(AN329:AN331)</f>
        <v>50.97695845204467</v>
      </c>
      <c r="AO332" s="81"/>
      <c r="AP332" s="81"/>
      <c r="AQ332" s="81"/>
      <c r="AR332" s="81"/>
      <c r="AS332" s="81">
        <f>SUM(AS329:AS331)</f>
        <v>43.476078949052948</v>
      </c>
      <c r="AT332" s="81"/>
      <c r="AU332" s="81"/>
      <c r="AV332" s="81"/>
      <c r="AW332" s="81"/>
      <c r="AX332" s="81">
        <f>SUM(AX329:AX331)</f>
        <v>39.064523067003741</v>
      </c>
      <c r="AY332" s="81"/>
      <c r="AZ332" s="81"/>
      <c r="BA332" s="81"/>
      <c r="BB332" s="81"/>
      <c r="BC332" s="81">
        <f>SUM(BC329:BC331)</f>
        <v>39.404225334060165</v>
      </c>
      <c r="BD332" s="81"/>
      <c r="BE332" s="81"/>
      <c r="BF332" s="81"/>
      <c r="BG332" s="81"/>
      <c r="BH332" s="81">
        <f>SUM(BH329:BH331)</f>
        <v>44.17356952589234</v>
      </c>
      <c r="BI332" s="81"/>
      <c r="BJ332" s="81"/>
      <c r="BK332" s="81"/>
      <c r="BL332" s="81"/>
      <c r="BM332" s="81">
        <f>SUM(BM329:BM331)</f>
        <v>37.319880548155695</v>
      </c>
      <c r="BN332" s="81"/>
      <c r="BO332" s="81"/>
      <c r="BP332" s="81"/>
      <c r="BQ332" s="81"/>
      <c r="BR332" s="81">
        <f t="shared" ref="BR332:DF332" si="850">SUM(BR329:BR331)</f>
        <v>44.154229819360552</v>
      </c>
      <c r="BS332" s="81">
        <f t="shared" si="850"/>
        <v>45.101933834098091</v>
      </c>
      <c r="BT332" s="81">
        <f t="shared" si="850"/>
        <v>39.503654265470686</v>
      </c>
      <c r="BU332" s="81">
        <f t="shared" si="850"/>
        <v>39.365952167835921</v>
      </c>
      <c r="BV332" s="81">
        <f t="shared" si="850"/>
        <v>41.705646557873884</v>
      </c>
      <c r="BW332" s="81">
        <f t="shared" si="850"/>
        <v>41.107468001147843</v>
      </c>
      <c r="BX332" s="1488">
        <f t="shared" si="850"/>
        <v>43.991829052004491</v>
      </c>
      <c r="BY332" s="81">
        <f t="shared" si="850"/>
        <v>35.673644200572625</v>
      </c>
      <c r="BZ332" s="81">
        <f t="shared" si="850"/>
        <v>33.818743681546316</v>
      </c>
      <c r="CA332" s="81">
        <f t="shared" si="850"/>
        <v>34.723791149383722</v>
      </c>
      <c r="CB332" s="81">
        <f t="shared" si="850"/>
        <v>34.192750605810403</v>
      </c>
      <c r="CC332" s="1488">
        <f t="shared" si="850"/>
        <v>32.673946075340041</v>
      </c>
      <c r="CD332" s="81">
        <f t="shared" si="850"/>
        <v>33.546220646616199</v>
      </c>
      <c r="CE332" s="81">
        <f t="shared" si="850"/>
        <v>33.263849551353857</v>
      </c>
      <c r="CF332" s="1489">
        <f t="shared" si="850"/>
        <v>34.63571020730398</v>
      </c>
      <c r="CG332" s="1366">
        <f t="shared" si="850"/>
        <v>34.307650800107908</v>
      </c>
      <c r="CH332" s="81">
        <f t="shared" si="850"/>
        <v>34.269542553276963</v>
      </c>
      <c r="CI332" s="81">
        <f t="shared" si="850"/>
        <v>30.70218100321781</v>
      </c>
      <c r="CJ332" s="81">
        <f t="shared" si="850"/>
        <v>30.669883762006073</v>
      </c>
      <c r="CK332" s="81">
        <f t="shared" si="850"/>
        <v>35.853647677829926</v>
      </c>
      <c r="CL332" s="1366">
        <f t="shared" si="850"/>
        <v>35.46158441110228</v>
      </c>
      <c r="CM332" s="81">
        <f t="shared" si="850"/>
        <v>36.62651676513849</v>
      </c>
      <c r="CN332" s="81">
        <f t="shared" si="850"/>
        <v>33.443274017198377</v>
      </c>
      <c r="CO332" s="81">
        <f t="shared" si="850"/>
        <v>30.457694721878049</v>
      </c>
      <c r="CP332" s="81">
        <f t="shared" si="850"/>
        <v>31.613742003457894</v>
      </c>
      <c r="CQ332" s="1366">
        <f t="shared" si="850"/>
        <v>29.914085239393046</v>
      </c>
      <c r="CR332" s="81">
        <f t="shared" si="850"/>
        <v>33.867503735720149</v>
      </c>
      <c r="CS332" s="81">
        <f t="shared" si="850"/>
        <v>31.74835336758721</v>
      </c>
      <c r="CT332" s="81">
        <f t="shared" si="850"/>
        <v>28.405552364561736</v>
      </c>
      <c r="CU332" s="81">
        <f t="shared" si="850"/>
        <v>29.200453879874232</v>
      </c>
      <c r="CV332" s="1366">
        <f t="shared" si="850"/>
        <v>29.13901906647029</v>
      </c>
      <c r="CW332" s="81">
        <f>SUM(CW329:CW331)</f>
        <v>33.655111308577993</v>
      </c>
      <c r="CX332" s="81">
        <f t="shared" si="850"/>
        <v>30.30885261594748</v>
      </c>
      <c r="CY332" s="81">
        <f>SUM(CY329:CY331)</f>
        <v>28.259488838481293</v>
      </c>
      <c r="CZ332" s="81">
        <f>SUM(CZ329:CZ331)</f>
        <v>26.740900960246492</v>
      </c>
      <c r="DA332" s="1366">
        <f t="shared" si="850"/>
        <v>27.099930396152772</v>
      </c>
      <c r="DB332" s="81">
        <f>SUM(DB329:DB331)</f>
        <v>24.86181904155184</v>
      </c>
      <c r="DC332" s="81">
        <f>SUM(DC329:DC331)</f>
        <v>19.588309517139351</v>
      </c>
      <c r="DD332" s="81">
        <f>SUM(DD329:DD331)</f>
        <v>16.63114899953095</v>
      </c>
      <c r="DE332" s="81">
        <f>SUM(DE329:DE331)</f>
        <v>15.641940123143996</v>
      </c>
      <c r="DF332" s="1366">
        <f t="shared" si="850"/>
        <v>15.641940123143996</v>
      </c>
      <c r="DG332" s="81">
        <f>SUM(DG329:DG331)</f>
        <v>17.971924833402355</v>
      </c>
      <c r="DH332" s="81">
        <f>SUM(DH329:DH331)</f>
        <v>16.644213333282487</v>
      </c>
      <c r="DI332" s="81">
        <f>SUM(DI329:DI331)</f>
        <v>14.104704694033082</v>
      </c>
      <c r="DJ332" s="81">
        <f>SUM(DJ329:DJ331)</f>
        <v>11.110688428946453</v>
      </c>
      <c r="DK332" s="1366">
        <f t="shared" ref="DK332:DU332" si="851">SUM(DK329:DK331)</f>
        <v>11.110688428946453</v>
      </c>
      <c r="DL332" s="81">
        <f>SUM(DL329:DL331)</f>
        <v>13.772470793533884</v>
      </c>
      <c r="DM332" s="81">
        <f>SUM(DM329:DM331)</f>
        <v>8.9776203063034217</v>
      </c>
      <c r="DN332" s="81">
        <f t="shared" ref="DN332:DO332" si="852">SUM(DN329:DN331)</f>
        <v>7.7889648067389032</v>
      </c>
      <c r="DO332" s="81">
        <f t="shared" si="852"/>
        <v>5.3020234496956533</v>
      </c>
      <c r="DP332" s="1366">
        <f t="shared" si="851"/>
        <v>5.3020234496956533</v>
      </c>
      <c r="DQ332" s="1488">
        <f t="shared" si="851"/>
        <v>6.3858319298799486</v>
      </c>
      <c r="DR332" s="81">
        <f t="shared" si="851"/>
        <v>10.714091478062493</v>
      </c>
      <c r="DS332" s="81">
        <f t="shared" si="851"/>
        <v>7.9251967338762483</v>
      </c>
      <c r="DT332" s="1489">
        <f t="shared" si="851"/>
        <v>4.8935347319924958</v>
      </c>
      <c r="DU332" s="1366">
        <f t="shared" si="851"/>
        <v>4.8935347319924958</v>
      </c>
      <c r="DV332" s="1488">
        <f t="shared" ref="DV332:DZ332" si="853">SUM(DV329:DV331)</f>
        <v>5.3858319298799486</v>
      </c>
      <c r="DW332" s="81">
        <f t="shared" si="853"/>
        <v>9.7140914780624925</v>
      </c>
      <c r="DX332" s="81">
        <f t="shared" si="853"/>
        <v>6.9251967338762483</v>
      </c>
      <c r="DY332" s="1489">
        <f t="shared" si="853"/>
        <v>3.8935347319924958</v>
      </c>
      <c r="DZ332" s="1366">
        <f t="shared" si="853"/>
        <v>3.8935347319924958</v>
      </c>
      <c r="EA332" s="1488">
        <f t="shared" ref="EA332:EE332" si="854">SUM(EA329:EA331)</f>
        <v>4.3858319298799486</v>
      </c>
      <c r="EB332" s="81">
        <f t="shared" si="854"/>
        <v>8.7140914780624925</v>
      </c>
      <c r="EC332" s="81">
        <f t="shared" si="854"/>
        <v>5.9251967338762483</v>
      </c>
      <c r="ED332" s="1489">
        <f t="shared" si="854"/>
        <v>4.192495668464943</v>
      </c>
      <c r="EE332" s="1366">
        <f t="shared" si="854"/>
        <v>4.192495668464943</v>
      </c>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row>
    <row r="333" spans="2:232" s="54" customFormat="1">
      <c r="B333" s="693"/>
      <c r="C333" s="64"/>
      <c r="D333" s="64"/>
      <c r="E333" s="64"/>
      <c r="F333" s="73"/>
      <c r="G333" s="73"/>
      <c r="H333" s="73"/>
      <c r="I333" s="73"/>
      <c r="J333" s="73"/>
      <c r="K333" s="73"/>
      <c r="L333" s="73"/>
      <c r="M333" s="73"/>
      <c r="N333" s="73"/>
      <c r="O333" s="73"/>
      <c r="P333" s="73"/>
      <c r="Q333" s="73"/>
      <c r="R333" s="73"/>
      <c r="S333" s="73"/>
      <c r="T333" s="73"/>
      <c r="U333" s="73"/>
      <c r="V333" s="73"/>
      <c r="W333" s="73"/>
      <c r="X333" s="73"/>
      <c r="Y333" s="73"/>
      <c r="Z333" s="73"/>
      <c r="AA333" s="73"/>
      <c r="AB333" s="73"/>
      <c r="AC333" s="73"/>
      <c r="AD333" s="73"/>
      <c r="AE333" s="73"/>
      <c r="AF333" s="73"/>
      <c r="AG333" s="73"/>
      <c r="AH333" s="73"/>
      <c r="AI333" s="73"/>
      <c r="AJ333" s="73"/>
      <c r="AK333" s="73"/>
      <c r="AL333" s="73"/>
      <c r="AM333" s="73"/>
      <c r="AN333" s="73"/>
      <c r="AO333" s="73"/>
      <c r="AP333" s="73"/>
      <c r="AQ333" s="73"/>
      <c r="AR333" s="73"/>
      <c r="AS333" s="73"/>
      <c r="AT333" s="73"/>
      <c r="AU333" s="73"/>
      <c r="AV333" s="73"/>
      <c r="AW333" s="73"/>
      <c r="AX333" s="73"/>
      <c r="AY333" s="73"/>
      <c r="AZ333" s="73"/>
      <c r="BA333" s="73"/>
      <c r="BB333" s="73"/>
      <c r="BC333" s="73"/>
      <c r="BD333" s="73"/>
      <c r="BE333" s="73"/>
      <c r="BF333" s="73"/>
      <c r="BG333" s="73"/>
      <c r="BH333" s="73"/>
      <c r="BI333" s="73"/>
      <c r="BJ333" s="73"/>
      <c r="BK333" s="73"/>
      <c r="BL333" s="73"/>
      <c r="BM333" s="73"/>
      <c r="BN333" s="73"/>
      <c r="BO333" s="73"/>
      <c r="BP333" s="73"/>
      <c r="BQ333" s="73"/>
      <c r="BR333" s="73"/>
      <c r="BS333" s="73"/>
      <c r="BT333" s="73"/>
      <c r="BU333" s="73"/>
      <c r="BV333" s="73"/>
      <c r="BW333" s="73"/>
      <c r="BX333" s="1446"/>
      <c r="BY333" s="73"/>
      <c r="BZ333" s="73"/>
      <c r="CA333" s="73"/>
      <c r="CB333" s="73"/>
      <c r="CC333" s="1446"/>
      <c r="CD333" s="73"/>
      <c r="CE333" s="73"/>
      <c r="CF333" s="736"/>
      <c r="CG333" s="777"/>
      <c r="CH333" s="73"/>
      <c r="CI333" s="73"/>
      <c r="CJ333" s="73"/>
      <c r="CK333" s="73"/>
      <c r="CL333" s="777"/>
      <c r="CM333" s="73"/>
      <c r="CN333" s="76"/>
      <c r="CO333" s="76"/>
      <c r="CP333" s="76"/>
      <c r="CQ333" s="777"/>
      <c r="CR333" s="73"/>
      <c r="CS333" s="76"/>
      <c r="CT333" s="76"/>
      <c r="CU333" s="76"/>
      <c r="CV333" s="777"/>
      <c r="CW333" s="73"/>
      <c r="CX333" s="76"/>
      <c r="CY333" s="76"/>
      <c r="CZ333" s="76"/>
      <c r="DA333" s="777"/>
      <c r="DB333" s="73"/>
      <c r="DC333" s="76"/>
      <c r="DD333" s="76"/>
      <c r="DE333" s="76"/>
      <c r="DF333" s="777"/>
      <c r="DG333" s="76"/>
      <c r="DH333" s="76"/>
      <c r="DI333" s="76"/>
      <c r="DJ333" s="76"/>
      <c r="DK333" s="807"/>
      <c r="DL333" s="76"/>
      <c r="DM333" s="76"/>
      <c r="DN333" s="76"/>
      <c r="DO333" s="76"/>
      <c r="DP333" s="807"/>
      <c r="DQ333" s="1436"/>
      <c r="DR333" s="76"/>
      <c r="DS333" s="76"/>
      <c r="DT333" s="1437"/>
      <c r="DU333" s="807"/>
      <c r="DV333" s="1436"/>
      <c r="DW333" s="76"/>
      <c r="DX333" s="76"/>
      <c r="DY333" s="1437"/>
      <c r="DZ333" s="807"/>
      <c r="EA333" s="1436"/>
      <c r="EB333" s="76"/>
      <c r="EC333" s="76"/>
      <c r="ED333" s="1437"/>
      <c r="EE333" s="807"/>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row>
    <row r="334" spans="2:232" s="54" customFormat="1">
      <c r="B334" s="908" t="s">
        <v>243</v>
      </c>
      <c r="C334" s="64"/>
      <c r="D334" s="64"/>
      <c r="E334" s="64"/>
      <c r="F334" s="266">
        <f>AVERAGE(F220,E220)/F402</f>
        <v>5.4290451688716136E-2</v>
      </c>
      <c r="G334" s="266">
        <f>AVERAGE(G220,F220)/G402</f>
        <v>5.1988431779108946E-2</v>
      </c>
      <c r="H334" s="266">
        <f>AVERAGE(H220,G220)/H402</f>
        <v>5.0565652863708038E-2</v>
      </c>
      <c r="I334" s="266">
        <f>AVERAGE(I220,H220)/I402</f>
        <v>5.1976355547354851E-2</v>
      </c>
      <c r="J334" s="266">
        <f>AVERAGE(J220,I220)/J402</f>
        <v>5.4789248699579123E-2</v>
      </c>
      <c r="K334" s="266"/>
      <c r="L334" s="266"/>
      <c r="M334" s="266"/>
      <c r="N334" s="266"/>
      <c r="O334" s="266">
        <f>AVERAGE(O220,J220)/O402</f>
        <v>5.5105027776249565E-2</v>
      </c>
      <c r="P334" s="266"/>
      <c r="Q334" s="266"/>
      <c r="R334" s="266"/>
      <c r="S334" s="266"/>
      <c r="T334" s="266">
        <f>AVERAGE(T220,O220)/T402</f>
        <v>5.6295008996093174E-2</v>
      </c>
      <c r="U334" s="266"/>
      <c r="V334" s="266"/>
      <c r="W334" s="266"/>
      <c r="X334" s="266"/>
      <c r="Y334" s="266">
        <f>AVERAGE(Y220,T220)/Y402</f>
        <v>5.6171079589404808E-2</v>
      </c>
      <c r="Z334" s="266"/>
      <c r="AA334" s="266"/>
      <c r="AB334" s="266"/>
      <c r="AC334" s="266"/>
      <c r="AD334" s="266">
        <f>AVERAGE(AD220,Y220)/AD402</f>
        <v>5.7099272372581118E-2</v>
      </c>
      <c r="AE334" s="266"/>
      <c r="AF334" s="266"/>
      <c r="AG334" s="266"/>
      <c r="AH334" s="266"/>
      <c r="AI334" s="266">
        <f>AVERAGE(AI220,AD220)/AI402</f>
        <v>5.8808689624603311E-2</v>
      </c>
      <c r="AJ334" s="266"/>
      <c r="AK334" s="266"/>
      <c r="AL334" s="266"/>
      <c r="AM334" s="266"/>
      <c r="AN334" s="266">
        <f>AVERAGE(AN220,AI220)/AN402</f>
        <v>5.9107338667099871E-2</v>
      </c>
      <c r="AO334" s="266"/>
      <c r="AP334" s="266"/>
      <c r="AQ334" s="266"/>
      <c r="AR334" s="266"/>
      <c r="AS334" s="266">
        <f>AVERAGE(AS220,AN220)/AS402</f>
        <v>5.8979606779377358E-2</v>
      </c>
      <c r="AT334" s="266"/>
      <c r="AU334" s="266"/>
      <c r="AV334" s="266"/>
      <c r="AW334" s="266"/>
      <c r="AX334" s="266">
        <f>AVERAGE(AX220,AS220)/AX402</f>
        <v>6.5284537338411469E-2</v>
      </c>
      <c r="AY334" s="266"/>
      <c r="AZ334" s="266"/>
      <c r="BA334" s="266"/>
      <c r="BB334" s="266"/>
      <c r="BC334" s="266">
        <f>AVERAGE(BC220,AX220)/BC402</f>
        <v>6.7309281703734125E-2</v>
      </c>
      <c r="BD334" s="266"/>
      <c r="BE334" s="266"/>
      <c r="BF334" s="266"/>
      <c r="BG334" s="266"/>
      <c r="BH334" s="266">
        <f>AVERAGE(BH220,BC220)/BH402</f>
        <v>6.5870725280558082E-2</v>
      </c>
      <c r="BI334" s="266"/>
      <c r="BJ334" s="266"/>
      <c r="BK334" s="266"/>
      <c r="BL334" s="266"/>
      <c r="BM334" s="266">
        <f>AVERAGE(BM220,BH220)/BM402</f>
        <v>7.337636313780084E-2</v>
      </c>
      <c r="BN334" s="266"/>
      <c r="BO334" s="266"/>
      <c r="BP334" s="266"/>
      <c r="BQ334" s="266"/>
      <c r="BR334" s="266">
        <f>AVERAGE(BR220,BM220)/BR402</f>
        <v>7.2286187269818836E-2</v>
      </c>
      <c r="BS334" s="266">
        <f>AVERAGE(BS220,BR220)/BS402/4</f>
        <v>6.9863450694687024E-2</v>
      </c>
      <c r="BT334" s="266">
        <f>AVERAGE(BT220,BS220)/BT402/4</f>
        <v>6.7335613501714991E-2</v>
      </c>
      <c r="BU334" s="266">
        <f>AVERAGE(BU220,BT220)/BU402/4</f>
        <v>6.9582170661374426E-2</v>
      </c>
      <c r="BV334" s="266">
        <f>AVERAGE(BV220,BU220)/BV402/4</f>
        <v>7.2469017818607803E-2</v>
      </c>
      <c r="BW334" s="266">
        <f>AVERAGE(BW220,BR220)/BW402</f>
        <v>6.7949480217432925E-2</v>
      </c>
      <c r="BX334" s="1486">
        <f>AVERAGE(BX220,BW220)/BX402/4</f>
        <v>7.7903592694186119E-2</v>
      </c>
      <c r="BY334" s="266">
        <f>AVERAGE(BY220,BX220)/BY402/4</f>
        <v>7.5569044006069799E-2</v>
      </c>
      <c r="BZ334" s="266">
        <f>AVERAGE(BZ220,BY220)/BZ402/4</f>
        <v>7.3511721159777915E-2</v>
      </c>
      <c r="CA334" s="266">
        <f>AVERAGE(CA220,BZ220)/CA402/4</f>
        <v>7.0902056931796478E-2</v>
      </c>
      <c r="CB334" s="266">
        <f>AVERAGE(CB220,BW220)/CB402</f>
        <v>6.7872424409883947E-2</v>
      </c>
      <c r="CC334" s="1486">
        <f>AVERAGE(CC220,CB220)/CC402/4</f>
        <v>7.14296626741628E-2</v>
      </c>
      <c r="CD334" s="266">
        <f>AVERAGE(CD220,CC220)/CD402/4</f>
        <v>7.1039618531818449E-2</v>
      </c>
      <c r="CE334" s="266">
        <f>AVERAGE(CE220,CD220)/CE402/4</f>
        <v>6.682801325658469E-2</v>
      </c>
      <c r="CF334" s="1487">
        <f>AVERAGE(CF220,CE220)/CF402/4</f>
        <v>6.7938648488441014E-2</v>
      </c>
      <c r="CG334" s="1365">
        <f>AVERAGE(CG220,CB220)/CG402</f>
        <v>6.5952239691486211E-2</v>
      </c>
      <c r="CH334" s="266">
        <f>AVERAGE(CH220,CG220)/CH402/4</f>
        <v>6.875576568265683E-2</v>
      </c>
      <c r="CI334" s="266">
        <f>AVERAGE(CI220,CH220)/CI402/4</f>
        <v>6.6513079667063019E-2</v>
      </c>
      <c r="CJ334" s="266">
        <f>AVERAGE(CJ220,CI220)/CJ402/4</f>
        <v>6.7395623537096508E-2</v>
      </c>
      <c r="CK334" s="266">
        <f>AVERAGE(CK220,CJ220)/CK402/4</f>
        <v>6.8354483219235262E-2</v>
      </c>
      <c r="CL334" s="1365">
        <f>AVERAGE(CL220,CG220)/CL402</f>
        <v>6.5076748309874768E-2</v>
      </c>
      <c r="CM334" s="266">
        <f>AVERAGE(CM220,CL220)/CM402/4</f>
        <v>6.6007600374511213E-2</v>
      </c>
      <c r="CN334" s="266">
        <f>AVERAGE(CN220,CM220)/CN402/4</f>
        <v>6.0191142566082247E-2</v>
      </c>
      <c r="CO334" s="266">
        <f>AVERAGE(CO220,CN220)/CO402/4</f>
        <v>6.0810049571879222E-2</v>
      </c>
      <c r="CP334" s="266">
        <f>AVERAGE(CP220,CO220)/CP402/4</f>
        <v>6.4553681251098227E-2</v>
      </c>
      <c r="CQ334" s="1365">
        <f>AVERAGE(CQ220,CL220)/CQ402</f>
        <v>6.4174333058785754E-2</v>
      </c>
      <c r="CR334" s="266">
        <f>AVERAGE(CR220,CQ220)/CR402/4</f>
        <v>6.6448660198660192E-2</v>
      </c>
      <c r="CS334" s="266">
        <f>AVERAGE(CS220,CR220)/CS402/4</f>
        <v>6.173245026009546E-2</v>
      </c>
      <c r="CT334" s="266">
        <f>AVERAGE(CT220,CS220)/CT402/4</f>
        <v>6.0872058100802706E-2</v>
      </c>
      <c r="CU334" s="266">
        <f>AVERAGE(CU220,CT220)/CU402/4</f>
        <v>6.3855136280028979E-2</v>
      </c>
      <c r="CV334" s="1365">
        <f>AVERAGE(CV220,CQ220)/CV402</f>
        <v>6.2443745932398188E-2</v>
      </c>
      <c r="CW334" s="266">
        <f>AVERAGE(CW220,CV220)/CW402/4</f>
        <v>6.4085602051393964E-2</v>
      </c>
      <c r="CX334" s="266">
        <f>AVERAGE(CX220,CW220)/CX402/4</f>
        <v>5.8977301708747772E-2</v>
      </c>
      <c r="CY334" s="266">
        <f>AVERAGE(CY220,CX220)/CY402/4</f>
        <v>5.6201999896912533E-2</v>
      </c>
      <c r="CZ334" s="266">
        <f>AVERAGE(CZ220,CY220)/CZ402/4</f>
        <v>5.6081754735792619E-2</v>
      </c>
      <c r="DA334" s="1365">
        <f>AVERAGE(DA220,CV220)/DA402</f>
        <v>5.8579432401298565E-2</v>
      </c>
      <c r="DB334" s="266">
        <f>AVERAGE(DB220,DA220)/DB402/4</f>
        <v>6.0754832770788587E-2</v>
      </c>
      <c r="DC334" s="266">
        <f>AVERAGE(DC220,DB220)/DC402/4</f>
        <v>7.2827682233846391E-2</v>
      </c>
      <c r="DD334" s="266">
        <f>AVERAGE(DD220,DC220)/DD402/4</f>
        <v>8.7797360652891121E-2</v>
      </c>
      <c r="DE334" s="266">
        <f>AVERAGE(DE220,DD220)/DE402/4</f>
        <v>8.7739288969917964E-2</v>
      </c>
      <c r="DF334" s="1365">
        <f>AVERAGE(DF220,DA220)/DF402</f>
        <v>6.9617377518270754E-2</v>
      </c>
      <c r="DG334" s="266">
        <f>AVERAGE(DG220,DF220)/DG402/4</f>
        <v>8.9256191230668552E-2</v>
      </c>
      <c r="DH334" s="266">
        <f>AVERAGE(DH220,DG220)/DH402/4</f>
        <v>8.496223164590512E-2</v>
      </c>
      <c r="DI334" s="266">
        <f>AVERAGE(DI220,DH220)/DI402/4</f>
        <v>8.5641399416909625E-2</v>
      </c>
      <c r="DJ334" s="266">
        <f>AVERAGE(DJ220,DI220)/DJ402/4</f>
        <v>9.3138881128649251E-2</v>
      </c>
      <c r="DK334" s="1365">
        <f>AVERAGE(DK220,DF220)/DK402</f>
        <v>8.9850107796269313E-2</v>
      </c>
      <c r="DL334" s="266">
        <f>AVERAGE(DL220,DK220)/DL402/4</f>
        <v>9.8119364232833933E-2</v>
      </c>
      <c r="DM334" s="266">
        <f>AVERAGE(DM220,DL220)/DM402/4</f>
        <v>9.6091149901514641E-2</v>
      </c>
      <c r="DN334" s="266">
        <f>AVERAGE(DN220,DM220)/DN402/4</f>
        <v>9.45945945945946E-2</v>
      </c>
      <c r="DO334" s="266">
        <f>AVERAGE(DO220,DN220)/DO402/4</f>
        <v>9.9597001558924009E-2</v>
      </c>
      <c r="DP334" s="1365">
        <f>AVERAGE(DP220,DK220)/DP402</f>
        <v>9.9370632919958721E-2</v>
      </c>
      <c r="DQ334" s="1486">
        <f>AVERAGE(DQ220,DP220)/DQ402/4</f>
        <v>0.10598568640208197</v>
      </c>
      <c r="DR334" s="266">
        <f ca="1">AVERAGE(DR220,DQ220)/DR402/4</f>
        <v>9.7912753879085573E-2</v>
      </c>
      <c r="DS334" s="266">
        <f ca="1">AVERAGE(DS220,DR220)/DS402/4</f>
        <v>9.3606278994744649E-2</v>
      </c>
      <c r="DT334" s="1487">
        <f ca="1">AVERAGE(DT220,DS220)/DT402/4</f>
        <v>9.8206443362661294E-2</v>
      </c>
      <c r="DU334" s="1365">
        <f ca="1">AVERAGE(DU220,DP220)/DU402</f>
        <v>9.9022002262656186E-2</v>
      </c>
      <c r="DV334" s="1486">
        <f>AVERAGE(DV220,DU220)/DV402/4</f>
        <v>0.10487088102463533</v>
      </c>
      <c r="DW334" s="266">
        <f ca="1">AVERAGE(DW220,DV220)/DW402/4</f>
        <v>9.9680880247116285E-2</v>
      </c>
      <c r="DX334" s="266">
        <f ca="1">AVERAGE(DX220,DW220)/DX402/4</f>
        <v>9.3812068473173929E-2</v>
      </c>
      <c r="DY334" s="1487">
        <f ca="1">AVERAGE(DY220,DX220)/DY402/4</f>
        <v>9.7913771756955231E-2</v>
      </c>
      <c r="DZ334" s="1365">
        <f ca="1">AVERAGE(DZ220,DU220)/DZ402</f>
        <v>0.10027748732530077</v>
      </c>
      <c r="EA334" s="1486">
        <f>AVERAGE(EA220,DZ220)/EA402/4</f>
        <v>0.10446100257897119</v>
      </c>
      <c r="EB334" s="266">
        <f ca="1">AVERAGE(EB220,EA220)/EB402/4</f>
        <v>9.9564276766728049E-2</v>
      </c>
      <c r="EC334" s="266">
        <f ca="1">AVERAGE(EC220,EB220)/EC402/4</f>
        <v>9.3661707863155474E-2</v>
      </c>
      <c r="ED334" s="1487">
        <f ca="1">AVERAGE(ED220,EC220)/ED402/4</f>
        <v>9.641804470410896E-2</v>
      </c>
      <c r="EE334" s="1365">
        <f ca="1">AVERAGE(EE220,DZ220)/EE402</f>
        <v>9.862810454068642E-2</v>
      </c>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row>
    <row r="335" spans="2:232" s="54" customFormat="1">
      <c r="B335" s="908" t="s">
        <v>366</v>
      </c>
      <c r="C335" s="64"/>
      <c r="D335" s="64"/>
      <c r="E335" s="64"/>
      <c r="F335" s="266">
        <f>AVERAGE(F220,E220)/AVERAGE(F204,E204)</f>
        <v>0.40081360095175961</v>
      </c>
      <c r="G335" s="266">
        <f>AVERAGE(G220,F220)/AVERAGE(G204,F204)</f>
        <v>0.40774215006796372</v>
      </c>
      <c r="H335" s="266">
        <f>AVERAGE(H220,G220)/AVERAGE(H204,G204)</f>
        <v>0.40171764909829166</v>
      </c>
      <c r="I335" s="266">
        <f>AVERAGE(I220,H220)/AVERAGE(I204,H204)</f>
        <v>0.4072226805829216</v>
      </c>
      <c r="J335" s="266">
        <f>AVERAGE(J220,I220)/AVERAGE(J204,I204)</f>
        <v>0.41919808808879178</v>
      </c>
      <c r="K335" s="266"/>
      <c r="L335" s="266"/>
      <c r="M335" s="266"/>
      <c r="N335" s="266"/>
      <c r="O335" s="266">
        <f>AVERAGE(O220,J220)/AVERAGE(O204,J204)</f>
        <v>0.42066104855866532</v>
      </c>
      <c r="P335" s="266"/>
      <c r="Q335" s="266"/>
      <c r="R335" s="266"/>
      <c r="S335" s="266"/>
      <c r="T335" s="266">
        <f>AVERAGE(T220,O220)/AVERAGE(T204,O204)</f>
        <v>0.44716101735214542</v>
      </c>
      <c r="U335" s="266"/>
      <c r="V335" s="266"/>
      <c r="W335" s="266"/>
      <c r="X335" s="266"/>
      <c r="Y335" s="266">
        <f>AVERAGE(Y220,T220)/AVERAGE(Y204,T204)</f>
        <v>0.45739051747733162</v>
      </c>
      <c r="Z335" s="266"/>
      <c r="AA335" s="266"/>
      <c r="AB335" s="266"/>
      <c r="AC335" s="266"/>
      <c r="AD335" s="266">
        <f>AVERAGE(AD220,Y220)/AVERAGE(AD204,Y204)</f>
        <v>0.45376767061407369</v>
      </c>
      <c r="AE335" s="266"/>
      <c r="AF335" s="266"/>
      <c r="AG335" s="266"/>
      <c r="AH335" s="266"/>
      <c r="AI335" s="266">
        <f>AVERAGE(AI220,AD220)/AVERAGE(AI204,AD204)</f>
        <v>0.47120943061170523</v>
      </c>
      <c r="AJ335" s="266"/>
      <c r="AK335" s="266"/>
      <c r="AL335" s="266"/>
      <c r="AM335" s="266"/>
      <c r="AN335" s="266">
        <f>AVERAGE(AN220,AI220)/AVERAGE(AN204,AI204)</f>
        <v>0.46106570360514476</v>
      </c>
      <c r="AO335" s="266"/>
      <c r="AP335" s="266"/>
      <c r="AQ335" s="266"/>
      <c r="AR335" s="266"/>
      <c r="AS335" s="266">
        <f>AVERAGE(AS220,AN220)/AVERAGE(AS204,AN204)</f>
        <v>0.47466187777091862</v>
      </c>
      <c r="AT335" s="266"/>
      <c r="AU335" s="266"/>
      <c r="AV335" s="266"/>
      <c r="AW335" s="266"/>
      <c r="AX335" s="266">
        <f>AVERAGE(AX220,AS220)/AVERAGE(AX204,AS204)</f>
        <v>0.54080709489162715</v>
      </c>
      <c r="AY335" s="266"/>
      <c r="AZ335" s="266"/>
      <c r="BA335" s="266"/>
      <c r="BB335" s="266"/>
      <c r="BC335" s="266">
        <f>AVERAGE(BC220,AX220)/AVERAGE(BC204,AX204)</f>
        <v>0.56471654010043293</v>
      </c>
      <c r="BD335" s="266"/>
      <c r="BE335" s="266"/>
      <c r="BF335" s="266"/>
      <c r="BG335" s="266"/>
      <c r="BH335" s="266">
        <f>AVERAGE(BH220,BC220)/AVERAGE(BH204,BC204)</f>
        <v>0.53814137620628577</v>
      </c>
      <c r="BI335" s="266"/>
      <c r="BJ335" s="266"/>
      <c r="BK335" s="266"/>
      <c r="BL335" s="266"/>
      <c r="BM335" s="266">
        <f>AVERAGE(BM220,BH220)/AVERAGE(BM204,BH204)</f>
        <v>0.59755563380886534</v>
      </c>
      <c r="BN335" s="266"/>
      <c r="BO335" s="266"/>
      <c r="BP335" s="266"/>
      <c r="BQ335" s="266"/>
      <c r="BR335" s="266">
        <f>AVERAGE(BR220,BM220)/AVERAGE(BR204,BM204)</f>
        <v>0.60529246392386826</v>
      </c>
      <c r="BS335" s="266">
        <f>AVERAGE(BS220,BR220)/AVERAGE(BS204,BR204)/4</f>
        <v>0.13665249067521873</v>
      </c>
      <c r="BT335" s="266">
        <f>AVERAGE(BT220,BS220)/AVERAGE(BT204,BS204)/4</f>
        <v>0.13931300274852659</v>
      </c>
      <c r="BU335" s="266">
        <f>AVERAGE(BU220,BT220)/AVERAGE(BU204,BT204)/4</f>
        <v>0.14520029183893271</v>
      </c>
      <c r="BV335" s="266">
        <f>AVERAGE(BV220,BU220)/AVERAGE(BV204,BU204)/4</f>
        <v>0.1478169889888771</v>
      </c>
      <c r="BW335" s="266">
        <f>AVERAGE(BW220,BR220)/AVERAGE(BW204,BR204)</f>
        <v>0.57143772926386271</v>
      </c>
      <c r="BX335" s="1486">
        <f>AVERAGE(BX220,BW220)/AVERAGE(BX204,BW204)/4</f>
        <v>0.14979417250916574</v>
      </c>
      <c r="BY335" s="266">
        <f>AVERAGE(BY220,BX220)/AVERAGE(BY204,BX204)/4</f>
        <v>0.15678126180581792</v>
      </c>
      <c r="BZ335" s="266">
        <f>AVERAGE(BZ220,BY220)/AVERAGE(BZ204,BY204)/4</f>
        <v>0.16464594127806564</v>
      </c>
      <c r="CA335" s="266">
        <f>AVERAGE(CA220,BZ220)/AVERAGE(CA204,BZ204)/4</f>
        <v>0.16277055327734041</v>
      </c>
      <c r="CB335" s="266">
        <f>AVERAGE(CB220,BW220)/AVERAGE(CB204,BW204)</f>
        <v>0.6124245813239495</v>
      </c>
      <c r="CC335" s="1486">
        <f>AVERAGE(CC220,CB220)/AVERAGE(CC204,CB204)/4</f>
        <v>0.16389965856428737</v>
      </c>
      <c r="CD335" s="266">
        <f>AVERAGE(CD220,CC220)/AVERAGE(CD204,CC204)/4</f>
        <v>0.16447458089137248</v>
      </c>
      <c r="CE335" s="266">
        <f>AVERAGE(CE220,CD220)/AVERAGE(CE204,CD204)/4</f>
        <v>0.16063941299790357</v>
      </c>
      <c r="CF335" s="1487">
        <f>AVERAGE(CF220,CE220)/AVERAGE(CF204,CE204)/4</f>
        <v>0.15821714522363337</v>
      </c>
      <c r="CG335" s="1365">
        <f>AVERAGE(CG220,CB220)/AVERAGE(CG204,CB204)</f>
        <v>0.62771311400196228</v>
      </c>
      <c r="CH335" s="266">
        <f>AVERAGE(CH220,CG220)/AVERAGE(CH204,CG204)/4</f>
        <v>0.1560149146333486</v>
      </c>
      <c r="CI335" s="266">
        <f>AVERAGE(CI220,CH220)/AVERAGE(CI204,CH204)/4</f>
        <v>0.1586265790152101</v>
      </c>
      <c r="CJ335" s="266">
        <f>AVERAGE(CJ220,CI220)/AVERAGE(CJ204,CI204)/4</f>
        <v>0.16335180420872089</v>
      </c>
      <c r="CK335" s="266">
        <f>AVERAGE(CK220,CJ220)/AVERAGE(CK204,CJ204)/4</f>
        <v>0.15749230571941522</v>
      </c>
      <c r="CL335" s="1365">
        <f>AVERAGE(CL220,CG220)/AVERAGE(CL204,CG204)</f>
        <v>0.60919465698353004</v>
      </c>
      <c r="CM335" s="266">
        <f>AVERAGE(CM220,CL220)/AVERAGE(CM204,CL204)/4</f>
        <v>0.14728110599078342</v>
      </c>
      <c r="CN335" s="266">
        <f>AVERAGE(CN220,CM220)/AVERAGE(CN204,CM204)/4</f>
        <v>0.14412954166131725</v>
      </c>
      <c r="CO335" s="266">
        <f>AVERAGE(CO220,CN220)/AVERAGE(CO204,CN204)/4</f>
        <v>0.15044247787610621</v>
      </c>
      <c r="CP335" s="266">
        <f>AVERAGE(CP220,CO220)/AVERAGE(CP204,CO204)/4</f>
        <v>0.15699786324786325</v>
      </c>
      <c r="CQ335" s="1365">
        <f>AVERAGE(CQ220,CL220)/AVERAGE(CQ204,CL204)</f>
        <v>0.60968169761273205</v>
      </c>
      <c r="CR335" s="266">
        <f>AVERAGE(CR220,CQ220)/AVERAGE(CR204,CQ204)</f>
        <v>0.61957326512754929</v>
      </c>
      <c r="CS335" s="266">
        <f>AVERAGE(CS220,CR220)/AVERAGE(CS204,CR204)</f>
        <v>0.61091946397770991</v>
      </c>
      <c r="CT335" s="266">
        <f>AVERAGE(CT220,CS220)/AVERAGE(CT204,CS204)</f>
        <v>0.63096080373567287</v>
      </c>
      <c r="CU335" s="266">
        <f>AVERAGE(CU220,CT220)/AVERAGE(CU204,CT204)</f>
        <v>0.66737056724677779</v>
      </c>
      <c r="CV335" s="1365">
        <f>AVERAGE(CV220,CQ220)/AVERAGE(CV204,CQ204)</f>
        <v>0.64940956221198154</v>
      </c>
      <c r="CW335" s="266">
        <f>AVERAGE(CW220,CV220)/AVERAGE(CW204,CV204)</f>
        <v>0.64446882929840199</v>
      </c>
      <c r="CX335" s="266">
        <f>AVERAGE(CX220,CW220)/AVERAGE(CX204,CW204)/4</f>
        <v>0.15476509168785973</v>
      </c>
      <c r="CY335" s="266">
        <f>AVERAGE(CY220,CX220)/AVERAGE(CY204,CX204)/4</f>
        <v>0.15973849985350133</v>
      </c>
      <c r="CZ335" s="266">
        <f>AVERAGE(CZ220,CY220)/AVERAGE(CZ204,CY204)/4</f>
        <v>0.17079504594486616</v>
      </c>
      <c r="DA335" s="1365">
        <f>AVERAGE(DA220,CV220)/AVERAGE(DA204,CV204)</f>
        <v>0.69229579207920788</v>
      </c>
      <c r="DB335" s="266">
        <f>AVERAGE(DB220,DA220)/AVERAGE(DB204,DA204)/4</f>
        <v>0.18866126727012864</v>
      </c>
      <c r="DC335" s="266">
        <f>AVERAGE(DC220,DB220)/AVERAGE(DC204,DB204)/4</f>
        <v>0.24347361137321508</v>
      </c>
      <c r="DD335" s="266">
        <f>AVERAGE(DD220,DC220)/AVERAGE(DD204,DC204)/4</f>
        <v>0.27868875048227965</v>
      </c>
      <c r="DE335" s="266">
        <f>AVERAGE(DE220,DD220)/AVERAGE(DE204,DD204)/4</f>
        <v>0.28695103772503155</v>
      </c>
      <c r="DF335" s="1365">
        <f>AVERAGE(DF220,DA220)/AVERAGE(DF204,DA204)</f>
        <v>0.97620984139894262</v>
      </c>
      <c r="DG335" s="266">
        <f>AVERAGE(DG220,DF220)/AVERAGE(DG204,DF204)/4</f>
        <v>0.27921290809180044</v>
      </c>
      <c r="DH335" s="266">
        <f>AVERAGE(DH220,DG220)/AVERAGE(DH204,DG204)/4</f>
        <v>0.2712464963773864</v>
      </c>
      <c r="DI335" s="266">
        <f>AVERAGE(DI220,DH220)/AVERAGE(DI204,DH204)/4</f>
        <v>0.28138226776564934</v>
      </c>
      <c r="DJ335" s="266">
        <f>AVERAGE(DJ220,DI220)/AVERAGE(DJ204,DI204)/4</f>
        <v>0.29821937720131941</v>
      </c>
      <c r="DK335" s="1365">
        <f>AVERAGE(DK220,DF220)/AVERAGE(DK204,DF204)</f>
        <v>1.1958716116592945</v>
      </c>
      <c r="DL335" s="266">
        <f>AVERAGE(DL220,DK220)/AVERAGE(DL204,DK204)/4</f>
        <v>0.29444590681758359</v>
      </c>
      <c r="DM335" s="266">
        <f>AVERAGE(DM220,DL220)/AVERAGE(DM204,DL204)/4</f>
        <v>0.29368415589807462</v>
      </c>
      <c r="DN335" s="266">
        <f t="shared" ref="DN335:DQ335" si="855">AVERAGE(DN220,DM220)/AVERAGE(DN204,DM204)/4</f>
        <v>0.3181285243704986</v>
      </c>
      <c r="DO335" s="266">
        <f t="shared" si="855"/>
        <v>0.34160978384527874</v>
      </c>
      <c r="DP335" s="1365">
        <f>AVERAGE(DP220,DK220)/AVERAGE(DP204,DK204)</f>
        <v>1.3158218986278354</v>
      </c>
      <c r="DQ335" s="1486">
        <f t="shared" si="855"/>
        <v>0.34459781056639693</v>
      </c>
      <c r="DR335" s="266">
        <f ca="1">AVERAGE(DR220,DQ220)/AVERAGE(DR204,DQ204)/4</f>
        <v>0.32603988579673399</v>
      </c>
      <c r="DS335" s="266">
        <f ca="1">AVERAGE(DS220,DR220)/AVERAGE(DS204,DR204)/4</f>
        <v>0.32701234421731706</v>
      </c>
      <c r="DT335" s="1487">
        <f ca="1">AVERAGE(DT220,DS220)/AVERAGE(DT204,DS204)/4</f>
        <v>0.35173916438985625</v>
      </c>
      <c r="DU335" s="1365">
        <f>AVERAGE(DU220,DP220)/AVERAGE(DU204,DP204)</f>
        <v>1.4250855394052873</v>
      </c>
      <c r="DV335" s="1486">
        <f>AVERAGE(DV220,DU220)/AVERAGE(DV204,DU204)/4</f>
        <v>0.35428782423723015</v>
      </c>
      <c r="DW335" s="266">
        <f ca="1">AVERAGE(DW220,DV220)/AVERAGE(DW204,DV204)/4</f>
        <v>0.33515624766686891</v>
      </c>
      <c r="DX335" s="266">
        <f ca="1">AVERAGE(DX220,DW220)/AVERAGE(DX204,DW204)/4</f>
        <v>0.3365621772605813</v>
      </c>
      <c r="DY335" s="1487">
        <f ca="1">AVERAGE(DY220,DX220)/AVERAGE(DY204,DX204)/4</f>
        <v>0.36254043969614147</v>
      </c>
      <c r="DZ335" s="1365">
        <f>AVERAGE(DZ220,DU220)/AVERAGE(DZ204,DU204)</f>
        <v>1.466757443025938</v>
      </c>
      <c r="EA335" s="1486">
        <f>AVERAGE(EA220,DZ220)/AVERAGE(EA204,DZ204)/4</f>
        <v>0.36444968015410822</v>
      </c>
      <c r="EB335" s="266">
        <f ca="1">AVERAGE(EB220,EA220)/AVERAGE(EB204,EA204)/4</f>
        <v>0.34453644723312254</v>
      </c>
      <c r="EC335" s="266">
        <f ca="1">AVERAGE(EC220,EB220)/AVERAGE(EC204,EB204)/4</f>
        <v>0.34677325771143286</v>
      </c>
      <c r="ED335" s="1487">
        <f ca="1">AVERAGE(ED220,EC220)/AVERAGE(ED204,EC204)/4</f>
        <v>0.36893303117352549</v>
      </c>
      <c r="EE335" s="1365">
        <f>AVERAGE(EE220,DZ220)/AVERAGE(EE204,DZ204)</f>
        <v>1.4917118852519768</v>
      </c>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row>
    <row r="336" spans="2:232" s="54" customFormat="1">
      <c r="B336" s="909" t="s">
        <v>367</v>
      </c>
      <c r="C336" s="64"/>
      <c r="D336" s="64"/>
      <c r="E336" s="64"/>
      <c r="F336" s="266">
        <f>AVERAGE(F220,E220)/F403</f>
        <v>7.6330713245510759E-2</v>
      </c>
      <c r="G336" s="266">
        <f>AVERAGE(G220,F220)/G403</f>
        <v>7.2735210305409581E-2</v>
      </c>
      <c r="H336" s="266">
        <f>AVERAGE(H220,G220)/H403</f>
        <v>7.0720353350539306E-2</v>
      </c>
      <c r="I336" s="266">
        <f>AVERAGE(I220,H220)/I403</f>
        <v>7.2624562721154792E-2</v>
      </c>
      <c r="J336" s="266">
        <f>AVERAGE(J220,I220)/J403</f>
        <v>7.6336926080286957E-2</v>
      </c>
      <c r="K336" s="266"/>
      <c r="L336" s="266"/>
      <c r="M336" s="266"/>
      <c r="N336" s="266"/>
      <c r="O336" s="266">
        <f>AVERAGE(O220,J220)/O403</f>
        <v>7.6263381645849754E-2</v>
      </c>
      <c r="P336" s="266"/>
      <c r="Q336" s="266"/>
      <c r="R336" s="266"/>
      <c r="S336" s="266"/>
      <c r="T336" s="266">
        <f>AVERAGE(T220,O220)/T403</f>
        <v>7.7832161306048947E-2</v>
      </c>
      <c r="U336" s="266"/>
      <c r="V336" s="266"/>
      <c r="W336" s="266"/>
      <c r="X336" s="266"/>
      <c r="Y336" s="266">
        <f>AVERAGE(Y220,T220)/Y403</f>
        <v>7.7507698385031673E-2</v>
      </c>
      <c r="Z336" s="266"/>
      <c r="AA336" s="266"/>
      <c r="AB336" s="266"/>
      <c r="AC336" s="266"/>
      <c r="AD336" s="266">
        <f>AVERAGE(AD220,Y220)/AD403</f>
        <v>7.8481692940686978E-2</v>
      </c>
      <c r="AE336" s="266"/>
      <c r="AF336" s="266"/>
      <c r="AG336" s="266"/>
      <c r="AH336" s="266"/>
      <c r="AI336" s="266">
        <f>AVERAGE(AI220,AD220)/AI403</f>
        <v>8.0730565822776615E-2</v>
      </c>
      <c r="AJ336" s="266"/>
      <c r="AK336" s="266"/>
      <c r="AL336" s="266"/>
      <c r="AM336" s="266"/>
      <c r="AN336" s="266">
        <f>AVERAGE(AN220,AI220)/AN403</f>
        <v>8.0636493082680935E-2</v>
      </c>
      <c r="AO336" s="266"/>
      <c r="AP336" s="266"/>
      <c r="AQ336" s="266"/>
      <c r="AR336" s="266"/>
      <c r="AS336" s="266">
        <f>AVERAGE(AS220,AN220)/AS403</f>
        <v>8.0261528461147938E-2</v>
      </c>
      <c r="AT336" s="266"/>
      <c r="AU336" s="266"/>
      <c r="AV336" s="266"/>
      <c r="AW336" s="266"/>
      <c r="AX336" s="266">
        <f>AVERAGE(AX220,AS220)/AX403</f>
        <v>8.9516666526056485E-2</v>
      </c>
      <c r="AY336" s="266"/>
      <c r="AZ336" s="266"/>
      <c r="BA336" s="266"/>
      <c r="BB336" s="266"/>
      <c r="BC336" s="266">
        <f>AVERAGE(BC220,AX220)/BC403</f>
        <v>9.2442805671099651E-2</v>
      </c>
      <c r="BD336" s="266"/>
      <c r="BE336" s="266"/>
      <c r="BF336" s="266"/>
      <c r="BG336" s="266"/>
      <c r="BH336" s="266">
        <f>AVERAGE(BH220,BC220)/BH403</f>
        <v>9.1400942992983444E-2</v>
      </c>
      <c r="BI336" s="266"/>
      <c r="BJ336" s="266"/>
      <c r="BK336" s="266"/>
      <c r="BL336" s="266"/>
      <c r="BM336" s="266">
        <f>AVERAGE(BM220,BH220)/BM403</f>
        <v>0.10159635985560918</v>
      </c>
      <c r="BN336" s="266"/>
      <c r="BO336" s="266"/>
      <c r="BP336" s="266"/>
      <c r="BQ336" s="266"/>
      <c r="BR336" s="266">
        <f>AVERAGE(BR220,BM220)/BR403</f>
        <v>0.10089412509962847</v>
      </c>
      <c r="BS336" s="266">
        <f>AVERAGE(BS220,BR220)/BS403/4</f>
        <v>9.6966211536558822E-2</v>
      </c>
      <c r="BT336" s="266">
        <f>AVERAGE(BT220,BS220)/BT403/4</f>
        <v>9.4643672388604813E-2</v>
      </c>
      <c r="BU336" s="266">
        <f>AVERAGE(BU220,BT220)/BU403/4</f>
        <v>9.7012534818941509E-2</v>
      </c>
      <c r="BV336" s="266">
        <f>AVERAGE(BV220,BU220)/BV403/4</f>
        <v>0.10015029585798818</v>
      </c>
      <c r="BW336" s="266">
        <f>AVERAGE(BW220,BR220)/BW403</f>
        <v>9.4626281212035424E-2</v>
      </c>
      <c r="BX336" s="1486">
        <f>AVERAGE(BX220,BW220)/BX403/4</f>
        <v>0.10785707669507225</v>
      </c>
      <c r="BY336" s="266">
        <f>AVERAGE(BY220,BX220)/BY403/4</f>
        <v>0.1053477745811474</v>
      </c>
      <c r="BZ336" s="266">
        <f>AVERAGE(BZ220,BY220)/BZ403/4</f>
        <v>0.1014062632967407</v>
      </c>
      <c r="CA336" s="266">
        <f>AVERAGE(CA220,BZ220)/CA403/4</f>
        <v>9.8034252003169856E-2</v>
      </c>
      <c r="CB336" s="266">
        <f>AVERAGE(CB220,BW220)/CB403</f>
        <v>9.4018196929268188E-2</v>
      </c>
      <c r="CC336" s="1486">
        <f>AVERAGE(CC220,CB220)/CC403/4</f>
        <v>9.8839421613394221E-2</v>
      </c>
      <c r="CD336" s="266">
        <f>AVERAGE(CD220,CC220)/CD403/4</f>
        <v>9.9813895781637713E-2</v>
      </c>
      <c r="CE336" s="266">
        <f>AVERAGE(CE220,CD220)/CE403/4</f>
        <v>9.2319277108433739E-2</v>
      </c>
      <c r="CF336" s="1487">
        <f>AVERAGE(CF220,CE220)/CF403/4</f>
        <v>9.4893608213280342E-2</v>
      </c>
      <c r="CG336" s="1365">
        <f>AVERAGE(CG220,CB220)/CG403</f>
        <v>9.1786392535711331E-2</v>
      </c>
      <c r="CH336" s="266">
        <f>AVERAGE(CH220,CG220)/CH403/4</f>
        <v>9.6177111057343334E-2</v>
      </c>
      <c r="CI336" s="266">
        <f>AVERAGE(CI220,CH220)/CI403/4</f>
        <v>9.3384808013355594E-2</v>
      </c>
      <c r="CJ336" s="266">
        <f>AVERAGE(CJ220,CI220)/CJ403/4</f>
        <v>9.367670424453356E-2</v>
      </c>
      <c r="CK336" s="266">
        <f>AVERAGE(CK220,CJ220)/CK403/4</f>
        <v>9.5218250891611109E-2</v>
      </c>
      <c r="CL336" s="1365">
        <f>AVERAGE(CL220,CG220)/CL403</f>
        <v>9.0874796873790922E-2</v>
      </c>
      <c r="CM336" s="266">
        <f>AVERAGE(CM220,CL220)/CM403/4</f>
        <v>9.1817972879797746E-2</v>
      </c>
      <c r="CN336" s="266">
        <f>AVERAGE(CN220,CM220)/CN403/4</f>
        <v>8.4649751168752826E-2</v>
      </c>
      <c r="CO336" s="266">
        <f>AVERAGE(CO220,CN220)/CO403/4</f>
        <v>8.4746428010676722E-2</v>
      </c>
      <c r="CP336" s="266">
        <f>AVERAGE(CP220,CO220)/CP403/4</f>
        <v>9.0057607452198069E-2</v>
      </c>
      <c r="CQ336" s="1365">
        <f>AVERAGE(CQ220,CL220)/CQ403</f>
        <v>8.9625860287379858E-2</v>
      </c>
      <c r="CR336" s="266">
        <f>AVERAGE(CR220,CQ220)/CR403/4</f>
        <v>9.4182286977162966E-2</v>
      </c>
      <c r="CS336" s="266">
        <f>AVERAGE(CS220,CR220)/CS403/4</f>
        <v>8.8276457055214724E-2</v>
      </c>
      <c r="CT336" s="266">
        <f>AVERAGE(CT220,CS220)/CT403/4</f>
        <v>8.5153922542204566E-2</v>
      </c>
      <c r="CU336" s="266">
        <f>AVERAGE(CU220,CT220)/CU403/4</f>
        <v>8.9852941176470594E-2</v>
      </c>
      <c r="CV336" s="1365">
        <f>AVERAGE(CV220,CQ220)/CV403</f>
        <v>8.8251986379114647E-2</v>
      </c>
      <c r="CW336" s="266">
        <f>AVERAGE(CW220,CV220)/CW403/4</f>
        <v>8.9142065720573732E-2</v>
      </c>
      <c r="CX336" s="266">
        <f>AVERAGE(CX220,CW220)/CX403/4</f>
        <v>8.2855607309208171E-2</v>
      </c>
      <c r="CY336" s="266">
        <f>AVERAGE(CY220,CX220)/CY403/4</f>
        <v>7.8101497027433561E-2</v>
      </c>
      <c r="CZ336" s="266">
        <f>AVERAGE(CZ220,CY220)/CZ403/4</f>
        <v>7.784049526584122E-2</v>
      </c>
      <c r="DA336" s="1365">
        <f>AVERAGE(DA220,CV220)/DA403</f>
        <v>8.1626324717727961E-2</v>
      </c>
      <c r="DB336" s="266">
        <f>AVERAGE(DB220,DA220)/DB403/4</f>
        <v>8.332164398933932E-2</v>
      </c>
      <c r="DC336" s="266">
        <f>AVERAGE(DC220,DB220)/DC403/4</f>
        <v>9.8280940531207145E-2</v>
      </c>
      <c r="DD336" s="266">
        <f>AVERAGE(DD220,DC220)/DD403/4</f>
        <v>0.11861335272590785</v>
      </c>
      <c r="DE336" s="266">
        <f>AVERAGE(DE220,DD220)/DE403/4</f>
        <v>0.11772592557745684</v>
      </c>
      <c r="DF336" s="1365">
        <f>AVERAGE(DF220,DA220)/DF403</f>
        <v>9.4112650287506538E-2</v>
      </c>
      <c r="DG336" s="266">
        <f>AVERAGE(DG220,DF220)/DG403/4</f>
        <v>0.12035553388138033</v>
      </c>
      <c r="DH336" s="266">
        <f>AVERAGE(DH220,DG220)/DH403/4</f>
        <v>0.11531025179856115</v>
      </c>
      <c r="DI336" s="266">
        <f>AVERAGE(DI220,DH220)/DI403/4</f>
        <v>0.11482432616699241</v>
      </c>
      <c r="DJ336" s="266">
        <f>AVERAGE(DJ220,DI220)/DJ403/4</f>
        <v>0.12416205018388343</v>
      </c>
      <c r="DK336" s="1365">
        <f>AVERAGE(DK220,DF220)/DK403</f>
        <v>0.12084398244186446</v>
      </c>
      <c r="DL336" s="266">
        <f>AVERAGE(DL220,DK220)/DL403/4</f>
        <v>0.13076923076923078</v>
      </c>
      <c r="DM336" s="266">
        <f>AVERAGE(DM220,DL220)/DM403/4</f>
        <v>0.1292894676719214</v>
      </c>
      <c r="DN336" s="266">
        <f>AVERAGE(DN220,DM220)/DN403/4</f>
        <v>0.12401514821747268</v>
      </c>
      <c r="DO336" s="266">
        <f>AVERAGE(DO220,DN220)/DO403/4</f>
        <v>0.13164759524749003</v>
      </c>
      <c r="DP336" s="1365">
        <f>AVERAGE(DP220,DK220)/DP403</f>
        <v>0.13191169204509726</v>
      </c>
      <c r="DQ336" s="1486">
        <f>AVERAGE(DQ220,DP220)/DQ403/4</f>
        <v>0.13923671951792813</v>
      </c>
      <c r="DR336" s="266">
        <f ca="1">AVERAGE(DR220,DQ220)/DR403/4</f>
        <v>0.13006533377034443</v>
      </c>
      <c r="DS336" s="266">
        <f ca="1">AVERAGE(DS220,DR220)/DS403/4</f>
        <v>0.12320964230597774</v>
      </c>
      <c r="DT336" s="1487">
        <f ca="1">AVERAGE(DT220,DS220)/DT403/4</f>
        <v>0.12942994937169591</v>
      </c>
      <c r="DU336" s="1365">
        <f ca="1">AVERAGE(DU220,DP220)/DU403</f>
        <v>0.130626199095773</v>
      </c>
      <c r="DV336" s="1486">
        <f>AVERAGE(DV220,DU220)/DV403/4</f>
        <v>0.13764482454403545</v>
      </c>
      <c r="DW336" s="266">
        <f ca="1">AVERAGE(DW220,DV220)/DW403/4</f>
        <v>0.13254207179264313</v>
      </c>
      <c r="DX336" s="266">
        <f ca="1">AVERAGE(DX220,DW220)/DX403/4</f>
        <v>0.12384204322150683</v>
      </c>
      <c r="DY336" s="1487">
        <f ca="1">AVERAGE(DY220,DX220)/DY403/4</f>
        <v>0.12946413870780119</v>
      </c>
      <c r="DZ336" s="1365">
        <f ca="1">AVERAGE(DZ220,DU220)/DZ403</f>
        <v>0.13248299957747914</v>
      </c>
      <c r="EA336" s="1486">
        <f>AVERAGE(EA220,DZ220)/EA403/4</f>
        <v>0.13736106085958474</v>
      </c>
      <c r="EB336" s="266">
        <f ca="1">AVERAGE(EB220,EA220)/EB403/4</f>
        <v>0.13252026448950191</v>
      </c>
      <c r="EC336" s="266">
        <f ca="1">AVERAGE(EC220,EB220)/EC403/4</f>
        <v>0.123805201726922</v>
      </c>
      <c r="ED336" s="1487">
        <f ca="1">AVERAGE(ED220,EC220)/ED403/4</f>
        <v>0.12762556723482235</v>
      </c>
      <c r="EE336" s="1365">
        <f ca="1">AVERAGE(EE220,DZ220)/EE403</f>
        <v>0.13047486022046365</v>
      </c>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row>
    <row r="337" spans="2:232" s="54" customFormat="1">
      <c r="B337" s="908"/>
      <c r="C337" s="64"/>
      <c r="D337" s="64"/>
      <c r="E337" s="64"/>
      <c r="F337" s="73"/>
      <c r="G337" s="73"/>
      <c r="H337" s="73"/>
      <c r="I337" s="73"/>
      <c r="J337" s="73"/>
      <c r="K337" s="73"/>
      <c r="L337" s="73"/>
      <c r="M337" s="73"/>
      <c r="N337" s="73"/>
      <c r="O337" s="73"/>
      <c r="P337" s="73"/>
      <c r="Q337" s="73"/>
      <c r="R337" s="73"/>
      <c r="S337" s="73"/>
      <c r="T337" s="73"/>
      <c r="U337" s="73"/>
      <c r="V337" s="73"/>
      <c r="W337" s="73"/>
      <c r="X337" s="73"/>
      <c r="Y337" s="73"/>
      <c r="Z337" s="73"/>
      <c r="AA337" s="73"/>
      <c r="AB337" s="73"/>
      <c r="AC337" s="73"/>
      <c r="AD337" s="73"/>
      <c r="AE337" s="73"/>
      <c r="AF337" s="73"/>
      <c r="AG337" s="73"/>
      <c r="AH337" s="73"/>
      <c r="AI337" s="73"/>
      <c r="AJ337" s="73"/>
      <c r="AK337" s="73"/>
      <c r="AL337" s="73"/>
      <c r="AM337" s="73"/>
      <c r="AN337" s="73"/>
      <c r="AO337" s="73"/>
      <c r="AP337" s="73"/>
      <c r="AQ337" s="73"/>
      <c r="AR337" s="73"/>
      <c r="AS337" s="73"/>
      <c r="AT337" s="73"/>
      <c r="AU337" s="73"/>
      <c r="AV337" s="73"/>
      <c r="AW337" s="73"/>
      <c r="AX337" s="73"/>
      <c r="AY337" s="73"/>
      <c r="AZ337" s="73"/>
      <c r="BA337" s="73"/>
      <c r="BB337" s="73"/>
      <c r="BC337" s="73"/>
      <c r="BD337" s="73"/>
      <c r="BE337" s="73"/>
      <c r="BF337" s="73"/>
      <c r="BG337" s="73"/>
      <c r="BH337" s="73"/>
      <c r="BI337" s="73"/>
      <c r="BJ337" s="73"/>
      <c r="BK337" s="73"/>
      <c r="BL337" s="73"/>
      <c r="BM337" s="73"/>
      <c r="BN337" s="73"/>
      <c r="BO337" s="73"/>
      <c r="BP337" s="73"/>
      <c r="BQ337" s="73"/>
      <c r="BR337" s="73"/>
      <c r="BS337" s="73"/>
      <c r="BT337" s="73"/>
      <c r="BU337" s="73"/>
      <c r="BV337" s="73"/>
      <c r="BW337" s="73"/>
      <c r="BX337" s="1446"/>
      <c r="BY337" s="73"/>
      <c r="BZ337" s="73"/>
      <c r="CA337" s="73"/>
      <c r="CB337" s="73"/>
      <c r="CC337" s="1446"/>
      <c r="CD337" s="73"/>
      <c r="CE337" s="73"/>
      <c r="CF337" s="736"/>
      <c r="CG337" s="777"/>
      <c r="CH337" s="73"/>
      <c r="CI337" s="73"/>
      <c r="CJ337" s="73"/>
      <c r="CK337" s="73"/>
      <c r="CL337" s="777"/>
      <c r="CM337" s="73"/>
      <c r="CN337" s="73"/>
      <c r="CO337" s="73"/>
      <c r="CP337" s="73"/>
      <c r="CQ337" s="777"/>
      <c r="CR337" s="73"/>
      <c r="CS337" s="73"/>
      <c r="CT337" s="73"/>
      <c r="CU337" s="73"/>
      <c r="CV337" s="777"/>
      <c r="CW337" s="73"/>
      <c r="CX337" s="73"/>
      <c r="CY337" s="73"/>
      <c r="CZ337" s="73"/>
      <c r="DA337" s="777"/>
      <c r="DB337" s="73"/>
      <c r="DC337" s="73"/>
      <c r="DD337" s="73"/>
      <c r="DE337" s="73"/>
      <c r="DF337" s="777"/>
      <c r="DG337" s="73"/>
      <c r="DH337" s="73"/>
      <c r="DI337" s="73"/>
      <c r="DJ337" s="73"/>
      <c r="DK337" s="777"/>
      <c r="DL337" s="73"/>
      <c r="DM337" s="73"/>
      <c r="DN337" s="73"/>
      <c r="DO337" s="73"/>
      <c r="DP337" s="777"/>
      <c r="DQ337" s="1446"/>
      <c r="DR337" s="73"/>
      <c r="DS337" s="73"/>
      <c r="DT337" s="736"/>
      <c r="DU337" s="777"/>
      <c r="DV337" s="1446"/>
      <c r="DW337" s="73"/>
      <c r="DX337" s="73"/>
      <c r="DY337" s="736"/>
      <c r="DZ337" s="777"/>
      <c r="EA337" s="1446"/>
      <c r="EB337" s="73"/>
      <c r="EC337" s="73"/>
      <c r="ED337" s="736"/>
      <c r="EE337" s="77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row>
    <row r="338" spans="2:232" s="54" customFormat="1">
      <c r="B338" s="909" t="s">
        <v>299</v>
      </c>
      <c r="C338" s="64"/>
      <c r="D338" s="64"/>
      <c r="E338" s="64"/>
      <c r="F338" s="266">
        <f>AVERAGE(F204,E204)/F403</f>
        <v>0.19043942886233953</v>
      </c>
      <c r="G338" s="266">
        <f>AVERAGE(G204,F204)/G403</f>
        <v>0.17838531114157771</v>
      </c>
      <c r="H338" s="266">
        <f>AVERAGE(H204,G204)/H403</f>
        <v>0.17604492486023576</v>
      </c>
      <c r="I338" s="266">
        <f>AVERAGE(I204,H204)/I403</f>
        <v>0.17834115383061641</v>
      </c>
      <c r="J338" s="266">
        <f>AVERAGE(J204,I204)/J403</f>
        <v>0.18210227634463297</v>
      </c>
      <c r="K338" s="266"/>
      <c r="L338" s="266"/>
      <c r="M338" s="266"/>
      <c r="N338" s="266"/>
      <c r="O338" s="266">
        <f>AVERAGE(O204,J204)/O403</f>
        <v>0.18129413670972219</v>
      </c>
      <c r="P338" s="266"/>
      <c r="Q338" s="266"/>
      <c r="R338" s="266"/>
      <c r="S338" s="266"/>
      <c r="T338" s="266">
        <f>AVERAGE(T204,O204)/T403</f>
        <v>0.1740584672763526</v>
      </c>
      <c r="U338" s="266"/>
      <c r="V338" s="266"/>
      <c r="W338" s="266"/>
      <c r="X338" s="266"/>
      <c r="Y338" s="266">
        <f>AVERAGE(Y204,T204)/Y403</f>
        <v>0.16945628609118021</v>
      </c>
      <c r="Z338" s="266"/>
      <c r="AA338" s="266"/>
      <c r="AB338" s="266"/>
      <c r="AC338" s="266"/>
      <c r="AD338" s="266">
        <f>AVERAGE(AD204,Y204)/AD403</f>
        <v>0.17295567318508928</v>
      </c>
      <c r="AE338" s="266"/>
      <c r="AF338" s="266"/>
      <c r="AG338" s="266"/>
      <c r="AH338" s="266"/>
      <c r="AI338" s="266">
        <f>AVERAGE(AI204,AD204)/AI403</f>
        <v>0.17132629480266434</v>
      </c>
      <c r="AJ338" s="266"/>
      <c r="AK338" s="266"/>
      <c r="AL338" s="266"/>
      <c r="AM338" s="266"/>
      <c r="AN338" s="266">
        <f>AVERAGE(AN204,AI204)/AN403</f>
        <v>0.1748915446370693</v>
      </c>
      <c r="AO338" s="266"/>
      <c r="AP338" s="266"/>
      <c r="AQ338" s="266"/>
      <c r="AR338" s="266"/>
      <c r="AS338" s="266">
        <f>AVERAGE(AS204,AN204)/AS403</f>
        <v>0.16909200468777433</v>
      </c>
      <c r="AT338" s="266"/>
      <c r="AU338" s="266"/>
      <c r="AV338" s="266"/>
      <c r="AW338" s="266"/>
      <c r="AX338" s="266">
        <f>AVERAGE(AX204,AS204)/AX403</f>
        <v>0.16552420885675476</v>
      </c>
      <c r="AY338" s="266"/>
      <c r="AZ338" s="266"/>
      <c r="BA338" s="266"/>
      <c r="BB338" s="266"/>
      <c r="BC338" s="266">
        <f>AVERAGE(BC204,AX204)/BC403</f>
        <v>0.16369771222684396</v>
      </c>
      <c r="BD338" s="266"/>
      <c r="BE338" s="266"/>
      <c r="BF338" s="266"/>
      <c r="BG338" s="266"/>
      <c r="BH338" s="266">
        <f>AVERAGE(BH204,BC204)/BH403</f>
        <v>0.16984559640689423</v>
      </c>
      <c r="BI338" s="266"/>
      <c r="BJ338" s="266"/>
      <c r="BK338" s="266"/>
      <c r="BL338" s="266"/>
      <c r="BM338" s="266">
        <f>AVERAGE(BM204,BH204)/BM403</f>
        <v>0.17001991799161226</v>
      </c>
      <c r="BN338" s="266"/>
      <c r="BO338" s="266"/>
      <c r="BP338" s="266"/>
      <c r="BQ338" s="266"/>
      <c r="BR338" s="266">
        <f>AVERAGE(BR204,BM204)/BR403</f>
        <v>0.16668657072908577</v>
      </c>
      <c r="BS338" s="266">
        <f>AVERAGE(BS204,BR204)/BS403/4</f>
        <v>0.17739561689917879</v>
      </c>
      <c r="BT338" s="266">
        <f>AVERAGE(BT204,BS204)/BT403/4</f>
        <v>0.16983998356464575</v>
      </c>
      <c r="BU338" s="266">
        <f>AVERAGE(BU204,BT204)/BU403/4</f>
        <v>0.16703226555246053</v>
      </c>
      <c r="BV338" s="266">
        <f>AVERAGE(BV204,BU204)/BV403/4</f>
        <v>0.16938224852071004</v>
      </c>
      <c r="BW338" s="266">
        <f>AVERAGE(BW204,BR204)/BW403</f>
        <v>0.16559333828715661</v>
      </c>
      <c r="BX338" s="1486">
        <f>AVERAGE(BX204,BW204)/BX403/4</f>
        <v>0.1800087995553909</v>
      </c>
      <c r="BY338" s="266">
        <f>AVERAGE(BY204,BX204)/BY403/4</f>
        <v>0.16798527669656457</v>
      </c>
      <c r="BZ338" s="266">
        <f>AVERAGE(BZ204,BY204)/BZ403/4</f>
        <v>0.15397625733980086</v>
      </c>
      <c r="CA338" s="266">
        <f>AVERAGE(CA204,BZ204)/CA403/4</f>
        <v>0.15057123360042263</v>
      </c>
      <c r="CB338" s="266">
        <f>AVERAGE(CB204,BW204)/CB403</f>
        <v>0.15351800008748523</v>
      </c>
      <c r="CC338" s="1486">
        <f>AVERAGE(CC204,CB204)/CC403/4</f>
        <v>0.15076209200067647</v>
      </c>
      <c r="CD338" s="266">
        <f>AVERAGE(CD204,CC204)/CD403/4</f>
        <v>0.15171629445822996</v>
      </c>
      <c r="CE338" s="266">
        <f>AVERAGE(CE204,CD204)/CE403/4</f>
        <v>0.14367469879518072</v>
      </c>
      <c r="CF338" s="1487">
        <f>AVERAGE(CF204,CE204)/CF403/4</f>
        <v>0.14994204338466632</v>
      </c>
      <c r="CG338" s="1365">
        <f>AVERAGE(CG204,CB204)/CG403</f>
        <v>0.14622347452728923</v>
      </c>
      <c r="CH338" s="266">
        <f>AVERAGE(CH204,CG204)/CH403/4</f>
        <v>0.15411525122993791</v>
      </c>
      <c r="CI338" s="266">
        <f>AVERAGE(CI204,CH204)/CI403/4</f>
        <v>0.14717711337076947</v>
      </c>
      <c r="CJ338" s="266">
        <f>AVERAGE(CJ204,CI204)/CJ403/4</f>
        <v>0.1433664976923659</v>
      </c>
      <c r="CK338" s="266">
        <f>AVERAGE(CK204,CJ204)/CK403/4</f>
        <v>0.15114746472321289</v>
      </c>
      <c r="CL338" s="1365">
        <f>AVERAGE(CL204,CG204)/CL403</f>
        <v>0.14917201888106477</v>
      </c>
      <c r="CM338" s="266">
        <f>AVERAGE(CM204,CL204)/CM403/4</f>
        <v>0.15585497586761665</v>
      </c>
      <c r="CN338" s="266">
        <f>AVERAGE(CN204,CM204)/CN403/4</f>
        <v>0.14682928668375811</v>
      </c>
      <c r="CO338" s="266">
        <f>AVERAGE(CO204,CN204)/CO403/4</f>
        <v>0.14082862301774218</v>
      </c>
      <c r="CP338" s="266">
        <f>AVERAGE(CP204,CO204)/CP403/4</f>
        <v>0.14340578525902925</v>
      </c>
      <c r="CQ338" s="1365">
        <f>AVERAGE(CQ204,CL204)/CQ403</f>
        <v>0.14700434774131915</v>
      </c>
      <c r="CR338" s="266">
        <f>AVERAGE(CR204,CQ204)/CR403/4</f>
        <v>0.15201154129491692</v>
      </c>
      <c r="CS338" s="266">
        <f>AVERAGE(CS204,CR204)/CS403/4</f>
        <v>0.14449769938650306</v>
      </c>
      <c r="CT338" s="266">
        <f>AVERAGE(CT204,CS204)/CT403/4</f>
        <v>0.1349591322282484</v>
      </c>
      <c r="CU338" s="266">
        <f>AVERAGE(CU204,CT204)/CU403/4</f>
        <v>0.1346372549019608</v>
      </c>
      <c r="CV338" s="1365">
        <f>AVERAGE(CV204,CQ204)/CV403</f>
        <v>0.13589572977415945</v>
      </c>
      <c r="CW338" s="266">
        <f>AVERAGE(CW204,CV204)/CW403/4</f>
        <v>0.13831866130378689</v>
      </c>
      <c r="CX338" s="266">
        <f>AVERAGE(CX204,CW204)/CX403/4</f>
        <v>0.13384091723396632</v>
      </c>
      <c r="CY338" s="266">
        <f>AVERAGE(CY204,CX204)/CY403/4</f>
        <v>0.12223336437217965</v>
      </c>
      <c r="CZ338" s="266">
        <f>AVERAGE(CZ204,CY204)/CZ403/4</f>
        <v>0.11393845593590678</v>
      </c>
      <c r="DA338" s="1365">
        <f>AVERAGE(DA204,CV204)/DA403</f>
        <v>0.11790671798332816</v>
      </c>
      <c r="DB338" s="266">
        <f>AVERAGE(DB204,DA204)/DB403/4</f>
        <v>0.11041169869546921</v>
      </c>
      <c r="DC338" s="266">
        <f>AVERAGE(DC204,DB204)/DC403/4</f>
        <v>0.10091539281905439</v>
      </c>
      <c r="DD338" s="266">
        <f>AVERAGE(DD204,DC204)/DD403/4</f>
        <v>0.10640306840574271</v>
      </c>
      <c r="DE338" s="266">
        <f>AVERAGE(DE204,DD204)/DE403/4</f>
        <v>0.10256621348261749</v>
      </c>
      <c r="DF338" s="1365">
        <f>AVERAGE(DF204,DA204)/DF403</f>
        <v>9.6406168322007324E-2</v>
      </c>
      <c r="DG338" s="266">
        <f>AVERAGE(DG204,DF204)/DG403/4</f>
        <v>0.10776322511727277</v>
      </c>
      <c r="DH338" s="266">
        <f>AVERAGE(DH204,DG204)/DH403/4</f>
        <v>0.10627810251798561</v>
      </c>
      <c r="DI338" s="266">
        <f>AVERAGE(DI204,DH204)/DI403/4</f>
        <v>0.10201809008681424</v>
      </c>
      <c r="DJ338" s="266">
        <f>AVERAGE(DJ204,DI204)/DJ403/4</f>
        <v>0.10408616917275731</v>
      </c>
      <c r="DK338" s="1365">
        <f>AVERAGE(DK204,DF204)/DK403</f>
        <v>0.10105096672893768</v>
      </c>
      <c r="DL338" s="266">
        <f>AVERAGE(DL204,DK204)/DL403/4</f>
        <v>0.11102992751928922</v>
      </c>
      <c r="DM338" s="266">
        <f>AVERAGE(DM204,DL204)/DM403/4</f>
        <v>0.11005825908156272</v>
      </c>
      <c r="DN338" s="266">
        <f>AVERAGE(DN204,DM204)/DN403/4</f>
        <v>9.7456797109650453E-2</v>
      </c>
      <c r="DO338" s="266">
        <f>AVERAGE(DO204,DN204)/DO403/4</f>
        <v>9.6343548599237147E-2</v>
      </c>
      <c r="DP338" s="1365">
        <f>AVERAGE(DP204,DK204)/DP403</f>
        <v>0.10025041548758029</v>
      </c>
      <c r="DQ338" s="1486">
        <f>AVERAGE(DQ204,DP204)/DQ403/4</f>
        <v>0.10101393221932561</v>
      </c>
      <c r="DR338" s="266">
        <f ca="1">AVERAGE(DR204,DQ204)/DR403/4</f>
        <v>9.9731152104678575E-2</v>
      </c>
      <c r="DS338" s="266">
        <f ca="1">AVERAGE(DS204,DR204)/DS403/4</f>
        <v>9.4193418447912153E-2</v>
      </c>
      <c r="DT338" s="1487">
        <f ca="1">AVERAGE(DT204,DS204)/DT403/4</f>
        <v>9.1992847595043448E-2</v>
      </c>
      <c r="DU338" s="1365">
        <f ca="1">AVERAGE(DU204,DP204)/DU403</f>
        <v>9.166200588231746E-2</v>
      </c>
      <c r="DV338" s="1486">
        <f>AVERAGE(DV204,DU204)/DV403/4</f>
        <v>9.7127825970579257E-2</v>
      </c>
      <c r="DW338" s="266">
        <f ca="1">AVERAGE(DW204,DV204)/DW403/4</f>
        <v>9.8865881745686821E-2</v>
      </c>
      <c r="DX338" s="266">
        <f ca="1">AVERAGE(DX204,DW204)/DX403/4</f>
        <v>9.19904638642913E-2</v>
      </c>
      <c r="DY338" s="1487">
        <f ca="1">AVERAGE(DY204,DX204)/DY403/4</f>
        <v>8.9275653507998903E-2</v>
      </c>
      <c r="DZ338" s="1365">
        <f ca="1">AVERAGE(DZ204,DU204)/DZ403</f>
        <v>9.0323727489778502E-2</v>
      </c>
      <c r="EA338" s="1486">
        <f>AVERAGE(EA204,DZ204)/EA403/4</f>
        <v>9.4224983817725788E-2</v>
      </c>
      <c r="EB338" s="266">
        <f ca="1">AVERAGE(EB204,EA204)/EB403/4</f>
        <v>9.6158378564688674E-2</v>
      </c>
      <c r="EC338" s="266">
        <f ca="1">AVERAGE(EC204,EB204)/EC403/4</f>
        <v>8.9255153745121274E-2</v>
      </c>
      <c r="ED338" s="1487">
        <f ca="1">AVERAGE(ED204,EC204)/ED403/4</f>
        <v>8.648288202120509E-2</v>
      </c>
      <c r="EE338" s="1365">
        <f ca="1">AVERAGE(EE204,DZ204)/EE403</f>
        <v>8.7466528563874851E-2</v>
      </c>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row>
    <row r="339" spans="2:232" s="54" customFormat="1">
      <c r="B339" s="910" t="s">
        <v>300</v>
      </c>
      <c r="C339" s="64"/>
      <c r="D339" s="64"/>
      <c r="E339" s="64"/>
      <c r="F339" s="73"/>
      <c r="G339" s="266">
        <f>G204/F204-1</f>
        <v>9.0102467667037667E-2</v>
      </c>
      <c r="H339" s="266">
        <f>H204/G204-1</f>
        <v>0.10045284096852858</v>
      </c>
      <c r="I339" s="266">
        <f>I204/H204-1</f>
        <v>0.15480766154647707</v>
      </c>
      <c r="J339" s="266">
        <f>J204/I204-1</f>
        <v>0.15076856102580338</v>
      </c>
      <c r="K339" s="266"/>
      <c r="L339" s="266"/>
      <c r="M339" s="266"/>
      <c r="N339" s="266"/>
      <c r="O339" s="266">
        <f>O204/J204-1</f>
        <v>0.1224948946990847</v>
      </c>
      <c r="P339" s="266"/>
      <c r="Q339" s="266"/>
      <c r="R339" s="266"/>
      <c r="S339" s="266"/>
      <c r="T339" s="266">
        <f>T204/O204-1</f>
        <v>6.1709316447443374E-2</v>
      </c>
      <c r="U339" s="266"/>
      <c r="V339" s="266"/>
      <c r="W339" s="266"/>
      <c r="X339" s="266"/>
      <c r="Y339" s="266">
        <f>Y204/T204-1</f>
        <v>0.16977321862869243</v>
      </c>
      <c r="Z339" s="266"/>
      <c r="AA339" s="266"/>
      <c r="AB339" s="266"/>
      <c r="AC339" s="266"/>
      <c r="AD339" s="266">
        <f>AD204/Y204-1</f>
        <v>0.21499177292787564</v>
      </c>
      <c r="AE339" s="266"/>
      <c r="AF339" s="266"/>
      <c r="AG339" s="266"/>
      <c r="AH339" s="266"/>
      <c r="AI339" s="266">
        <f>AI204/AD204-1</f>
        <v>0.14951677089255266</v>
      </c>
      <c r="AJ339" s="266"/>
      <c r="AK339" s="266"/>
      <c r="AL339" s="266"/>
      <c r="AM339" s="266"/>
      <c r="AN339" s="266">
        <f>AN204/AI204-1</f>
        <v>0.23018228062738433</v>
      </c>
      <c r="AO339" s="266"/>
      <c r="AP339" s="266"/>
      <c r="AQ339" s="266"/>
      <c r="AR339" s="266"/>
      <c r="AS339" s="266">
        <f>AS204/AN204-1</f>
        <v>4.6749368251780332E-2</v>
      </c>
      <c r="AT339" s="266"/>
      <c r="AU339" s="266"/>
      <c r="AV339" s="266"/>
      <c r="AW339" s="266"/>
      <c r="AX339" s="266">
        <f>AX204/AS204-1</f>
        <v>0.15294085372544708</v>
      </c>
      <c r="AY339" s="266"/>
      <c r="AZ339" s="266"/>
      <c r="BA339" s="266"/>
      <c r="BB339" s="266"/>
      <c r="BC339" s="266">
        <f>BC204/AX204-1</f>
        <v>0.1275132652818427</v>
      </c>
      <c r="BD339" s="266"/>
      <c r="BE339" s="266"/>
      <c r="BF339" s="266"/>
      <c r="BG339" s="266"/>
      <c r="BH339" s="266">
        <f>BH204/BC204-1</f>
        <v>0.18024310977925961</v>
      </c>
      <c r="BI339" s="266"/>
      <c r="BJ339" s="266"/>
      <c r="BK339" s="266"/>
      <c r="BL339" s="266"/>
      <c r="BM339" s="266">
        <f>BM204/BH204-1</f>
        <v>8.1838825611958432E-2</v>
      </c>
      <c r="BN339" s="266"/>
      <c r="BO339" s="266"/>
      <c r="BP339" s="266"/>
      <c r="BQ339" s="266"/>
      <c r="BR339" s="266">
        <f>BR204/BM204-1</f>
        <v>0.12232249107497029</v>
      </c>
      <c r="BS339" s="266"/>
      <c r="BT339" s="266"/>
      <c r="BU339" s="266"/>
      <c r="BV339" s="266"/>
      <c r="BW339" s="266">
        <f>BW204/BR204-1</f>
        <v>6.7520801119210772E-2</v>
      </c>
      <c r="BX339" s="1486"/>
      <c r="BY339" s="266">
        <f>BY204/BT204-1</f>
        <v>3.4976868594511323E-2</v>
      </c>
      <c r="BZ339" s="266">
        <f>BZ204/BU204-1</f>
        <v>-2.4462753758600186E-2</v>
      </c>
      <c r="CA339" s="266">
        <f>CA204/BV204-1</f>
        <v>-6.3415643537039545E-2</v>
      </c>
      <c r="CB339" s="266">
        <f>CB204/BW204-1</f>
        <v>-6.3415643537039545E-2</v>
      </c>
      <c r="CC339" s="1486"/>
      <c r="CD339" s="266">
        <f>CD204/BY204-1</f>
        <v>-5.0632911392405111E-2</v>
      </c>
      <c r="CE339" s="266">
        <f>CE204/BZ204-1</f>
        <v>3.1780583369612536E-2</v>
      </c>
      <c r="CF339" s="1487">
        <f>CF204/CA204-1</f>
        <v>8.6709970100010247E-2</v>
      </c>
      <c r="CG339" s="1365">
        <f>CG204/CB204-1</f>
        <v>8.6709970100010247E-2</v>
      </c>
      <c r="CH339" s="266"/>
      <c r="CI339" s="266">
        <f>CI204/CD204-1</f>
        <v>5.6527777777777732E-2</v>
      </c>
      <c r="CJ339" s="266">
        <f>CJ204/CE204-1</f>
        <v>6.2165963431786153E-2</v>
      </c>
      <c r="CK339" s="266">
        <f>CK204/CF204-1</f>
        <v>9.0268365410680396E-2</v>
      </c>
      <c r="CL339" s="1365">
        <f>CL204/CG204-1</f>
        <v>9.0268365410680396E-2</v>
      </c>
      <c r="CM339" s="266"/>
      <c r="CN339" s="266">
        <f t="shared" ref="CN339:DF339" si="856">CN204/CI204-1</f>
        <v>-3.4179045615880144E-2</v>
      </c>
      <c r="CO339" s="266">
        <f t="shared" si="856"/>
        <v>-7.2563559322033844E-2</v>
      </c>
      <c r="CP339" s="266">
        <f t="shared" si="856"/>
        <v>-0.12531079065141726</v>
      </c>
      <c r="CQ339" s="1365">
        <f t="shared" si="856"/>
        <v>-0.12531079065141726</v>
      </c>
      <c r="CR339" s="266">
        <f t="shared" si="856"/>
        <v>-4.9811687522779757E-2</v>
      </c>
      <c r="CS339" s="266">
        <f t="shared" si="856"/>
        <v>-1.2794337824962532E-2</v>
      </c>
      <c r="CT339" s="266">
        <f t="shared" si="856"/>
        <v>-1.756139348943464E-2</v>
      </c>
      <c r="CU339" s="266">
        <f t="shared" si="856"/>
        <v>-2.6151222285389464E-2</v>
      </c>
      <c r="CV339" s="1365">
        <f t="shared" si="856"/>
        <v>-2.6151222285389464E-2</v>
      </c>
      <c r="CW339" s="266">
        <f t="shared" si="856"/>
        <v>-1.1763201636619369E-2</v>
      </c>
      <c r="CX339" s="266">
        <f t="shared" si="856"/>
        <v>-5.5149593271749398E-3</v>
      </c>
      <c r="CY339" s="266">
        <f t="shared" si="856"/>
        <v>-6.4234849585816045E-2</v>
      </c>
      <c r="CZ339" s="266">
        <f t="shared" si="856"/>
        <v>-0.11325160537069467</v>
      </c>
      <c r="DA339" s="1365">
        <f t="shared" si="856"/>
        <v>-0.11325160537069467</v>
      </c>
      <c r="DB339" s="266">
        <f t="shared" si="856"/>
        <v>-0.15668262388407295</v>
      </c>
      <c r="DC339" s="266">
        <f t="shared" si="856"/>
        <v>0.30029114099542498</v>
      </c>
      <c r="DD339" s="266">
        <f>DD204/CY204-1</f>
        <v>0.36108091318527724</v>
      </c>
      <c r="DE339" s="266">
        <f>DE204/CZ204-1</f>
        <v>0.42824226464779458</v>
      </c>
      <c r="DF339" s="1365">
        <f t="shared" si="856"/>
        <v>0.42824226464779458</v>
      </c>
      <c r="DG339" s="266">
        <f>DG204/DB204-1</f>
        <v>0.51641607855170291</v>
      </c>
      <c r="DH339" s="266">
        <f>DH204/DC204-1</f>
        <v>-3.7743895937733196E-2</v>
      </c>
      <c r="DI339" s="266">
        <f>DI204/DD204-1</f>
        <v>1.9055225924235586E-2</v>
      </c>
      <c r="DJ339" s="266">
        <f>DJ204/DE204-1</f>
        <v>3.203503111315964E-2</v>
      </c>
      <c r="DK339" s="1365">
        <f t="shared" ref="DK339:DU339" si="857">DK204/DF204-1</f>
        <v>3.203503111315964E-2</v>
      </c>
      <c r="DL339" s="266">
        <f>DL204/DG204-1</f>
        <v>1.5681910157830936E-2</v>
      </c>
      <c r="DM339" s="266">
        <f>DM204/DH204-1</f>
        <v>2.2714681440443307E-2</v>
      </c>
      <c r="DN339" s="266">
        <f t="shared" ref="DN339:DQ339" si="858">DN204/DI204-1</f>
        <v>-2.799238607098864E-2</v>
      </c>
      <c r="DO339" s="266">
        <f t="shared" si="858"/>
        <v>-6.3644484144707025E-3</v>
      </c>
      <c r="DP339" s="1365">
        <f t="shared" si="857"/>
        <v>-6.3644484144707025E-3</v>
      </c>
      <c r="DQ339" s="1486">
        <f t="shared" si="858"/>
        <v>-2.8887339376432175E-3</v>
      </c>
      <c r="DR339" s="266">
        <f t="shared" ca="1" si="857"/>
        <v>9.9769225204133338E-2</v>
      </c>
      <c r="DS339" s="266">
        <f t="shared" ca="1" si="857"/>
        <v>6.2803586072303075E-2</v>
      </c>
      <c r="DT339" s="1487">
        <f t="shared" si="857"/>
        <v>5.2841395170252214E-2</v>
      </c>
      <c r="DU339" s="1365">
        <f t="shared" si="857"/>
        <v>5.2841395170252214E-2</v>
      </c>
      <c r="DV339" s="1486">
        <f t="shared" ref="DV339" si="859">DV204/DQ204-1</f>
        <v>3.2857376917731607E-2</v>
      </c>
      <c r="DW339" s="266">
        <f t="shared" ref="DW339" ca="1" si="860">DW204/DR204-1</f>
        <v>-5.0046500980370778E-3</v>
      </c>
      <c r="DX339" s="266">
        <f t="shared" ref="DX339" ca="1" si="861">DX204/DS204-1</f>
        <v>-1.8352150248707622E-2</v>
      </c>
      <c r="DY339" s="1487">
        <f t="shared" ref="DY339" si="862">DY204/DT204-1</f>
        <v>-1.789671441219598E-2</v>
      </c>
      <c r="DZ339" s="1365">
        <f t="shared" ref="DZ339" si="863">DZ204/DU204-1</f>
        <v>-1.789671441219598E-2</v>
      </c>
      <c r="EA339" s="1486">
        <f t="shared" ref="EA339" si="864">EA204/DV204-1</f>
        <v>-1.1011694408904704E-2</v>
      </c>
      <c r="EB339" s="266">
        <f t="shared" ref="EB339" ca="1" si="865">EB204/DW204-1</f>
        <v>-1.1865633854574398E-2</v>
      </c>
      <c r="EC339" s="266">
        <f t="shared" ref="EC339" ca="1" si="866">EC204/DX204-1</f>
        <v>-1.4771509504353131E-2</v>
      </c>
      <c r="ED339" s="1487">
        <f t="shared" ref="ED339" si="867">ED204/DY204-1</f>
        <v>-1.2547137345077397E-2</v>
      </c>
      <c r="EE339" s="1365">
        <f t="shared" ref="EE339" si="868">EE204/DZ204-1</f>
        <v>-1.2547137345077397E-2</v>
      </c>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row>
    <row r="340" spans="2:232" s="54" customFormat="1">
      <c r="B340" s="911"/>
      <c r="C340" s="64"/>
      <c r="D340" s="64"/>
      <c r="E340" s="64"/>
      <c r="F340" s="73"/>
      <c r="G340" s="266"/>
      <c r="H340" s="266"/>
      <c r="I340" s="266"/>
      <c r="J340" s="266"/>
      <c r="K340" s="266"/>
      <c r="L340" s="266"/>
      <c r="M340" s="266"/>
      <c r="N340" s="266"/>
      <c r="O340" s="266"/>
      <c r="P340" s="266"/>
      <c r="Q340" s="266"/>
      <c r="R340" s="266"/>
      <c r="S340" s="266"/>
      <c r="T340" s="266"/>
      <c r="U340" s="266"/>
      <c r="V340" s="266"/>
      <c r="W340" s="266"/>
      <c r="X340" s="266"/>
      <c r="Y340" s="266"/>
      <c r="Z340" s="266"/>
      <c r="AA340" s="266"/>
      <c r="AB340" s="266"/>
      <c r="AC340" s="266"/>
      <c r="AD340" s="266"/>
      <c r="AE340" s="266"/>
      <c r="AF340" s="266"/>
      <c r="AG340" s="266"/>
      <c r="AH340" s="266"/>
      <c r="AI340" s="266"/>
      <c r="AJ340" s="266"/>
      <c r="AK340" s="266"/>
      <c r="AL340" s="266"/>
      <c r="AM340" s="266"/>
      <c r="AN340" s="266"/>
      <c r="AO340" s="266"/>
      <c r="AP340" s="266"/>
      <c r="AQ340" s="266"/>
      <c r="AR340" s="266"/>
      <c r="AS340" s="266"/>
      <c r="AT340" s="266"/>
      <c r="AU340" s="266"/>
      <c r="AV340" s="266"/>
      <c r="AW340" s="266"/>
      <c r="AX340" s="266"/>
      <c r="AY340" s="266"/>
      <c r="AZ340" s="266"/>
      <c r="BA340" s="266"/>
      <c r="BB340" s="266"/>
      <c r="BC340" s="266"/>
      <c r="BD340" s="266"/>
      <c r="BE340" s="266"/>
      <c r="BF340" s="266"/>
      <c r="BG340" s="266"/>
      <c r="BH340" s="266"/>
      <c r="BI340" s="266"/>
      <c r="BJ340" s="266"/>
      <c r="BK340" s="266"/>
      <c r="BL340" s="266"/>
      <c r="BM340" s="266"/>
      <c r="BN340" s="266"/>
      <c r="BO340" s="266"/>
      <c r="BP340" s="266"/>
      <c r="BQ340" s="266"/>
      <c r="BR340" s="266"/>
      <c r="BS340" s="73"/>
      <c r="BT340" s="73"/>
      <c r="BU340" s="73"/>
      <c r="BV340" s="73"/>
      <c r="BW340" s="266"/>
      <c r="BX340" s="1446"/>
      <c r="BY340" s="73"/>
      <c r="BZ340" s="73"/>
      <c r="CA340" s="73"/>
      <c r="CB340" s="266"/>
      <c r="CC340" s="1446"/>
      <c r="CD340" s="73"/>
      <c r="CE340" s="73"/>
      <c r="CF340" s="736"/>
      <c r="CG340" s="1365"/>
      <c r="CH340" s="73"/>
      <c r="CI340" s="73"/>
      <c r="CJ340" s="73"/>
      <c r="CK340" s="73"/>
      <c r="CL340" s="1365"/>
      <c r="CM340" s="73"/>
      <c r="CN340" s="76"/>
      <c r="CO340" s="76"/>
      <c r="CP340" s="76"/>
      <c r="CQ340" s="1365"/>
      <c r="CR340" s="73"/>
      <c r="CS340" s="76"/>
      <c r="CT340" s="76"/>
      <c r="CU340" s="76"/>
      <c r="CV340" s="1365"/>
      <c r="CW340" s="73"/>
      <c r="CX340" s="76"/>
      <c r="CY340" s="76"/>
      <c r="CZ340" s="76"/>
      <c r="DA340" s="1365"/>
      <c r="DB340" s="73"/>
      <c r="DC340" s="76"/>
      <c r="DD340" s="76"/>
      <c r="DE340" s="76"/>
      <c r="DF340" s="1365"/>
      <c r="DG340" s="76"/>
      <c r="DH340" s="76"/>
      <c r="DI340" s="76"/>
      <c r="DJ340" s="76"/>
      <c r="DK340" s="807"/>
      <c r="DL340" s="76"/>
      <c r="DM340" s="76"/>
      <c r="DN340" s="76"/>
      <c r="DO340" s="76"/>
      <c r="DP340" s="807"/>
      <c r="DQ340" s="1436"/>
      <c r="DR340" s="76"/>
      <c r="DS340" s="76"/>
      <c r="DT340" s="1437"/>
      <c r="DU340" s="807"/>
      <c r="DV340" s="1436"/>
      <c r="DW340" s="76"/>
      <c r="DX340" s="76"/>
      <c r="DY340" s="1437"/>
      <c r="DZ340" s="807"/>
      <c r="EA340" s="1436"/>
      <c r="EB340" s="76"/>
      <c r="EC340" s="76"/>
      <c r="ED340" s="1437"/>
      <c r="EE340" s="807"/>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row>
    <row r="341" spans="2:232" s="54" customFormat="1">
      <c r="B341" s="538" t="s">
        <v>365</v>
      </c>
      <c r="C341" s="64"/>
      <c r="D341" s="64"/>
      <c r="E341" s="73"/>
      <c r="F341" s="73">
        <f>Model!F134</f>
        <v>40.287999999999997</v>
      </c>
      <c r="G341" s="73">
        <f>Model!G134</f>
        <v>34.912999999999997</v>
      </c>
      <c r="H341" s="73">
        <f>Model!H134</f>
        <v>28.120999999999999</v>
      </c>
      <c r="I341" s="73">
        <f>Model!I134</f>
        <v>5.1039999999999957</v>
      </c>
      <c r="J341" s="73">
        <f>Model!J134</f>
        <v>21.478999999999999</v>
      </c>
      <c r="K341" s="73"/>
      <c r="L341" s="73"/>
      <c r="M341" s="73"/>
      <c r="N341" s="73"/>
      <c r="O341" s="73">
        <f>Model!O134</f>
        <v>12.752000000000001</v>
      </c>
      <c r="P341" s="73"/>
      <c r="Q341" s="73"/>
      <c r="R341" s="73"/>
      <c r="S341" s="73"/>
      <c r="T341" s="73">
        <f>Model!T134</f>
        <v>16.545999999999999</v>
      </c>
      <c r="U341" s="73"/>
      <c r="V341" s="73"/>
      <c r="W341" s="73"/>
      <c r="X341" s="73"/>
      <c r="Y341" s="73">
        <f>Model!Y134</f>
        <v>46.507000000000005</v>
      </c>
      <c r="Z341" s="73"/>
      <c r="AA341" s="73"/>
      <c r="AB341" s="73"/>
      <c r="AC341" s="73"/>
      <c r="AD341" s="73">
        <f>Model!AD134</f>
        <v>45.2</v>
      </c>
      <c r="AE341" s="73"/>
      <c r="AF341" s="73"/>
      <c r="AG341" s="73"/>
      <c r="AH341" s="73"/>
      <c r="AI341" s="73">
        <f>Model!AI134</f>
        <v>38.799999999999997</v>
      </c>
      <c r="AJ341" s="73"/>
      <c r="AK341" s="73"/>
      <c r="AL341" s="73"/>
      <c r="AM341" s="73"/>
      <c r="AN341" s="73">
        <f>Model!AN134</f>
        <v>62.8</v>
      </c>
      <c r="AO341" s="73"/>
      <c r="AP341" s="73"/>
      <c r="AQ341" s="73"/>
      <c r="AR341" s="73"/>
      <c r="AS341" s="73">
        <f>Model!AS134</f>
        <v>55.900000000000013</v>
      </c>
      <c r="AT341" s="73"/>
      <c r="AU341" s="73"/>
      <c r="AV341" s="73"/>
      <c r="AW341" s="73"/>
      <c r="AX341" s="73">
        <f>Model!AX134</f>
        <v>36.200000000000003</v>
      </c>
      <c r="AY341" s="73"/>
      <c r="AZ341" s="73"/>
      <c r="BA341" s="73"/>
      <c r="BB341" s="73"/>
      <c r="BC341" s="73">
        <f>Model!BC134</f>
        <v>6.7000000000000028</v>
      </c>
      <c r="BD341" s="73"/>
      <c r="BE341" s="73"/>
      <c r="BF341" s="73"/>
      <c r="BG341" s="73"/>
      <c r="BH341" s="73">
        <f>Model!BH134</f>
        <v>67.8</v>
      </c>
      <c r="BI341" s="73"/>
      <c r="BJ341" s="73"/>
      <c r="BK341" s="73"/>
      <c r="BL341" s="73"/>
      <c r="BM341" s="73">
        <f>Model!BM134</f>
        <v>95.300000000000011</v>
      </c>
      <c r="BN341" s="73"/>
      <c r="BO341" s="73"/>
      <c r="BP341" s="73"/>
      <c r="BQ341" s="73"/>
      <c r="BR341" s="73">
        <f>Model!BR134</f>
        <v>69.3</v>
      </c>
      <c r="BS341" s="73">
        <f>Model!BS134</f>
        <v>26.9</v>
      </c>
      <c r="BT341" s="73">
        <f>Model!BT134</f>
        <v>30.6</v>
      </c>
      <c r="BU341" s="73">
        <f>Model!BU134</f>
        <v>16.100000000000001</v>
      </c>
      <c r="BV341" s="73">
        <f>Model!BV134</f>
        <v>24.9</v>
      </c>
      <c r="BW341" s="73">
        <f>Model!BW134</f>
        <v>98.5</v>
      </c>
      <c r="BX341" s="1446">
        <f>Model!BX134</f>
        <v>48</v>
      </c>
      <c r="BY341" s="73">
        <f>Model!BY134</f>
        <v>49</v>
      </c>
      <c r="BZ341" s="73">
        <f>Model!BZ134</f>
        <v>32</v>
      </c>
      <c r="CA341" s="73">
        <f>Model!CA134</f>
        <v>48</v>
      </c>
      <c r="CB341" s="73">
        <f>Model!CB134</f>
        <v>172</v>
      </c>
      <c r="CC341" s="1446">
        <f>Model!CC134</f>
        <v>34</v>
      </c>
      <c r="CD341" s="73">
        <f>Model!CD134</f>
        <v>27</v>
      </c>
      <c r="CE341" s="73">
        <f>Model!CE134</f>
        <v>18</v>
      </c>
      <c r="CF341" s="736">
        <f>Model!CF134</f>
        <v>61</v>
      </c>
      <c r="CG341" s="777">
        <f>Model!CG134</f>
        <v>140</v>
      </c>
      <c r="CH341" s="73">
        <f>Model!CH134</f>
        <v>42</v>
      </c>
      <c r="CI341" s="73">
        <f>Model!CI134</f>
        <v>56</v>
      </c>
      <c r="CJ341" s="73">
        <f>Model!CJ134</f>
        <v>50</v>
      </c>
      <c r="CK341" s="73">
        <f>Model!CK134</f>
        <v>60</v>
      </c>
      <c r="CL341" s="777">
        <f>Model!CL134</f>
        <v>208</v>
      </c>
      <c r="CM341" s="73">
        <f>Model!CM134</f>
        <v>45</v>
      </c>
      <c r="CN341" s="73">
        <f>Model!CN134</f>
        <v>72</v>
      </c>
      <c r="CO341" s="73">
        <f>Model!CO134</f>
        <v>60</v>
      </c>
      <c r="CP341" s="73">
        <f>Model!CP134</f>
        <v>132</v>
      </c>
      <c r="CQ341" s="777">
        <f>Model!CQ134</f>
        <v>309</v>
      </c>
      <c r="CR341" s="73">
        <f>Model!CR134</f>
        <v>55</v>
      </c>
      <c r="CS341" s="73">
        <f>Model!CS134</f>
        <v>72</v>
      </c>
      <c r="CT341" s="73">
        <f>Model!CT134</f>
        <v>120</v>
      </c>
      <c r="CU341" s="73">
        <f>Model!CU134</f>
        <v>-8</v>
      </c>
      <c r="CV341" s="777">
        <f>Model!CV134</f>
        <v>239</v>
      </c>
      <c r="CW341" s="73">
        <f>Model!CW134</f>
        <v>63</v>
      </c>
      <c r="CX341" s="73">
        <f>Model!CX134</f>
        <v>51</v>
      </c>
      <c r="CY341" s="73">
        <f>Model!CY134</f>
        <v>41</v>
      </c>
      <c r="CZ341" s="73">
        <f>Model!CZ134</f>
        <v>-18</v>
      </c>
      <c r="DA341" s="777">
        <f>Model!DA134</f>
        <v>137</v>
      </c>
      <c r="DB341" s="73">
        <f>Model!DB134</f>
        <v>52</v>
      </c>
      <c r="DC341" s="73">
        <f>Model!DC134</f>
        <v>55</v>
      </c>
      <c r="DD341" s="73">
        <f>Model!DD134</f>
        <v>69</v>
      </c>
      <c r="DE341" s="73">
        <f>Model!DE134</f>
        <v>109</v>
      </c>
      <c r="DF341" s="777">
        <f>Model!DF134</f>
        <v>285</v>
      </c>
      <c r="DG341" s="73">
        <f>Model!DG134</f>
        <v>46</v>
      </c>
      <c r="DH341" s="73">
        <f>Model!DH134</f>
        <v>68</v>
      </c>
      <c r="DI341" s="73">
        <f>Model!DI134</f>
        <v>92</v>
      </c>
      <c r="DJ341" s="73">
        <f>Model!DJ134</f>
        <v>8</v>
      </c>
      <c r="DK341" s="777">
        <f>Model!DK134</f>
        <v>214</v>
      </c>
      <c r="DL341" s="73">
        <f>Model!DL134</f>
        <v>58</v>
      </c>
      <c r="DM341" s="73">
        <f>Model!DM134</f>
        <v>49</v>
      </c>
      <c r="DN341" s="73">
        <f>Model!DN134</f>
        <v>49</v>
      </c>
      <c r="DO341" s="73">
        <f>Model!DO134</f>
        <v>-38</v>
      </c>
      <c r="DP341" s="777">
        <f>Model!DP134</f>
        <v>118</v>
      </c>
      <c r="DQ341" s="1446">
        <f>Model!DQ134</f>
        <v>54</v>
      </c>
      <c r="DR341" s="73">
        <f>Model!DR134</f>
        <v>49</v>
      </c>
      <c r="DS341" s="73">
        <f>Model!DS134</f>
        <v>49</v>
      </c>
      <c r="DT341" s="736">
        <f>Model!DT134</f>
        <v>-38</v>
      </c>
      <c r="DU341" s="777">
        <f>Model!DU134</f>
        <v>114</v>
      </c>
      <c r="DV341" s="1446">
        <f>Model!DV134</f>
        <v>54</v>
      </c>
      <c r="DW341" s="73">
        <f>Model!DW134</f>
        <v>49</v>
      </c>
      <c r="DX341" s="73">
        <f>Model!DX134</f>
        <v>49</v>
      </c>
      <c r="DY341" s="736">
        <f>Model!DY134</f>
        <v>-38</v>
      </c>
      <c r="DZ341" s="777">
        <f>Model!DZ134</f>
        <v>114</v>
      </c>
      <c r="EA341" s="1446">
        <f>Model!EA134</f>
        <v>54</v>
      </c>
      <c r="EB341" s="73">
        <f>Model!EB134</f>
        <v>49</v>
      </c>
      <c r="EC341" s="73">
        <f>Model!EC134</f>
        <v>49</v>
      </c>
      <c r="ED341" s="736">
        <f>Model!ED134</f>
        <v>-38</v>
      </c>
      <c r="EE341" s="777">
        <f>Model!EE134</f>
        <v>114</v>
      </c>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row>
    <row r="342" spans="2:232" s="54" customFormat="1">
      <c r="B342" s="538" t="s">
        <v>306</v>
      </c>
      <c r="C342" s="64"/>
      <c r="D342" s="64"/>
      <c r="E342" s="64"/>
      <c r="F342" s="73"/>
      <c r="G342" s="73"/>
      <c r="H342" s="73"/>
      <c r="I342" s="73"/>
      <c r="J342" s="73"/>
      <c r="K342" s="73"/>
      <c r="L342" s="73"/>
      <c r="M342" s="73"/>
      <c r="N342" s="73"/>
      <c r="O342" s="73"/>
      <c r="P342" s="73"/>
      <c r="Q342" s="73"/>
      <c r="R342" s="73"/>
      <c r="S342" s="73"/>
      <c r="T342" s="73"/>
      <c r="U342" s="73"/>
      <c r="V342" s="73"/>
      <c r="W342" s="73"/>
      <c r="X342" s="73"/>
      <c r="Y342" s="73"/>
      <c r="Z342" s="73"/>
      <c r="AA342" s="73"/>
      <c r="AB342" s="73"/>
      <c r="AC342" s="73"/>
      <c r="AD342" s="73"/>
      <c r="AE342" s="73"/>
      <c r="AF342" s="73"/>
      <c r="AG342" s="73"/>
      <c r="AH342" s="73"/>
      <c r="AI342" s="73"/>
      <c r="AJ342" s="73"/>
      <c r="AK342" s="73"/>
      <c r="AL342" s="73"/>
      <c r="AM342" s="73"/>
      <c r="AN342" s="488">
        <v>637.6</v>
      </c>
      <c r="AO342" s="488"/>
      <c r="AP342" s="488"/>
      <c r="AQ342" s="488"/>
      <c r="AR342" s="488"/>
      <c r="AS342" s="488">
        <v>693.5</v>
      </c>
      <c r="AT342" s="488"/>
      <c r="AU342" s="488"/>
      <c r="AV342" s="488"/>
      <c r="AW342" s="488"/>
      <c r="AX342" s="488">
        <v>729.7</v>
      </c>
      <c r="AY342" s="488"/>
      <c r="AZ342" s="488"/>
      <c r="BA342" s="488"/>
      <c r="BB342" s="488"/>
      <c r="BC342" s="488">
        <v>734.6</v>
      </c>
      <c r="BD342" s="488"/>
      <c r="BE342" s="488"/>
      <c r="BF342" s="488"/>
      <c r="BG342" s="488"/>
      <c r="BH342" s="73">
        <v>804.2</v>
      </c>
      <c r="BI342" s="73"/>
      <c r="BJ342" s="73"/>
      <c r="BK342" s="73"/>
      <c r="BL342" s="73"/>
      <c r="BM342" s="73">
        <f>BH342+BM341</f>
        <v>899.5</v>
      </c>
      <c r="BN342" s="73"/>
      <c r="BO342" s="73"/>
      <c r="BP342" s="73"/>
      <c r="BQ342" s="73"/>
      <c r="BR342" s="73">
        <f>BM342+BR341</f>
        <v>968.8</v>
      </c>
      <c r="BS342" s="73">
        <f>BR342+BS341</f>
        <v>995.69999999999993</v>
      </c>
      <c r="BT342" s="73">
        <f>BS342+BT341</f>
        <v>1026.3</v>
      </c>
      <c r="BU342" s="73">
        <f>BT342+BU341</f>
        <v>1042.3999999999999</v>
      </c>
      <c r="BV342" s="73">
        <f>BU342+BV341</f>
        <v>1067.3</v>
      </c>
      <c r="BW342" s="73">
        <f>BR342+BW341</f>
        <v>1067.3</v>
      </c>
      <c r="BX342" s="1446">
        <f>BW342+BX341</f>
        <v>1115.3</v>
      </c>
      <c r="BY342" s="73">
        <f>BX342+BY341</f>
        <v>1164.3</v>
      </c>
      <c r="BZ342" s="73">
        <f>BY342+BZ341</f>
        <v>1196.3</v>
      </c>
      <c r="CA342" s="73">
        <f>BZ342+CA341</f>
        <v>1244.3</v>
      </c>
      <c r="CB342" s="73">
        <f>BW342+CB341</f>
        <v>1239.3</v>
      </c>
      <c r="CC342" s="1446">
        <f>CB342+CC341</f>
        <v>1273.3</v>
      </c>
      <c r="CD342" s="73">
        <f>CC342+CD341</f>
        <v>1300.3</v>
      </c>
      <c r="CE342" s="73">
        <f>CD342+CE341</f>
        <v>1318.3</v>
      </c>
      <c r="CF342" s="736">
        <f>CE342+CF341</f>
        <v>1379.3</v>
      </c>
      <c r="CG342" s="777">
        <f>CB342+CG341</f>
        <v>1379.3</v>
      </c>
      <c r="CH342" s="73">
        <f>CG342+CH341</f>
        <v>1421.3</v>
      </c>
      <c r="CI342" s="73">
        <f>CH342+CI341</f>
        <v>1477.3</v>
      </c>
      <c r="CJ342" s="73">
        <f>CI342+CJ341</f>
        <v>1527.3</v>
      </c>
      <c r="CK342" s="73">
        <f>CJ342+CK341</f>
        <v>1587.3</v>
      </c>
      <c r="CL342" s="777">
        <f>CG342+CL341</f>
        <v>1587.3</v>
      </c>
      <c r="CM342" s="73">
        <f>CL342+CM341</f>
        <v>1632.3</v>
      </c>
      <c r="CN342" s="73">
        <f>CM342+CN341</f>
        <v>1704.3</v>
      </c>
      <c r="CO342" s="73">
        <f>CN342+CO341</f>
        <v>1764.3</v>
      </c>
      <c r="CP342" s="73">
        <f>CO342+CP341</f>
        <v>1896.3</v>
      </c>
      <c r="CQ342" s="777">
        <f>CL342+CQ341</f>
        <v>1896.3</v>
      </c>
      <c r="CR342" s="73">
        <f>CQ342+CR341</f>
        <v>1951.3</v>
      </c>
      <c r="CS342" s="73">
        <f>CR342+CS341</f>
        <v>2023.3</v>
      </c>
      <c r="CT342" s="73">
        <f>CS342+CT341</f>
        <v>2143.3000000000002</v>
      </c>
      <c r="CU342" s="73">
        <f>CT342+CU341</f>
        <v>2135.3000000000002</v>
      </c>
      <c r="CV342" s="777">
        <f>CQ342+CV341</f>
        <v>2135.3000000000002</v>
      </c>
      <c r="CW342" s="73">
        <f>CV342+CW341</f>
        <v>2198.3000000000002</v>
      </c>
      <c r="CX342" s="73">
        <f>CW342+CX341</f>
        <v>2249.3000000000002</v>
      </c>
      <c r="CY342" s="73">
        <f>CX342+CY341</f>
        <v>2290.3000000000002</v>
      </c>
      <c r="CZ342" s="73">
        <f>CY342+CZ341</f>
        <v>2272.3000000000002</v>
      </c>
      <c r="DA342" s="777">
        <f>CV342+DA341</f>
        <v>2272.3000000000002</v>
      </c>
      <c r="DB342" s="73">
        <f>DA342+DB341</f>
        <v>2324.3000000000002</v>
      </c>
      <c r="DC342" s="73">
        <f>DB342+DC341</f>
        <v>2379.3000000000002</v>
      </c>
      <c r="DD342" s="73">
        <f>DC342+DD341</f>
        <v>2448.3000000000002</v>
      </c>
      <c r="DE342" s="73">
        <f>DD342+DE341</f>
        <v>2557.3000000000002</v>
      </c>
      <c r="DF342" s="777">
        <f>DA342+DF341</f>
        <v>2557.3000000000002</v>
      </c>
      <c r="DG342" s="73">
        <f>DF342+DG341</f>
        <v>2603.3000000000002</v>
      </c>
      <c r="DH342" s="73">
        <f>DG342+DH341</f>
        <v>2671.3</v>
      </c>
      <c r="DI342" s="73">
        <f>DH342+DI341</f>
        <v>2763.3</v>
      </c>
      <c r="DJ342" s="73">
        <f>DI342+DJ341</f>
        <v>2771.3</v>
      </c>
      <c r="DK342" s="777">
        <f>DF342+DK341</f>
        <v>2771.3</v>
      </c>
      <c r="DL342" s="73">
        <f>DK342+DL341</f>
        <v>2829.3</v>
      </c>
      <c r="DM342" s="73">
        <f>DL342+DM341</f>
        <v>2878.3</v>
      </c>
      <c r="DN342" s="73">
        <f t="shared" ref="DN342:DQ342" si="869">DM342+DN341</f>
        <v>2927.3</v>
      </c>
      <c r="DO342" s="73">
        <f t="shared" si="869"/>
        <v>2889.3</v>
      </c>
      <c r="DP342" s="777">
        <f>DK342+DP341</f>
        <v>2889.3</v>
      </c>
      <c r="DQ342" s="1446">
        <f t="shared" si="869"/>
        <v>2943.3</v>
      </c>
      <c r="DR342" s="73">
        <f>DQ342+DR341</f>
        <v>2992.3</v>
      </c>
      <c r="DS342" s="73">
        <f>DR342+DS341</f>
        <v>3041.3</v>
      </c>
      <c r="DT342" s="736">
        <f>DS342+DT341</f>
        <v>3003.3</v>
      </c>
      <c r="DU342" s="777">
        <f>DP342+DU341</f>
        <v>3003.3</v>
      </c>
      <c r="DV342" s="1446">
        <f>DU342+DV341</f>
        <v>3057.3</v>
      </c>
      <c r="DW342" s="73">
        <f>DV342+DW341</f>
        <v>3106.3</v>
      </c>
      <c r="DX342" s="73">
        <f>DW342+DX341</f>
        <v>3155.3</v>
      </c>
      <c r="DY342" s="736">
        <f>DX342+DY341</f>
        <v>3117.3</v>
      </c>
      <c r="DZ342" s="777">
        <f>DU342+DZ341</f>
        <v>3117.3</v>
      </c>
      <c r="EA342" s="1446">
        <f>DZ342+EA341</f>
        <v>3171.3</v>
      </c>
      <c r="EB342" s="73">
        <f>EA342+EB341</f>
        <v>3220.3</v>
      </c>
      <c r="EC342" s="73">
        <f>EB342+EC341</f>
        <v>3269.3</v>
      </c>
      <c r="ED342" s="736">
        <f>EC342+ED341</f>
        <v>3231.3</v>
      </c>
      <c r="EE342" s="777">
        <f>DZ342+EE341</f>
        <v>3231.3</v>
      </c>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row>
    <row r="343" spans="2:232" s="54" customFormat="1">
      <c r="B343" s="538" t="s">
        <v>444</v>
      </c>
      <c r="C343" s="64"/>
      <c r="D343" s="64"/>
      <c r="E343" s="64"/>
      <c r="F343" s="73"/>
      <c r="G343" s="73"/>
      <c r="H343" s="73"/>
      <c r="I343" s="73"/>
      <c r="J343" s="73"/>
      <c r="K343" s="73"/>
      <c r="L343" s="73"/>
      <c r="M343" s="73"/>
      <c r="N343" s="73"/>
      <c r="O343" s="73"/>
      <c r="P343" s="73"/>
      <c r="Q343" s="73"/>
      <c r="R343" s="73"/>
      <c r="S343" s="73"/>
      <c r="T343" s="73"/>
      <c r="U343" s="73"/>
      <c r="V343" s="73"/>
      <c r="W343" s="73"/>
      <c r="X343" s="73"/>
      <c r="Y343" s="73"/>
      <c r="Z343" s="73"/>
      <c r="AA343" s="73"/>
      <c r="AB343" s="73"/>
      <c r="AC343" s="73"/>
      <c r="AD343" s="73"/>
      <c r="AE343" s="73"/>
      <c r="AF343" s="73"/>
      <c r="AG343" s="73"/>
      <c r="AH343" s="73"/>
      <c r="AI343" s="73"/>
      <c r="AJ343" s="73"/>
      <c r="AK343" s="73"/>
      <c r="AL343" s="73"/>
      <c r="AM343" s="73"/>
      <c r="AN343" s="73">
        <f>AN204+AN342</f>
        <v>4120</v>
      </c>
      <c r="AO343" s="73"/>
      <c r="AP343" s="73"/>
      <c r="AQ343" s="73"/>
      <c r="AR343" s="73"/>
      <c r="AS343" s="73">
        <f>AS204+AS342</f>
        <v>4338.7</v>
      </c>
      <c r="AT343" s="73"/>
      <c r="AU343" s="73"/>
      <c r="AV343" s="73"/>
      <c r="AW343" s="73"/>
      <c r="AX343" s="73">
        <f>AX204+AX342</f>
        <v>4932.3999999999996</v>
      </c>
      <c r="AY343" s="73"/>
      <c r="AZ343" s="73"/>
      <c r="BA343" s="73"/>
      <c r="BB343" s="73"/>
      <c r="BC343" s="73">
        <f>BC204+BC342</f>
        <v>5473.2000000000007</v>
      </c>
      <c r="BD343" s="73"/>
      <c r="BE343" s="73"/>
      <c r="BF343" s="73"/>
      <c r="BG343" s="73"/>
      <c r="BH343" s="73">
        <f>BH204+BH342</f>
        <v>6396.9</v>
      </c>
      <c r="BI343" s="73"/>
      <c r="BJ343" s="73"/>
      <c r="BK343" s="73"/>
      <c r="BL343" s="73"/>
      <c r="BM343" s="73">
        <f>BM204+BM342</f>
        <v>6949.9</v>
      </c>
      <c r="BN343" s="73"/>
      <c r="BO343" s="73"/>
      <c r="BP343" s="73"/>
      <c r="BQ343" s="73"/>
      <c r="BR343" s="73">
        <f t="shared" ref="BR343:DF343" si="870">BR204+BR342</f>
        <v>7759.3</v>
      </c>
      <c r="BS343" s="73">
        <f t="shared" si="870"/>
        <v>8548.7000000000007</v>
      </c>
      <c r="BT343" s="73">
        <f t="shared" si="870"/>
        <v>8354</v>
      </c>
      <c r="BU343" s="73">
        <f t="shared" si="870"/>
        <v>8106.2</v>
      </c>
      <c r="BV343" s="73">
        <f t="shared" si="870"/>
        <v>8316.2999999999993</v>
      </c>
      <c r="BW343" s="73">
        <f t="shared" si="870"/>
        <v>8316.2999999999993</v>
      </c>
      <c r="BX343" s="1446">
        <f t="shared" si="870"/>
        <v>9413.2999999999993</v>
      </c>
      <c r="BY343" s="73">
        <f t="shared" si="870"/>
        <v>8748.2999999999993</v>
      </c>
      <c r="BZ343" s="73">
        <f t="shared" si="870"/>
        <v>8087.3</v>
      </c>
      <c r="CA343" s="73">
        <f t="shared" si="870"/>
        <v>8033.6</v>
      </c>
      <c r="CB343" s="73">
        <f t="shared" si="870"/>
        <v>8028.6</v>
      </c>
      <c r="CC343" s="1446">
        <f t="shared" si="870"/>
        <v>8747.2999999999993</v>
      </c>
      <c r="CD343" s="73">
        <f t="shared" si="870"/>
        <v>8500.2999999999993</v>
      </c>
      <c r="CE343" s="73">
        <f t="shared" si="870"/>
        <v>8428.2999999999993</v>
      </c>
      <c r="CF343" s="736">
        <f t="shared" si="870"/>
        <v>8757.2999999999993</v>
      </c>
      <c r="CG343" s="777">
        <f t="shared" si="870"/>
        <v>8757.2999999999993</v>
      </c>
      <c r="CH343" s="73">
        <f t="shared" si="870"/>
        <v>9330.2999999999993</v>
      </c>
      <c r="CI343" s="73">
        <f t="shared" si="870"/>
        <v>9084.2999999999993</v>
      </c>
      <c r="CJ343" s="73">
        <f t="shared" si="870"/>
        <v>9079.2999999999993</v>
      </c>
      <c r="CK343" s="73">
        <f t="shared" si="870"/>
        <v>9631.2999999999993</v>
      </c>
      <c r="CL343" s="777">
        <f t="shared" si="870"/>
        <v>9631.2999999999993</v>
      </c>
      <c r="CM343" s="73">
        <f t="shared" si="870"/>
        <v>9863.2999999999993</v>
      </c>
      <c r="CN343" s="73">
        <f t="shared" si="870"/>
        <v>9051.2999999999993</v>
      </c>
      <c r="CO343" s="73">
        <f t="shared" si="870"/>
        <v>8768.2999999999993</v>
      </c>
      <c r="CP343" s="73">
        <f t="shared" si="870"/>
        <v>8932.2999999999993</v>
      </c>
      <c r="CQ343" s="777">
        <f t="shared" si="870"/>
        <v>8932.2999999999993</v>
      </c>
      <c r="CR343" s="73">
        <f t="shared" si="870"/>
        <v>9772.2999999999993</v>
      </c>
      <c r="CS343" s="73">
        <f t="shared" si="870"/>
        <v>9276.2999999999993</v>
      </c>
      <c r="CT343" s="73">
        <f t="shared" si="870"/>
        <v>9024.2999999999993</v>
      </c>
      <c r="CU343" s="73">
        <f t="shared" si="870"/>
        <v>8987.2999999999993</v>
      </c>
      <c r="CV343" s="777">
        <f t="shared" si="870"/>
        <v>8987.2999999999993</v>
      </c>
      <c r="CW343" s="73">
        <f>CW204+CW342</f>
        <v>9927.2999999999993</v>
      </c>
      <c r="CX343" s="73">
        <f t="shared" si="870"/>
        <v>9462.2999999999993</v>
      </c>
      <c r="CY343" s="73">
        <f t="shared" si="870"/>
        <v>8729.2999999999993</v>
      </c>
      <c r="CZ343" s="73">
        <f t="shared" si="870"/>
        <v>8348.2999999999993</v>
      </c>
      <c r="DA343" s="777">
        <f t="shared" si="870"/>
        <v>8348.2999999999993</v>
      </c>
      <c r="DB343" s="73">
        <f t="shared" si="870"/>
        <v>8842.2999999999993</v>
      </c>
      <c r="DC343" s="73">
        <f t="shared" si="870"/>
        <v>11758.3</v>
      </c>
      <c r="DD343" s="73">
        <f>DD204+DD342</f>
        <v>11212.3</v>
      </c>
      <c r="DE343" s="73">
        <f>DE204+DE342</f>
        <v>11235.3</v>
      </c>
      <c r="DF343" s="777">
        <f t="shared" si="870"/>
        <v>11235.3</v>
      </c>
      <c r="DG343" s="73">
        <f>DG204+DG342</f>
        <v>12487.3</v>
      </c>
      <c r="DH343" s="73">
        <f>DH204+DH342</f>
        <v>11696.3</v>
      </c>
      <c r="DI343" s="73">
        <f>DI204+DI342</f>
        <v>11694.3</v>
      </c>
      <c r="DJ343" s="73">
        <f>DJ204+DJ342</f>
        <v>11727.3</v>
      </c>
      <c r="DK343" s="777">
        <f t="shared" ref="DK343:DU343" si="871">DK204+DK342</f>
        <v>11727.3</v>
      </c>
      <c r="DL343" s="73">
        <f>DL204+DL342</f>
        <v>12868.3</v>
      </c>
      <c r="DM343" s="73">
        <f>DM204+DM342</f>
        <v>12108.3</v>
      </c>
      <c r="DN343" s="73">
        <f t="shared" ref="DN343:DO343" si="872">DN204+DN342</f>
        <v>11608.3</v>
      </c>
      <c r="DO343" s="73">
        <f t="shared" si="872"/>
        <v>11788.3</v>
      </c>
      <c r="DP343" s="777">
        <f t="shared" si="871"/>
        <v>11788.3</v>
      </c>
      <c r="DQ343" s="1446">
        <f t="shared" si="871"/>
        <v>12953.3</v>
      </c>
      <c r="DR343" s="73">
        <f t="shared" ca="1" si="871"/>
        <v>13143.169948634149</v>
      </c>
      <c r="DS343" s="73">
        <f t="shared" ca="1" si="871"/>
        <v>12267.497930693662</v>
      </c>
      <c r="DT343" s="736">
        <f t="shared" si="871"/>
        <v>12372.535575620073</v>
      </c>
      <c r="DU343" s="777">
        <f t="shared" si="871"/>
        <v>12372.535575620073</v>
      </c>
      <c r="DV343" s="1446">
        <f t="shared" ref="DV343:DZ343" si="873">DV204+DV342</f>
        <v>13396.202342946493</v>
      </c>
      <c r="DW343" s="73">
        <f t="shared" ca="1" si="873"/>
        <v>13206.368396350557</v>
      </c>
      <c r="DX343" s="73">
        <f t="shared" ca="1" si="873"/>
        <v>12212.177360045258</v>
      </c>
      <c r="DY343" s="736">
        <f t="shared" si="873"/>
        <v>12318.857042262614</v>
      </c>
      <c r="DZ343" s="777">
        <f t="shared" si="873"/>
        <v>12318.857042262614</v>
      </c>
      <c r="EA343" s="1446">
        <f t="shared" ref="EA343:EE343" si="874">EA204+EA342</f>
        <v>13396.353509822457</v>
      </c>
      <c r="EB343" s="73">
        <f t="shared" ca="1" si="874"/>
        <v>13200.524682853302</v>
      </c>
      <c r="EC343" s="73">
        <f t="shared" ca="1" si="874"/>
        <v>12192.393610041589</v>
      </c>
      <c r="ED343" s="736">
        <f t="shared" si="874"/>
        <v>12317.403842264783</v>
      </c>
      <c r="EE343" s="777">
        <f t="shared" si="874"/>
        <v>12317.403842264783</v>
      </c>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row>
    <row r="344" spans="2:232" s="54" customFormat="1">
      <c r="B344" s="538"/>
      <c r="C344" s="64"/>
      <c r="D344" s="64"/>
      <c r="E344" s="64"/>
      <c r="F344" s="73"/>
      <c r="G344" s="73"/>
      <c r="H344" s="73"/>
      <c r="I344" s="73"/>
      <c r="J344" s="73"/>
      <c r="K344" s="73"/>
      <c r="L344" s="73"/>
      <c r="M344" s="73"/>
      <c r="N344" s="73"/>
      <c r="O344" s="73"/>
      <c r="P344" s="73"/>
      <c r="Q344" s="73"/>
      <c r="R344" s="73"/>
      <c r="S344" s="73"/>
      <c r="T344" s="73"/>
      <c r="U344" s="73"/>
      <c r="V344" s="73"/>
      <c r="W344" s="73"/>
      <c r="X344" s="73"/>
      <c r="Y344" s="73"/>
      <c r="Z344" s="73"/>
      <c r="AA344" s="73"/>
      <c r="AB344" s="73"/>
      <c r="AC344" s="73"/>
      <c r="AD344" s="73"/>
      <c r="AE344" s="73"/>
      <c r="AF344" s="73"/>
      <c r="AG344" s="73"/>
      <c r="AH344" s="73"/>
      <c r="AI344" s="73"/>
      <c r="AJ344" s="73"/>
      <c r="AK344" s="73"/>
      <c r="AL344" s="73"/>
      <c r="AM344" s="73"/>
      <c r="AN344" s="73"/>
      <c r="AO344" s="73"/>
      <c r="AP344" s="73"/>
      <c r="AQ344" s="73"/>
      <c r="AR344" s="73"/>
      <c r="AS344" s="73"/>
      <c r="AT344" s="73"/>
      <c r="AU344" s="73"/>
      <c r="AV344" s="73"/>
      <c r="AW344" s="73"/>
      <c r="AX344" s="73"/>
      <c r="AY344" s="73"/>
      <c r="AZ344" s="73"/>
      <c r="BA344" s="73"/>
      <c r="BB344" s="73"/>
      <c r="BC344" s="73"/>
      <c r="BD344" s="73"/>
      <c r="BE344" s="73"/>
      <c r="BF344" s="73"/>
      <c r="BG344" s="73"/>
      <c r="BH344" s="73"/>
      <c r="BI344" s="73"/>
      <c r="BJ344" s="73"/>
      <c r="BK344" s="73"/>
      <c r="BL344" s="73"/>
      <c r="BM344" s="73"/>
      <c r="BN344" s="73"/>
      <c r="BO344" s="73"/>
      <c r="BP344" s="73"/>
      <c r="BQ344" s="73"/>
      <c r="BR344" s="73"/>
      <c r="BS344" s="73"/>
      <c r="BT344" s="73"/>
      <c r="BU344" s="73"/>
      <c r="BV344" s="73"/>
      <c r="BW344" s="73"/>
      <c r="BX344" s="1446"/>
      <c r="BY344" s="73"/>
      <c r="BZ344" s="73"/>
      <c r="CA344" s="73"/>
      <c r="CB344" s="73"/>
      <c r="CC344" s="1446"/>
      <c r="CD344" s="73"/>
      <c r="CE344" s="73"/>
      <c r="CF344" s="736"/>
      <c r="CG344" s="777"/>
      <c r="CH344" s="73"/>
      <c r="CI344" s="73"/>
      <c r="CJ344" s="73"/>
      <c r="CK344" s="73"/>
      <c r="CL344" s="777"/>
      <c r="CM344" s="73"/>
      <c r="CN344" s="76"/>
      <c r="CO344" s="76"/>
      <c r="CP344" s="76"/>
      <c r="CQ344" s="777"/>
      <c r="CR344" s="73"/>
      <c r="CS344" s="76"/>
      <c r="CT344" s="76"/>
      <c r="CU344" s="76"/>
      <c r="CV344" s="777"/>
      <c r="CW344" s="73"/>
      <c r="CX344" s="76"/>
      <c r="CY344" s="76"/>
      <c r="CZ344" s="76"/>
      <c r="DA344" s="777"/>
      <c r="DB344" s="73"/>
      <c r="DC344" s="76"/>
      <c r="DD344" s="76"/>
      <c r="DE344" s="76"/>
      <c r="DF344" s="777"/>
      <c r="DG344" s="76"/>
      <c r="DH344" s="76"/>
      <c r="DI344" s="76"/>
      <c r="DJ344" s="76"/>
      <c r="DK344" s="807"/>
      <c r="DL344" s="76"/>
      <c r="DM344" s="76"/>
      <c r="DN344" s="76"/>
      <c r="DO344" s="76"/>
      <c r="DP344" s="807"/>
      <c r="DQ344" s="1436"/>
      <c r="DR344" s="76"/>
      <c r="DS344" s="76"/>
      <c r="DT344" s="1437"/>
      <c r="DU344" s="807"/>
      <c r="DV344" s="1436"/>
      <c r="DW344" s="76"/>
      <c r="DX344" s="76"/>
      <c r="DY344" s="1437"/>
      <c r="DZ344" s="807"/>
      <c r="EA344" s="1436"/>
      <c r="EB344" s="76"/>
      <c r="EC344" s="76"/>
      <c r="ED344" s="1437"/>
      <c r="EE344" s="807"/>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row>
    <row r="345" spans="2:232" s="54" customFormat="1">
      <c r="B345" s="693" t="s">
        <v>314</v>
      </c>
      <c r="C345" s="64"/>
      <c r="D345" s="64"/>
      <c r="E345" s="64"/>
      <c r="F345" s="119">
        <f>F205/F402</f>
        <v>1.008221541400888E-2</v>
      </c>
      <c r="G345" s="119">
        <f>G205/G402</f>
        <v>1.0381860186293949E-2</v>
      </c>
      <c r="H345" s="119">
        <f>H205/H402</f>
        <v>1.3079577182923359E-2</v>
      </c>
      <c r="I345" s="119">
        <f>I205/I402</f>
        <v>1.1592447756778632E-2</v>
      </c>
      <c r="J345" s="119">
        <f>J205/J402</f>
        <v>8.7257491417106689E-3</v>
      </c>
      <c r="K345" s="119"/>
      <c r="L345" s="119"/>
      <c r="M345" s="119"/>
      <c r="N345" s="119"/>
      <c r="O345" s="119">
        <f>O205/O402</f>
        <v>7.6162245356078684E-3</v>
      </c>
      <c r="P345" s="119"/>
      <c r="Q345" s="119"/>
      <c r="R345" s="119"/>
      <c r="S345" s="119"/>
      <c r="T345" s="119">
        <f>T205/T402</f>
        <v>1.0738213950540981E-2</v>
      </c>
      <c r="U345" s="119"/>
      <c r="V345" s="119"/>
      <c r="W345" s="119"/>
      <c r="X345" s="119"/>
      <c r="Y345" s="119">
        <f>Y205/Y402</f>
        <v>5.1371438128488709E-3</v>
      </c>
      <c r="Z345" s="119"/>
      <c r="AA345" s="119"/>
      <c r="AB345" s="119"/>
      <c r="AC345" s="119"/>
      <c r="AD345" s="119">
        <f>AD205/AD402</f>
        <v>7.3323317711953724E-3</v>
      </c>
      <c r="AE345" s="119"/>
      <c r="AF345" s="119"/>
      <c r="AG345" s="119"/>
      <c r="AH345" s="119"/>
      <c r="AI345" s="119">
        <f>AI205/AI402</f>
        <v>4.3382106767137106E-3</v>
      </c>
      <c r="AJ345" s="119"/>
      <c r="AK345" s="119"/>
      <c r="AL345" s="119"/>
      <c r="AM345" s="119"/>
      <c r="AN345" s="119">
        <f>AN205/AN402</f>
        <v>3.9109775413231533E-3</v>
      </c>
      <c r="AO345" s="119"/>
      <c r="AP345" s="119"/>
      <c r="AQ345" s="119"/>
      <c r="AR345" s="119"/>
      <c r="AS345" s="119">
        <f>AS205/AS402</f>
        <v>4.0653949813640343E-3</v>
      </c>
      <c r="AT345" s="119"/>
      <c r="AU345" s="119"/>
      <c r="AV345" s="119"/>
      <c r="AW345" s="119"/>
      <c r="AX345" s="119">
        <f>AX205/AX402</f>
        <v>3.7070763626966593E-3</v>
      </c>
      <c r="AY345" s="119"/>
      <c r="AZ345" s="119"/>
      <c r="BA345" s="119"/>
      <c r="BB345" s="119"/>
      <c r="BC345" s="119">
        <f>BC205/BC402</f>
        <v>4.2977268970518451E-3</v>
      </c>
      <c r="BD345" s="119"/>
      <c r="BE345" s="119"/>
      <c r="BF345" s="119"/>
      <c r="BG345" s="119"/>
      <c r="BH345" s="119">
        <f>BH205/BH402</f>
        <v>6.063751137397635E-3</v>
      </c>
      <c r="BI345" s="119"/>
      <c r="BJ345" s="119"/>
      <c r="BK345" s="119"/>
      <c r="BL345" s="119"/>
      <c r="BM345" s="119">
        <f>BM205/BM402</f>
        <v>5.4272395536712438E-3</v>
      </c>
      <c r="BN345" s="119"/>
      <c r="BO345" s="119"/>
      <c r="BP345" s="119"/>
      <c r="BQ345" s="119"/>
      <c r="BR345" s="119">
        <f>BR205/BR402</f>
        <v>4.2539340054313455E-3</v>
      </c>
      <c r="BS345" s="119">
        <f>BS205/BS402/4</f>
        <v>4.2771904561623624E-3</v>
      </c>
      <c r="BT345" s="119">
        <f>BT205/BT402/4</f>
        <v>3.5777855732252364E-3</v>
      </c>
      <c r="BU345" s="119">
        <f>BU205/BU402/4</f>
        <v>4.2089279887051554E-3</v>
      </c>
      <c r="BV345" s="119">
        <f>BV205/BV402/4</f>
        <v>3.6753875769844693E-3</v>
      </c>
      <c r="BW345" s="119">
        <f>BW205/BW402</f>
        <v>3.6351748051556471E-3</v>
      </c>
      <c r="BX345" s="1490">
        <f>BX205/BX402/4</f>
        <v>3.3284271091188868E-3</v>
      </c>
      <c r="BY345" s="119">
        <f>BY205/BY402/4</f>
        <v>3.080424886191199E-3</v>
      </c>
      <c r="BZ345" s="119">
        <f>BZ205/BZ402/4</f>
        <v>2.5293028994447871E-3</v>
      </c>
      <c r="CA345" s="119">
        <f>CA205/CA402/4</f>
        <v>2.8179328790676941E-3</v>
      </c>
      <c r="CB345" s="119">
        <f>CB205/CB402</f>
        <v>2.7946632983342542E-3</v>
      </c>
      <c r="CC345" s="1490">
        <f>CC205/CC402/4</f>
        <v>2.5971645074553897E-3</v>
      </c>
      <c r="CD345" s="119">
        <f>CD205/CD402/4</f>
        <v>2.4136104079590273E-3</v>
      </c>
      <c r="CE345" s="119">
        <f>CE205/CE402/4</f>
        <v>2.6891098319669748E-3</v>
      </c>
      <c r="CF345" s="1491">
        <f>CF205/CF402/4</f>
        <v>3.1713100177830468E-3</v>
      </c>
      <c r="CG345" s="895">
        <f>CG205/CG402</f>
        <v>3.1741323049540196E-3</v>
      </c>
      <c r="CH345" s="119">
        <f>CH205/CH402/4</f>
        <v>3.1711254612546125E-3</v>
      </c>
      <c r="CI345" s="119">
        <f>CI205/CI402/4</f>
        <v>2.5672900227002486E-3</v>
      </c>
      <c r="CJ345" s="119">
        <f>CJ205/CJ402/4</f>
        <v>2.7625061237820476E-3</v>
      </c>
      <c r="CK345" s="119">
        <f>CK205/CK402/4</f>
        <v>3.1307396894306228E-3</v>
      </c>
      <c r="CL345" s="895">
        <f>CL205/CL402</f>
        <v>3.1170342458162474E-3</v>
      </c>
      <c r="CM345" s="119">
        <f>CM205/CM402/4</f>
        <v>2.6986837032549429E-3</v>
      </c>
      <c r="CN345" s="119">
        <f>CN205/CN402/4</f>
        <v>3.6191088949654175E-3</v>
      </c>
      <c r="CO345" s="119">
        <f>CO205/CO402/4</f>
        <v>3.9009689049121225E-3</v>
      </c>
      <c r="CP345" s="119">
        <f>CP205/CP402/4</f>
        <v>3.8071809289521468E-3</v>
      </c>
      <c r="CQ345" s="895">
        <f>CQ205/CQ402</f>
        <v>3.6296120503120071E-3</v>
      </c>
      <c r="CR345" s="119">
        <f>CR205/CR402/4</f>
        <v>3.5805035805035806E-3</v>
      </c>
      <c r="CS345" s="119">
        <f>CS205/CS402/4</f>
        <v>3.5796642891617954E-3</v>
      </c>
      <c r="CT345" s="119">
        <f>CT205/CT402/4</f>
        <v>3.7951182220280675E-3</v>
      </c>
      <c r="CU345" s="119">
        <f>CU205/CU402/4</f>
        <v>3.9574159745833564E-3</v>
      </c>
      <c r="CV345" s="895">
        <f>CV205/CV402</f>
        <v>3.9325920489635402E-3</v>
      </c>
      <c r="CW345" s="119">
        <f>CW205/CW402/4</f>
        <v>4.0509574990452287E-3</v>
      </c>
      <c r="CX345" s="119">
        <f>CX205/CX402/4</f>
        <v>3.468502932925274E-3</v>
      </c>
      <c r="CY345" s="119">
        <f>CY205/CY402/4</f>
        <v>4.3039018607288282E-3</v>
      </c>
      <c r="CZ345" s="119">
        <f>CZ205/CZ402/4</f>
        <v>3.9617988140840639E-3</v>
      </c>
      <c r="DA345" s="895">
        <f>DA205/DA402</f>
        <v>3.9532935385904284E-3</v>
      </c>
      <c r="DB345" s="119">
        <f>DB205/DB402/4</f>
        <v>4.1168047458320549E-3</v>
      </c>
      <c r="DC345" s="119">
        <f>DC205/DC402/4</f>
        <v>1.2362172129605239E-2</v>
      </c>
      <c r="DD345" s="119">
        <f>DD205/DD402/4</f>
        <v>7.9614516409098803E-3</v>
      </c>
      <c r="DE345" s="119">
        <f>DE205/DE402/4</f>
        <v>9.9046350185821464E-3</v>
      </c>
      <c r="DF345" s="895">
        <f>DF205/DF402</f>
        <v>1.092378484977379E-2</v>
      </c>
      <c r="DG345" s="119">
        <f>DG205/DG402/4</f>
        <v>8.2320118485860912E-3</v>
      </c>
      <c r="DH345" s="119">
        <f>DH205/DH402/4</f>
        <v>8.5641399416909614E-3</v>
      </c>
      <c r="DI345" s="119">
        <f>DI205/DI402/4</f>
        <v>8.3310732931046166E-3</v>
      </c>
      <c r="DJ345" s="119">
        <f>DJ205/DJ402/4</f>
        <v>7.5080318480234666E-3</v>
      </c>
      <c r="DK345" s="895">
        <f>DK205/DK402</f>
        <v>7.3284420243542878E-3</v>
      </c>
      <c r="DL345" s="119">
        <f>DL205/DL402/4</f>
        <v>7.8330584891758183E-3</v>
      </c>
      <c r="DM345" s="119">
        <f>DM205/DM402/4</f>
        <v>6.6477620050261494E-3</v>
      </c>
      <c r="DN345" s="119">
        <f>DN205/DN402/4</f>
        <v>7.2963012152201341E-3</v>
      </c>
      <c r="DO345" s="119">
        <f>DO205/DO402/4</f>
        <v>8.4994527181664406E-3</v>
      </c>
      <c r="DP345" s="895">
        <f>DP205/DP402</f>
        <v>8.670715820461198E-3</v>
      </c>
      <c r="DQ345" s="1490">
        <f>DQ205/DQ402/4</f>
        <v>7.9944697462589458E-3</v>
      </c>
      <c r="DR345" s="119">
        <f ca="1">DR205/DR402/4</f>
        <v>7.3212087033966734E-3</v>
      </c>
      <c r="DS345" s="119">
        <f ca="1">DS205/DS402/4</f>
        <v>7.2606632775909213E-3</v>
      </c>
      <c r="DT345" s="1491">
        <f>DT205/DT402/4</f>
        <v>7.3796619893665046E-3</v>
      </c>
      <c r="DU345" s="895">
        <f ca="1">DU205/DU402</f>
        <v>7.4778660353983792E-3</v>
      </c>
      <c r="DV345" s="1490">
        <f>DV205/DV402/4</f>
        <v>7.3820438163639032E-3</v>
      </c>
      <c r="DW345" s="119">
        <f ca="1">DW205/DW402/4</f>
        <v>7.1520253507606074E-3</v>
      </c>
      <c r="DX345" s="119">
        <f ca="1">DX205/DX402/4</f>
        <v>7.1513931802717123E-3</v>
      </c>
      <c r="DY345" s="1491">
        <f>DY205/DY402/4</f>
        <v>7.2702159309894895E-3</v>
      </c>
      <c r="DZ345" s="895">
        <f ca="1">DZ205/DZ402</f>
        <v>7.2376606362059377E-3</v>
      </c>
      <c r="EA345" s="1490">
        <f>EA205/EA402/4</f>
        <v>7.2517546911172372E-3</v>
      </c>
      <c r="EB345" s="119">
        <f ca="1">EB205/EB402/4</f>
        <v>7.0295424865625365E-3</v>
      </c>
      <c r="EC345" s="119">
        <f ca="1">EC205/EC402/4</f>
        <v>7.0226649591321414E-3</v>
      </c>
      <c r="ED345" s="1491">
        <f>ED205/ED402/4</f>
        <v>7.1324698160733667E-3</v>
      </c>
      <c r="EE345" s="895">
        <f ca="1">EE205/EE402</f>
        <v>7.1078964214155533E-3</v>
      </c>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row>
    <row r="346" spans="2:232" s="54" customFormat="1">
      <c r="B346" s="693" t="s">
        <v>371</v>
      </c>
      <c r="C346" s="64"/>
      <c r="D346" s="64"/>
      <c r="E346" s="64"/>
      <c r="F346" s="119">
        <f>F212/F402</f>
        <v>5.6317766525809127E-3</v>
      </c>
      <c r="G346" s="119">
        <f>G212/G402</f>
        <v>1.2195916473677923E-2</v>
      </c>
      <c r="H346" s="119">
        <f>H212/H402</f>
        <v>1.7447593925862342E-2</v>
      </c>
      <c r="I346" s="119">
        <f>I212/I402</f>
        <v>1.6291430255708245E-2</v>
      </c>
      <c r="J346" s="119">
        <f>J212/J402</f>
        <v>1.8347882501518024E-2</v>
      </c>
      <c r="K346" s="119"/>
      <c r="L346" s="119"/>
      <c r="M346" s="119"/>
      <c r="N346" s="119"/>
      <c r="O346" s="119">
        <f>O212/O402</f>
        <v>1.4113961751027814E-2</v>
      </c>
      <c r="P346" s="119"/>
      <c r="Q346" s="119"/>
      <c r="R346" s="119"/>
      <c r="S346" s="119"/>
      <c r="T346" s="119">
        <f>T212/T402</f>
        <v>9.5168585730938272E-3</v>
      </c>
      <c r="U346" s="119"/>
      <c r="V346" s="119"/>
      <c r="W346" s="119"/>
      <c r="X346" s="119"/>
      <c r="Y346" s="119">
        <f>Y212/Y402</f>
        <v>8.825366378859785E-3</v>
      </c>
      <c r="Z346" s="119"/>
      <c r="AA346" s="119"/>
      <c r="AB346" s="119"/>
      <c r="AC346" s="119"/>
      <c r="AD346" s="119">
        <f>AD212/AD402</f>
        <v>5.1068457519564099E-3</v>
      </c>
      <c r="AE346" s="119"/>
      <c r="AF346" s="119"/>
      <c r="AG346" s="119"/>
      <c r="AH346" s="119"/>
      <c r="AI346" s="119">
        <f>AI212/AI402</f>
        <v>5.9131697702162972E-3</v>
      </c>
      <c r="AJ346" s="119"/>
      <c r="AK346" s="119"/>
      <c r="AL346" s="119"/>
      <c r="AM346" s="119"/>
      <c r="AN346" s="119">
        <f>AN212/AN402</f>
        <v>3.8419364009259632E-3</v>
      </c>
      <c r="AO346" s="119"/>
      <c r="AP346" s="119"/>
      <c r="AQ346" s="119"/>
      <c r="AR346" s="119"/>
      <c r="AS346" s="119">
        <f>AS212/AS402</f>
        <v>4.2153194961141666E-3</v>
      </c>
      <c r="AT346" s="119"/>
      <c r="AU346" s="119"/>
      <c r="AV346" s="119"/>
      <c r="AW346" s="119"/>
      <c r="AX346" s="119">
        <f>AX212/AX402</f>
        <v>3.3163720489518662E-3</v>
      </c>
      <c r="AY346" s="119"/>
      <c r="AZ346" s="119"/>
      <c r="BA346" s="119"/>
      <c r="BB346" s="119"/>
      <c r="BC346" s="119">
        <f>BC212/BC402</f>
        <v>3.5005678758244872E-3</v>
      </c>
      <c r="BD346" s="119"/>
      <c r="BE346" s="119"/>
      <c r="BF346" s="119"/>
      <c r="BG346" s="119"/>
      <c r="BH346" s="119">
        <f>BH212/BH402</f>
        <v>3.0164733090688504E-3</v>
      </c>
      <c r="BI346" s="119"/>
      <c r="BJ346" s="119"/>
      <c r="BK346" s="119"/>
      <c r="BL346" s="119"/>
      <c r="BM346" s="119">
        <f>BM212/BM402</f>
        <v>1.0057162142209286E-2</v>
      </c>
      <c r="BN346" s="119"/>
      <c r="BO346" s="119"/>
      <c r="BP346" s="119"/>
      <c r="BQ346" s="119"/>
      <c r="BR346" s="119">
        <f>BR212/BR402</f>
        <v>1.0100070681894275E-2</v>
      </c>
      <c r="BS346" s="119">
        <f>BS212/BS402/4</f>
        <v>1.0211792214087641E-2</v>
      </c>
      <c r="BT346" s="119">
        <f>BT212/BT402/4</f>
        <v>9.4909572809479259E-3</v>
      </c>
      <c r="BU346" s="119">
        <f>BU212/BU402/4</f>
        <v>1.1291514881091124E-2</v>
      </c>
      <c r="BV346" s="119">
        <f>BV212/BV402/4</f>
        <v>1.3079652807749484E-2</v>
      </c>
      <c r="BW346" s="119">
        <f>BW212/BW402</f>
        <v>1.2936547058235638E-2</v>
      </c>
      <c r="BX346" s="1490">
        <f>BX212/BX402/4</f>
        <v>1.2895564327289758E-2</v>
      </c>
      <c r="BY346" s="119">
        <f>BY212/BY402/4</f>
        <v>1.2215477996965098E-2</v>
      </c>
      <c r="BZ346" s="119">
        <f>BZ212/BZ402/4</f>
        <v>1.28470080197409E-2</v>
      </c>
      <c r="CA346" s="119">
        <f>CA212/CA402/4</f>
        <v>1.3214035534611221E-2</v>
      </c>
      <c r="CB346" s="119">
        <f>CB212/CB402</f>
        <v>1.3104918291623904E-2</v>
      </c>
      <c r="CC346" s="1490">
        <f>CC212/CC402/4</f>
        <v>1.2878880469322904E-2</v>
      </c>
      <c r="CD346" s="119">
        <f>CD212/CD402/4</f>
        <v>1.1832577853652793E-2</v>
      </c>
      <c r="CE346" s="119">
        <f>CE212/CE402/4</f>
        <v>1.9230769230769232E-2</v>
      </c>
      <c r="CF346" s="1491">
        <f>CF212/CF402/4</f>
        <v>2.7963841138114998E-2</v>
      </c>
      <c r="CG346" s="895">
        <f>CG212/CG402</f>
        <v>1.9015129041827349E-2</v>
      </c>
      <c r="CH346" s="119">
        <f>CH212/CH402/4</f>
        <v>2.7329335793357935E-2</v>
      </c>
      <c r="CI346" s="119">
        <f>CI212/CI402/4</f>
        <v>2.5645876121500377E-2</v>
      </c>
      <c r="CJ346" s="119">
        <f>CJ212/CJ402/4</f>
        <v>2.5828751837134616E-2</v>
      </c>
      <c r="CK346" s="119">
        <f>CK212/CK402/4</f>
        <v>2.8065342015918072E-2</v>
      </c>
      <c r="CL346" s="895">
        <f>CL212/CL402</f>
        <v>2.2013188518231187E-2</v>
      </c>
      <c r="CM346" s="119">
        <f>CM212/CM402/4</f>
        <v>2.7771658313598062E-2</v>
      </c>
      <c r="CN346" s="119">
        <f>CN212/CN402/4</f>
        <v>2.1835290332958019E-2</v>
      </c>
      <c r="CO346" s="119">
        <f>CO212/CO402/4</f>
        <v>3.053177106804867E-2</v>
      </c>
      <c r="CP346" s="119">
        <f>CP212/CP402/4</f>
        <v>2.192057634862063E-2</v>
      </c>
      <c r="CQ346" s="895">
        <f>CQ212/CQ402</f>
        <v>2.0898189381988747E-2</v>
      </c>
      <c r="CR346" s="119">
        <f>CR212/CR402/4</f>
        <v>2.3027835527835529E-2</v>
      </c>
      <c r="CS346" s="119">
        <f>CS212/CS402/4</f>
        <v>3.373196760873063E-2</v>
      </c>
      <c r="CT346" s="119">
        <f>CT212/CT402/4</f>
        <v>3.5357396385081639E-2</v>
      </c>
      <c r="CU346" s="119">
        <f>CU212/CU402/4</f>
        <v>3.8988908087620532E-2</v>
      </c>
      <c r="CV346" s="895">
        <f>CV212/CV402</f>
        <v>3.8744339975352066E-2</v>
      </c>
      <c r="CW346" s="119">
        <f>CW212/CW402/4</f>
        <v>3.5762998526924543E-2</v>
      </c>
      <c r="CX346" s="119">
        <f>CX212/CX402/4</f>
        <v>3.5016577403723541E-2</v>
      </c>
      <c r="CY346" s="119">
        <f>CY212/CY402/4</f>
        <v>5.1221586516158962E-2</v>
      </c>
      <c r="CZ346" s="119">
        <f>CZ212/CZ402/4</f>
        <v>4.0352626331531721E-2</v>
      </c>
      <c r="DA346" s="895">
        <f>DA212/DA402</f>
        <v>4.0265996439417737E-2</v>
      </c>
      <c r="DB346" s="119">
        <f>DB212/DB402/4</f>
        <v>4.5233711772527357E-2</v>
      </c>
      <c r="DC346" s="119">
        <f>DC212/DC402/4</f>
        <v>5.3879878071726943E-2</v>
      </c>
      <c r="DD346" s="119">
        <f>DD212/DD402/4</f>
        <v>5.0217051571453376E-2</v>
      </c>
      <c r="DE346" s="119">
        <f>DE212/DE402/4</f>
        <v>4.675338335320104E-2</v>
      </c>
      <c r="DF346" s="895">
        <f>DF212/DF402</f>
        <v>5.1564131317427785E-2</v>
      </c>
      <c r="DG346" s="119">
        <f>DG212/DG402/4</f>
        <v>4.5749664175248853E-2</v>
      </c>
      <c r="DH346" s="119">
        <f>DH212/DH402/4</f>
        <v>3.7577855817651738E-2</v>
      </c>
      <c r="DI346" s="119">
        <f>DI212/DI402/4</f>
        <v>4.6350600040680721E-2</v>
      </c>
      <c r="DJ346" s="119">
        <f>DJ212/DJ402/4</f>
        <v>5.7977720352004471E-2</v>
      </c>
      <c r="DK346" s="895">
        <f>DK212/DK402</f>
        <v>5.6590911027600957E-2</v>
      </c>
      <c r="DL346" s="119">
        <f>DL212/DL402/4</f>
        <v>5.7927792007297987E-2</v>
      </c>
      <c r="DM346" s="119">
        <f>DM212/DM402/4</f>
        <v>5.6068735991306122E-2</v>
      </c>
      <c r="DN346" s="119">
        <f>DN212/DN402/4</f>
        <v>5.6129225048143966E-2</v>
      </c>
      <c r="DO346" s="119">
        <f>DO212/DO402/4</f>
        <v>5.6602209028491821E-2</v>
      </c>
      <c r="DP346" s="895">
        <f>DP212/DP402</f>
        <v>5.7742737746798181E-2</v>
      </c>
      <c r="DQ346" s="1490">
        <f>DQ212/DQ402/4</f>
        <v>5.4692582953806114E-2</v>
      </c>
      <c r="DR346" s="119">
        <f ca="1">DR212/DR402/4</f>
        <v>5.0654140108398707E-2</v>
      </c>
      <c r="DS346" s="119">
        <f ca="1">DS212/DS402/4</f>
        <v>5.0940138010017046E-2</v>
      </c>
      <c r="DT346" s="1491">
        <f>DT212/DT402/4</f>
        <v>5.2399015957030594E-2</v>
      </c>
      <c r="DU346" s="895">
        <f ca="1">DU212/DU402</f>
        <v>5.3096310139675251E-2</v>
      </c>
      <c r="DV346" s="1490">
        <f>DV212/DV402/4</f>
        <v>5.3003906171997364E-2</v>
      </c>
      <c r="DW346" s="119">
        <f ca="1">DW212/DW402/4</f>
        <v>5.1909002485278806E-2</v>
      </c>
      <c r="DX346" s="119">
        <f ca="1">DX212/DX402/4</f>
        <v>5.2572647647441094E-2</v>
      </c>
      <c r="DY346" s="1491">
        <f>DY212/DY402/4</f>
        <v>5.4079125909681974E-2</v>
      </c>
      <c r="DZ346" s="895">
        <f ca="1">DZ212/DZ402</f>
        <v>5.383696502995871E-2</v>
      </c>
      <c r="EA346" s="1490">
        <f>EA212/EA402/4</f>
        <v>5.4519403570959989E-2</v>
      </c>
      <c r="EB346" s="119">
        <f ca="1">EB212/EB402/4</f>
        <v>5.3395912154655209E-2</v>
      </c>
      <c r="EC346" s="119">
        <f ca="1">EC212/EC402/4</f>
        <v>5.3999875863313257E-2</v>
      </c>
      <c r="ED346" s="1491">
        <f>ED212/ED402/4</f>
        <v>5.5465179980306582E-2</v>
      </c>
      <c r="EE346" s="895">
        <f ca="1">EE212/EE402</f>
        <v>5.5274086601355125E-2</v>
      </c>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row>
    <row r="347" spans="2:232" s="54" customFormat="1">
      <c r="B347" s="693" t="s">
        <v>385</v>
      </c>
      <c r="C347" s="64"/>
      <c r="D347" s="64"/>
      <c r="E347" s="64"/>
      <c r="F347" s="119">
        <f>F229/F403</f>
        <v>3.2176713724117734E-2</v>
      </c>
      <c r="G347" s="119">
        <f>G229/G403</f>
        <v>9.8350591681367044E-3</v>
      </c>
      <c r="H347" s="119">
        <f>H229/H403</f>
        <v>1.6791771745209523E-2</v>
      </c>
      <c r="I347" s="119">
        <f>I229/I403</f>
        <v>1.6759764702713932E-2</v>
      </c>
      <c r="J347" s="119">
        <f>J229/J403</f>
        <v>3.1897239797262111E-2</v>
      </c>
      <c r="K347" s="119"/>
      <c r="L347" s="119"/>
      <c r="M347" s="119"/>
      <c r="N347" s="119"/>
      <c r="O347" s="119">
        <f>O229/O403</f>
        <v>3.0475766132969453E-2</v>
      </c>
      <c r="P347" s="119"/>
      <c r="Q347" s="119"/>
      <c r="R347" s="119"/>
      <c r="S347" s="119"/>
      <c r="T347" s="119">
        <f>T229/T403</f>
        <v>2.8914248325763989E-2</v>
      </c>
      <c r="U347" s="119"/>
      <c r="V347" s="119"/>
      <c r="W347" s="119"/>
      <c r="X347" s="119"/>
      <c r="Y347" s="119">
        <f>Y229/Y403</f>
        <v>3.3341563814944436E-2</v>
      </c>
      <c r="Z347" s="119"/>
      <c r="AA347" s="119"/>
      <c r="AB347" s="119"/>
      <c r="AC347" s="119"/>
      <c r="AD347" s="119">
        <f>AD229/AD403</f>
        <v>3.1266854668454226E-2</v>
      </c>
      <c r="AE347" s="119"/>
      <c r="AF347" s="119"/>
      <c r="AG347" s="119"/>
      <c r="AH347" s="119"/>
      <c r="AI347" s="119">
        <f>AI229/AI403</f>
        <v>2.8883437012486808E-2</v>
      </c>
      <c r="AJ347" s="119"/>
      <c r="AK347" s="119"/>
      <c r="AL347" s="119"/>
      <c r="AM347" s="119"/>
      <c r="AN347" s="119">
        <f>AN229/AN403</f>
        <v>2.5331183617838204E-2</v>
      </c>
      <c r="AO347" s="119"/>
      <c r="AP347" s="119"/>
      <c r="AQ347" s="119"/>
      <c r="AR347" s="119"/>
      <c r="AS347" s="119">
        <f>AS229/AS403</f>
        <v>2.3994002685506333E-2</v>
      </c>
      <c r="AT347" s="119"/>
      <c r="AU347" s="119"/>
      <c r="AV347" s="119"/>
      <c r="AW347" s="119"/>
      <c r="AX347" s="119">
        <f>AX229/AX403</f>
        <v>2.8579021521795984E-2</v>
      </c>
      <c r="AY347" s="119"/>
      <c r="AZ347" s="119"/>
      <c r="BA347" s="119"/>
      <c r="BB347" s="119"/>
      <c r="BC347" s="119">
        <f>BC229/BC403</f>
        <v>3.0684281445896067E-2</v>
      </c>
      <c r="BD347" s="119"/>
      <c r="BE347" s="119"/>
      <c r="BF347" s="119"/>
      <c r="BG347" s="119"/>
      <c r="BH347" s="119">
        <f>BH229/BH403</f>
        <v>3.2409629839086206E-2</v>
      </c>
      <c r="BI347" s="119"/>
      <c r="BJ347" s="119"/>
      <c r="BK347" s="119"/>
      <c r="BL347" s="119"/>
      <c r="BM347" s="119">
        <f>BM229/BM403</f>
        <v>3.2584315603789681E-2</v>
      </c>
      <c r="BN347" s="119"/>
      <c r="BO347" s="119"/>
      <c r="BP347" s="119"/>
      <c r="BQ347" s="119"/>
      <c r="BR347" s="119">
        <f>BR229/BR403</f>
        <v>3.3355747038405312E-2</v>
      </c>
      <c r="BS347" s="119">
        <f>BS229/BS403/4</f>
        <v>3.2477490847927178E-2</v>
      </c>
      <c r="BT347" s="119">
        <f>BT229/BT403/4</f>
        <v>3.1428049671292917E-2</v>
      </c>
      <c r="BU347" s="119">
        <f>BU229/BU403/4</f>
        <v>3.2513927576601674E-2</v>
      </c>
      <c r="BV347" s="119">
        <f>BV229/BV403/4</f>
        <v>3.337751479289941E-2</v>
      </c>
      <c r="BW347" s="119">
        <f>BW229/BW403</f>
        <v>3.3266102874396991E-2</v>
      </c>
      <c r="BX347" s="1490">
        <f>BX229/BX403/4</f>
        <v>3.2303630974434977E-2</v>
      </c>
      <c r="BY347" s="119">
        <f>BY229/BY403/4</f>
        <v>2.9340836012861738E-2</v>
      </c>
      <c r="BZ347" s="119">
        <f>BZ229/BZ403/4</f>
        <v>2.8274189430686748E-2</v>
      </c>
      <c r="CA347" s="119">
        <f>CA229/CA403/4</f>
        <v>3.072994628863256E-2</v>
      </c>
      <c r="CB347" s="119">
        <f>CB229/CB403</f>
        <v>3.0532347666331307E-2</v>
      </c>
      <c r="CC347" s="1490">
        <f>CC229/CC403/4</f>
        <v>3.0948756976154235E-2</v>
      </c>
      <c r="CD347" s="119">
        <f>CD229/CD403/4</f>
        <v>3.0789909015715468E-2</v>
      </c>
      <c r="CE347" s="119">
        <f>CE229/CE403/4</f>
        <v>3.2670682730923696E-2</v>
      </c>
      <c r="CF347" s="1491">
        <f>CF229/CF403/4</f>
        <v>3.5912402715681406E-2</v>
      </c>
      <c r="CG347" s="895">
        <f>CG229/CG403</f>
        <v>3.5814548757328049E-2</v>
      </c>
      <c r="CH347" s="119">
        <f>CH229/CH403/4</f>
        <v>3.5950479877409472E-2</v>
      </c>
      <c r="CI347" s="119">
        <f>CI229/CI403/4</f>
        <v>3.509637274244954E-2</v>
      </c>
      <c r="CJ347" s="119">
        <f>CJ229/CJ403/4</f>
        <v>3.5408943027918589E-2</v>
      </c>
      <c r="CK347" s="119">
        <f>CK229/CK403/4</f>
        <v>3.4598387346875488E-2</v>
      </c>
      <c r="CL347" s="895">
        <f>CL229/CL403</f>
        <v>3.4531455544378239E-2</v>
      </c>
      <c r="CM347" s="119">
        <f>CM229/CM403/4</f>
        <v>3.5470773002374931E-2</v>
      </c>
      <c r="CN347" s="119">
        <f>CN229/CN403/4</f>
        <v>3.5364198461770475E-2</v>
      </c>
      <c r="CO347" s="119">
        <f>CO229/CO403/4</f>
        <v>3.7348877374784109E-2</v>
      </c>
      <c r="CP347" s="119">
        <f>CP229/CP403/4</f>
        <v>3.8527537179277663E-2</v>
      </c>
      <c r="CQ347" s="895">
        <f>CQ229/CQ403</f>
        <v>3.6770583533173459E-2</v>
      </c>
      <c r="CR347" s="119">
        <f>CR229/CR403/4</f>
        <v>3.9535074077105672E-2</v>
      </c>
      <c r="CS347" s="119">
        <f>CS229/CS403/4</f>
        <v>3.8171012269938652E-2</v>
      </c>
      <c r="CT347" s="119">
        <f>CT229/CT403/4</f>
        <v>3.9970208540218467E-2</v>
      </c>
      <c r="CU347" s="119">
        <f>CU229/CU403/4</f>
        <v>4.0529411764705883E-2</v>
      </c>
      <c r="CV347" s="895">
        <f>CV229/CV403</f>
        <v>4.0451681083408353E-2</v>
      </c>
      <c r="CW347" s="119">
        <f>CW229/CW403/4</f>
        <v>4.4110950899294225E-2</v>
      </c>
      <c r="CX347" s="119">
        <f>CX229/CX403/4</f>
        <v>4.2672877104980293E-2</v>
      </c>
      <c r="CY347" s="119">
        <f>CY229/CY403/4</f>
        <v>4.9065253205357783E-2</v>
      </c>
      <c r="CZ347" s="119">
        <f>CZ229/CZ403/4</f>
        <v>5.356882738528769E-2</v>
      </c>
      <c r="DA347" s="895">
        <f>DA229/DA403</f>
        <v>5.3663608339565509E-2</v>
      </c>
      <c r="DB347" s="119">
        <f>DB229/DB403/4</f>
        <v>5.402230326834058E-2</v>
      </c>
      <c r="DC347" s="119">
        <f>DC229/DC403/4</f>
        <v>5.0162510791732264E-2</v>
      </c>
      <c r="DD347" s="119">
        <f>DD229/DD403/4</f>
        <v>4.6577366988833628E-2</v>
      </c>
      <c r="DE347" s="119">
        <f>DE229/DE403/4</f>
        <v>4.7890106788352073E-2</v>
      </c>
      <c r="DF347" s="895">
        <f>DF229/DF403</f>
        <v>5.3214845791949815E-2</v>
      </c>
      <c r="DG347" s="119">
        <f>DG229/DG403/4</f>
        <v>4.7861223352375644E-2</v>
      </c>
      <c r="DH347" s="119">
        <f>DH229/DH403/4</f>
        <v>4.6245503597122303E-2</v>
      </c>
      <c r="DI347" s="119">
        <f>DI229/DI403/4</f>
        <v>4.5441116312894866E-2</v>
      </c>
      <c r="DJ347" s="119">
        <f>DJ229/DJ403/4</f>
        <v>4.7076486197104417E-2</v>
      </c>
      <c r="DK347" s="895">
        <f>DK229/DK403</f>
        <v>4.6359437497851076E-2</v>
      </c>
      <c r="DL347" s="119">
        <f>DL229/DL403/4</f>
        <v>4.9076455459434183E-2</v>
      </c>
      <c r="DM347" s="119">
        <f>DM229/DM403/4</f>
        <v>4.9223212245830476E-2</v>
      </c>
      <c r="DN347" s="119">
        <f>DN229/DN403/4</f>
        <v>4.5716710921516565E-2</v>
      </c>
      <c r="DO347" s="119">
        <f>DO229/DO403/4</f>
        <v>4.6286553553421893E-2</v>
      </c>
      <c r="DP347" s="895">
        <f>DP229/DP403</f>
        <v>4.7421731123388579E-2</v>
      </c>
      <c r="DQ347" s="1490">
        <f>DQ229/DQ403/4</f>
        <v>4.5824607889226036E-2</v>
      </c>
      <c r="DR347" s="119">
        <f ca="1">DR229/DR403/4</f>
        <v>4.2433378367776754E-2</v>
      </c>
      <c r="DS347" s="119">
        <f ca="1">DS229/DS403/4</f>
        <v>4.1698318263527677E-2</v>
      </c>
      <c r="DT347" s="1491">
        <f>DT229/DT403/4</f>
        <v>4.2435937102641534E-2</v>
      </c>
      <c r="DU347" s="895">
        <f ca="1">DU229/DU403</f>
        <v>4.3040647423435191E-2</v>
      </c>
      <c r="DV347" s="1490">
        <f>DV229/DV403/4</f>
        <v>4.2275048744748557E-2</v>
      </c>
      <c r="DW347" s="119">
        <f ca="1">DW229/DW403/4</f>
        <v>4.1492868913597214E-2</v>
      </c>
      <c r="DX347" s="119">
        <f ca="1">DX229/DX403/4</f>
        <v>4.1191023301010321E-2</v>
      </c>
      <c r="DY347" s="1491">
        <f>DY229/DY403/4</f>
        <v>4.1942618896985841E-2</v>
      </c>
      <c r="DZ347" s="895">
        <f ca="1">DZ229/DZ403</f>
        <v>4.172126361807689E-2</v>
      </c>
      <c r="EA347" s="1490">
        <f>EA229/EA403/4</f>
        <v>4.1605915196652792E-2</v>
      </c>
      <c r="EB347" s="119">
        <f ca="1">EB229/EB403/4</f>
        <v>4.0823321681702919E-2</v>
      </c>
      <c r="EC347" s="119">
        <f ca="1">EC229/EC403/4</f>
        <v>4.0502450255700595E-2</v>
      </c>
      <c r="ED347" s="1491">
        <f>ED229/ED403/4</f>
        <v>4.1192849594910257E-2</v>
      </c>
      <c r="EE347" s="895">
        <f ca="1">EE229/EE403</f>
        <v>4.1027001034107814E-2</v>
      </c>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row>
    <row r="348" spans="2:232" s="64" customFormat="1" ht="12" thickBot="1">
      <c r="B348" s="694" t="s">
        <v>315</v>
      </c>
      <c r="C348" s="581"/>
      <c r="D348" s="581"/>
      <c r="E348" s="581"/>
      <c r="F348" s="912" t="e">
        <f>F221/F404</f>
        <v>#DIV/0!</v>
      </c>
      <c r="G348" s="912" t="e">
        <f>G221/G404</f>
        <v>#DIV/0!</v>
      </c>
      <c r="H348" s="912" t="e">
        <f>H221/H404</f>
        <v>#DIV/0!</v>
      </c>
      <c r="I348" s="912" t="e">
        <f>I221/I404</f>
        <v>#DIV/0!</v>
      </c>
      <c r="J348" s="912" t="e">
        <f>J221/J404</f>
        <v>#DIV/0!</v>
      </c>
      <c r="K348" s="912"/>
      <c r="L348" s="912"/>
      <c r="M348" s="912"/>
      <c r="N348" s="912"/>
      <c r="O348" s="912" t="e">
        <f>O221/O404</f>
        <v>#DIV/0!</v>
      </c>
      <c r="P348" s="912"/>
      <c r="Q348" s="912"/>
      <c r="R348" s="912"/>
      <c r="S348" s="912"/>
      <c r="T348" s="912" t="e">
        <f>T221/T404</f>
        <v>#DIV/0!</v>
      </c>
      <c r="U348" s="912"/>
      <c r="V348" s="912"/>
      <c r="W348" s="912"/>
      <c r="X348" s="912"/>
      <c r="Y348" s="912" t="e">
        <f>Y221/Y404</f>
        <v>#DIV/0!</v>
      </c>
      <c r="Z348" s="912"/>
      <c r="AA348" s="912"/>
      <c r="AB348" s="912"/>
      <c r="AC348" s="912"/>
      <c r="AD348" s="912" t="e">
        <f>AD221/AD404</f>
        <v>#DIV/0!</v>
      </c>
      <c r="AE348" s="912"/>
      <c r="AF348" s="912"/>
      <c r="AG348" s="912"/>
      <c r="AH348" s="912"/>
      <c r="AI348" s="912" t="e">
        <f>AI221/AI404</f>
        <v>#DIV/0!</v>
      </c>
      <c r="AJ348" s="912"/>
      <c r="AK348" s="912"/>
      <c r="AL348" s="912"/>
      <c r="AM348" s="912"/>
      <c r="AN348" s="912" t="e">
        <f>AN221/AN404</f>
        <v>#DIV/0!</v>
      </c>
      <c r="AO348" s="912"/>
      <c r="AP348" s="912"/>
      <c r="AQ348" s="912"/>
      <c r="AR348" s="912"/>
      <c r="AS348" s="912" t="e">
        <f>AS221/AS404</f>
        <v>#DIV/0!</v>
      </c>
      <c r="AT348" s="912"/>
      <c r="AU348" s="912"/>
      <c r="AV348" s="912"/>
      <c r="AW348" s="912"/>
      <c r="AX348" s="912" t="e">
        <f>AX221/AX404</f>
        <v>#DIV/0!</v>
      </c>
      <c r="AY348" s="912"/>
      <c r="AZ348" s="912"/>
      <c r="BA348" s="912"/>
      <c r="BB348" s="912"/>
      <c r="BC348" s="912" t="e">
        <f>BC221/BC404</f>
        <v>#DIV/0!</v>
      </c>
      <c r="BD348" s="912"/>
      <c r="BE348" s="912"/>
      <c r="BF348" s="912"/>
      <c r="BG348" s="912"/>
      <c r="BH348" s="912" t="e">
        <f>BH221/BH404</f>
        <v>#DIV/0!</v>
      </c>
      <c r="BI348" s="912"/>
      <c r="BJ348" s="912"/>
      <c r="BK348" s="912"/>
      <c r="BL348" s="912"/>
      <c r="BM348" s="912" t="e">
        <f>BM221/BM404</f>
        <v>#DIV/0!</v>
      </c>
      <c r="BN348" s="912"/>
      <c r="BO348" s="912"/>
      <c r="BP348" s="912"/>
      <c r="BQ348" s="912"/>
      <c r="BR348" s="912">
        <f>BR221/BR404</f>
        <v>0.17401514900936063</v>
      </c>
      <c r="BS348" s="913">
        <f>BS221/BS404/4</f>
        <v>0.16324772940808019</v>
      </c>
      <c r="BT348" s="913">
        <f>BT221/BT404/4</f>
        <v>0.15620155038759689</v>
      </c>
      <c r="BU348" s="913">
        <f>BU221/BU404/4</f>
        <v>0.16282647853497448</v>
      </c>
      <c r="BV348" s="913">
        <f>BV221/BV404/4</f>
        <v>0.16692626443706468</v>
      </c>
      <c r="BW348" s="912">
        <f>BW221/BW404</f>
        <v>0.1710753198250092</v>
      </c>
      <c r="BX348" s="1492">
        <f>BX221/BX404/4</f>
        <v>0.16125789775990809</v>
      </c>
      <c r="BY348" s="913">
        <f>BY221/BY404/4</f>
        <v>0.14385166804521643</v>
      </c>
      <c r="BZ348" s="913">
        <f>BZ221/BZ404/4</f>
        <v>0.15997785773595349</v>
      </c>
      <c r="CA348" s="913">
        <f>CA221/CA404/4</f>
        <v>0.16506586169045007</v>
      </c>
      <c r="CB348" s="912">
        <f>CB221/CB404</f>
        <v>0.16747876931644159</v>
      </c>
      <c r="CC348" s="1492">
        <f>CC221/CC404/4</f>
        <v>0.16345896819032343</v>
      </c>
      <c r="CD348" s="913">
        <f>CD221/CD404/4</f>
        <v>0.15842298609288902</v>
      </c>
      <c r="CE348" s="913">
        <f>CE221/CE404/4</f>
        <v>0.16141581632653063</v>
      </c>
      <c r="CF348" s="1493">
        <f>CF221/CF404/4</f>
        <v>0.17072417202174989</v>
      </c>
      <c r="CG348" s="1367">
        <f>CG221/CG404</f>
        <v>0.17805129527000901</v>
      </c>
      <c r="CH348" s="913">
        <f>CH221/CH404/4</f>
        <v>0.17357642357642358</v>
      </c>
      <c r="CI348" s="913">
        <f>CI221/CI404/4</f>
        <v>0.1513237794510566</v>
      </c>
      <c r="CJ348" s="913">
        <f>CJ221/CJ404/4</f>
        <v>0.167083035926719</v>
      </c>
      <c r="CK348" s="913">
        <f>CK221/CK404/4</f>
        <v>0.18143733773896625</v>
      </c>
      <c r="CL348" s="1367">
        <f>CL221/CL404</f>
        <v>0.18567719340619529</v>
      </c>
      <c r="CM348" s="913">
        <f>CM221/CM404/4</f>
        <v>0.18381303520456707</v>
      </c>
      <c r="CN348" s="913">
        <f>CN221/CN404/4</f>
        <v>0.16182306255835668</v>
      </c>
      <c r="CO348" s="913">
        <f>CO221/CO404/4</f>
        <v>0.17212026080656845</v>
      </c>
      <c r="CP348" s="913">
        <f>CP221/CP404/4</f>
        <v>0.17763003059543422</v>
      </c>
      <c r="CQ348" s="1367">
        <f>CQ221/CQ404</f>
        <v>0.17887190425405855</v>
      </c>
      <c r="CR348" s="913">
        <f>CR221/CR404/4</f>
        <v>0.17212369258753979</v>
      </c>
      <c r="CS348" s="913">
        <f>CS221/CS404/4</f>
        <v>0.17950856126306428</v>
      </c>
      <c r="CT348" s="913">
        <f>CT221/CT404/4</f>
        <v>0.18460568546538286</v>
      </c>
      <c r="CU348" s="913">
        <f>CU221/CU404/4</f>
        <v>0.20864442370508632</v>
      </c>
      <c r="CV348" s="1367">
        <f>CV221/CV404</f>
        <v>0.20389899105056147</v>
      </c>
      <c r="CW348" s="913">
        <f>CW221/CW404/4</f>
        <v>0.18326101849737383</v>
      </c>
      <c r="CX348" s="913">
        <f>CX221/CX404/4</f>
        <v>0.17947034362004816</v>
      </c>
      <c r="CY348" s="913">
        <f>CY221/CY404/4</f>
        <v>0.18512414853878267</v>
      </c>
      <c r="CZ348" s="913">
        <f>CZ221/CZ404/4</f>
        <v>0.20593144892054308</v>
      </c>
      <c r="DA348" s="1367">
        <f>DA221/DA404</f>
        <v>0.20570253445975989</v>
      </c>
      <c r="DB348" s="913">
        <f>DB221/DB404/4</f>
        <v>0.20175044883303411</v>
      </c>
      <c r="DC348" s="913">
        <f>DC221/DC404/4</f>
        <v>0.22921869425615413</v>
      </c>
      <c r="DD348" s="913">
        <f>DD221/DD404/4</f>
        <v>0.19938322368421052</v>
      </c>
      <c r="DE348" s="913">
        <f>DE221/DE404/4</f>
        <v>0.20318089905117437</v>
      </c>
      <c r="DF348" s="1367">
        <v>0.18519469335342753</v>
      </c>
      <c r="DG348" s="2150">
        <f>DG221/DG404/4</f>
        <v>0.20243619489559164</v>
      </c>
      <c r="DH348" s="2150">
        <f>DH221/DH404/4</f>
        <v>0.20751150558842865</v>
      </c>
      <c r="DI348" s="2150">
        <f>DI221/DI404/4</f>
        <v>0.20328473269649741</v>
      </c>
      <c r="DJ348" s="2150">
        <f>DJ221/DJ404/4</f>
        <v>0.22664903289799967</v>
      </c>
      <c r="DK348" s="1428">
        <v>0.22723129195326097</v>
      </c>
      <c r="DL348" s="2150">
        <f>DL221/DL404/4</f>
        <v>0.21456208230742174</v>
      </c>
      <c r="DM348" s="2150">
        <f>DM221/DM404/4</f>
        <v>0.20146146309601567</v>
      </c>
      <c r="DN348" s="2150">
        <f>DN221/DN404/4</f>
        <v>0.22168242296918766</v>
      </c>
      <c r="DO348" s="2150">
        <f>DO221/DO404/4</f>
        <v>0.2200466387906079</v>
      </c>
      <c r="DP348" s="1428">
        <v>0.23053917438921651</v>
      </c>
      <c r="DQ348" s="1858">
        <f>DQ221/DQ404/4</f>
        <v>0.21935838835280175</v>
      </c>
      <c r="DR348" s="914">
        <v>0.22</v>
      </c>
      <c r="DS348" s="914">
        <v>0.22</v>
      </c>
      <c r="DT348" s="1859">
        <v>0.22</v>
      </c>
      <c r="DU348" s="1428">
        <v>0.22149349014469127</v>
      </c>
      <c r="DV348" s="1858">
        <v>0.22</v>
      </c>
      <c r="DW348" s="914">
        <v>0.22</v>
      </c>
      <c r="DX348" s="914">
        <v>0.22</v>
      </c>
      <c r="DY348" s="1859">
        <v>0.22</v>
      </c>
      <c r="DZ348" s="1428">
        <v>0.21553112077477646</v>
      </c>
      <c r="EA348" s="1858">
        <v>0.22</v>
      </c>
      <c r="EB348" s="914">
        <v>0.22</v>
      </c>
      <c r="EC348" s="914">
        <v>0.22</v>
      </c>
      <c r="ED348" s="1859">
        <v>0.22</v>
      </c>
      <c r="EE348" s="1428">
        <v>0.21552903681436675</v>
      </c>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row>
    <row r="349" spans="2:232" s="54" customFormat="1">
      <c r="H349" s="59"/>
      <c r="K349" s="56"/>
      <c r="L349" s="56"/>
      <c r="M349" s="56"/>
      <c r="N349" s="56"/>
      <c r="P349" s="56"/>
      <c r="Q349" s="56"/>
      <c r="R349" s="56"/>
      <c r="S349" s="56"/>
      <c r="U349" s="56"/>
      <c r="V349" s="56"/>
      <c r="W349" s="56"/>
      <c r="X349" s="56"/>
      <c r="Z349" s="56"/>
      <c r="AA349" s="56"/>
      <c r="AB349" s="56"/>
      <c r="AC349" s="56"/>
      <c r="AE349" s="56"/>
      <c r="AF349" s="56"/>
      <c r="AG349" s="56"/>
      <c r="AH349" s="56"/>
      <c r="AJ349" s="56"/>
      <c r="AK349" s="56"/>
      <c r="AL349" s="56"/>
      <c r="AM349" s="56"/>
      <c r="AO349" s="56"/>
      <c r="AP349" s="56"/>
      <c r="AQ349" s="56"/>
      <c r="AR349" s="56"/>
      <c r="AT349" s="56"/>
      <c r="AU349" s="56"/>
      <c r="AV349" s="56"/>
      <c r="AW349" s="56"/>
      <c r="AY349" s="56"/>
      <c r="AZ349" s="56"/>
      <c r="BA349" s="56"/>
      <c r="BB349" s="56"/>
      <c r="BD349" s="56"/>
      <c r="BE349" s="56"/>
      <c r="BF349" s="56"/>
      <c r="BG349" s="56"/>
      <c r="BI349" s="56"/>
      <c r="BJ349" s="56"/>
      <c r="BK349" s="56"/>
      <c r="BL349" s="56"/>
      <c r="BN349" s="56"/>
      <c r="BO349" s="56"/>
      <c r="BP349" s="56"/>
      <c r="BQ349" s="56"/>
      <c r="BS349" s="56"/>
      <c r="BT349" s="56"/>
      <c r="BU349" s="56"/>
      <c r="BV349" s="56"/>
      <c r="BY349" s="56"/>
      <c r="BZ349" s="56"/>
      <c r="CA349" s="56"/>
      <c r="CD349" s="56"/>
      <c r="CE349" s="56"/>
      <c r="CF349" s="56"/>
      <c r="CH349" s="56"/>
      <c r="CI349" s="56"/>
      <c r="CJ349" s="398"/>
      <c r="CK349" s="398"/>
      <c r="CM349" s="56"/>
      <c r="CN349" s="56"/>
      <c r="CO349" s="398"/>
      <c r="CP349" s="398"/>
      <c r="CR349" s="317"/>
      <c r="CS349" s="317"/>
      <c r="CT349" s="317"/>
      <c r="CU349" s="317"/>
      <c r="CV349" s="317"/>
      <c r="CW349" s="317"/>
      <c r="CX349" s="317"/>
      <c r="CY349" s="317"/>
      <c r="CZ349" s="317"/>
      <c r="DA349" s="317"/>
      <c r="DB349" s="317"/>
      <c r="DC349" s="317"/>
      <c r="DD349" s="317"/>
      <c r="DE349" s="317"/>
      <c r="DF349" s="317"/>
      <c r="DG349" s="317"/>
      <c r="DH349" s="317"/>
      <c r="DI349" s="317"/>
      <c r="DJ349" s="317"/>
      <c r="DK349" s="317"/>
      <c r="DL349" s="317"/>
      <c r="DM349" s="317"/>
      <c r="DN349" s="317"/>
      <c r="DO349" s="317"/>
      <c r="DP349" s="317"/>
      <c r="DQ349" s="317"/>
      <c r="DR349" s="317"/>
      <c r="DS349" s="317"/>
      <c r="DT349" s="317"/>
      <c r="DU349" s="317"/>
      <c r="DV349" s="317"/>
      <c r="DW349" s="317"/>
      <c r="DX349" s="317"/>
      <c r="DY349" s="317"/>
      <c r="DZ349" s="317"/>
      <c r="EA349" s="317"/>
      <c r="EB349" s="317"/>
      <c r="EC349" s="317"/>
      <c r="ED349" s="317"/>
      <c r="EE349" s="317"/>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row>
    <row r="350" spans="2:232" s="54" customFormat="1" ht="12" thickBot="1">
      <c r="H350" s="59"/>
      <c r="K350" s="56"/>
      <c r="L350" s="56"/>
      <c r="M350" s="56"/>
      <c r="N350" s="56"/>
      <c r="P350" s="56"/>
      <c r="Q350" s="56"/>
      <c r="R350" s="56"/>
      <c r="S350" s="56"/>
      <c r="U350" s="56"/>
      <c r="V350" s="56"/>
      <c r="W350" s="56"/>
      <c r="X350" s="56"/>
      <c r="Z350" s="56"/>
      <c r="AA350" s="56"/>
      <c r="AB350" s="56"/>
      <c r="AC350" s="56"/>
      <c r="AE350" s="56"/>
      <c r="AF350" s="56"/>
      <c r="AG350" s="56"/>
      <c r="AH350" s="56"/>
      <c r="AJ350" s="56"/>
      <c r="AK350" s="56"/>
      <c r="AL350" s="56"/>
      <c r="AM350" s="56"/>
      <c r="AO350" s="56"/>
      <c r="AP350" s="56"/>
      <c r="AQ350" s="56"/>
      <c r="AR350" s="56"/>
      <c r="AT350" s="56"/>
      <c r="AU350" s="56"/>
      <c r="AV350" s="56"/>
      <c r="AW350" s="56"/>
      <c r="AY350" s="56"/>
      <c r="AZ350" s="56"/>
      <c r="BA350" s="56"/>
      <c r="BB350" s="56"/>
      <c r="BD350" s="56"/>
      <c r="BE350" s="56"/>
      <c r="BF350" s="56"/>
      <c r="BG350" s="56"/>
      <c r="BI350" s="56"/>
      <c r="BJ350" s="56"/>
      <c r="BK350" s="56"/>
      <c r="BL350" s="56"/>
      <c r="BN350" s="56"/>
      <c r="BO350" s="56"/>
      <c r="BP350" s="56"/>
      <c r="BQ350" s="56"/>
      <c r="BS350" s="56"/>
      <c r="BT350" s="56"/>
      <c r="BU350" s="56"/>
      <c r="BV350" s="56"/>
      <c r="BY350" s="56"/>
      <c r="BZ350" s="56"/>
      <c r="CA350" s="56"/>
      <c r="CD350" s="56"/>
      <c r="CE350" s="56"/>
      <c r="CF350" s="56"/>
      <c r="CG350" s="1267"/>
      <c r="CH350" s="56"/>
      <c r="CI350" s="56"/>
      <c r="CJ350" s="398"/>
      <c r="CK350" s="398"/>
      <c r="CL350" s="1267"/>
      <c r="CM350" s="56"/>
      <c r="CN350" s="56"/>
      <c r="CO350" s="398"/>
      <c r="CP350" s="398"/>
      <c r="CQ350" s="1267"/>
      <c r="CR350" s="1267"/>
      <c r="CS350" s="1267"/>
      <c r="CT350" s="1267"/>
      <c r="CU350" s="1267"/>
      <c r="CV350" s="1267"/>
      <c r="CW350" s="317"/>
      <c r="CX350" s="317"/>
      <c r="CY350" s="317"/>
      <c r="CZ350" s="317"/>
      <c r="DA350" s="1267"/>
      <c r="DB350" s="317"/>
      <c r="DC350" s="317"/>
      <c r="DD350" s="317"/>
      <c r="DE350" s="317"/>
      <c r="DG350" s="317"/>
      <c r="DH350" s="317"/>
      <c r="DI350" s="317"/>
      <c r="DJ350" s="317"/>
      <c r="DK350" s="1267"/>
      <c r="DL350" s="264"/>
      <c r="DM350" s="264"/>
      <c r="DN350" s="264"/>
      <c r="DO350" s="264"/>
      <c r="DP350" s="1267"/>
      <c r="DQ350" s="264"/>
      <c r="DR350" s="264"/>
      <c r="DS350" s="264"/>
      <c r="DT350" s="264"/>
      <c r="DU350" s="1267"/>
      <c r="DV350" s="264"/>
      <c r="DW350" s="264"/>
      <c r="DX350" s="264"/>
      <c r="DY350" s="264"/>
      <c r="DZ350" s="1267"/>
      <c r="EA350" s="264"/>
      <c r="EB350" s="264"/>
      <c r="EC350" s="264"/>
      <c r="ED350" s="264"/>
      <c r="EE350" s="1267"/>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row>
    <row r="351" spans="2:232" s="54" customFormat="1" ht="18.75">
      <c r="B351" s="508" t="s">
        <v>52</v>
      </c>
      <c r="C351" s="509"/>
      <c r="D351" s="509"/>
      <c r="E351" s="509"/>
      <c r="F351" s="509"/>
      <c r="G351" s="509"/>
      <c r="H351" s="509"/>
      <c r="I351" s="509"/>
      <c r="J351" s="509"/>
      <c r="K351" s="509"/>
      <c r="L351" s="509"/>
      <c r="M351" s="509"/>
      <c r="N351" s="509"/>
      <c r="O351" s="509"/>
      <c r="P351" s="509"/>
      <c r="Q351" s="509"/>
      <c r="R351" s="509"/>
      <c r="S351" s="509"/>
      <c r="T351" s="509"/>
      <c r="U351" s="509"/>
      <c r="V351" s="509"/>
      <c r="W351" s="509"/>
      <c r="X351" s="509"/>
      <c r="Y351" s="509"/>
      <c r="Z351" s="509"/>
      <c r="AA351" s="509"/>
      <c r="AB351" s="509"/>
      <c r="AC351" s="509"/>
      <c r="AD351" s="509"/>
      <c r="AE351" s="509"/>
      <c r="AF351" s="509"/>
      <c r="AG351" s="509"/>
      <c r="AH351" s="509"/>
      <c r="AI351" s="509"/>
      <c r="AJ351" s="509"/>
      <c r="AK351" s="509"/>
      <c r="AL351" s="509"/>
      <c r="AM351" s="509"/>
      <c r="AN351" s="509"/>
      <c r="AO351" s="509"/>
      <c r="AP351" s="509"/>
      <c r="AQ351" s="509"/>
      <c r="AR351" s="509"/>
      <c r="AS351" s="509"/>
      <c r="AT351" s="509"/>
      <c r="AU351" s="509"/>
      <c r="AV351" s="509"/>
      <c r="AW351" s="509"/>
      <c r="AX351" s="509"/>
      <c r="AY351" s="509"/>
      <c r="AZ351" s="509"/>
      <c r="BA351" s="509"/>
      <c r="BB351" s="509"/>
      <c r="BC351" s="509"/>
      <c r="BD351" s="509"/>
      <c r="BE351" s="509"/>
      <c r="BF351" s="509"/>
      <c r="BG351" s="509"/>
      <c r="BH351" s="509"/>
      <c r="BI351" s="509"/>
      <c r="BJ351" s="509"/>
      <c r="BK351" s="509"/>
      <c r="BL351" s="509"/>
      <c r="BM351" s="509"/>
      <c r="BN351" s="509"/>
      <c r="BO351" s="509"/>
      <c r="BP351" s="509"/>
      <c r="BQ351" s="509"/>
      <c r="BR351" s="509"/>
      <c r="BS351" s="509"/>
      <c r="BT351" s="509"/>
      <c r="BU351" s="509"/>
      <c r="BV351" s="509"/>
      <c r="BW351" s="509"/>
      <c r="BX351" s="509"/>
      <c r="BY351" s="509"/>
      <c r="BZ351" s="509"/>
      <c r="CA351" s="509"/>
      <c r="CB351" s="509"/>
      <c r="CC351" s="509"/>
      <c r="CD351" s="509"/>
      <c r="CE351" s="510"/>
      <c r="CF351" s="511"/>
      <c r="CG351" s="512"/>
      <c r="CH351" s="513"/>
      <c r="CI351" s="513"/>
      <c r="CJ351" s="513"/>
      <c r="CK351" s="513"/>
      <c r="CL351" s="514"/>
      <c r="CM351" s="514"/>
      <c r="CN351" s="514"/>
      <c r="CO351" s="514"/>
      <c r="CP351" s="514"/>
      <c r="CQ351" s="515"/>
      <c r="CR351" s="516"/>
      <c r="CS351" s="509"/>
      <c r="CT351" s="517"/>
      <c r="CU351" s="518"/>
      <c r="CV351" s="509"/>
      <c r="CW351" s="517"/>
      <c r="CX351" s="517"/>
      <c r="CY351" s="519"/>
      <c r="CZ351" s="517"/>
      <c r="DA351" s="509"/>
      <c r="DB351" s="517"/>
      <c r="DC351" s="517"/>
      <c r="DD351" s="517"/>
      <c r="DE351" s="517"/>
      <c r="DF351" s="509"/>
      <c r="DG351" s="517"/>
      <c r="DH351" s="517"/>
      <c r="DI351" s="517"/>
      <c r="DJ351" s="517"/>
      <c r="DK351" s="509"/>
      <c r="DL351" s="509"/>
      <c r="DM351" s="509"/>
      <c r="DN351" s="509"/>
      <c r="DO351" s="509"/>
      <c r="DP351" s="509"/>
      <c r="DQ351" s="509"/>
      <c r="DR351" s="509"/>
      <c r="DS351" s="509"/>
      <c r="DT351" s="509"/>
      <c r="DU351" s="509"/>
      <c r="DV351" s="509"/>
      <c r="DW351" s="509"/>
      <c r="DX351" s="509"/>
      <c r="DY351" s="509"/>
      <c r="DZ351" s="509"/>
      <c r="EA351" s="509"/>
      <c r="EB351" s="509"/>
      <c r="EC351" s="509"/>
      <c r="ED351" s="509"/>
      <c r="EE351" s="509"/>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row>
    <row r="352" spans="2:232" s="54" customFormat="1" ht="12.75" customHeight="1" thickBot="1">
      <c r="B352" s="65" t="s">
        <v>267</v>
      </c>
      <c r="C352" s="66"/>
      <c r="D352" s="66"/>
      <c r="E352" s="66"/>
      <c r="F352" s="66"/>
      <c r="G352" s="66"/>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c r="AE352" s="66"/>
      <c r="AF352" s="66"/>
      <c r="AG352" s="66"/>
      <c r="AH352" s="66"/>
      <c r="AI352" s="66"/>
      <c r="AJ352" s="66"/>
      <c r="AK352" s="66"/>
      <c r="AL352" s="66"/>
      <c r="AM352" s="66"/>
      <c r="AN352" s="66"/>
      <c r="AO352" s="66"/>
      <c r="AP352" s="66"/>
      <c r="AQ352" s="66"/>
      <c r="AR352" s="66"/>
      <c r="AS352" s="66"/>
      <c r="AT352" s="66"/>
      <c r="AU352" s="66"/>
      <c r="AV352" s="66"/>
      <c r="AW352" s="66"/>
      <c r="AX352" s="66"/>
      <c r="AY352" s="66"/>
      <c r="AZ352" s="66"/>
      <c r="BA352" s="66"/>
      <c r="BB352" s="66"/>
      <c r="BC352" s="66"/>
      <c r="BD352" s="66"/>
      <c r="BE352" s="66"/>
      <c r="BF352" s="66"/>
      <c r="BG352" s="66"/>
      <c r="BH352" s="66"/>
      <c r="BI352" s="66"/>
      <c r="BJ352" s="66"/>
      <c r="BK352" s="66"/>
      <c r="BL352" s="66"/>
      <c r="BM352" s="66"/>
      <c r="BN352" s="66"/>
      <c r="BO352" s="66"/>
      <c r="BP352" s="66"/>
      <c r="BQ352" s="66"/>
      <c r="BR352" s="66"/>
      <c r="BS352" s="66"/>
      <c r="BT352" s="66"/>
      <c r="BU352" s="66"/>
      <c r="BV352" s="66"/>
      <c r="BW352" s="66"/>
      <c r="BX352" s="66"/>
      <c r="BY352" s="66"/>
      <c r="BZ352" s="66"/>
      <c r="CA352" s="66"/>
      <c r="CB352" s="66"/>
      <c r="CC352" s="66"/>
      <c r="CD352" s="66"/>
      <c r="CE352" s="66"/>
      <c r="CF352" s="66"/>
      <c r="CG352" s="66"/>
      <c r="CH352" s="66"/>
      <c r="CI352" s="66"/>
      <c r="CJ352" s="66"/>
      <c r="CK352" s="66"/>
      <c r="CL352" s="66"/>
      <c r="CM352" s="66"/>
      <c r="CN352" s="66"/>
      <c r="CO352" s="66"/>
      <c r="CP352" s="66"/>
      <c r="CQ352" s="66"/>
      <c r="CR352" s="66"/>
      <c r="CS352" s="66"/>
      <c r="CT352" s="66"/>
      <c r="CU352" s="66"/>
      <c r="CV352" s="66"/>
      <c r="CW352" s="67"/>
      <c r="CX352" s="67"/>
      <c r="CY352" s="67"/>
      <c r="CZ352" s="67"/>
      <c r="DA352" s="66"/>
      <c r="DB352" s="67"/>
      <c r="DC352" s="66"/>
      <c r="DD352" s="66"/>
      <c r="DE352" s="67"/>
      <c r="DF352" s="66"/>
      <c r="DG352" s="67"/>
      <c r="DH352" s="67"/>
      <c r="DI352" s="67"/>
      <c r="DJ352" s="67"/>
      <c r="DK352" s="66"/>
      <c r="DL352" s="66"/>
      <c r="DM352" s="66"/>
      <c r="DN352" s="66"/>
      <c r="DO352" s="66"/>
      <c r="DP352" s="66"/>
      <c r="DQ352" s="66"/>
      <c r="DR352" s="66"/>
      <c r="DS352" s="66"/>
      <c r="DT352" s="66"/>
      <c r="DU352" s="66"/>
      <c r="DV352" s="66"/>
      <c r="DW352" s="66"/>
      <c r="DX352" s="66"/>
      <c r="DY352" s="66"/>
      <c r="DZ352" s="66"/>
      <c r="EA352" s="66"/>
      <c r="EB352" s="66"/>
      <c r="EC352" s="66"/>
      <c r="ED352" s="66"/>
      <c r="EE352" s="66"/>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row>
    <row r="353" spans="2:232" s="54" customFormat="1" ht="12" thickBot="1">
      <c r="B353" s="520" t="s">
        <v>333</v>
      </c>
      <c r="C353" s="521"/>
      <c r="D353" s="522"/>
      <c r="E353" s="522"/>
      <c r="F353" s="522"/>
      <c r="G353" s="522"/>
      <c r="H353" s="522"/>
      <c r="I353" s="522"/>
      <c r="J353" s="522"/>
      <c r="K353" s="527" t="s">
        <v>143</v>
      </c>
      <c r="L353" s="528"/>
      <c r="M353" s="528"/>
      <c r="N353" s="528"/>
      <c r="O353" s="529"/>
      <c r="P353" s="527" t="s">
        <v>143</v>
      </c>
      <c r="Q353" s="528"/>
      <c r="R353" s="528"/>
      <c r="S353" s="528"/>
      <c r="T353" s="529"/>
      <c r="U353" s="527" t="s">
        <v>143</v>
      </c>
      <c r="V353" s="528"/>
      <c r="W353" s="528"/>
      <c r="X353" s="528"/>
      <c r="Y353" s="529"/>
      <c r="Z353" s="527" t="s">
        <v>143</v>
      </c>
      <c r="AA353" s="528"/>
      <c r="AB353" s="528"/>
      <c r="AC353" s="528"/>
      <c r="AD353" s="529"/>
      <c r="AE353" s="527" t="s">
        <v>143</v>
      </c>
      <c r="AF353" s="528"/>
      <c r="AG353" s="528"/>
      <c r="AH353" s="528"/>
      <c r="AI353" s="529"/>
      <c r="AJ353" s="527" t="s">
        <v>143</v>
      </c>
      <c r="AK353" s="528"/>
      <c r="AL353" s="528"/>
      <c r="AM353" s="528"/>
      <c r="AN353" s="529"/>
      <c r="AO353" s="527" t="s">
        <v>143</v>
      </c>
      <c r="AP353" s="528"/>
      <c r="AQ353" s="528"/>
      <c r="AR353" s="528"/>
      <c r="AS353" s="529"/>
      <c r="AT353" s="527" t="s">
        <v>143</v>
      </c>
      <c r="AU353" s="528"/>
      <c r="AV353" s="528"/>
      <c r="AW353" s="528"/>
      <c r="AX353" s="529"/>
      <c r="AY353" s="527" t="s">
        <v>143</v>
      </c>
      <c r="AZ353" s="528"/>
      <c r="BA353" s="528"/>
      <c r="BB353" s="528"/>
      <c r="BC353" s="529"/>
      <c r="BD353" s="527" t="s">
        <v>143</v>
      </c>
      <c r="BE353" s="528"/>
      <c r="BF353" s="528"/>
      <c r="BG353" s="528"/>
      <c r="BH353" s="529"/>
      <c r="BI353" s="527" t="s">
        <v>143</v>
      </c>
      <c r="BJ353" s="528"/>
      <c r="BK353" s="528"/>
      <c r="BL353" s="528"/>
      <c r="BM353" s="529"/>
      <c r="BN353" s="527" t="s">
        <v>143</v>
      </c>
      <c r="BO353" s="528"/>
      <c r="BP353" s="528"/>
      <c r="BQ353" s="528"/>
      <c r="BR353" s="529"/>
      <c r="BS353" s="527" t="s">
        <v>143</v>
      </c>
      <c r="BT353" s="528"/>
      <c r="BU353" s="528"/>
      <c r="BV353" s="528"/>
      <c r="BW353" s="529"/>
      <c r="BX353" s="527" t="s">
        <v>143</v>
      </c>
      <c r="BY353" s="528"/>
      <c r="BZ353" s="528"/>
      <c r="CA353" s="528"/>
      <c r="CB353" s="529"/>
      <c r="CC353" s="527" t="s">
        <v>143</v>
      </c>
      <c r="CD353" s="528"/>
      <c r="CE353" s="528"/>
      <c r="CF353" s="528"/>
      <c r="CG353" s="529"/>
      <c r="CH353" s="528" t="s">
        <v>143</v>
      </c>
      <c r="CI353" s="528"/>
      <c r="CJ353" s="528"/>
      <c r="CK353" s="528"/>
      <c r="CL353" s="529"/>
      <c r="CM353" s="527" t="s">
        <v>143</v>
      </c>
      <c r="CN353" s="528"/>
      <c r="CO353" s="528"/>
      <c r="CP353" s="528"/>
      <c r="CQ353" s="529"/>
      <c r="CR353" s="527" t="s">
        <v>143</v>
      </c>
      <c r="CS353" s="528"/>
      <c r="CT353" s="528"/>
      <c r="CU353" s="528"/>
      <c r="CV353" s="529"/>
      <c r="CW353" s="527" t="s">
        <v>143</v>
      </c>
      <c r="CX353" s="528"/>
      <c r="CY353" s="528"/>
      <c r="CZ353" s="528"/>
      <c r="DA353" s="529"/>
      <c r="DB353" s="527" t="s">
        <v>143</v>
      </c>
      <c r="DC353" s="528"/>
      <c r="DD353" s="528"/>
      <c r="DE353" s="528"/>
      <c r="DF353" s="529"/>
      <c r="DG353" s="528"/>
      <c r="DH353" s="528"/>
      <c r="DI353" s="528"/>
      <c r="DJ353" s="528"/>
      <c r="DK353" s="529"/>
      <c r="DL353" s="1787"/>
      <c r="DM353" s="1788"/>
      <c r="DN353" s="1788"/>
      <c r="DO353" s="1788"/>
      <c r="DP353" s="529"/>
      <c r="DQ353" s="1787"/>
      <c r="DR353" s="1788"/>
      <c r="DS353" s="1788"/>
      <c r="DT353" s="1789"/>
      <c r="DU353" s="529"/>
      <c r="DV353" s="1787"/>
      <c r="DW353" s="1788"/>
      <c r="DX353" s="1788"/>
      <c r="DY353" s="1789"/>
      <c r="DZ353" s="529"/>
      <c r="EA353" s="1787"/>
      <c r="EB353" s="1788"/>
      <c r="EC353" s="1788"/>
      <c r="ED353" s="1789"/>
      <c r="EE353" s="529"/>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row>
    <row r="354" spans="2:232" s="54" customFormat="1" ht="12" thickBot="1">
      <c r="B354" s="523" t="s">
        <v>406</v>
      </c>
      <c r="C354" s="524"/>
      <c r="D354" s="525">
        <v>1989</v>
      </c>
      <c r="E354" s="525">
        <f t="shared" ref="E354:J354" si="875">D354+1</f>
        <v>1990</v>
      </c>
      <c r="F354" s="525">
        <f t="shared" si="875"/>
        <v>1991</v>
      </c>
      <c r="G354" s="525">
        <f t="shared" si="875"/>
        <v>1992</v>
      </c>
      <c r="H354" s="525">
        <f t="shared" si="875"/>
        <v>1993</v>
      </c>
      <c r="I354" s="525">
        <f t="shared" si="875"/>
        <v>1994</v>
      </c>
      <c r="J354" s="526">
        <f t="shared" si="875"/>
        <v>1995</v>
      </c>
      <c r="K354" s="531" t="s">
        <v>144</v>
      </c>
      <c r="L354" s="532" t="s">
        <v>145</v>
      </c>
      <c r="M354" s="532" t="s">
        <v>146</v>
      </c>
      <c r="N354" s="533" t="s">
        <v>147</v>
      </c>
      <c r="O354" s="534">
        <f>J354+1</f>
        <v>1996</v>
      </c>
      <c r="P354" s="531" t="s">
        <v>144</v>
      </c>
      <c r="Q354" s="532" t="s">
        <v>145</v>
      </c>
      <c r="R354" s="532" t="s">
        <v>146</v>
      </c>
      <c r="S354" s="533" t="s">
        <v>147</v>
      </c>
      <c r="T354" s="534">
        <f>O354+1</f>
        <v>1997</v>
      </c>
      <c r="U354" s="531" t="s">
        <v>144</v>
      </c>
      <c r="V354" s="532" t="s">
        <v>145</v>
      </c>
      <c r="W354" s="532" t="s">
        <v>146</v>
      </c>
      <c r="X354" s="533" t="s">
        <v>147</v>
      </c>
      <c r="Y354" s="534">
        <f>T354+1</f>
        <v>1998</v>
      </c>
      <c r="Z354" s="531" t="s">
        <v>144</v>
      </c>
      <c r="AA354" s="532" t="s">
        <v>145</v>
      </c>
      <c r="AB354" s="532" t="s">
        <v>146</v>
      </c>
      <c r="AC354" s="533" t="s">
        <v>147</v>
      </c>
      <c r="AD354" s="534">
        <f>Y354+1</f>
        <v>1999</v>
      </c>
      <c r="AE354" s="531" t="s">
        <v>144</v>
      </c>
      <c r="AF354" s="532" t="s">
        <v>145</v>
      </c>
      <c r="AG354" s="532" t="s">
        <v>146</v>
      </c>
      <c r="AH354" s="533" t="s">
        <v>147</v>
      </c>
      <c r="AI354" s="534">
        <f>AD354+1</f>
        <v>2000</v>
      </c>
      <c r="AJ354" s="531" t="s">
        <v>144</v>
      </c>
      <c r="AK354" s="532" t="s">
        <v>145</v>
      </c>
      <c r="AL354" s="532" t="s">
        <v>146</v>
      </c>
      <c r="AM354" s="533" t="s">
        <v>147</v>
      </c>
      <c r="AN354" s="534">
        <f>AI354+1</f>
        <v>2001</v>
      </c>
      <c r="AO354" s="531" t="s">
        <v>144</v>
      </c>
      <c r="AP354" s="532" t="s">
        <v>145</v>
      </c>
      <c r="AQ354" s="532" t="s">
        <v>146</v>
      </c>
      <c r="AR354" s="533" t="s">
        <v>147</v>
      </c>
      <c r="AS354" s="534">
        <f>AN354+1</f>
        <v>2002</v>
      </c>
      <c r="AT354" s="531" t="s">
        <v>144</v>
      </c>
      <c r="AU354" s="532" t="s">
        <v>145</v>
      </c>
      <c r="AV354" s="532" t="s">
        <v>146</v>
      </c>
      <c r="AW354" s="533" t="s">
        <v>147</v>
      </c>
      <c r="AX354" s="534">
        <f>AS354+1</f>
        <v>2003</v>
      </c>
      <c r="AY354" s="531" t="s">
        <v>144</v>
      </c>
      <c r="AZ354" s="532" t="s">
        <v>145</v>
      </c>
      <c r="BA354" s="532" t="s">
        <v>146</v>
      </c>
      <c r="BB354" s="533" t="s">
        <v>147</v>
      </c>
      <c r="BC354" s="534">
        <f>AX354+1</f>
        <v>2004</v>
      </c>
      <c r="BD354" s="531" t="s">
        <v>144</v>
      </c>
      <c r="BE354" s="532" t="s">
        <v>145</v>
      </c>
      <c r="BF354" s="532" t="s">
        <v>146</v>
      </c>
      <c r="BG354" s="533" t="s">
        <v>147</v>
      </c>
      <c r="BH354" s="534">
        <f>BC354+1</f>
        <v>2005</v>
      </c>
      <c r="BI354" s="531" t="s">
        <v>144</v>
      </c>
      <c r="BJ354" s="532" t="s">
        <v>145</v>
      </c>
      <c r="BK354" s="532" t="s">
        <v>146</v>
      </c>
      <c r="BL354" s="533" t="s">
        <v>147</v>
      </c>
      <c r="BM354" s="534">
        <f>BH354+1</f>
        <v>2006</v>
      </c>
      <c r="BN354" s="531" t="s">
        <v>144</v>
      </c>
      <c r="BO354" s="532" t="s">
        <v>145</v>
      </c>
      <c r="BP354" s="532" t="s">
        <v>146</v>
      </c>
      <c r="BQ354" s="533" t="s">
        <v>147</v>
      </c>
      <c r="BR354" s="534">
        <f>BM354+1</f>
        <v>2007</v>
      </c>
      <c r="BS354" s="531" t="s">
        <v>144</v>
      </c>
      <c r="BT354" s="532" t="s">
        <v>145</v>
      </c>
      <c r="BU354" s="532" t="s">
        <v>146</v>
      </c>
      <c r="BV354" s="533" t="s">
        <v>147</v>
      </c>
      <c r="BW354" s="534">
        <f>BR354+1</f>
        <v>2008</v>
      </c>
      <c r="BX354" s="531" t="s">
        <v>144</v>
      </c>
      <c r="BY354" s="532" t="s">
        <v>145</v>
      </c>
      <c r="BZ354" s="532" t="s">
        <v>146</v>
      </c>
      <c r="CA354" s="533" t="s">
        <v>147</v>
      </c>
      <c r="CB354" s="534">
        <f>BW354+1</f>
        <v>2009</v>
      </c>
      <c r="CC354" s="531" t="s">
        <v>144</v>
      </c>
      <c r="CD354" s="532" t="s">
        <v>145</v>
      </c>
      <c r="CE354" s="532" t="s">
        <v>146</v>
      </c>
      <c r="CF354" s="532" t="s">
        <v>147</v>
      </c>
      <c r="CG354" s="534">
        <f>CB354+1</f>
        <v>2010</v>
      </c>
      <c r="CH354" s="532" t="s">
        <v>144</v>
      </c>
      <c r="CI354" s="532" t="s">
        <v>145</v>
      </c>
      <c r="CJ354" s="532" t="s">
        <v>146</v>
      </c>
      <c r="CK354" s="533" t="s">
        <v>147</v>
      </c>
      <c r="CL354" s="534">
        <f>CG354+1</f>
        <v>2011</v>
      </c>
      <c r="CM354" s="531" t="s">
        <v>144</v>
      </c>
      <c r="CN354" s="532" t="s">
        <v>145</v>
      </c>
      <c r="CO354" s="532" t="s">
        <v>146</v>
      </c>
      <c r="CP354" s="533" t="s">
        <v>147</v>
      </c>
      <c r="CQ354" s="534">
        <f>CL354+1</f>
        <v>2012</v>
      </c>
      <c r="CR354" s="915" t="s">
        <v>144</v>
      </c>
      <c r="CS354" s="915" t="s">
        <v>145</v>
      </c>
      <c r="CT354" s="915" t="s">
        <v>146</v>
      </c>
      <c r="CU354" s="915" t="s">
        <v>147</v>
      </c>
      <c r="CV354" s="534">
        <f>CQ354+1</f>
        <v>2013</v>
      </c>
      <c r="CW354" s="530" t="s">
        <v>144</v>
      </c>
      <c r="CX354" s="530" t="s">
        <v>145</v>
      </c>
      <c r="CY354" s="530" t="s">
        <v>146</v>
      </c>
      <c r="CZ354" s="530" t="s">
        <v>147</v>
      </c>
      <c r="DA354" s="534">
        <f>CV354+1</f>
        <v>2014</v>
      </c>
      <c r="DB354" s="530" t="s">
        <v>144</v>
      </c>
      <c r="DC354" s="1711" t="s">
        <v>145</v>
      </c>
      <c r="DD354" s="1711" t="s">
        <v>146</v>
      </c>
      <c r="DE354" s="530" t="s">
        <v>147</v>
      </c>
      <c r="DF354" s="534">
        <f>DA354+1</f>
        <v>2015</v>
      </c>
      <c r="DG354" s="530" t="s">
        <v>144</v>
      </c>
      <c r="DH354" s="1711" t="s">
        <v>145</v>
      </c>
      <c r="DI354" s="1711" t="s">
        <v>146</v>
      </c>
      <c r="DJ354" s="530" t="s">
        <v>147</v>
      </c>
      <c r="DK354" s="534">
        <f>DF354+1</f>
        <v>2016</v>
      </c>
      <c r="DL354" s="530" t="s">
        <v>144</v>
      </c>
      <c r="DM354" s="1711" t="s">
        <v>145</v>
      </c>
      <c r="DN354" s="1711" t="s">
        <v>146</v>
      </c>
      <c r="DO354" s="530" t="s">
        <v>147</v>
      </c>
      <c r="DP354" s="682">
        <f>DK354+1</f>
        <v>2017</v>
      </c>
      <c r="DQ354" s="530" t="s">
        <v>147</v>
      </c>
      <c r="DR354" s="530" t="s">
        <v>148</v>
      </c>
      <c r="DS354" s="530" t="s">
        <v>149</v>
      </c>
      <c r="DT354" s="530" t="s">
        <v>150</v>
      </c>
      <c r="DU354" s="682">
        <f>DP354+1</f>
        <v>2018</v>
      </c>
      <c r="DV354" s="530" t="s">
        <v>482</v>
      </c>
      <c r="DW354" s="530" t="s">
        <v>148</v>
      </c>
      <c r="DX354" s="530" t="s">
        <v>149</v>
      </c>
      <c r="DY354" s="530" t="s">
        <v>150</v>
      </c>
      <c r="DZ354" s="682">
        <f>DU354+1</f>
        <v>2019</v>
      </c>
      <c r="EA354" s="530" t="s">
        <v>482</v>
      </c>
      <c r="EB354" s="530" t="s">
        <v>148</v>
      </c>
      <c r="EC354" s="530" t="s">
        <v>149</v>
      </c>
      <c r="ED354" s="530" t="s">
        <v>150</v>
      </c>
      <c r="EE354" s="682">
        <f>DZ354+1</f>
        <v>2020</v>
      </c>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row>
    <row r="355" spans="2:232" s="54" customFormat="1" ht="8.25" customHeight="1">
      <c r="B355" s="676"/>
      <c r="C355" s="664"/>
      <c r="D355" s="477"/>
      <c r="E355" s="477"/>
      <c r="F355" s="478"/>
      <c r="G355" s="478"/>
      <c r="H355" s="478"/>
      <c r="I355" s="478"/>
      <c r="J355" s="478"/>
      <c r="K355" s="478"/>
      <c r="L355" s="478"/>
      <c r="M355" s="478"/>
      <c r="N355" s="478"/>
      <c r="O355" s="478"/>
      <c r="P355" s="478"/>
      <c r="Q355" s="478"/>
      <c r="R355" s="478"/>
      <c r="S355" s="478"/>
      <c r="T355" s="478"/>
      <c r="U355" s="478"/>
      <c r="V355" s="478"/>
      <c r="W355" s="478"/>
      <c r="X355" s="478"/>
      <c r="Y355" s="478"/>
      <c r="Z355" s="478"/>
      <c r="AA355" s="478"/>
      <c r="AB355" s="478"/>
      <c r="AC355" s="478"/>
      <c r="AD355" s="478"/>
      <c r="AE355" s="478"/>
      <c r="AF355" s="478"/>
      <c r="AG355" s="478"/>
      <c r="AH355" s="478"/>
      <c r="AI355" s="478"/>
      <c r="AJ355" s="478"/>
      <c r="AK355" s="478"/>
      <c r="AL355" s="478"/>
      <c r="AM355" s="478"/>
      <c r="AN355" s="478"/>
      <c r="AO355" s="478"/>
      <c r="AP355" s="478"/>
      <c r="AQ355" s="478"/>
      <c r="AR355" s="478"/>
      <c r="AS355" s="478"/>
      <c r="AT355" s="478"/>
      <c r="AU355" s="478"/>
      <c r="AV355" s="478"/>
      <c r="AW355" s="478"/>
      <c r="AX355" s="478"/>
      <c r="AY355" s="478"/>
      <c r="AZ355" s="478"/>
      <c r="BA355" s="478"/>
      <c r="BB355" s="478"/>
      <c r="BC355" s="478"/>
      <c r="BD355" s="478"/>
      <c r="BE355" s="478"/>
      <c r="BF355" s="478"/>
      <c r="BG355" s="478"/>
      <c r="BH355" s="478"/>
      <c r="BI355" s="478"/>
      <c r="BJ355" s="478"/>
      <c r="BK355" s="478"/>
      <c r="BL355" s="478"/>
      <c r="BM355" s="478"/>
      <c r="BN355" s="478"/>
      <c r="BO355" s="478"/>
      <c r="BP355" s="478"/>
      <c r="BQ355" s="478"/>
      <c r="BR355" s="478"/>
      <c r="BS355" s="929"/>
      <c r="BT355" s="930"/>
      <c r="BU355" s="930"/>
      <c r="BV355" s="931"/>
      <c r="BW355" s="478"/>
      <c r="BX355" s="929"/>
      <c r="BY355" s="930"/>
      <c r="BZ355" s="930"/>
      <c r="CA355" s="931"/>
      <c r="CB355" s="478"/>
      <c r="CC355" s="929"/>
      <c r="CD355" s="930"/>
      <c r="CE355" s="930"/>
      <c r="CF355" s="930"/>
      <c r="CG355" s="1263"/>
      <c r="CH355" s="930"/>
      <c r="CI355" s="930"/>
      <c r="CJ355" s="930"/>
      <c r="CK355" s="930"/>
      <c r="CL355" s="1263"/>
      <c r="CM355" s="930"/>
      <c r="CN355" s="930"/>
      <c r="CO355" s="930"/>
      <c r="CP355" s="931"/>
      <c r="CQ355" s="1263"/>
      <c r="CR355" s="932"/>
      <c r="CS355" s="930"/>
      <c r="CT355" s="930"/>
      <c r="CU355" s="933"/>
      <c r="CV355" s="1263"/>
      <c r="CW355" s="930"/>
      <c r="CX355" s="930"/>
      <c r="CY355" s="930"/>
      <c r="CZ355" s="933"/>
      <c r="DA355" s="1263"/>
      <c r="DB355" s="930"/>
      <c r="DC355" s="930"/>
      <c r="DD355" s="930"/>
      <c r="DE355" s="930"/>
      <c r="DF355" s="1263"/>
      <c r="DG355" s="930"/>
      <c r="DH355" s="930"/>
      <c r="DI355" s="930"/>
      <c r="DJ355" s="930"/>
      <c r="DK355" s="1263"/>
      <c r="DL355" s="1478"/>
      <c r="DM355" s="478"/>
      <c r="DN355" s="478"/>
      <c r="DO355" s="478"/>
      <c r="DP355" s="1263"/>
      <c r="DQ355" s="1478"/>
      <c r="DR355" s="478"/>
      <c r="DS355" s="478"/>
      <c r="DT355" s="1483"/>
      <c r="DU355" s="1263"/>
      <c r="DV355" s="1478"/>
      <c r="DW355" s="478"/>
      <c r="DX355" s="478"/>
      <c r="DY355" s="1483"/>
      <c r="DZ355" s="1263"/>
      <c r="EA355" s="1478"/>
      <c r="EB355" s="478"/>
      <c r="EC355" s="478"/>
      <c r="ED355" s="1483"/>
      <c r="EE355" s="1263"/>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row>
    <row r="356" spans="2:232" s="54" customFormat="1">
      <c r="B356" s="561" t="s">
        <v>236</v>
      </c>
      <c r="C356" s="1257" t="s">
        <v>414</v>
      </c>
      <c r="D356" s="164"/>
      <c r="E356" s="164"/>
      <c r="F356" s="399">
        <f>Model!F33</f>
        <v>194.965</v>
      </c>
      <c r="G356" s="399">
        <f>Model!G33</f>
        <v>220.62799999999947</v>
      </c>
      <c r="H356" s="399">
        <f>Model!H33</f>
        <v>221.66599999999971</v>
      </c>
      <c r="I356" s="399">
        <f>Model!I33</f>
        <v>281.92899999999969</v>
      </c>
      <c r="J356" s="399">
        <f>Model!J33</f>
        <v>320.79099999999971</v>
      </c>
      <c r="K356" s="399"/>
      <c r="L356" s="399"/>
      <c r="M356" s="399"/>
      <c r="N356" s="399"/>
      <c r="O356" s="399">
        <f>Model!O33</f>
        <v>375.84799999999916</v>
      </c>
      <c r="P356" s="399"/>
      <c r="Q356" s="399"/>
      <c r="R356" s="399"/>
      <c r="S356" s="399"/>
      <c r="T356" s="399">
        <f>Model!T33</f>
        <v>453.00699999999949</v>
      </c>
      <c r="U356" s="399"/>
      <c r="V356" s="399"/>
      <c r="W356" s="399"/>
      <c r="X356" s="399"/>
      <c r="Y356" s="399">
        <f>Model!Y33</f>
        <v>557.29300000000012</v>
      </c>
      <c r="Z356" s="399"/>
      <c r="AA356" s="399"/>
      <c r="AB356" s="399"/>
      <c r="AC356" s="399"/>
      <c r="AD356" s="399">
        <f>Model!AD33</f>
        <v>624.09999999999877</v>
      </c>
      <c r="AE356" s="399"/>
      <c r="AF356" s="399"/>
      <c r="AG356" s="399"/>
      <c r="AH356" s="399"/>
      <c r="AI356" s="399">
        <f>Model!AI33</f>
        <v>794.50000000000023</v>
      </c>
      <c r="AJ356" s="399"/>
      <c r="AK356" s="399"/>
      <c r="AL356" s="399"/>
      <c r="AM356" s="399"/>
      <c r="AN356" s="399">
        <f>Model!AN33</f>
        <v>885.5999999999982</v>
      </c>
      <c r="AO356" s="399"/>
      <c r="AP356" s="399"/>
      <c r="AQ356" s="399"/>
      <c r="AR356" s="399"/>
      <c r="AS356" s="399">
        <f>Model!AS31</f>
        <v>1008.1000000000001</v>
      </c>
      <c r="AT356" s="399"/>
      <c r="AU356" s="399"/>
      <c r="AV356" s="399"/>
      <c r="AW356" s="399"/>
      <c r="AX356" s="399">
        <f>Model!AX33</f>
        <v>1165.100000000001</v>
      </c>
      <c r="AY356" s="399"/>
      <c r="AZ356" s="399"/>
      <c r="BA356" s="399"/>
      <c r="BB356" s="399"/>
      <c r="BC356" s="399">
        <f>Model!BC33</f>
        <v>1349.8000004359283</v>
      </c>
      <c r="BD356" s="399"/>
      <c r="BE356" s="399"/>
      <c r="BF356" s="399"/>
      <c r="BG356" s="399"/>
      <c r="BH356" s="399">
        <f>Model!BH33</f>
        <v>1559.5</v>
      </c>
      <c r="BI356" s="399"/>
      <c r="BJ356" s="399"/>
      <c r="BK356" s="399"/>
      <c r="BL356" s="399"/>
      <c r="BM356" s="399">
        <f>Model!BM33</f>
        <v>1750.6000000000054</v>
      </c>
      <c r="BN356" s="399"/>
      <c r="BO356" s="399"/>
      <c r="BP356" s="399"/>
      <c r="BQ356" s="399"/>
      <c r="BR356" s="399">
        <f>Model!BR33</f>
        <v>2041.0999999999935</v>
      </c>
      <c r="BS356" s="400">
        <v>456</v>
      </c>
      <c r="BT356" s="401">
        <f>1141.4-BS356</f>
        <v>685.40000000000009</v>
      </c>
      <c r="BU356" s="401">
        <f>1713.7-BT356-BS356</f>
        <v>572.29999999999995</v>
      </c>
      <c r="BV356" s="402">
        <f>BW356-SUM(BS356:BU356)</f>
        <v>442.99999999999977</v>
      </c>
      <c r="BW356" s="399">
        <v>2156.6999999999998</v>
      </c>
      <c r="BX356" s="400">
        <f>Model!BX33</f>
        <v>408</v>
      </c>
      <c r="BY356" s="401">
        <f>Model!BY33</f>
        <v>640</v>
      </c>
      <c r="BZ356" s="401">
        <f>Model!BZ33</f>
        <v>522</v>
      </c>
      <c r="CA356" s="402">
        <f>Model!CA33</f>
        <v>436</v>
      </c>
      <c r="CB356" s="399">
        <f>Model!CB33</f>
        <v>2006</v>
      </c>
      <c r="CC356" s="400">
        <f>Model!CC33</f>
        <v>489</v>
      </c>
      <c r="CD356" s="401">
        <f>Model!CD33</f>
        <v>669</v>
      </c>
      <c r="CE356" s="401">
        <f>Model!CE33</f>
        <v>463</v>
      </c>
      <c r="CF356" s="401">
        <f>Model!CF33</f>
        <v>470</v>
      </c>
      <c r="CG356" s="782">
        <f t="shared" ref="CG356:CG362" si="876">SUM(CC356:CF356)</f>
        <v>2091</v>
      </c>
      <c r="CH356" s="401">
        <f>Model!CH33</f>
        <v>580</v>
      </c>
      <c r="CI356" s="401">
        <f>Model!CI33</f>
        <v>739</v>
      </c>
      <c r="CJ356" s="401">
        <f>Model!CJ33</f>
        <v>603</v>
      </c>
      <c r="CK356" s="401">
        <f>Model!CK33</f>
        <v>792</v>
      </c>
      <c r="CL356" s="782">
        <f t="shared" ref="CL356:CL362" si="877">SUM(CH356:CK356)</f>
        <v>2714</v>
      </c>
      <c r="CM356" s="401">
        <f>Model!CM33</f>
        <v>554</v>
      </c>
      <c r="CN356" s="401">
        <f>Model!CN33</f>
        <v>683</v>
      </c>
      <c r="CO356" s="401">
        <f>Model!CO31</f>
        <v>537</v>
      </c>
      <c r="CP356" s="402">
        <f>Model!CP31</f>
        <v>353</v>
      </c>
      <c r="CQ356" s="782">
        <f t="shared" ref="CQ356:CQ362" si="878">SUM(CM356:CP356)</f>
        <v>2127</v>
      </c>
      <c r="CR356" s="491">
        <f>Model!CR33</f>
        <v>413</v>
      </c>
      <c r="CS356" s="399">
        <f>Model!CS33</f>
        <v>756</v>
      </c>
      <c r="CT356" s="399">
        <f>Model!CT33</f>
        <v>624</v>
      </c>
      <c r="CU356" s="492">
        <f>Model!CU33</f>
        <v>657</v>
      </c>
      <c r="CV356" s="782">
        <f t="shared" ref="CV356:CV362" si="879">SUM(CR356:CU356)</f>
        <v>2450</v>
      </c>
      <c r="CW356" s="401">
        <f>Model!CW31</f>
        <v>704</v>
      </c>
      <c r="CX356" s="401">
        <f>Model!CX31</f>
        <v>768</v>
      </c>
      <c r="CY356" s="401">
        <f>Model!CY31</f>
        <v>764</v>
      </c>
      <c r="CZ356" s="493">
        <f>Model!CZ31</f>
        <v>-205</v>
      </c>
      <c r="DA356" s="782">
        <f t="shared" ref="DA356:DA362" si="880">SUM(CW356:CZ356)</f>
        <v>2031</v>
      </c>
      <c r="DB356" s="401">
        <f>Model!DB31</f>
        <v>877</v>
      </c>
      <c r="DC356" s="401">
        <f>2937-DB356</f>
        <v>2060</v>
      </c>
      <c r="DD356" s="401">
        <f>4247-SUM(DB356:DC356)</f>
        <v>1310</v>
      </c>
      <c r="DE356" s="401">
        <f>4279-SUM(DB356:DD356)</f>
        <v>32</v>
      </c>
      <c r="DF356" s="1900">
        <f>SUM(DB356:DE356)</f>
        <v>4279</v>
      </c>
      <c r="DG356" s="401">
        <v>1117</v>
      </c>
      <c r="DH356" s="401">
        <f>2049-DG356</f>
        <v>932</v>
      </c>
      <c r="DI356" s="401">
        <f>3156-SUM(DG356:DH356)</f>
        <v>1107</v>
      </c>
      <c r="DJ356" s="1778">
        <f>DK356-SUM(DG356:DI356)</f>
        <v>1035</v>
      </c>
      <c r="DK356" s="944">
        <v>4191</v>
      </c>
      <c r="DL356" s="401">
        <v>1067</v>
      </c>
      <c r="DM356" s="401">
        <f>2129-DL356</f>
        <v>1062</v>
      </c>
      <c r="DN356" s="401">
        <f>3294-SUM(DL356:DM356)</f>
        <v>1165</v>
      </c>
      <c r="DO356" s="401">
        <f>4101-SUM(DL356:DN356)</f>
        <v>807</v>
      </c>
      <c r="DP356" s="944">
        <f>SUM(DL356:DO356)</f>
        <v>4101</v>
      </c>
      <c r="DQ356" s="1777">
        <v>822</v>
      </c>
      <c r="DR356" s="401">
        <f ca="1">Model!DR31</f>
        <v>1276.0332926178476</v>
      </c>
      <c r="DS356" s="401">
        <f ca="1">Model!DS31</f>
        <v>1237.1660997368494</v>
      </c>
      <c r="DT356" s="1778">
        <f ca="1">Model!DT31</f>
        <v>1231.5770615493066</v>
      </c>
      <c r="DU356" s="944">
        <f ca="1">SUM(DQ356:DT356)</f>
        <v>4566.7764539040036</v>
      </c>
      <c r="DV356" s="1777">
        <f ca="1">Model!DV31</f>
        <v>1128.7215331997111</v>
      </c>
      <c r="DW356" s="401">
        <f ca="1">Model!DW31</f>
        <v>1387.6539374137217</v>
      </c>
      <c r="DX356" s="401">
        <f ca="1">Model!DX31</f>
        <v>1406.4720796763213</v>
      </c>
      <c r="DY356" s="1778">
        <f ca="1">Model!DY31</f>
        <v>1437.497229414048</v>
      </c>
      <c r="DZ356" s="944">
        <f ca="1">SUM(DV356:DY356)</f>
        <v>5360.3447797038025</v>
      </c>
      <c r="EA356" s="1777">
        <f ca="1">Model!EA31</f>
        <v>1349.7795027976138</v>
      </c>
      <c r="EB356" s="401">
        <f ca="1">Model!EB31</f>
        <v>1586.8919307136096</v>
      </c>
      <c r="EC356" s="401">
        <f ca="1">Model!EC31</f>
        <v>1620.0147830979533</v>
      </c>
      <c r="ED356" s="1778">
        <f ca="1">Model!ED31</f>
        <v>1653.9598763867712</v>
      </c>
      <c r="EE356" s="944">
        <f ca="1">SUM(EA356:ED356)</f>
        <v>6210.6460929959485</v>
      </c>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row>
    <row r="357" spans="2:232" s="54" customFormat="1">
      <c r="B357" s="561" t="s">
        <v>339</v>
      </c>
      <c r="C357" s="1257"/>
      <c r="D357" s="164"/>
      <c r="E357" s="164"/>
      <c r="F357" s="399">
        <v>0</v>
      </c>
      <c r="G357" s="399">
        <v>0</v>
      </c>
      <c r="H357" s="399">
        <v>0</v>
      </c>
      <c r="I357" s="399">
        <v>0</v>
      </c>
      <c r="J357" s="399">
        <v>0</v>
      </c>
      <c r="K357" s="399"/>
      <c r="L357" s="399"/>
      <c r="M357" s="399"/>
      <c r="N357" s="399"/>
      <c r="O357" s="399">
        <v>0</v>
      </c>
      <c r="P357" s="399"/>
      <c r="Q357" s="399"/>
      <c r="R357" s="399"/>
      <c r="S357" s="399"/>
      <c r="T357" s="399">
        <v>0</v>
      </c>
      <c r="U357" s="399"/>
      <c r="V357" s="399"/>
      <c r="W357" s="399"/>
      <c r="X357" s="399"/>
      <c r="Y357" s="399">
        <v>0</v>
      </c>
      <c r="Z357" s="399"/>
      <c r="AA357" s="399"/>
      <c r="AB357" s="399"/>
      <c r="AC357" s="399"/>
      <c r="AD357" s="399">
        <v>0</v>
      </c>
      <c r="AE357" s="399"/>
      <c r="AF357" s="399"/>
      <c r="AG357" s="399"/>
      <c r="AH357" s="399"/>
      <c r="AI357" s="399">
        <v>0</v>
      </c>
      <c r="AJ357" s="399"/>
      <c r="AK357" s="399"/>
      <c r="AL357" s="399"/>
      <c r="AM357" s="399"/>
      <c r="AN357" s="399">
        <v>0</v>
      </c>
      <c r="AO357" s="399"/>
      <c r="AP357" s="399"/>
      <c r="AQ357" s="399"/>
      <c r="AR357" s="399"/>
      <c r="AS357" s="399">
        <v>0</v>
      </c>
      <c r="AT357" s="399"/>
      <c r="AU357" s="399"/>
      <c r="AV357" s="399"/>
      <c r="AW357" s="399"/>
      <c r="AX357" s="399">
        <v>0</v>
      </c>
      <c r="AY357" s="399"/>
      <c r="AZ357" s="399"/>
      <c r="BA357" s="399"/>
      <c r="BB357" s="399"/>
      <c r="BC357" s="399">
        <v>0</v>
      </c>
      <c r="BD357" s="399"/>
      <c r="BE357" s="399"/>
      <c r="BF357" s="399"/>
      <c r="BG357" s="399"/>
      <c r="BH357" s="399">
        <v>0</v>
      </c>
      <c r="BI357" s="399"/>
      <c r="BJ357" s="399"/>
      <c r="BK357" s="399"/>
      <c r="BL357" s="399"/>
      <c r="BM357" s="399">
        <v>0</v>
      </c>
      <c r="BN357" s="399"/>
      <c r="BO357" s="399"/>
      <c r="BP357" s="399"/>
      <c r="BQ357" s="399"/>
      <c r="BR357" s="399">
        <v>0</v>
      </c>
      <c r="BS357" s="491">
        <f>Model!BS21</f>
        <v>0</v>
      </c>
      <c r="BT357" s="399">
        <f>Model!BT21</f>
        <v>0</v>
      </c>
      <c r="BU357" s="399">
        <f>Model!BU21</f>
        <v>0</v>
      </c>
      <c r="BV357" s="492">
        <f>Model!BV21</f>
        <v>0</v>
      </c>
      <c r="BW357" s="399">
        <v>0</v>
      </c>
      <c r="BX357" s="491">
        <f>Model!BX21</f>
        <v>0</v>
      </c>
      <c r="BY357" s="399">
        <f>Model!BY21</f>
        <v>0</v>
      </c>
      <c r="BZ357" s="399">
        <f>Model!BZ21</f>
        <v>0</v>
      </c>
      <c r="CA357" s="492">
        <f>Model!CA21</f>
        <v>0</v>
      </c>
      <c r="CB357" s="399">
        <v>0</v>
      </c>
      <c r="CC357" s="491">
        <f>Model!CC21</f>
        <v>0</v>
      </c>
      <c r="CD357" s="399">
        <f>Model!CD21</f>
        <v>0</v>
      </c>
      <c r="CE357" s="399">
        <f>Model!CE21</f>
        <v>0</v>
      </c>
      <c r="CF357" s="399">
        <f>Model!CF21</f>
        <v>0</v>
      </c>
      <c r="CG357" s="782">
        <f t="shared" si="876"/>
        <v>0</v>
      </c>
      <c r="CH357" s="399">
        <f>Model!CH21</f>
        <v>0</v>
      </c>
      <c r="CI357" s="399">
        <f>Model!CI21</f>
        <v>0</v>
      </c>
      <c r="CJ357" s="399">
        <f>Model!CJ21</f>
        <v>0</v>
      </c>
      <c r="CK357" s="399">
        <f>Model!CK21</f>
        <v>0</v>
      </c>
      <c r="CL357" s="782">
        <f t="shared" si="877"/>
        <v>0</v>
      </c>
      <c r="CM357" s="399">
        <f>Model!CM21</f>
        <v>0</v>
      </c>
      <c r="CN357" s="399">
        <f>Model!CN21</f>
        <v>0</v>
      </c>
      <c r="CO357" s="399">
        <f>Model!CO21</f>
        <v>0</v>
      </c>
      <c r="CP357" s="492">
        <f>Model!CP21</f>
        <v>0</v>
      </c>
      <c r="CQ357" s="782">
        <f t="shared" si="878"/>
        <v>0</v>
      </c>
      <c r="CR357" s="491">
        <v>-4</v>
      </c>
      <c r="CS357" s="399">
        <f>-89-CR357</f>
        <v>-85</v>
      </c>
      <c r="CT357" s="399">
        <f>-220-SUM(CR357:CS357)</f>
        <v>-131</v>
      </c>
      <c r="CU357" s="492">
        <f>-344-SUM(CR357:CT357)</f>
        <v>-124</v>
      </c>
      <c r="CV357" s="782">
        <f t="shared" si="879"/>
        <v>-344</v>
      </c>
      <c r="CW357" s="401">
        <f>Model!CW21</f>
        <v>-151</v>
      </c>
      <c r="CX357" s="401">
        <f>-345-CW357</f>
        <v>-194</v>
      </c>
      <c r="CY357" s="401">
        <f>-482-CW357-CX357</f>
        <v>-137</v>
      </c>
      <c r="CZ357" s="493">
        <f>-617-CY357-CX357-CW357</f>
        <v>-135</v>
      </c>
      <c r="DA357" s="782">
        <f t="shared" si="880"/>
        <v>-617</v>
      </c>
      <c r="DB357" s="401">
        <f>Model!DB21</f>
        <v>-214</v>
      </c>
      <c r="DC357" s="401">
        <f>-315-DB357</f>
        <v>-101</v>
      </c>
      <c r="DD357" s="401">
        <f>Model!DD21</f>
        <v>0</v>
      </c>
      <c r="DE357" s="401">
        <f>Model!DE21</f>
        <v>0</v>
      </c>
      <c r="DF357" s="1900">
        <f t="shared" ref="DF357:DF362" si="881">SUM(DB357:DE357)</f>
        <v>-315</v>
      </c>
      <c r="DG357" s="401">
        <f>Model!DG21</f>
        <v>0</v>
      </c>
      <c r="DH357" s="2152">
        <f>-20-DG357</f>
        <v>-20</v>
      </c>
      <c r="DI357" s="2152">
        <f>-38-SUM(DG357:DH357)</f>
        <v>-18</v>
      </c>
      <c r="DJ357" s="1778">
        <f>DK357-SUM(DG357:DI357)</f>
        <v>-43</v>
      </c>
      <c r="DK357" s="944">
        <v>-81</v>
      </c>
      <c r="DL357" s="401">
        <v>-29</v>
      </c>
      <c r="DM357" s="401">
        <f>-87-DL357</f>
        <v>-58</v>
      </c>
      <c r="DN357" s="401">
        <f>-150-SUM(DL357:DM357)</f>
        <v>-63</v>
      </c>
      <c r="DO357" s="1556">
        <f>-143-SUM(DL357:DN357)</f>
        <v>7</v>
      </c>
      <c r="DP357" s="944">
        <f t="shared" ref="DP357:DP362" si="882">SUM(DL357:DO357)</f>
        <v>-143</v>
      </c>
      <c r="DQ357" s="1777">
        <v>99</v>
      </c>
      <c r="DR357" s="401">
        <f>Model!DR21</f>
        <v>-76.202061546813894</v>
      </c>
      <c r="DS357" s="401">
        <f>Model!DS21</f>
        <v>-95.434478312297003</v>
      </c>
      <c r="DT357" s="1778">
        <f>Model!DT21</f>
        <v>-83.118462467590902</v>
      </c>
      <c r="DU357" s="944">
        <f t="shared" ref="DU357:DU362" si="883">SUM(DQ357:DT357)</f>
        <v>-155.7550023267018</v>
      </c>
      <c r="DV357" s="1777">
        <f>Model!DV21</f>
        <v>-78.295730395332797</v>
      </c>
      <c r="DW357" s="401">
        <f>Model!DW21</f>
        <v>-76.508632004276507</v>
      </c>
      <c r="DX357" s="401">
        <f>Model!DX21</f>
        <v>-91.852515409062804</v>
      </c>
      <c r="DY357" s="1778">
        <f>Model!DY21</f>
        <v>-85.582876804705506</v>
      </c>
      <c r="DZ357" s="944">
        <f t="shared" ref="DZ357:DZ362" si="884">SUM(DV357:DY357)</f>
        <v>-332.23975461337761</v>
      </c>
      <c r="EA357" s="1777">
        <f>Model!EA21</f>
        <v>-78.295730395332797</v>
      </c>
      <c r="EB357" s="401">
        <f>Model!EB21</f>
        <v>-76.508632004276507</v>
      </c>
      <c r="EC357" s="401">
        <f>Model!EC21</f>
        <v>-91.852515409062804</v>
      </c>
      <c r="ED357" s="1778">
        <f>Model!ED21</f>
        <v>-85.582876804705506</v>
      </c>
      <c r="EE357" s="944">
        <f t="shared" ref="EE357:EE362" si="885">SUM(EA357:ED357)</f>
        <v>-332.23975461337761</v>
      </c>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row>
    <row r="358" spans="2:232" s="54" customFormat="1">
      <c r="B358" s="561" t="s">
        <v>317</v>
      </c>
      <c r="C358" s="1258"/>
      <c r="D358" s="354"/>
      <c r="E358" s="354"/>
      <c r="F358" s="406">
        <f>Model!F78</f>
        <v>84.346000000000004</v>
      </c>
      <c r="G358" s="406">
        <f>Model!G78</f>
        <v>92.108999999999995</v>
      </c>
      <c r="H358" s="406">
        <f>Model!H78</f>
        <v>104.66</v>
      </c>
      <c r="I358" s="406">
        <f>Model!I78</f>
        <v>118.11799999999999</v>
      </c>
      <c r="J358" s="406">
        <f>Model!J78</f>
        <v>131.53700000000001</v>
      </c>
      <c r="K358" s="406"/>
      <c r="L358" s="406"/>
      <c r="M358" s="406"/>
      <c r="N358" s="406"/>
      <c r="O358" s="406">
        <f>Model!O78</f>
        <v>147.30000000000001</v>
      </c>
      <c r="P358" s="406"/>
      <c r="Q358" s="406"/>
      <c r="R358" s="406"/>
      <c r="S358" s="406"/>
      <c r="T358" s="406">
        <f>Model!T78</f>
        <v>163.92699999999999</v>
      </c>
      <c r="U358" s="406"/>
      <c r="V358" s="406"/>
      <c r="W358" s="406"/>
      <c r="X358" s="406"/>
      <c r="Y358" s="406">
        <f>Model!Y78</f>
        <v>180.25800000000001</v>
      </c>
      <c r="Z358" s="406"/>
      <c r="AA358" s="406"/>
      <c r="AB358" s="406"/>
      <c r="AC358" s="406"/>
      <c r="AD358" s="406">
        <f>Model!AD78</f>
        <v>210.1</v>
      </c>
      <c r="AE358" s="406"/>
      <c r="AF358" s="406"/>
      <c r="AG358" s="406"/>
      <c r="AH358" s="406"/>
      <c r="AI358" s="406">
        <f>Model!AI78</f>
        <v>230.1</v>
      </c>
      <c r="AJ358" s="406"/>
      <c r="AK358" s="406"/>
      <c r="AL358" s="406"/>
      <c r="AM358" s="406"/>
      <c r="AN358" s="406">
        <v>251.9</v>
      </c>
      <c r="AO358" s="406"/>
      <c r="AP358" s="406"/>
      <c r="AQ358" s="406"/>
      <c r="AR358" s="406"/>
      <c r="AS358" s="406">
        <v>287.8</v>
      </c>
      <c r="AT358" s="406"/>
      <c r="AU358" s="406"/>
      <c r="AV358" s="406"/>
      <c r="AW358" s="406"/>
      <c r="AX358" s="406">
        <v>326.60000000000002</v>
      </c>
      <c r="AY358" s="406"/>
      <c r="AZ358" s="406"/>
      <c r="BA358" s="406"/>
      <c r="BB358" s="406"/>
      <c r="BC358" s="406">
        <v>383.6</v>
      </c>
      <c r="BD358" s="406"/>
      <c r="BE358" s="406"/>
      <c r="BF358" s="406"/>
      <c r="BG358" s="406"/>
      <c r="BH358" s="406">
        <v>462.6</v>
      </c>
      <c r="BI358" s="406"/>
      <c r="BJ358" s="406"/>
      <c r="BK358" s="406"/>
      <c r="BL358" s="406"/>
      <c r="BM358" s="406">
        <f>572.2-BM359</f>
        <v>552.70000000000005</v>
      </c>
      <c r="BN358" s="406"/>
      <c r="BO358" s="406"/>
      <c r="BP358" s="406"/>
      <c r="BQ358" s="406"/>
      <c r="BR358" s="406">
        <f>675.9-BR359</f>
        <v>614</v>
      </c>
      <c r="BS358" s="121">
        <v>195</v>
      </c>
      <c r="BT358" s="73">
        <f>396.9-BS358</f>
        <v>201.89999999999998</v>
      </c>
      <c r="BU358" s="73">
        <f>607.7-BT358-BS358</f>
        <v>210.80000000000007</v>
      </c>
      <c r="BV358" s="494">
        <f>BW358-SUM(BS358:BU358)</f>
        <v>146</v>
      </c>
      <c r="BW358" s="406">
        <f>840-BW359</f>
        <v>753.7</v>
      </c>
      <c r="BX358" s="121">
        <v>236</v>
      </c>
      <c r="BY358" s="73">
        <f>477-BX358</f>
        <v>241</v>
      </c>
      <c r="BZ358" s="73">
        <f>741-SUM(BX358:BY358)</f>
        <v>264</v>
      </c>
      <c r="CA358" s="494">
        <f>CB358-SUM(BX358:BZ358)</f>
        <v>234</v>
      </c>
      <c r="CB358" s="406">
        <v>975</v>
      </c>
      <c r="CC358" s="121">
        <v>257</v>
      </c>
      <c r="CD358" s="73">
        <f>505-CC358</f>
        <v>248</v>
      </c>
      <c r="CE358" s="73">
        <f>768-SUM(CC358:CD358)</f>
        <v>263</v>
      </c>
      <c r="CF358" s="73">
        <f>1030-SUM(CC358:CE358)</f>
        <v>262</v>
      </c>
      <c r="CG358" s="783">
        <f t="shared" si="876"/>
        <v>1030</v>
      </c>
      <c r="CH358" s="73">
        <v>273</v>
      </c>
      <c r="CI358" s="73">
        <f>529-CH358</f>
        <v>256</v>
      </c>
      <c r="CJ358" s="73">
        <f>798-SUM(CH358:CI358)</f>
        <v>269</v>
      </c>
      <c r="CK358" s="73">
        <f>1086-SUM(CH358:CJ358)</f>
        <v>288</v>
      </c>
      <c r="CL358" s="783">
        <f t="shared" si="877"/>
        <v>1086</v>
      </c>
      <c r="CM358" s="73">
        <v>277</v>
      </c>
      <c r="CN358" s="76">
        <f>560-SUM(CM358)</f>
        <v>283</v>
      </c>
      <c r="CO358" s="76">
        <f>856-SUM(CM358:CN358)</f>
        <v>296</v>
      </c>
      <c r="CP358" s="75">
        <f>1166-SUM(CM358:CO358)</f>
        <v>310</v>
      </c>
      <c r="CQ358" s="783">
        <f t="shared" si="878"/>
        <v>1166</v>
      </c>
      <c r="CR358" s="495">
        <v>313</v>
      </c>
      <c r="CS358" s="496">
        <f>640-CR358</f>
        <v>327</v>
      </c>
      <c r="CT358" s="496">
        <f>958-SUM(CR358:CS358)</f>
        <v>318</v>
      </c>
      <c r="CU358" s="497">
        <f>1283-SUM(CR358:CT358)</f>
        <v>325</v>
      </c>
      <c r="CV358" s="783">
        <f t="shared" si="879"/>
        <v>1283</v>
      </c>
      <c r="CW358" s="76">
        <v>332</v>
      </c>
      <c r="CX358" s="76">
        <f>663-CW358</f>
        <v>331</v>
      </c>
      <c r="CY358" s="76">
        <f>1001-CW358-CX358</f>
        <v>338</v>
      </c>
      <c r="CZ358" s="498">
        <f>1316-CY358-CX358-CW358</f>
        <v>315</v>
      </c>
      <c r="DA358" s="783">
        <f t="shared" si="880"/>
        <v>1316</v>
      </c>
      <c r="DB358" s="76">
        <v>319</v>
      </c>
      <c r="DC358" s="76">
        <f>826-DB358</f>
        <v>507</v>
      </c>
      <c r="DD358" s="76">
        <f>1264-SUM(DB358:DC358)</f>
        <v>438</v>
      </c>
      <c r="DE358" s="401">
        <f>1742-SUM(DB358:DD358)</f>
        <v>478</v>
      </c>
      <c r="DF358" s="1900">
        <f t="shared" si="881"/>
        <v>1742</v>
      </c>
      <c r="DG358" s="76">
        <v>382</v>
      </c>
      <c r="DH358" s="76">
        <f>824-DG358</f>
        <v>442</v>
      </c>
      <c r="DI358" s="76">
        <f>1271-SUM(DG358:DH358)</f>
        <v>447</v>
      </c>
      <c r="DJ358" s="1778">
        <f>DK358-SUM(DG358:DI358)</f>
        <v>447</v>
      </c>
      <c r="DK358" s="807">
        <v>1718</v>
      </c>
      <c r="DL358" s="401">
        <v>419</v>
      </c>
      <c r="DM358" s="401">
        <f>831-DL358</f>
        <v>412</v>
      </c>
      <c r="DN358" s="401">
        <f>1244-SUM(DL358:DM358)</f>
        <v>413</v>
      </c>
      <c r="DO358" s="401">
        <f>1654-SUM(DL358:DN358)</f>
        <v>410</v>
      </c>
      <c r="DP358" s="807">
        <f t="shared" si="882"/>
        <v>1654</v>
      </c>
      <c r="DQ358" s="1436">
        <v>416</v>
      </c>
      <c r="DR358" s="76">
        <f ca="1">DR272</f>
        <v>469.65791683295981</v>
      </c>
      <c r="DS358" s="76">
        <f ca="1">DS272</f>
        <v>464.13161596947725</v>
      </c>
      <c r="DT358" s="1437">
        <f>DT272</f>
        <v>452.86421161275058</v>
      </c>
      <c r="DU358" s="807">
        <f t="shared" ca="1" si="883"/>
        <v>1802.6537444151875</v>
      </c>
      <c r="DV358" s="1436">
        <f>DV272</f>
        <v>450.51201227925338</v>
      </c>
      <c r="DW358" s="76">
        <f ca="1">DW272</f>
        <v>480.76781886279821</v>
      </c>
      <c r="DX358" s="76">
        <f ca="1">DX272</f>
        <v>471.22333999687567</v>
      </c>
      <c r="DY358" s="1437">
        <f>DY272</f>
        <v>459.6816436411118</v>
      </c>
      <c r="DZ358" s="807">
        <f t="shared" ca="1" si="884"/>
        <v>1862.184814780039</v>
      </c>
      <c r="EA358" s="1436">
        <f>EA272</f>
        <v>458.60616583147953</v>
      </c>
      <c r="EB358" s="76">
        <f ca="1">EB272</f>
        <v>489.1447252661863</v>
      </c>
      <c r="EC358" s="76">
        <f ca="1">EC272</f>
        <v>479.86104985064912</v>
      </c>
      <c r="ED358" s="1437">
        <f>ED272</f>
        <v>468.55926417686612</v>
      </c>
      <c r="EE358" s="807">
        <f t="shared" ca="1" si="885"/>
        <v>1896.1712051251811</v>
      </c>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row>
    <row r="359" spans="2:232" s="54" customFormat="1" hidden="1" outlineLevel="1">
      <c r="B359" s="561" t="s">
        <v>429</v>
      </c>
      <c r="C359" s="1257"/>
      <c r="D359" s="164"/>
      <c r="E359" s="164"/>
      <c r="F359" s="406"/>
      <c r="G359" s="406"/>
      <c r="H359" s="406"/>
      <c r="I359" s="406"/>
      <c r="J359" s="406"/>
      <c r="K359" s="406"/>
      <c r="L359" s="406"/>
      <c r="M359" s="406"/>
      <c r="N359" s="406"/>
      <c r="O359" s="406"/>
      <c r="P359" s="406"/>
      <c r="Q359" s="406"/>
      <c r="R359" s="406"/>
      <c r="S359" s="406"/>
      <c r="T359" s="406"/>
      <c r="U359" s="406"/>
      <c r="V359" s="406"/>
      <c r="W359" s="406"/>
      <c r="X359" s="406"/>
      <c r="Y359" s="406"/>
      <c r="Z359" s="406"/>
      <c r="AA359" s="406"/>
      <c r="AB359" s="406"/>
      <c r="AC359" s="406"/>
      <c r="AD359" s="406"/>
      <c r="AE359" s="406"/>
      <c r="AF359" s="406"/>
      <c r="AG359" s="406"/>
      <c r="AH359" s="406"/>
      <c r="AI359" s="406"/>
      <c r="AJ359" s="406"/>
      <c r="AK359" s="406"/>
      <c r="AL359" s="406"/>
      <c r="AM359" s="406"/>
      <c r="AN359" s="406">
        <v>17.3</v>
      </c>
      <c r="AO359" s="406"/>
      <c r="AP359" s="406"/>
      <c r="AQ359" s="406"/>
      <c r="AR359" s="406"/>
      <c r="AS359" s="406">
        <v>19.5</v>
      </c>
      <c r="AT359" s="406"/>
      <c r="AU359" s="406"/>
      <c r="AV359" s="406"/>
      <c r="AW359" s="406"/>
      <c r="AX359" s="406">
        <f>AS359</f>
        <v>19.5</v>
      </c>
      <c r="AY359" s="406"/>
      <c r="AZ359" s="406"/>
      <c r="BA359" s="406"/>
      <c r="BB359" s="406"/>
      <c r="BC359" s="406">
        <f>AX359</f>
        <v>19.5</v>
      </c>
      <c r="BD359" s="406"/>
      <c r="BE359" s="406"/>
      <c r="BF359" s="406"/>
      <c r="BG359" s="406"/>
      <c r="BH359" s="406">
        <f>BC359</f>
        <v>19.5</v>
      </c>
      <c r="BI359" s="406"/>
      <c r="BJ359" s="406"/>
      <c r="BK359" s="406"/>
      <c r="BL359" s="406"/>
      <c r="BM359" s="406">
        <f>BH359</f>
        <v>19.5</v>
      </c>
      <c r="BN359" s="406"/>
      <c r="BO359" s="406"/>
      <c r="BP359" s="406"/>
      <c r="BQ359" s="406"/>
      <c r="BR359" s="406">
        <v>61.9</v>
      </c>
      <c r="BS359" s="121"/>
      <c r="BT359" s="73"/>
      <c r="BU359" s="73"/>
      <c r="BV359" s="75"/>
      <c r="BW359" s="406">
        <v>86.3</v>
      </c>
      <c r="BX359" s="121"/>
      <c r="BY359" s="73"/>
      <c r="BZ359" s="73"/>
      <c r="CA359" s="75">
        <f>CB359-SUM(BX359:BZ359)</f>
        <v>0</v>
      </c>
      <c r="CB359" s="406">
        <v>0</v>
      </c>
      <c r="CC359" s="121"/>
      <c r="CD359" s="73"/>
      <c r="CE359" s="73"/>
      <c r="CF359" s="73"/>
      <c r="CG359" s="783">
        <f t="shared" si="876"/>
        <v>0</v>
      </c>
      <c r="CH359" s="73"/>
      <c r="CI359" s="73"/>
      <c r="CJ359" s="73"/>
      <c r="CK359" s="73"/>
      <c r="CL359" s="783">
        <f t="shared" si="877"/>
        <v>0</v>
      </c>
      <c r="CM359" s="73"/>
      <c r="CN359" s="76"/>
      <c r="CO359" s="76"/>
      <c r="CP359" s="75"/>
      <c r="CQ359" s="783">
        <f t="shared" si="878"/>
        <v>0</v>
      </c>
      <c r="CR359" s="495"/>
      <c r="CS359" s="496"/>
      <c r="CT359" s="496"/>
      <c r="CU359" s="497"/>
      <c r="CV359" s="783">
        <f t="shared" si="879"/>
        <v>0</v>
      </c>
      <c r="CW359" s="76"/>
      <c r="CX359" s="76"/>
      <c r="CY359" s="76"/>
      <c r="CZ359" s="498"/>
      <c r="DA359" s="783">
        <f t="shared" si="880"/>
        <v>0</v>
      </c>
      <c r="DB359" s="76"/>
      <c r="DC359" s="76"/>
      <c r="DD359" s="76"/>
      <c r="DE359" s="76"/>
      <c r="DF359" s="783">
        <f t="shared" si="881"/>
        <v>0</v>
      </c>
      <c r="DG359" s="76"/>
      <c r="DH359" s="76"/>
      <c r="DI359" s="76"/>
      <c r="DJ359" s="76"/>
      <c r="DK359" s="807">
        <f t="shared" ref="DK359" si="886">SUM(DG359:DJ359)</f>
        <v>0</v>
      </c>
      <c r="DL359" s="76"/>
      <c r="DM359" s="76"/>
      <c r="DN359" s="76"/>
      <c r="DO359" s="76"/>
      <c r="DP359" s="807">
        <f t="shared" si="882"/>
        <v>0</v>
      </c>
      <c r="DQ359" s="1436"/>
      <c r="DR359" s="76"/>
      <c r="DS359" s="76"/>
      <c r="DT359" s="1437"/>
      <c r="DU359" s="807">
        <f t="shared" si="883"/>
        <v>0</v>
      </c>
      <c r="DV359" s="1436"/>
      <c r="DW359" s="76"/>
      <c r="DX359" s="76"/>
      <c r="DY359" s="1437"/>
      <c r="DZ359" s="807">
        <f t="shared" si="884"/>
        <v>0</v>
      </c>
      <c r="EA359" s="1436"/>
      <c r="EB359" s="76"/>
      <c r="EC359" s="76"/>
      <c r="ED359" s="1437"/>
      <c r="EE359" s="807">
        <f t="shared" si="885"/>
        <v>0</v>
      </c>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row>
    <row r="360" spans="2:232" s="54" customFormat="1" collapsed="1">
      <c r="B360" s="561" t="s">
        <v>36</v>
      </c>
      <c r="C360" s="539"/>
      <c r="D360" s="64"/>
      <c r="E360" s="64"/>
      <c r="F360" s="406">
        <v>3.2589999999999999</v>
      </c>
      <c r="G360" s="406">
        <v>11.157999999999999</v>
      </c>
      <c r="H360" s="406">
        <v>-12.645</v>
      </c>
      <c r="I360" s="406">
        <v>5.6529999999999996</v>
      </c>
      <c r="J360" s="406">
        <v>-7.2130000000000001</v>
      </c>
      <c r="K360" s="406"/>
      <c r="L360" s="406"/>
      <c r="M360" s="406"/>
      <c r="N360" s="406"/>
      <c r="O360" s="406">
        <v>2.992</v>
      </c>
      <c r="P360" s="406"/>
      <c r="Q360" s="406"/>
      <c r="R360" s="406"/>
      <c r="S360" s="406"/>
      <c r="T360" s="406">
        <v>7.5190000000000001</v>
      </c>
      <c r="U360" s="406"/>
      <c r="V360" s="406"/>
      <c r="W360" s="406"/>
      <c r="X360" s="406"/>
      <c r="Y360" s="406">
        <v>-0.79</v>
      </c>
      <c r="Z360" s="406"/>
      <c r="AA360" s="406"/>
      <c r="AB360" s="406"/>
      <c r="AC360" s="406"/>
      <c r="AD360" s="406">
        <v>-9.4</v>
      </c>
      <c r="AE360" s="406"/>
      <c r="AF360" s="406"/>
      <c r="AG360" s="406"/>
      <c r="AH360" s="406"/>
      <c r="AI360" s="406">
        <v>21</v>
      </c>
      <c r="AJ360" s="406"/>
      <c r="AK360" s="406"/>
      <c r="AL360" s="406"/>
      <c r="AM360" s="406"/>
      <c r="AN360" s="406">
        <v>46.9</v>
      </c>
      <c r="AO360" s="406"/>
      <c r="AP360" s="406"/>
      <c r="AQ360" s="406"/>
      <c r="AR360" s="406"/>
      <c r="AS360" s="406">
        <v>16.100000000000001</v>
      </c>
      <c r="AT360" s="406"/>
      <c r="AU360" s="406"/>
      <c r="AV360" s="406"/>
      <c r="AW360" s="406"/>
      <c r="AX360" s="406">
        <v>52.5</v>
      </c>
      <c r="AY360" s="406"/>
      <c r="AZ360" s="406"/>
      <c r="BA360" s="406"/>
      <c r="BB360" s="406"/>
      <c r="BC360" s="406">
        <v>66</v>
      </c>
      <c r="BD360" s="406"/>
      <c r="BE360" s="406"/>
      <c r="BF360" s="406"/>
      <c r="BG360" s="406"/>
      <c r="BH360" s="406">
        <v>-70.8</v>
      </c>
      <c r="BI360" s="406"/>
      <c r="BJ360" s="406"/>
      <c r="BK360" s="406"/>
      <c r="BL360" s="406"/>
      <c r="BM360" s="406">
        <v>-104</v>
      </c>
      <c r="BN360" s="406"/>
      <c r="BO360" s="406"/>
      <c r="BP360" s="406"/>
      <c r="BQ360" s="406"/>
      <c r="BR360" s="406">
        <v>23.2</v>
      </c>
      <c r="BS360" s="121">
        <v>-72</v>
      </c>
      <c r="BT360" s="73">
        <f>-105.8-BS360</f>
        <v>-33.799999999999997</v>
      </c>
      <c r="BU360" s="73">
        <f>-58.5-BT360-BS360</f>
        <v>47.3</v>
      </c>
      <c r="BV360" s="402">
        <f>BW360-SUM(BS360:BU360)</f>
        <v>-2</v>
      </c>
      <c r="BW360" s="406">
        <v>-60.5</v>
      </c>
      <c r="BX360" s="121">
        <v>16</v>
      </c>
      <c r="BY360" s="73">
        <f>23-BX360</f>
        <v>7</v>
      </c>
      <c r="BZ360" s="73">
        <f>253-SUM(BX360:BY360)</f>
        <v>230</v>
      </c>
      <c r="CA360" s="402">
        <f>CB360-SUM(BX360:BZ360)</f>
        <v>7</v>
      </c>
      <c r="CB360" s="406">
        <v>260</v>
      </c>
      <c r="CC360" s="121">
        <v>-4</v>
      </c>
      <c r="CD360" s="73">
        <f>-26-CC360</f>
        <v>-22</v>
      </c>
      <c r="CE360" s="73">
        <f>-19-SUM(CC360:CD360)</f>
        <v>7</v>
      </c>
      <c r="CF360" s="73">
        <f>63-SUM(CC360:CE360)</f>
        <v>82</v>
      </c>
      <c r="CG360" s="783">
        <f t="shared" si="876"/>
        <v>63</v>
      </c>
      <c r="CH360" s="73">
        <v>-1</v>
      </c>
      <c r="CI360" s="73">
        <f>68-CH360</f>
        <v>69</v>
      </c>
      <c r="CJ360" s="73">
        <f>136-SUM(CH360:CI360)</f>
        <v>68</v>
      </c>
      <c r="CK360" s="73">
        <f>132-SUM(CH360:CJ360)</f>
        <v>-4</v>
      </c>
      <c r="CL360" s="783">
        <f t="shared" si="877"/>
        <v>132</v>
      </c>
      <c r="CM360" s="73">
        <v>21</v>
      </c>
      <c r="CN360" s="76">
        <f>-7-CM360</f>
        <v>-28</v>
      </c>
      <c r="CO360" s="76">
        <f>92-SUM(CM360:CN360)</f>
        <v>99</v>
      </c>
      <c r="CP360" s="75">
        <f>265-SUM(CM360:CO360)</f>
        <v>173</v>
      </c>
      <c r="CQ360" s="783">
        <f t="shared" si="878"/>
        <v>265</v>
      </c>
      <c r="CR360" s="495">
        <v>30</v>
      </c>
      <c r="CS360" s="496">
        <f>-9-CR360</f>
        <v>-39</v>
      </c>
      <c r="CT360" s="496">
        <f>33-SUM(CR360:CS360)</f>
        <v>42</v>
      </c>
      <c r="CU360" s="497">
        <f>148-SUM(CR360:CT360)</f>
        <v>115</v>
      </c>
      <c r="CV360" s="783">
        <f t="shared" si="879"/>
        <v>148</v>
      </c>
      <c r="CW360" s="76">
        <v>129</v>
      </c>
      <c r="CX360" s="76">
        <f>34-CW360</f>
        <v>-95</v>
      </c>
      <c r="CY360" s="76">
        <f>218-CW360-CX360</f>
        <v>184</v>
      </c>
      <c r="CZ360" s="498">
        <f>177-CY360-CX360-CW360</f>
        <v>-41</v>
      </c>
      <c r="DA360" s="783">
        <f t="shared" si="880"/>
        <v>177</v>
      </c>
      <c r="DB360" s="76">
        <v>36</v>
      </c>
      <c r="DC360" s="76">
        <f>181-DB360</f>
        <v>145</v>
      </c>
      <c r="DD360" s="76">
        <f>240-SUM(DB360:DC360)</f>
        <v>59</v>
      </c>
      <c r="DE360" s="401">
        <f>-32-SUM(DB360:DD360)</f>
        <v>-272</v>
      </c>
      <c r="DF360" s="783">
        <f t="shared" si="881"/>
        <v>-32</v>
      </c>
      <c r="DG360" s="76">
        <v>-158</v>
      </c>
      <c r="DH360" s="76">
        <f>-171-DG360</f>
        <v>-13</v>
      </c>
      <c r="DI360" s="76">
        <f>-250-SUM(DG360:DH360)</f>
        <v>-79</v>
      </c>
      <c r="DJ360" s="1778">
        <f>DK360-SUM(DG360:DI360)</f>
        <v>-192</v>
      </c>
      <c r="DK360" s="807">
        <v>-442</v>
      </c>
      <c r="DL360" s="401">
        <v>-61</v>
      </c>
      <c r="DM360" s="401">
        <f>-226-DL360</f>
        <v>-165</v>
      </c>
      <c r="DN360" s="401">
        <f>-211-SUM(DL360:DM360)</f>
        <v>15</v>
      </c>
      <c r="DO360" s="401">
        <f>-434-SUM(DL360:DN360)</f>
        <v>-223</v>
      </c>
      <c r="DP360" s="807">
        <f t="shared" si="882"/>
        <v>-434</v>
      </c>
      <c r="DQ360" s="1436">
        <v>-63</v>
      </c>
      <c r="DR360" s="76"/>
      <c r="DS360" s="76"/>
      <c r="DT360" s="1437"/>
      <c r="DU360" s="807">
        <f t="shared" si="883"/>
        <v>-63</v>
      </c>
      <c r="DV360" s="1436"/>
      <c r="DW360" s="76"/>
      <c r="DX360" s="76"/>
      <c r="DY360" s="1437"/>
      <c r="DZ360" s="807">
        <f t="shared" si="884"/>
        <v>0</v>
      </c>
      <c r="EA360" s="1436"/>
      <c r="EB360" s="76"/>
      <c r="EC360" s="76"/>
      <c r="ED360" s="1437"/>
      <c r="EE360" s="807">
        <f t="shared" si="885"/>
        <v>0</v>
      </c>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row>
    <row r="361" spans="2:232" s="54" customFormat="1">
      <c r="B361" s="561" t="s">
        <v>428</v>
      </c>
      <c r="C361" s="539"/>
      <c r="D361" s="64"/>
      <c r="E361" s="64"/>
      <c r="F361" s="406"/>
      <c r="G361" s="406"/>
      <c r="H361" s="406"/>
      <c r="I361" s="406"/>
      <c r="J361" s="406"/>
      <c r="K361" s="406"/>
      <c r="L361" s="406"/>
      <c r="M361" s="406"/>
      <c r="N361" s="406"/>
      <c r="O361" s="406"/>
      <c r="P361" s="406"/>
      <c r="Q361" s="406"/>
      <c r="R361" s="406"/>
      <c r="S361" s="406"/>
      <c r="T361" s="406"/>
      <c r="U361" s="406"/>
      <c r="V361" s="406"/>
      <c r="W361" s="406"/>
      <c r="X361" s="406"/>
      <c r="Y361" s="406"/>
      <c r="Z361" s="406"/>
      <c r="AA361" s="406"/>
      <c r="AB361" s="406"/>
      <c r="AC361" s="406"/>
      <c r="AD361" s="406"/>
      <c r="AE361" s="406"/>
      <c r="AF361" s="406"/>
      <c r="AG361" s="406"/>
      <c r="AH361" s="406"/>
      <c r="AI361" s="406"/>
      <c r="AJ361" s="406"/>
      <c r="AK361" s="406"/>
      <c r="AL361" s="406"/>
      <c r="AM361" s="406"/>
      <c r="AN361" s="406"/>
      <c r="AO361" s="406"/>
      <c r="AP361" s="406"/>
      <c r="AQ361" s="406"/>
      <c r="AR361" s="406"/>
      <c r="AS361" s="406"/>
      <c r="AT361" s="406"/>
      <c r="AU361" s="406"/>
      <c r="AV361" s="406"/>
      <c r="AW361" s="406"/>
      <c r="AX361" s="406"/>
      <c r="AY361" s="406"/>
      <c r="AZ361" s="406"/>
      <c r="BA361" s="406"/>
      <c r="BB361" s="406"/>
      <c r="BC361" s="406"/>
      <c r="BD361" s="406"/>
      <c r="BE361" s="406"/>
      <c r="BF361" s="406"/>
      <c r="BG361" s="406"/>
      <c r="BH361" s="406"/>
      <c r="BI361" s="406"/>
      <c r="BJ361" s="406"/>
      <c r="BK361" s="406"/>
      <c r="BL361" s="406"/>
      <c r="BM361" s="496">
        <v>102.5</v>
      </c>
      <c r="BN361" s="496"/>
      <c r="BO361" s="496"/>
      <c r="BP361" s="496"/>
      <c r="BQ361" s="496"/>
      <c r="BR361" s="496">
        <v>74.2</v>
      </c>
      <c r="BS361" s="121">
        <f>31+1</f>
        <v>32</v>
      </c>
      <c r="BT361" s="73">
        <f>44.6+0.7-BS361</f>
        <v>13.300000000000004</v>
      </c>
      <c r="BU361" s="73">
        <f>56+1-BT361-BS361</f>
        <v>11.699999999999996</v>
      </c>
      <c r="BV361" s="402">
        <f>BW361-SUM(BS361:BU361)</f>
        <v>11.200000000000003</v>
      </c>
      <c r="BW361" s="496">
        <v>68.2</v>
      </c>
      <c r="BX361" s="121">
        <v>32</v>
      </c>
      <c r="BY361" s="73">
        <f>49-BX361</f>
        <v>17</v>
      </c>
      <c r="BZ361" s="73">
        <f>67-SUM(BX361:BY361)</f>
        <v>18</v>
      </c>
      <c r="CA361" s="402">
        <f>CB361-SUM(BX361:BZ361)</f>
        <v>17</v>
      </c>
      <c r="CB361" s="496">
        <v>84</v>
      </c>
      <c r="CC361" s="121">
        <v>24</v>
      </c>
      <c r="CD361" s="73">
        <f>45-CC361</f>
        <v>21</v>
      </c>
      <c r="CE361" s="73">
        <f>64-SUM(CC361:CD361)</f>
        <v>19</v>
      </c>
      <c r="CF361" s="73">
        <f>84-SUM(CC361:CE361)</f>
        <v>20</v>
      </c>
      <c r="CG361" s="783">
        <f t="shared" si="876"/>
        <v>84</v>
      </c>
      <c r="CH361" s="73">
        <v>26</v>
      </c>
      <c r="CI361" s="73">
        <f>46-CH361+3</f>
        <v>23</v>
      </c>
      <c r="CJ361" s="73">
        <f>67+5-SUM(CH361:CI361)</f>
        <v>23</v>
      </c>
      <c r="CK361" s="73">
        <f>135-SUM(CH361:CJ361)</f>
        <v>63</v>
      </c>
      <c r="CL361" s="783">
        <f t="shared" si="877"/>
        <v>135</v>
      </c>
      <c r="CM361" s="73">
        <v>35</v>
      </c>
      <c r="CN361" s="76">
        <f>53-CM361</f>
        <v>18</v>
      </c>
      <c r="CO361" s="76">
        <f>77-SUM(CM361:CN361)</f>
        <v>24</v>
      </c>
      <c r="CP361" s="415">
        <f>99-SUM(CM361:CO361)</f>
        <v>22</v>
      </c>
      <c r="CQ361" s="783">
        <f t="shared" si="878"/>
        <v>99</v>
      </c>
      <c r="CR361" s="499">
        <v>20</v>
      </c>
      <c r="CS361" s="500">
        <f>45-CR361</f>
        <v>25</v>
      </c>
      <c r="CT361" s="496">
        <f>70-SUM(CR361:CS361)</f>
        <v>25</v>
      </c>
      <c r="CU361" s="497">
        <f>104-SUM(CR361:CT361)</f>
        <v>34</v>
      </c>
      <c r="CV361" s="783">
        <f t="shared" si="879"/>
        <v>104</v>
      </c>
      <c r="CW361" s="499">
        <v>21</v>
      </c>
      <c r="CX361" s="1549">
        <f>52-CW361</f>
        <v>31</v>
      </c>
      <c r="CY361" s="1549">
        <f>85-CW361-CX361</f>
        <v>33</v>
      </c>
      <c r="CZ361" s="1549">
        <f>114-CY361-CX361-CW361</f>
        <v>29</v>
      </c>
      <c r="DA361" s="783">
        <f t="shared" si="880"/>
        <v>114</v>
      </c>
      <c r="DB361" s="1549">
        <v>31</v>
      </c>
      <c r="DC361" s="1549">
        <f>65-DB361</f>
        <v>34</v>
      </c>
      <c r="DD361" s="1549">
        <f>86-SUM(DB361:DC361)</f>
        <v>21</v>
      </c>
      <c r="DE361" s="401">
        <f>109-SUM(DB361:DD361)</f>
        <v>23</v>
      </c>
      <c r="DF361" s="783">
        <f t="shared" si="881"/>
        <v>109</v>
      </c>
      <c r="DG361" s="192">
        <v>31</v>
      </c>
      <c r="DH361" s="192">
        <f>60-DG361</f>
        <v>29</v>
      </c>
      <c r="DI361" s="192">
        <f>87-SUM(DG361:DH361)</f>
        <v>27</v>
      </c>
      <c r="DJ361" s="1778">
        <f>DK361-SUM(DG361:DI361)</f>
        <v>28</v>
      </c>
      <c r="DK361" s="1377">
        <v>115</v>
      </c>
      <c r="DL361" s="401">
        <v>26</v>
      </c>
      <c r="DM361" s="401">
        <f>52-DL361</f>
        <v>26</v>
      </c>
      <c r="DN361" s="401">
        <f>71-SUM(DL361:DM361)</f>
        <v>19</v>
      </c>
      <c r="DO361" s="401">
        <f>91-SUM(DL361:DN361)</f>
        <v>20</v>
      </c>
      <c r="DP361" s="1377">
        <f t="shared" si="882"/>
        <v>91</v>
      </c>
      <c r="DQ361" s="1752">
        <v>25</v>
      </c>
      <c r="DR361" s="192">
        <f>DQ361</f>
        <v>25</v>
      </c>
      <c r="DS361" s="192">
        <f>DR361</f>
        <v>25</v>
      </c>
      <c r="DT361" s="1753">
        <f>DS361</f>
        <v>25</v>
      </c>
      <c r="DU361" s="1377">
        <f t="shared" si="883"/>
        <v>100</v>
      </c>
      <c r="DV361" s="1752">
        <f>DT361</f>
        <v>25</v>
      </c>
      <c r="DW361" s="192">
        <f>DV361</f>
        <v>25</v>
      </c>
      <c r="DX361" s="192">
        <f>DW361</f>
        <v>25</v>
      </c>
      <c r="DY361" s="1753">
        <f>DX361</f>
        <v>25</v>
      </c>
      <c r="DZ361" s="1377">
        <f t="shared" si="884"/>
        <v>100</v>
      </c>
      <c r="EA361" s="1752">
        <f>DY361</f>
        <v>25</v>
      </c>
      <c r="EB361" s="192">
        <f>EA361</f>
        <v>25</v>
      </c>
      <c r="EC361" s="192">
        <f>EB361</f>
        <v>25</v>
      </c>
      <c r="ED361" s="1753">
        <f>EC361</f>
        <v>25</v>
      </c>
      <c r="EE361" s="1377">
        <f t="shared" si="885"/>
        <v>100</v>
      </c>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row>
    <row r="362" spans="2:232" s="54" customFormat="1">
      <c r="B362" s="561" t="s">
        <v>39</v>
      </c>
      <c r="C362" s="1257"/>
      <c r="D362" s="164"/>
      <c r="E362" s="164"/>
      <c r="F362" s="406">
        <v>1.3730000000000002</v>
      </c>
      <c r="G362" s="406">
        <v>-0.71899999999999997</v>
      </c>
      <c r="H362" s="406">
        <f>-1.772+36.813-13.19</f>
        <v>21.851000000000006</v>
      </c>
      <c r="I362" s="406">
        <v>7.88</v>
      </c>
      <c r="J362" s="406">
        <f>3.388+21.446+14.982</f>
        <v>39.816000000000003</v>
      </c>
      <c r="K362" s="406"/>
      <c r="L362" s="406"/>
      <c r="M362" s="406"/>
      <c r="N362" s="406"/>
      <c r="O362" s="406">
        <f>4.619+2.91</f>
        <v>7.5289999999999999</v>
      </c>
      <c r="P362" s="406"/>
      <c r="Q362" s="406"/>
      <c r="R362" s="406"/>
      <c r="S362" s="406"/>
      <c r="T362" s="406">
        <f>7.762</f>
        <v>7.7619999999999996</v>
      </c>
      <c r="U362" s="406"/>
      <c r="V362" s="406"/>
      <c r="W362" s="406"/>
      <c r="X362" s="406"/>
      <c r="Y362" s="406">
        <v>27</v>
      </c>
      <c r="Z362" s="406"/>
      <c r="AA362" s="406"/>
      <c r="AB362" s="406"/>
      <c r="AC362" s="406"/>
      <c r="AD362" s="406">
        <f>12.2+26.8</f>
        <v>39</v>
      </c>
      <c r="AE362" s="406"/>
      <c r="AF362" s="406"/>
      <c r="AG362" s="406"/>
      <c r="AH362" s="406"/>
      <c r="AI362" s="406">
        <f>38.5+13.6</f>
        <v>52.1</v>
      </c>
      <c r="AJ362" s="406"/>
      <c r="AK362" s="406"/>
      <c r="AL362" s="406"/>
      <c r="AM362" s="406"/>
      <c r="AN362" s="406">
        <f>67.3+2.1</f>
        <v>69.399999999999991</v>
      </c>
      <c r="AO362" s="406"/>
      <c r="AP362" s="406"/>
      <c r="AQ362" s="406"/>
      <c r="AR362" s="406"/>
      <c r="AS362" s="406">
        <f>56.8+8.9+208.5</f>
        <v>274.2</v>
      </c>
      <c r="AT362" s="406"/>
      <c r="AU362" s="406"/>
      <c r="AV362" s="406"/>
      <c r="AW362" s="406"/>
      <c r="AX362" s="406">
        <f>24.4+44.8</f>
        <v>69.199999999999989</v>
      </c>
      <c r="AY362" s="406"/>
      <c r="AZ362" s="406"/>
      <c r="BA362" s="406"/>
      <c r="BB362" s="406"/>
      <c r="BC362" s="406">
        <f>50.3+38.8</f>
        <v>89.1</v>
      </c>
      <c r="BD362" s="406"/>
      <c r="BE362" s="406"/>
      <c r="BF362" s="406"/>
      <c r="BG362" s="406"/>
      <c r="BH362" s="406">
        <f>74.5+33.9+0.044</f>
        <v>108.444</v>
      </c>
      <c r="BI362" s="406"/>
      <c r="BJ362" s="406"/>
      <c r="BK362" s="406"/>
      <c r="BL362" s="406"/>
      <c r="BM362" s="406">
        <f>67.3+49.7</f>
        <v>117</v>
      </c>
      <c r="BN362" s="406"/>
      <c r="BO362" s="406"/>
      <c r="BP362" s="406"/>
      <c r="BQ362" s="406"/>
      <c r="BR362" s="406">
        <f>6.1+3.3</f>
        <v>9.3999999999999986</v>
      </c>
      <c r="BS362" s="121">
        <v>3</v>
      </c>
      <c r="BT362" s="73">
        <f>5-BS362</f>
        <v>2</v>
      </c>
      <c r="BU362" s="73">
        <f>6.6-BT362-BS362</f>
        <v>1.5999999999999996</v>
      </c>
      <c r="BV362" s="402">
        <f>BW362-SUM(BS362:BU362)</f>
        <v>114.8</v>
      </c>
      <c r="BW362" s="406">
        <f>2.9+10.9+107.6</f>
        <v>121.39999999999999</v>
      </c>
      <c r="BX362" s="121">
        <v>4</v>
      </c>
      <c r="BY362" s="73">
        <f>7-BX362</f>
        <v>3</v>
      </c>
      <c r="BZ362" s="73">
        <f>9-SUM(BX362:BY362)</f>
        <v>2</v>
      </c>
      <c r="CA362" s="402">
        <f>CB362-SUM(BX362:BZ362)</f>
        <v>4</v>
      </c>
      <c r="CB362" s="406">
        <f>12+1</f>
        <v>13</v>
      </c>
      <c r="CC362" s="121">
        <f>3+5</f>
        <v>8</v>
      </c>
      <c r="CD362" s="73">
        <f>8-CC362</f>
        <v>0</v>
      </c>
      <c r="CE362" s="73">
        <f>28-SUM(CC362:CD362)+6</f>
        <v>26</v>
      </c>
      <c r="CF362" s="73">
        <f>57-SUM(CC362:CE362)+3</f>
        <v>26</v>
      </c>
      <c r="CG362" s="783">
        <f t="shared" si="876"/>
        <v>60</v>
      </c>
      <c r="CH362" s="73">
        <v>4</v>
      </c>
      <c r="CI362" s="73">
        <f>13-CH362</f>
        <v>9</v>
      </c>
      <c r="CJ362" s="73">
        <f>34-SUM(CH362:CI362)</f>
        <v>21</v>
      </c>
      <c r="CK362" s="73">
        <f>53-434-SUM(CH362:CJ362)</f>
        <v>-415</v>
      </c>
      <c r="CL362" s="783">
        <f t="shared" si="877"/>
        <v>-381</v>
      </c>
      <c r="CM362" s="73">
        <v>3</v>
      </c>
      <c r="CN362" s="76">
        <f>14-CM362</f>
        <v>11</v>
      </c>
      <c r="CO362" s="76">
        <f>27-SUM(CM362:CN362)</f>
        <v>13</v>
      </c>
      <c r="CP362" s="75">
        <f>43-SUM(CM362:CO362)</f>
        <v>16</v>
      </c>
      <c r="CQ362" s="783">
        <f t="shared" si="878"/>
        <v>43</v>
      </c>
      <c r="CR362" s="495">
        <v>43</v>
      </c>
      <c r="CS362" s="496">
        <f>44-CR362</f>
        <v>1</v>
      </c>
      <c r="CT362" s="496">
        <f>60-77-SUM(CR362:CS362)</f>
        <v>-61</v>
      </c>
      <c r="CU362" s="497">
        <f>-120+113-SUM(CR362:CT362)</f>
        <v>10</v>
      </c>
      <c r="CV362" s="783">
        <f t="shared" si="879"/>
        <v>-7</v>
      </c>
      <c r="CW362" s="76">
        <f>94+75-225</f>
        <v>-56</v>
      </c>
      <c r="CX362" s="76">
        <f>(-166+48+20)-CW362</f>
        <v>-42</v>
      </c>
      <c r="CY362" s="76">
        <f>(-290+129+92)-CW362-CX362</f>
        <v>29</v>
      </c>
      <c r="CZ362" s="498">
        <f>(866-385+181)-CY362-CX362-CW362</f>
        <v>731</v>
      </c>
      <c r="DA362" s="783">
        <f t="shared" si="880"/>
        <v>662</v>
      </c>
      <c r="DB362" s="76">
        <f>-296+96-2-27</f>
        <v>-229</v>
      </c>
      <c r="DC362" s="76">
        <f>-859-68+390-94-706-DB362</f>
        <v>-1108</v>
      </c>
      <c r="DD362" s="76">
        <f>-1313-706-114+738-SUM(DB362:DC362)</f>
        <v>-58</v>
      </c>
      <c r="DE362">
        <f>-563+728-779-SUM(DB362:DD362)</f>
        <v>781</v>
      </c>
      <c r="DF362" s="783">
        <f t="shared" si="881"/>
        <v>-614</v>
      </c>
      <c r="DG362" s="76">
        <f>57-11+115</f>
        <v>161</v>
      </c>
      <c r="DH362" s="76">
        <f>196+586-DG362</f>
        <v>621</v>
      </c>
      <c r="DI362" s="76">
        <f>845-14-SUM(DG362:DH362)</f>
        <v>49</v>
      </c>
      <c r="DJ362" s="1778">
        <f>DK362-SUM(DG362:DI362)</f>
        <v>-167</v>
      </c>
      <c r="DK362" s="807">
        <f>148+516</f>
        <v>664</v>
      </c>
      <c r="DL362" s="401">
        <v>81</v>
      </c>
      <c r="DM362" s="401">
        <f>184-DL362</f>
        <v>103</v>
      </c>
      <c r="DN362" s="401">
        <f>289-SUM(DL362:DM362)</f>
        <v>105</v>
      </c>
      <c r="DO362" s="401">
        <f>364-SUM(DL362:DN362)</f>
        <v>75</v>
      </c>
      <c r="DP362" s="807">
        <f t="shared" si="882"/>
        <v>364</v>
      </c>
      <c r="DQ362" s="1436">
        <v>152</v>
      </c>
      <c r="DR362" s="76">
        <f>DR229-DQ229</f>
        <v>0</v>
      </c>
      <c r="DS362" s="76">
        <f>DS229-DR229</f>
        <v>0</v>
      </c>
      <c r="DT362" s="1437">
        <f>DT229-DS229</f>
        <v>0</v>
      </c>
      <c r="DU362" s="807">
        <f t="shared" si="883"/>
        <v>152</v>
      </c>
      <c r="DV362" s="1436">
        <f>DV229-DU229</f>
        <v>0</v>
      </c>
      <c r="DW362" s="76">
        <f>DW229-DV229</f>
        <v>0</v>
      </c>
      <c r="DX362" s="76">
        <f>DX229-DW229</f>
        <v>0</v>
      </c>
      <c r="DY362" s="1437">
        <f>DY229-DX229</f>
        <v>0</v>
      </c>
      <c r="DZ362" s="807">
        <f t="shared" si="884"/>
        <v>0</v>
      </c>
      <c r="EA362" s="1436">
        <f>EA229-DZ229</f>
        <v>0</v>
      </c>
      <c r="EB362" s="76">
        <f>EB229-EA229</f>
        <v>0</v>
      </c>
      <c r="EC362" s="76">
        <f>EC229-EB229</f>
        <v>0</v>
      </c>
      <c r="ED362" s="1437">
        <f>ED229-EC229</f>
        <v>0</v>
      </c>
      <c r="EE362" s="807">
        <f t="shared" si="885"/>
        <v>0</v>
      </c>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row>
    <row r="363" spans="2:232" s="54" customFormat="1">
      <c r="B363" s="561" t="s">
        <v>360</v>
      </c>
      <c r="C363" s="1258"/>
      <c r="D363" s="354"/>
      <c r="E363" s="354"/>
      <c r="F363" s="406">
        <v>-24.812999999999999</v>
      </c>
      <c r="G363" s="406">
        <v>-3.0790000000000002</v>
      </c>
      <c r="H363" s="406">
        <v>-7.4269999999999996</v>
      </c>
      <c r="I363" s="406">
        <v>-50.692</v>
      </c>
      <c r="J363" s="406">
        <v>-36.265000000000001</v>
      </c>
      <c r="K363" s="406"/>
      <c r="L363" s="406"/>
      <c r="M363" s="406"/>
      <c r="N363" s="406"/>
      <c r="O363" s="406">
        <v>-60.011000000000003</v>
      </c>
      <c r="P363" s="406"/>
      <c r="Q363" s="406"/>
      <c r="R363" s="406"/>
      <c r="S363" s="406"/>
      <c r="T363" s="406">
        <v>-74.644000000000005</v>
      </c>
      <c r="U363" s="406"/>
      <c r="V363" s="406"/>
      <c r="W363" s="406"/>
      <c r="X363" s="406"/>
      <c r="Y363" s="406">
        <v>-19.667999999999999</v>
      </c>
      <c r="Z363" s="406"/>
      <c r="AA363" s="406"/>
      <c r="AB363" s="406"/>
      <c r="AC363" s="406"/>
      <c r="AD363" s="406">
        <v>-106</v>
      </c>
      <c r="AE363" s="406"/>
      <c r="AF363" s="406"/>
      <c r="AG363" s="406"/>
      <c r="AH363" s="406"/>
      <c r="AI363" s="406">
        <v>-135.4</v>
      </c>
      <c r="AJ363" s="406"/>
      <c r="AK363" s="406"/>
      <c r="AL363" s="406"/>
      <c r="AM363" s="406"/>
      <c r="AN363" s="406">
        <v>-177.3</v>
      </c>
      <c r="AO363" s="406"/>
      <c r="AP363" s="406"/>
      <c r="AQ363" s="406"/>
      <c r="AR363" s="406"/>
      <c r="AS363" s="406">
        <v>-170.6</v>
      </c>
      <c r="AT363" s="406"/>
      <c r="AU363" s="406"/>
      <c r="AV363" s="406"/>
      <c r="AW363" s="406"/>
      <c r="AX363" s="406">
        <v>-56.7</v>
      </c>
      <c r="AY363" s="406"/>
      <c r="AZ363" s="406"/>
      <c r="BA363" s="406"/>
      <c r="BB363" s="406"/>
      <c r="BC363" s="406">
        <v>-171.6</v>
      </c>
      <c r="BD363" s="406"/>
      <c r="BE363" s="406"/>
      <c r="BF363" s="406"/>
      <c r="BG363" s="406"/>
      <c r="BH363" s="406">
        <v>-224.9</v>
      </c>
      <c r="BI363" s="406"/>
      <c r="BJ363" s="406"/>
      <c r="BK363" s="406"/>
      <c r="BL363" s="406"/>
      <c r="BM363" s="406">
        <v>-618.5</v>
      </c>
      <c r="BN363" s="406"/>
      <c r="BO363" s="406"/>
      <c r="BP363" s="406"/>
      <c r="BQ363" s="406"/>
      <c r="BR363" s="406">
        <v>-40.4</v>
      </c>
      <c r="BS363" s="121">
        <v>-158</v>
      </c>
      <c r="BT363" s="73">
        <f>-251.9-BS363</f>
        <v>-93.9</v>
      </c>
      <c r="BU363" s="73">
        <f>-273.1-BT363-BS363</f>
        <v>-21.200000000000017</v>
      </c>
      <c r="BV363" s="494">
        <f t="shared" ref="BV363:BV368" si="887">BW363-SUM(BS363:BU363)</f>
        <v>-91.799999999999955</v>
      </c>
      <c r="BW363" s="406">
        <v>-364.9</v>
      </c>
      <c r="BX363" s="121">
        <v>-313</v>
      </c>
      <c r="BY363" s="73">
        <f>-348-BX363</f>
        <v>-35</v>
      </c>
      <c r="BZ363" s="73">
        <f>-298-SUM(BX363:BY363)</f>
        <v>50</v>
      </c>
      <c r="CA363" s="494">
        <f t="shared" ref="CA363:CA368" si="888">CB363-SUM(BX363:BZ363)</f>
        <v>304</v>
      </c>
      <c r="CB363" s="406">
        <v>6</v>
      </c>
      <c r="CC363" s="121">
        <v>-54</v>
      </c>
      <c r="CD363" s="73">
        <f>-144-CC363</f>
        <v>-90</v>
      </c>
      <c r="CE363" s="73">
        <f>-139-SUM(CC363:CD363)</f>
        <v>5</v>
      </c>
      <c r="CF363" s="73">
        <f>124-SUM(CC363:CE363)</f>
        <v>263</v>
      </c>
      <c r="CG363" s="783">
        <f t="shared" ref="CG363:CG368" si="889">SUM(CC363:CF363)</f>
        <v>124</v>
      </c>
      <c r="CH363" s="73">
        <v>-30</v>
      </c>
      <c r="CI363" s="73">
        <f>-57-CH363</f>
        <v>-27</v>
      </c>
      <c r="CJ363" s="73">
        <f>-114-SUM(CH363:CI363)</f>
        <v>-57</v>
      </c>
      <c r="CK363" s="73">
        <f>-243-SUM(CH363:CJ363)</f>
        <v>-129</v>
      </c>
      <c r="CL363" s="783">
        <f t="shared" ref="CL363:CL368" si="890">SUM(CH363:CK363)</f>
        <v>-243</v>
      </c>
      <c r="CM363" s="73">
        <v>-89</v>
      </c>
      <c r="CN363" s="76">
        <f>36-CM363</f>
        <v>125</v>
      </c>
      <c r="CO363" s="76">
        <f>230-SUM(CM363:CN363)</f>
        <v>194</v>
      </c>
      <c r="CP363" s="75">
        <f>394-SUM(CM363:CO363)</f>
        <v>164</v>
      </c>
      <c r="CQ363" s="783">
        <f t="shared" ref="CQ363:CQ368" si="891">SUM(CM363:CP363)</f>
        <v>394</v>
      </c>
      <c r="CR363" s="495">
        <v>-98</v>
      </c>
      <c r="CS363" s="496">
        <f>-292-CR363</f>
        <v>-194</v>
      </c>
      <c r="CT363" s="496">
        <f>-214-SUM(CR363:CS363)</f>
        <v>78</v>
      </c>
      <c r="CU363" s="497">
        <f>-449-SUM(CR363:CT363)</f>
        <v>-235</v>
      </c>
      <c r="CV363" s="783">
        <f t="shared" ref="CV363:CV368" si="892">SUM(CR363:CU363)</f>
        <v>-449</v>
      </c>
      <c r="CW363" s="76">
        <v>-74</v>
      </c>
      <c r="CX363" s="76">
        <f>-117-CW363</f>
        <v>-43</v>
      </c>
      <c r="CY363" s="76">
        <f>-411-CW363-CX363</f>
        <v>-294</v>
      </c>
      <c r="CZ363" s="498">
        <f>-616-CY363-CX363-CW363</f>
        <v>-205</v>
      </c>
      <c r="DA363" s="783">
        <f t="shared" ref="DA363:DA368" si="893">SUM(CW363:CZ363)</f>
        <v>-616</v>
      </c>
      <c r="DB363" s="76">
        <v>-353</v>
      </c>
      <c r="DC363" s="1549">
        <f>-391-DB363</f>
        <v>-38</v>
      </c>
      <c r="DD363" s="1549">
        <f>-273-SUM(DB363:DC363)</f>
        <v>118</v>
      </c>
      <c r="DE363">
        <f>-338-SUM(DB363:DD363)</f>
        <v>-65</v>
      </c>
      <c r="DF363" s="783">
        <f t="shared" ref="DF363:DF368" si="894">SUM(DB363:DE363)</f>
        <v>-338</v>
      </c>
      <c r="DG363" s="76">
        <v>-166</v>
      </c>
      <c r="DH363" s="76">
        <f>-152-DG363</f>
        <v>14</v>
      </c>
      <c r="DI363" s="76">
        <f>8-SUM(DG363:DH363)</f>
        <v>160</v>
      </c>
      <c r="DJ363" s="1778">
        <f t="shared" ref="DJ363:DJ368" si="895">DK363-SUM(DG363:DI363)</f>
        <v>107</v>
      </c>
      <c r="DK363" s="807">
        <v>115</v>
      </c>
      <c r="DL363" s="401">
        <v>-259</v>
      </c>
      <c r="DM363" s="401">
        <f>189-DL363</f>
        <v>448</v>
      </c>
      <c r="DN363" s="401">
        <f>-153-SUM(DL363:DM363)</f>
        <v>-342</v>
      </c>
      <c r="DO363" s="401">
        <f>-153-SUM(DL363:DN363)</f>
        <v>0</v>
      </c>
      <c r="DP363" s="807">
        <f t="shared" ref="DP363:DP368" si="896">SUM(DL363:DO363)</f>
        <v>-153</v>
      </c>
      <c r="DQ363" s="1436">
        <v>-362</v>
      </c>
      <c r="DR363" s="76">
        <f t="shared" ref="DR363:DT364" ca="1" si="897">DQ203-DR203</f>
        <v>-467.86715243965318</v>
      </c>
      <c r="DS363" s="76">
        <f t="shared" ca="1" si="897"/>
        <v>-61.089149735091269</v>
      </c>
      <c r="DT363" s="1437">
        <f t="shared" ca="1" si="897"/>
        <v>119.1163342125883</v>
      </c>
      <c r="DU363" s="807">
        <f t="shared" ref="DU363:DU368" ca="1" si="898">SUM(DQ363:DT363)</f>
        <v>-771.83996796215615</v>
      </c>
      <c r="DV363" s="1436">
        <f t="shared" ref="DV363:DY364" si="899">DU203-DV203</f>
        <v>2.3449789623427932</v>
      </c>
      <c r="DW363" s="76">
        <f t="shared" ca="1" si="899"/>
        <v>-233.66779719823626</v>
      </c>
      <c r="DX363" s="76">
        <f t="shared" ca="1" si="899"/>
        <v>-0.66291270600595453</v>
      </c>
      <c r="DY363" s="1437">
        <f t="shared" ca="1" si="899"/>
        <v>122.57544038673041</v>
      </c>
      <c r="DZ363" s="807">
        <f t="shared" ref="DZ363:DZ368" ca="1" si="900">SUM(DV363:DY363)</f>
        <v>-109.41029055516901</v>
      </c>
      <c r="EA363" s="1436">
        <f t="shared" ref="EA363:ED364" si="901">DZ203-EA203</f>
        <v>-18.780721690290193</v>
      </c>
      <c r="EB363" s="76">
        <f t="shared" ca="1" si="901"/>
        <v>-233.79734203306089</v>
      </c>
      <c r="EC363" s="76">
        <f t="shared" ca="1" si="901"/>
        <v>-7.4721425385932889</v>
      </c>
      <c r="ED363" s="1437">
        <f t="shared" ca="1" si="901"/>
        <v>117.57675904388543</v>
      </c>
      <c r="EE363" s="807">
        <f t="shared" ref="EE363:EE368" ca="1" si="902">SUM(EA363:ED363)</f>
        <v>-142.47344721805894</v>
      </c>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row>
    <row r="364" spans="2:232" s="54" customFormat="1">
      <c r="B364" s="561" t="s">
        <v>361</v>
      </c>
      <c r="C364" s="1258"/>
      <c r="D364" s="354"/>
      <c r="E364" s="354"/>
      <c r="F364" s="406">
        <v>-83.998000000000005</v>
      </c>
      <c r="G364" s="406">
        <v>-82.173000000000002</v>
      </c>
      <c r="H364" s="406">
        <v>-99.867000000000004</v>
      </c>
      <c r="I364" s="406">
        <f>-174.469+5.104</f>
        <v>-169.36499999999998</v>
      </c>
      <c r="J364" s="406">
        <v>-211.92699999999999</v>
      </c>
      <c r="K364" s="406"/>
      <c r="L364" s="406"/>
      <c r="M364" s="406"/>
      <c r="N364" s="406"/>
      <c r="O364" s="406">
        <v>-190.845</v>
      </c>
      <c r="P364" s="406"/>
      <c r="Q364" s="406"/>
      <c r="R364" s="406"/>
      <c r="S364" s="406"/>
      <c r="T364" s="406">
        <v>-100.8</v>
      </c>
      <c r="U364" s="406"/>
      <c r="V364" s="406"/>
      <c r="W364" s="406"/>
      <c r="X364" s="406"/>
      <c r="Y364" s="406">
        <v>-298.8</v>
      </c>
      <c r="Z364" s="406"/>
      <c r="AA364" s="406"/>
      <c r="AB364" s="406"/>
      <c r="AC364" s="406"/>
      <c r="AD364" s="406">
        <v>-435.7</v>
      </c>
      <c r="AE364" s="406"/>
      <c r="AF364" s="406"/>
      <c r="AG364" s="406"/>
      <c r="AH364" s="406"/>
      <c r="AI364" s="406">
        <v>-368.2</v>
      </c>
      <c r="AJ364" s="406"/>
      <c r="AK364" s="406"/>
      <c r="AL364" s="406"/>
      <c r="AM364" s="406"/>
      <c r="AN364" s="406">
        <v>-651.6</v>
      </c>
      <c r="AO364" s="406"/>
      <c r="AP364" s="406"/>
      <c r="AQ364" s="406"/>
      <c r="AR364" s="406"/>
      <c r="AS364" s="406">
        <v>-162.80000000000001</v>
      </c>
      <c r="AT364" s="406"/>
      <c r="AU364" s="406"/>
      <c r="AV364" s="406"/>
      <c r="AW364" s="406"/>
      <c r="AX364" s="406">
        <v>-557.5</v>
      </c>
      <c r="AY364" s="406"/>
      <c r="AZ364" s="406"/>
      <c r="BA364" s="406"/>
      <c r="BB364" s="406"/>
      <c r="BC364" s="406">
        <v>-536</v>
      </c>
      <c r="BD364" s="406"/>
      <c r="BE364" s="406"/>
      <c r="BF364" s="406"/>
      <c r="BG364" s="406"/>
      <c r="BH364" s="406">
        <v>-854</v>
      </c>
      <c r="BI364" s="406"/>
      <c r="BJ364" s="406"/>
      <c r="BK364" s="406"/>
      <c r="BL364" s="406"/>
      <c r="BM364" s="406">
        <v>-375.7</v>
      </c>
      <c r="BN364" s="406"/>
      <c r="BO364" s="406"/>
      <c r="BP364" s="406"/>
      <c r="BQ364" s="406"/>
      <c r="BR364" s="406">
        <v>-676.2</v>
      </c>
      <c r="BS364" s="121">
        <v>-753</v>
      </c>
      <c r="BT364" s="73">
        <f>-498.4-BS364</f>
        <v>254.60000000000002</v>
      </c>
      <c r="BU364" s="73">
        <f>-232.6-BT364-BS364</f>
        <v>265.79999999999995</v>
      </c>
      <c r="BV364" s="494">
        <f t="shared" si="887"/>
        <v>-179.59999999999997</v>
      </c>
      <c r="BW364" s="406">
        <v>-412.2</v>
      </c>
      <c r="BX364" s="121">
        <v>-1036</v>
      </c>
      <c r="BY364" s="73">
        <f>-298-BX364</f>
        <v>738</v>
      </c>
      <c r="BZ364" s="73">
        <f>426-SUM(BX364:BY364)</f>
        <v>724</v>
      </c>
      <c r="CA364" s="494">
        <f t="shared" si="888"/>
        <v>107</v>
      </c>
      <c r="CB364" s="406">
        <v>533</v>
      </c>
      <c r="CC364" s="121">
        <v>-682</v>
      </c>
      <c r="CD364" s="73">
        <f>-382-CC364</f>
        <v>300</v>
      </c>
      <c r="CE364" s="73">
        <f>-37-SUM(CC364:CD364)</f>
        <v>345</v>
      </c>
      <c r="CF364" s="73">
        <f>-307-SUM(CC364:CE364)</f>
        <v>-270</v>
      </c>
      <c r="CG364" s="783">
        <f t="shared" si="889"/>
        <v>-307</v>
      </c>
      <c r="CH364" s="73">
        <v>-526</v>
      </c>
      <c r="CI364" s="73">
        <f>-211-CH364</f>
        <v>315</v>
      </c>
      <c r="CJ364" s="73">
        <f>-151-SUM(CH364:CI364)</f>
        <v>60</v>
      </c>
      <c r="CK364" s="73">
        <f>-592-SUM(CH364:CJ364)</f>
        <v>-441</v>
      </c>
      <c r="CL364" s="783">
        <f t="shared" si="890"/>
        <v>-592</v>
      </c>
      <c r="CM364" s="73">
        <v>-178</v>
      </c>
      <c r="CN364" s="76">
        <f>724-CM364</f>
        <v>902</v>
      </c>
      <c r="CO364" s="76">
        <f>1106-SUM(CM364:CN364)</f>
        <v>382</v>
      </c>
      <c r="CP364" s="75">
        <f>1083-SUM(CM364:CO364)</f>
        <v>-23</v>
      </c>
      <c r="CQ364" s="783">
        <f t="shared" si="891"/>
        <v>1083</v>
      </c>
      <c r="CR364" s="495">
        <v>-698</v>
      </c>
      <c r="CS364" s="496">
        <f>-93-CR364</f>
        <v>605</v>
      </c>
      <c r="CT364" s="496">
        <f>288-SUM(CR364:CS364)</f>
        <v>381</v>
      </c>
      <c r="CU364" s="497">
        <f>321-SUM(CR364:CT364)</f>
        <v>33</v>
      </c>
      <c r="CV364" s="783">
        <f t="shared" si="892"/>
        <v>321</v>
      </c>
      <c r="CW364" s="76">
        <v>-815</v>
      </c>
      <c r="CX364" s="76">
        <f>-288-CW364</f>
        <v>527</v>
      </c>
      <c r="CY364" s="76">
        <f>493-CW364-CX364</f>
        <v>781</v>
      </c>
      <c r="CZ364" s="498">
        <f>860-CY364-CX364-CW364</f>
        <v>367</v>
      </c>
      <c r="DA364" s="783">
        <f t="shared" si="893"/>
        <v>860</v>
      </c>
      <c r="DB364" s="76">
        <v>-436</v>
      </c>
      <c r="DC364" s="1549">
        <f>106-DB364</f>
        <v>542</v>
      </c>
      <c r="DD364" s="1549">
        <f>679-SUM(DB364:DC364)</f>
        <v>573</v>
      </c>
      <c r="DE364">
        <f>719-SUM(DB364:DD364)</f>
        <v>40</v>
      </c>
      <c r="DF364" s="783">
        <f t="shared" si="894"/>
        <v>719</v>
      </c>
      <c r="DG364" s="76">
        <v>-1306</v>
      </c>
      <c r="DH364" s="76">
        <f>-553-DG364</f>
        <v>753</v>
      </c>
      <c r="DI364" s="76">
        <f>-481-SUM(DG364:DH364)</f>
        <v>72</v>
      </c>
      <c r="DJ364" s="1778">
        <f t="shared" si="895"/>
        <v>-163</v>
      </c>
      <c r="DK364" s="807">
        <v>-644</v>
      </c>
      <c r="DL364" s="401">
        <v>-1330</v>
      </c>
      <c r="DM364" s="401">
        <f>-507-DL364</f>
        <v>823</v>
      </c>
      <c r="DN364" s="401">
        <f>259-SUM(DL364:DM364)</f>
        <v>766</v>
      </c>
      <c r="DO364" s="401">
        <f>98-SUM(DL364:DN364)</f>
        <v>-161</v>
      </c>
      <c r="DP364" s="807">
        <f t="shared" si="896"/>
        <v>98</v>
      </c>
      <c r="DQ364" s="1436">
        <v>-1018</v>
      </c>
      <c r="DR364" s="76">
        <f t="shared" ca="1" si="897"/>
        <v>-140.86994863415021</v>
      </c>
      <c r="DS364" s="76">
        <f t="shared" ca="1" si="897"/>
        <v>924.67201794048742</v>
      </c>
      <c r="DT364" s="1437">
        <f t="shared" ca="1" si="897"/>
        <v>-143.0376449264113</v>
      </c>
      <c r="DU364" s="807">
        <f t="shared" ca="1" si="898"/>
        <v>-377.23557562007409</v>
      </c>
      <c r="DV364" s="1436">
        <f t="shared" si="899"/>
        <v>-969.66676732641827</v>
      </c>
      <c r="DW364" s="76">
        <f t="shared" ca="1" si="899"/>
        <v>238.83394659593614</v>
      </c>
      <c r="DX364" s="76">
        <f t="shared" ca="1" si="899"/>
        <v>1043.1910363052993</v>
      </c>
      <c r="DY364" s="1437">
        <f t="shared" ca="1" si="899"/>
        <v>-144.67968221735828</v>
      </c>
      <c r="DZ364" s="807">
        <f t="shared" ca="1" si="900"/>
        <v>167.67853335745895</v>
      </c>
      <c r="EA364" s="1436">
        <f t="shared" si="901"/>
        <v>-1023.4964675598421</v>
      </c>
      <c r="EB364" s="76">
        <f t="shared" ca="1" si="901"/>
        <v>244.82882696915476</v>
      </c>
      <c r="EC364" s="76">
        <f t="shared" ca="1" si="901"/>
        <v>1057.1310728117151</v>
      </c>
      <c r="ED364" s="1437">
        <f t="shared" ca="1" si="901"/>
        <v>-163.01023222319418</v>
      </c>
      <c r="EE364" s="807">
        <f t="shared" ca="1" si="902"/>
        <v>115.45319999783351</v>
      </c>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row>
    <row r="365" spans="2:232" s="54" customFormat="1">
      <c r="B365" s="561" t="s">
        <v>167</v>
      </c>
      <c r="C365" s="1258"/>
      <c r="D365" s="354"/>
      <c r="E365" s="354"/>
      <c r="F365" s="406">
        <v>30.856999999999999</v>
      </c>
      <c r="G365" s="406">
        <v>52.737000000000002</v>
      </c>
      <c r="H365" s="406">
        <v>70.766999999999996</v>
      </c>
      <c r="I365" s="406">
        <v>59.506999999999998</v>
      </c>
      <c r="J365" s="406">
        <v>41.668999999999997</v>
      </c>
      <c r="K365" s="406"/>
      <c r="L365" s="406"/>
      <c r="M365" s="406"/>
      <c r="N365" s="406"/>
      <c r="O365" s="406">
        <v>42.091000000000001</v>
      </c>
      <c r="P365" s="406"/>
      <c r="Q365" s="406"/>
      <c r="R365" s="406"/>
      <c r="S365" s="406"/>
      <c r="T365" s="406">
        <v>73.400000000000006</v>
      </c>
      <c r="U365" s="406"/>
      <c r="V365" s="406"/>
      <c r="W365" s="406"/>
      <c r="X365" s="406"/>
      <c r="Y365" s="406">
        <v>99.287999999999997</v>
      </c>
      <c r="Z365" s="406"/>
      <c r="AA365" s="406"/>
      <c r="AB365" s="406"/>
      <c r="AC365" s="406"/>
      <c r="AD365" s="406">
        <v>103.7</v>
      </c>
      <c r="AE365" s="406"/>
      <c r="AF365" s="406"/>
      <c r="AG365" s="406"/>
      <c r="AH365" s="406"/>
      <c r="AI365" s="406">
        <v>101.2</v>
      </c>
      <c r="AJ365" s="406"/>
      <c r="AK365" s="406"/>
      <c r="AL365" s="406"/>
      <c r="AM365" s="406"/>
      <c r="AN365" s="406">
        <v>82.2</v>
      </c>
      <c r="AO365" s="406"/>
      <c r="AP365" s="406"/>
      <c r="AQ365" s="406"/>
      <c r="AR365" s="406"/>
      <c r="AS365" s="406">
        <v>140.69999999999999</v>
      </c>
      <c r="AT365" s="406"/>
      <c r="AU365" s="406"/>
      <c r="AV365" s="406"/>
      <c r="AW365" s="406"/>
      <c r="AX365" s="406">
        <v>136</v>
      </c>
      <c r="AY365" s="406"/>
      <c r="AZ365" s="406"/>
      <c r="BA365" s="406"/>
      <c r="BB365" s="406"/>
      <c r="BC365" s="406">
        <v>207.6</v>
      </c>
      <c r="BD365" s="406"/>
      <c r="BE365" s="406"/>
      <c r="BF365" s="406"/>
      <c r="BG365" s="406"/>
      <c r="BH365" s="406">
        <v>97.8</v>
      </c>
      <c r="BI365" s="406"/>
      <c r="BJ365" s="406"/>
      <c r="BK365" s="406"/>
      <c r="BL365" s="406"/>
      <c r="BM365" s="406">
        <v>197.2</v>
      </c>
      <c r="BN365" s="406"/>
      <c r="BO365" s="406"/>
      <c r="BP365" s="406"/>
      <c r="BQ365" s="406"/>
      <c r="BR365" s="406">
        <f>276.9+104.3</f>
        <v>381.2</v>
      </c>
      <c r="BS365" s="121">
        <v>2</v>
      </c>
      <c r="BT365" s="73">
        <f>-70.4-BS365</f>
        <v>-72.400000000000006</v>
      </c>
      <c r="BU365" s="73">
        <f>42.8-BT365-BS365</f>
        <v>113.2</v>
      </c>
      <c r="BV365" s="494">
        <f t="shared" si="887"/>
        <v>41.7</v>
      </c>
      <c r="BW365" s="406">
        <v>84.5</v>
      </c>
      <c r="BX365" s="121">
        <v>21</v>
      </c>
      <c r="BY365" s="73">
        <f>-144-BX365</f>
        <v>-165</v>
      </c>
      <c r="BZ365" s="73">
        <f>55+17-SUM(BX365:BY365)</f>
        <v>216</v>
      </c>
      <c r="CA365" s="494">
        <f t="shared" si="888"/>
        <v>39</v>
      </c>
      <c r="CB365" s="406">
        <f>66+45</f>
        <v>111</v>
      </c>
      <c r="CC365" s="121">
        <f>65+68</f>
        <v>133</v>
      </c>
      <c r="CD365" s="73">
        <f>14-CC365+78</f>
        <v>-41</v>
      </c>
      <c r="CE365" s="73">
        <f>64-SUM(CC365:CD365)+120</f>
        <v>92</v>
      </c>
      <c r="CF365" s="73">
        <f>50-SUM(CC365:CE365)+110</f>
        <v>-24</v>
      </c>
      <c r="CG365" s="783">
        <f t="shared" si="889"/>
        <v>160</v>
      </c>
      <c r="CH365" s="73">
        <f>76+49</f>
        <v>125</v>
      </c>
      <c r="CI365" s="73">
        <f>-194+121-CH365</f>
        <v>-198</v>
      </c>
      <c r="CJ365" s="73">
        <f>51+140-SUM(CH365:CI365)</f>
        <v>264</v>
      </c>
      <c r="CK365" s="73">
        <f>218+112-SUM(CH365:CJ365)</f>
        <v>139</v>
      </c>
      <c r="CL365" s="783">
        <f t="shared" si="890"/>
        <v>330</v>
      </c>
      <c r="CM365" s="73">
        <f>-28+52</f>
        <v>24</v>
      </c>
      <c r="CN365" s="76">
        <f>-353-CM365</f>
        <v>-377</v>
      </c>
      <c r="CO365" s="76">
        <f>-248+92-SUM(CM365:CN365)</f>
        <v>197</v>
      </c>
      <c r="CP365" s="75">
        <f>-184-SUM(CM365:CO365)</f>
        <v>-28</v>
      </c>
      <c r="CQ365" s="783">
        <f t="shared" si="891"/>
        <v>-184</v>
      </c>
      <c r="CR365" s="495">
        <v>-15</v>
      </c>
      <c r="CS365" s="496">
        <f>228-CR365</f>
        <v>243</v>
      </c>
      <c r="CT365" s="496">
        <f>203-SUM(CR365:CS365)</f>
        <v>-25</v>
      </c>
      <c r="CU365" s="497">
        <f>424-SUM(CR365:CT365)</f>
        <v>221</v>
      </c>
      <c r="CV365" s="783">
        <f t="shared" si="892"/>
        <v>424</v>
      </c>
      <c r="CW365" s="76">
        <v>-232</v>
      </c>
      <c r="CX365" s="76">
        <f>-25-CW365</f>
        <v>207</v>
      </c>
      <c r="CY365" s="76">
        <f>-46-CW365-CX365</f>
        <v>-21</v>
      </c>
      <c r="CZ365" s="498">
        <f>195-CY365-CX365-CW365</f>
        <v>241</v>
      </c>
      <c r="DA365" s="783">
        <f t="shared" si="893"/>
        <v>195</v>
      </c>
      <c r="DB365" s="76">
        <v>-80</v>
      </c>
      <c r="DC365" s="1549">
        <f>-20-DB365</f>
        <v>60</v>
      </c>
      <c r="DD365" s="1549">
        <f>54-152-SUM(DB365:DC365)</f>
        <v>-78</v>
      </c>
      <c r="DE365">
        <f>170-SUM(DB365:DD365)</f>
        <v>268</v>
      </c>
      <c r="DF365" s="783">
        <f t="shared" si="894"/>
        <v>170</v>
      </c>
      <c r="DG365" s="76">
        <v>-38</v>
      </c>
      <c r="DH365" s="76">
        <f>-79-DG365</f>
        <v>-41</v>
      </c>
      <c r="DI365" s="76">
        <f>-247-SUM(DG365:DH365)</f>
        <v>-168</v>
      </c>
      <c r="DJ365" s="1778">
        <f t="shared" si="895"/>
        <v>560</v>
      </c>
      <c r="DK365" s="807">
        <v>313</v>
      </c>
      <c r="DL365" s="401">
        <v>-378</v>
      </c>
      <c r="DM365" s="401">
        <f>-309-DL365</f>
        <v>69</v>
      </c>
      <c r="DN365" s="401">
        <f>-268+13-SUM(DL365:DM365)</f>
        <v>54</v>
      </c>
      <c r="DO365" s="401">
        <f>0-128-SUM(DL365:DN365)</f>
        <v>127</v>
      </c>
      <c r="DP365" s="807">
        <f t="shared" si="896"/>
        <v>-128</v>
      </c>
      <c r="DQ365" s="2343">
        <f>-222+9</f>
        <v>-213</v>
      </c>
      <c r="DR365" s="76">
        <f>DR221-DQ221</f>
        <v>462.62425161145984</v>
      </c>
      <c r="DS365" s="76">
        <f>DS221-DR221</f>
        <v>-9.2001735280036883</v>
      </c>
      <c r="DT365" s="1437">
        <f>DT221-DS221</f>
        <v>-93.185238944571211</v>
      </c>
      <c r="DU365" s="807">
        <f t="shared" si="898"/>
        <v>147.23883913888494</v>
      </c>
      <c r="DV365" s="1436">
        <f>DV221-DU221</f>
        <v>15.482560216710226</v>
      </c>
      <c r="DW365" s="76">
        <f>DW221-DV221</f>
        <v>247.46112015587823</v>
      </c>
      <c r="DX365" s="76">
        <f>DX221-DW221</f>
        <v>-167.81080656406266</v>
      </c>
      <c r="DY365" s="1437">
        <f>DY221-DX221</f>
        <v>-123.08699706947027</v>
      </c>
      <c r="DZ365" s="807">
        <f t="shared" si="900"/>
        <v>-27.954123260944471</v>
      </c>
      <c r="EA365" s="1436">
        <f>EA221-DZ221</f>
        <v>168.44833077985277</v>
      </c>
      <c r="EB365" s="76">
        <f>EB221-EA221</f>
        <v>254.14398617079223</v>
      </c>
      <c r="EC365" s="76">
        <f>EC221-EB221</f>
        <v>-171.95918767410603</v>
      </c>
      <c r="ED365" s="1437">
        <f>ED221-EC221</f>
        <v>-126.06696557013674</v>
      </c>
      <c r="EE365" s="807">
        <f t="shared" si="902"/>
        <v>124.56616370640222</v>
      </c>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row>
    <row r="366" spans="2:232" s="54" customFormat="1">
      <c r="B366" s="561" t="s">
        <v>362</v>
      </c>
      <c r="C366" s="539"/>
      <c r="D366" s="64"/>
      <c r="E366" s="64"/>
      <c r="F366" s="406">
        <v>17.013999999999999</v>
      </c>
      <c r="G366" s="406">
        <v>46.143000000000001</v>
      </c>
      <c r="H366" s="406">
        <v>15.502000000000001</v>
      </c>
      <c r="I366" s="406">
        <v>105.631</v>
      </c>
      <c r="J366" s="406">
        <v>73.447000000000003</v>
      </c>
      <c r="K366" s="406"/>
      <c r="L366" s="406"/>
      <c r="M366" s="406"/>
      <c r="N366" s="406"/>
      <c r="O366" s="406">
        <v>85.572999999999993</v>
      </c>
      <c r="P366" s="406"/>
      <c r="Q366" s="406"/>
      <c r="R366" s="406"/>
      <c r="S366" s="406"/>
      <c r="T366" s="406">
        <v>120.871</v>
      </c>
      <c r="U366" s="406"/>
      <c r="V366" s="406"/>
      <c r="W366" s="406"/>
      <c r="X366" s="406"/>
      <c r="Y366" s="406">
        <v>94.158000000000001</v>
      </c>
      <c r="Z366" s="406"/>
      <c r="AA366" s="406"/>
      <c r="AB366" s="406"/>
      <c r="AC366" s="406"/>
      <c r="AD366" s="406">
        <v>223.4</v>
      </c>
      <c r="AE366" s="406"/>
      <c r="AF366" s="406"/>
      <c r="AG366" s="406"/>
      <c r="AH366" s="406"/>
      <c r="AI366" s="406">
        <v>233.7</v>
      </c>
      <c r="AJ366" s="406"/>
      <c r="AK366" s="406"/>
      <c r="AL366" s="406"/>
      <c r="AM366" s="406"/>
      <c r="AN366" s="406">
        <v>182.8</v>
      </c>
      <c r="AO366" s="406"/>
      <c r="AP366" s="406"/>
      <c r="AQ366" s="406"/>
      <c r="AR366" s="406"/>
      <c r="AS366" s="406">
        <v>253.8</v>
      </c>
      <c r="AT366" s="406"/>
      <c r="AU366" s="406"/>
      <c r="AV366" s="406"/>
      <c r="AW366" s="406"/>
      <c r="AX366" s="406">
        <v>294.7</v>
      </c>
      <c r="AY366" s="406"/>
      <c r="AZ366" s="406"/>
      <c r="BA366" s="406"/>
      <c r="BB366" s="406"/>
      <c r="BC366" s="406">
        <v>233.7</v>
      </c>
      <c r="BD366" s="406"/>
      <c r="BE366" s="406"/>
      <c r="BF366" s="406"/>
      <c r="BG366" s="406"/>
      <c r="BH366" s="406">
        <v>276.7</v>
      </c>
      <c r="BI366" s="406"/>
      <c r="BJ366" s="406"/>
      <c r="BK366" s="406"/>
      <c r="BL366" s="406"/>
      <c r="BM366" s="406">
        <v>1089.5999999999999</v>
      </c>
      <c r="BN366" s="406"/>
      <c r="BO366" s="406"/>
      <c r="BP366" s="406"/>
      <c r="BQ366" s="406"/>
      <c r="BR366" s="406">
        <v>-128.30000000000001</v>
      </c>
      <c r="BS366" s="121">
        <v>322</v>
      </c>
      <c r="BT366" s="73">
        <f>452-BS366</f>
        <v>130</v>
      </c>
      <c r="BU366" s="73">
        <f>430.1-BT366-BS366</f>
        <v>-21.899999999999977</v>
      </c>
      <c r="BV366" s="494">
        <f t="shared" si="887"/>
        <v>119.89999999999998</v>
      </c>
      <c r="BW366" s="406">
        <v>550</v>
      </c>
      <c r="BX366" s="121">
        <v>736</v>
      </c>
      <c r="BY366" s="73">
        <f>638-BX366</f>
        <v>-98</v>
      </c>
      <c r="BZ366" s="73">
        <f>303-SUM(BX366:BY366)</f>
        <v>-335</v>
      </c>
      <c r="CA366" s="494">
        <f t="shared" si="888"/>
        <v>-292</v>
      </c>
      <c r="CB366" s="406">
        <v>11</v>
      </c>
      <c r="CC366" s="121">
        <v>735</v>
      </c>
      <c r="CD366" s="73">
        <f>302-CC366</f>
        <v>-433</v>
      </c>
      <c r="CE366" s="73">
        <f>163-SUM(CC366:CD366)</f>
        <v>-139</v>
      </c>
      <c r="CF366" s="73">
        <f>167-SUM(CC366:CE366)</f>
        <v>4</v>
      </c>
      <c r="CG366" s="783">
        <f t="shared" si="889"/>
        <v>167</v>
      </c>
      <c r="CH366" s="73">
        <v>370</v>
      </c>
      <c r="CI366" s="73">
        <f>305-CH366</f>
        <v>-65</v>
      </c>
      <c r="CJ366" s="73">
        <f>430-SUM(CH366:CI366)</f>
        <v>125</v>
      </c>
      <c r="CK366" s="73">
        <f>384-SUM(CH366:CJ366)</f>
        <v>-46</v>
      </c>
      <c r="CL366" s="783">
        <f t="shared" si="890"/>
        <v>384</v>
      </c>
      <c r="CM366" s="73">
        <v>-32</v>
      </c>
      <c r="CN366" s="76">
        <f>-618-CM366</f>
        <v>-586</v>
      </c>
      <c r="CO366" s="76">
        <f>-389-SUM(CM366:CN366)</f>
        <v>229</v>
      </c>
      <c r="CP366" s="73">
        <f>-439-SUM(CM366:CO366)</f>
        <v>-50</v>
      </c>
      <c r="CQ366" s="783">
        <f t="shared" si="891"/>
        <v>-439</v>
      </c>
      <c r="CR366" s="496">
        <v>389</v>
      </c>
      <c r="CS366" s="496">
        <f>-63-CR366</f>
        <v>-452</v>
      </c>
      <c r="CT366" s="496">
        <f>78-SUM(CR366:CS366)</f>
        <v>141</v>
      </c>
      <c r="CU366" s="496">
        <f>182-SUM(CR366:CT366)</f>
        <v>104</v>
      </c>
      <c r="CV366" s="783">
        <f t="shared" si="892"/>
        <v>182</v>
      </c>
      <c r="CW366" s="76">
        <v>97</v>
      </c>
      <c r="CX366" s="76">
        <f>-171-CW366</f>
        <v>-268</v>
      </c>
      <c r="CY366" s="76">
        <f>-425-CW366-CX366</f>
        <v>-254</v>
      </c>
      <c r="CZ366" s="498">
        <f>-339-CY366-CX366-CW366</f>
        <v>86</v>
      </c>
      <c r="DA366" s="783">
        <f t="shared" si="893"/>
        <v>-339</v>
      </c>
      <c r="DB366" s="76">
        <v>874</v>
      </c>
      <c r="DC366" s="1549">
        <f>363-DB366</f>
        <v>-511</v>
      </c>
      <c r="DD366" s="1549">
        <f>19-SUM(DB366:DC366)</f>
        <v>-344</v>
      </c>
      <c r="DE366">
        <f>268-SUM(DB366:DD366)</f>
        <v>249</v>
      </c>
      <c r="DF366" s="783">
        <f t="shared" si="894"/>
        <v>268</v>
      </c>
      <c r="DG366" s="76">
        <v>740</v>
      </c>
      <c r="DH366" s="76">
        <f>160-DG366</f>
        <v>-580</v>
      </c>
      <c r="DI366" s="76">
        <f>686-SUM(DG366:DH366)</f>
        <v>526</v>
      </c>
      <c r="DJ366" s="1778">
        <f t="shared" si="895"/>
        <v>886</v>
      </c>
      <c r="DK366" s="807">
        <v>1572</v>
      </c>
      <c r="DL366" s="401">
        <v>884</v>
      </c>
      <c r="DM366" s="401">
        <f>789-DL366</f>
        <v>-95</v>
      </c>
      <c r="DN366" s="401">
        <f>821-SUM(DL366:DM366)</f>
        <v>32</v>
      </c>
      <c r="DO366" s="401">
        <f>1690-SUM(DL366:DN366)</f>
        <v>869</v>
      </c>
      <c r="DP366" s="807">
        <f t="shared" si="896"/>
        <v>1690</v>
      </c>
      <c r="DQ366" s="2343">
        <v>1011</v>
      </c>
      <c r="DR366" s="76">
        <f ca="1">DR220-DQ220</f>
        <v>-847.00905753806001</v>
      </c>
      <c r="DS366" s="76">
        <f ca="1">DS220-DR220</f>
        <v>-99.820319815618859</v>
      </c>
      <c r="DT366" s="1437">
        <f ca="1">DT220-DS220</f>
        <v>916.62772661907002</v>
      </c>
      <c r="DU366" s="807">
        <f t="shared" ca="1" si="898"/>
        <v>980.79834926539115</v>
      </c>
      <c r="DV366" s="1436">
        <f>DV220-DU220</f>
        <v>849.81651321402751</v>
      </c>
      <c r="DW366" s="76">
        <f ca="1">DW220-DV220</f>
        <v>-1378.2347683359258</v>
      </c>
      <c r="DX366" s="76">
        <f ca="1">DX220-DW220</f>
        <v>-232.74669454527248</v>
      </c>
      <c r="DY366" s="1437">
        <f ca="1">DY220-DX220</f>
        <v>920.41654630696939</v>
      </c>
      <c r="DZ366" s="807">
        <f t="shared" ca="1" si="900"/>
        <v>159.25159663979866</v>
      </c>
      <c r="EA366" s="1436">
        <f>EA220-DZ220</f>
        <v>921.98811693293464</v>
      </c>
      <c r="EB366" s="76">
        <f ca="1">EB220-EA220</f>
        <v>-1396.2570702306784</v>
      </c>
      <c r="EC366" s="76">
        <f ca="1">EC220-EB220</f>
        <v>-228.90092128176548</v>
      </c>
      <c r="ED366" s="1437">
        <f ca="1">ED220-EC220</f>
        <v>584.99107767632449</v>
      </c>
      <c r="EE366" s="807">
        <f t="shared" ca="1" si="902"/>
        <v>-118.17879690318478</v>
      </c>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row>
    <row r="367" spans="2:232" s="54" customFormat="1">
      <c r="B367" s="561" t="s">
        <v>363</v>
      </c>
      <c r="C367" s="1258"/>
      <c r="D367" s="354"/>
      <c r="E367" s="354"/>
      <c r="F367" s="406">
        <v>-2.2810000000000001</v>
      </c>
      <c r="G367" s="406">
        <v>-3.0950000000000002</v>
      </c>
      <c r="H367" s="406">
        <v>-7.8140000000000001</v>
      </c>
      <c r="I367" s="406">
        <v>-3.91</v>
      </c>
      <c r="J367" s="406">
        <f>-7.807</f>
        <v>-7.8070000000000004</v>
      </c>
      <c r="K367" s="406"/>
      <c r="L367" s="406"/>
      <c r="M367" s="406"/>
      <c r="N367" s="406"/>
      <c r="O367" s="406">
        <f>0.946+12.752</f>
        <v>13.698</v>
      </c>
      <c r="P367" s="406"/>
      <c r="Q367" s="406"/>
      <c r="R367" s="406"/>
      <c r="S367" s="406"/>
      <c r="T367" s="406">
        <v>3.4</v>
      </c>
      <c r="U367" s="406"/>
      <c r="V367" s="406"/>
      <c r="W367" s="406"/>
      <c r="X367" s="406"/>
      <c r="Y367" s="406">
        <f>0.672-4.585</f>
        <v>-3.9129999999999998</v>
      </c>
      <c r="Z367" s="406"/>
      <c r="AA367" s="406"/>
      <c r="AB367" s="406"/>
      <c r="AC367" s="406"/>
      <c r="AD367" s="406">
        <f>-9.4+3.6</f>
        <v>-5.8000000000000007</v>
      </c>
      <c r="AE367" s="406"/>
      <c r="AF367" s="406"/>
      <c r="AG367" s="406"/>
      <c r="AH367" s="406"/>
      <c r="AI367" s="406">
        <f>34.8-3.1</f>
        <v>31.699999999999996</v>
      </c>
      <c r="AJ367" s="406"/>
      <c r="AK367" s="406"/>
      <c r="AL367" s="406"/>
      <c r="AM367" s="406"/>
      <c r="AN367" s="406">
        <f>33.2-15.8</f>
        <v>17.400000000000002</v>
      </c>
      <c r="AO367" s="406"/>
      <c r="AP367" s="406"/>
      <c r="AQ367" s="406"/>
      <c r="AR367" s="406"/>
      <c r="AS367" s="406">
        <f>37.7-7</f>
        <v>30.700000000000003</v>
      </c>
      <c r="AT367" s="406"/>
      <c r="AU367" s="406"/>
      <c r="AV367" s="406"/>
      <c r="AW367" s="406"/>
      <c r="AX367" s="406">
        <f>68.1-19.8</f>
        <v>48.3</v>
      </c>
      <c r="AY367" s="406"/>
      <c r="AZ367" s="406"/>
      <c r="BA367" s="406"/>
      <c r="BB367" s="406"/>
      <c r="BC367" s="406">
        <f>65.7-23.5</f>
        <v>42.2</v>
      </c>
      <c r="BD367" s="406"/>
      <c r="BE367" s="406"/>
      <c r="BF367" s="406"/>
      <c r="BG367" s="406"/>
      <c r="BH367" s="406">
        <f>59-67.6</f>
        <v>-8.5999999999999943</v>
      </c>
      <c r="BI367" s="406"/>
      <c r="BJ367" s="406"/>
      <c r="BK367" s="406"/>
      <c r="BL367" s="406"/>
      <c r="BM367" s="406">
        <f>37.6-5</f>
        <v>32.6</v>
      </c>
      <c r="BN367" s="406"/>
      <c r="BO367" s="406"/>
      <c r="BP367" s="406"/>
      <c r="BQ367" s="406"/>
      <c r="BR367" s="406">
        <v>-28.9</v>
      </c>
      <c r="BS367" s="121">
        <f>-9-1</f>
        <v>-10</v>
      </c>
      <c r="BT367" s="73">
        <f>0.1+27.8-BS367</f>
        <v>37.900000000000006</v>
      </c>
      <c r="BU367" s="73">
        <f>-19.9+50.3-BT367-BS367</f>
        <v>2.4999999999999929</v>
      </c>
      <c r="BV367" s="494">
        <f t="shared" si="887"/>
        <v>-54.8</v>
      </c>
      <c r="BW367" s="406">
        <v>-24.4</v>
      </c>
      <c r="BX367" s="121">
        <f>15-17</f>
        <v>-2</v>
      </c>
      <c r="BY367" s="73">
        <f>(18-21)-BX367</f>
        <v>-1</v>
      </c>
      <c r="BZ367" s="73">
        <f>0-SUM(BX367:BY367)</f>
        <v>3</v>
      </c>
      <c r="CA367" s="494">
        <f t="shared" si="888"/>
        <v>7</v>
      </c>
      <c r="CB367" s="406">
        <v>7</v>
      </c>
      <c r="CC367" s="121">
        <v>3</v>
      </c>
      <c r="CD367" s="73">
        <f>31-CC367</f>
        <v>28</v>
      </c>
      <c r="CE367" s="73">
        <f>41-SUM(CC367:CD367)</f>
        <v>10</v>
      </c>
      <c r="CF367" s="73">
        <f>262-SUM(CC367:CE367)</f>
        <v>221</v>
      </c>
      <c r="CG367" s="783">
        <f t="shared" si="889"/>
        <v>262</v>
      </c>
      <c r="CH367" s="73">
        <v>17</v>
      </c>
      <c r="CI367" s="73">
        <f>29-CH367</f>
        <v>12</v>
      </c>
      <c r="CJ367" s="73">
        <f>-8-SUM(CH367:CI367)</f>
        <v>-37</v>
      </c>
      <c r="CK367" s="73">
        <f>-24-SUM(CH367:CJ367)</f>
        <v>-16</v>
      </c>
      <c r="CL367" s="783">
        <f t="shared" si="890"/>
        <v>-24</v>
      </c>
      <c r="CM367" s="73">
        <v>31</v>
      </c>
      <c r="CN367" s="76">
        <f>37+66-CM367</f>
        <v>72</v>
      </c>
      <c r="CO367" s="76">
        <f>33-SUM(CM367:CN367)</f>
        <v>-70</v>
      </c>
      <c r="CP367" s="73">
        <f>-4+109-SUM(CM367:CO367)</f>
        <v>72</v>
      </c>
      <c r="CQ367" s="783">
        <f t="shared" si="891"/>
        <v>105</v>
      </c>
      <c r="CR367" s="496">
        <v>14</v>
      </c>
      <c r="CS367" s="496">
        <f>43+38-CR367</f>
        <v>67</v>
      </c>
      <c r="CT367" s="496">
        <f>38+70-SUM(CR367:CS367)</f>
        <v>27</v>
      </c>
      <c r="CU367" s="496">
        <f>18+68-SUM(CR367:CT367)</f>
        <v>-22</v>
      </c>
      <c r="CV367" s="783">
        <f t="shared" si="892"/>
        <v>86</v>
      </c>
      <c r="CW367" s="76">
        <v>-12</v>
      </c>
      <c r="CX367" s="76">
        <f>13-CW367</f>
        <v>25</v>
      </c>
      <c r="CY367" s="76">
        <f>12-CW367-CX367</f>
        <v>-1</v>
      </c>
      <c r="CZ367" s="498">
        <f>(-10+103)-CY367-CX367-CW367</f>
        <v>81</v>
      </c>
      <c r="DA367" s="783">
        <f t="shared" si="893"/>
        <v>93</v>
      </c>
      <c r="DB367" s="76">
        <v>-20</v>
      </c>
      <c r="DC367" s="1549">
        <f>21-DB367</f>
        <v>41</v>
      </c>
      <c r="DD367" s="1549">
        <f>-116-SUM(DB367:DC367)</f>
        <v>-137</v>
      </c>
      <c r="DE367">
        <f>22-11-SUM(DB367:DD367)</f>
        <v>127</v>
      </c>
      <c r="DF367" s="783">
        <f t="shared" si="894"/>
        <v>11</v>
      </c>
      <c r="DG367" s="76">
        <f>-329+67</f>
        <v>-262</v>
      </c>
      <c r="DH367" s="76">
        <f>33+60-DG367</f>
        <v>355</v>
      </c>
      <c r="DI367" s="76">
        <f>21+10-SUM(DG367:DH367)</f>
        <v>-62</v>
      </c>
      <c r="DJ367" s="1778">
        <f t="shared" si="895"/>
        <v>93</v>
      </c>
      <c r="DK367" s="807">
        <f>66+58</f>
        <v>124</v>
      </c>
      <c r="DL367" s="401">
        <f>-109-3</f>
        <v>-112</v>
      </c>
      <c r="DM367" s="401">
        <f>166+17-DL367</f>
        <v>295</v>
      </c>
      <c r="DN367" s="401">
        <f>22-SUM(DL367:DM367)</f>
        <v>-161</v>
      </c>
      <c r="DO367" s="401">
        <f>67-SUM(DL367:DN367)</f>
        <v>45</v>
      </c>
      <c r="DP367" s="807">
        <f t="shared" si="896"/>
        <v>67</v>
      </c>
      <c r="DQ367" s="1436">
        <v>-154</v>
      </c>
      <c r="DR367" s="76">
        <f>DQ205-DR205</f>
        <v>0</v>
      </c>
      <c r="DS367" s="76">
        <f>DR205-DS205</f>
        <v>0</v>
      </c>
      <c r="DT367" s="1437">
        <f>DS205-DT205</f>
        <v>0</v>
      </c>
      <c r="DU367" s="807">
        <f t="shared" si="898"/>
        <v>-154</v>
      </c>
      <c r="DV367" s="1436">
        <f>DU205-DV205</f>
        <v>0</v>
      </c>
      <c r="DW367" s="76">
        <f>DV205-DW205</f>
        <v>0</v>
      </c>
      <c r="DX367" s="76">
        <f>DW205-DX205</f>
        <v>0</v>
      </c>
      <c r="DY367" s="1437">
        <f>DX205-DY205</f>
        <v>0</v>
      </c>
      <c r="DZ367" s="807">
        <f t="shared" si="900"/>
        <v>0</v>
      </c>
      <c r="EA367" s="1436">
        <f>DZ205-EA205</f>
        <v>0</v>
      </c>
      <c r="EB367" s="76">
        <f>EA205-EB205</f>
        <v>0</v>
      </c>
      <c r="EC367" s="76">
        <f>EB205-EC205</f>
        <v>0</v>
      </c>
      <c r="ED367" s="1437">
        <f>EC205-ED205</f>
        <v>0</v>
      </c>
      <c r="EE367" s="807">
        <f t="shared" si="902"/>
        <v>0</v>
      </c>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row>
    <row r="368" spans="2:232" s="54" customFormat="1">
      <c r="B368" s="561" t="s">
        <v>364</v>
      </c>
      <c r="C368" s="1258"/>
      <c r="D368" s="354"/>
      <c r="E368" s="354"/>
      <c r="F368" s="406">
        <v>-2.3740000000000001</v>
      </c>
      <c r="G368" s="406">
        <v>4.8019999999999996</v>
      </c>
      <c r="H368" s="406">
        <v>0.184</v>
      </c>
      <c r="I368" s="406">
        <v>0.69299999999999995</v>
      </c>
      <c r="J368" s="406">
        <v>0.90500000000000003</v>
      </c>
      <c r="K368" s="406"/>
      <c r="L368" s="406"/>
      <c r="M368" s="406"/>
      <c r="N368" s="406"/>
      <c r="O368" s="406">
        <v>-8.82</v>
      </c>
      <c r="P368" s="406"/>
      <c r="Q368" s="406"/>
      <c r="R368" s="406"/>
      <c r="S368" s="406"/>
      <c r="T368" s="406">
        <v>12.4</v>
      </c>
      <c r="U368" s="406"/>
      <c r="V368" s="406"/>
      <c r="W368" s="406"/>
      <c r="X368" s="406"/>
      <c r="Y368" s="406">
        <f>-17.164+0.003</f>
        <v>-17.161000000000001</v>
      </c>
      <c r="Z368" s="406"/>
      <c r="AA368" s="406"/>
      <c r="AB368" s="406"/>
      <c r="AC368" s="406"/>
      <c r="AD368" s="406">
        <v>8.6</v>
      </c>
      <c r="AE368" s="406"/>
      <c r="AF368" s="406"/>
      <c r="AG368" s="406"/>
      <c r="AH368" s="406"/>
      <c r="AI368" s="406">
        <v>28.6</v>
      </c>
      <c r="AJ368" s="406"/>
      <c r="AK368" s="406"/>
      <c r="AL368" s="406"/>
      <c r="AM368" s="406"/>
      <c r="AN368" s="406">
        <v>-5.4</v>
      </c>
      <c r="AO368" s="406"/>
      <c r="AP368" s="406"/>
      <c r="AQ368" s="406"/>
      <c r="AR368" s="406"/>
      <c r="AS368" s="406">
        <v>14.3</v>
      </c>
      <c r="AT368" s="406"/>
      <c r="AU368" s="406"/>
      <c r="AV368" s="406"/>
      <c r="AW368" s="406"/>
      <c r="AX368" s="406">
        <v>4.9000000000000004</v>
      </c>
      <c r="AY368" s="406"/>
      <c r="AZ368" s="406"/>
      <c r="BA368" s="406"/>
      <c r="BB368" s="406"/>
      <c r="BC368" s="406">
        <v>-39.9</v>
      </c>
      <c r="BD368" s="406"/>
      <c r="BE368" s="406"/>
      <c r="BF368" s="406"/>
      <c r="BG368" s="406"/>
      <c r="BH368" s="406">
        <v>5</v>
      </c>
      <c r="BI368" s="406"/>
      <c r="BJ368" s="406"/>
      <c r="BK368" s="406"/>
      <c r="BL368" s="406"/>
      <c r="BM368" s="406">
        <v>-68.400000000000006</v>
      </c>
      <c r="BN368" s="406"/>
      <c r="BO368" s="406"/>
      <c r="BP368" s="406"/>
      <c r="BQ368" s="406"/>
      <c r="BR368" s="406">
        <v>25.3</v>
      </c>
      <c r="BS368" s="121">
        <v>322</v>
      </c>
      <c r="BT368" s="73">
        <f>364.1-BS368</f>
        <v>42.100000000000023</v>
      </c>
      <c r="BU368" s="73">
        <f>166.9-BT368-BS368</f>
        <v>-197.20000000000002</v>
      </c>
      <c r="BV368" s="494">
        <f t="shared" si="887"/>
        <v>-86.7</v>
      </c>
      <c r="BW368" s="406">
        <v>80.2</v>
      </c>
      <c r="BX368" s="121">
        <v>210</v>
      </c>
      <c r="BY368" s="73">
        <f>291-BX368</f>
        <v>81</v>
      </c>
      <c r="BZ368" s="73">
        <f>116-SUM(BX368:BY368)</f>
        <v>-175</v>
      </c>
      <c r="CA368" s="494">
        <f t="shared" si="888"/>
        <v>-11</v>
      </c>
      <c r="CB368" s="406">
        <v>105</v>
      </c>
      <c r="CC368" s="121">
        <v>259</v>
      </c>
      <c r="CD368" s="73">
        <f>174-CC368</f>
        <v>-85</v>
      </c>
      <c r="CE368" s="73">
        <f>139-SUM(CC368:CD368)</f>
        <v>-35</v>
      </c>
      <c r="CF368" s="73">
        <f>10-SUM(CC368:CE368)</f>
        <v>-129</v>
      </c>
      <c r="CG368" s="783">
        <f t="shared" si="889"/>
        <v>10</v>
      </c>
      <c r="CH368" s="73">
        <v>327</v>
      </c>
      <c r="CI368" s="73">
        <f>80-CH368</f>
        <v>-247</v>
      </c>
      <c r="CJ368" s="73">
        <f>-29-SUM(CH368:CI368)</f>
        <v>-109</v>
      </c>
      <c r="CK368" s="73">
        <f>102-SUM(CH368:CJ368)</f>
        <v>131</v>
      </c>
      <c r="CL368" s="783">
        <f t="shared" si="890"/>
        <v>102</v>
      </c>
      <c r="CM368" s="73">
        <v>163</v>
      </c>
      <c r="CN368" s="76">
        <f>67-CM368</f>
        <v>-96</v>
      </c>
      <c r="CO368" s="76">
        <f>13-SUM(CM368:CN368)</f>
        <v>-54</v>
      </c>
      <c r="CP368" s="73">
        <f>-228-SUM(CM368:CO368)</f>
        <v>-241</v>
      </c>
      <c r="CQ368" s="783">
        <f t="shared" si="891"/>
        <v>-228</v>
      </c>
      <c r="CR368" s="496">
        <v>194</v>
      </c>
      <c r="CS368" s="496">
        <f>138-CR368</f>
        <v>-56</v>
      </c>
      <c r="CT368" s="496">
        <f>98-SUM(CR368:CS368)</f>
        <v>-40</v>
      </c>
      <c r="CU368" s="496">
        <f>103-SUM(CR368:CT368)</f>
        <v>5</v>
      </c>
      <c r="CV368" s="783">
        <f t="shared" si="892"/>
        <v>103</v>
      </c>
      <c r="CW368" s="76">
        <v>190</v>
      </c>
      <c r="CX368" s="76">
        <f>47-CW368</f>
        <v>-143</v>
      </c>
      <c r="CY368" s="76">
        <f>-103-CW368-CX368</f>
        <v>-150</v>
      </c>
      <c r="CZ368" s="498">
        <f>17-CY368-CX368-CW368</f>
        <v>120</v>
      </c>
      <c r="DA368" s="783">
        <f t="shared" si="893"/>
        <v>17</v>
      </c>
      <c r="DB368" s="76">
        <v>204</v>
      </c>
      <c r="DC368" s="1549">
        <f>-99-DB368</f>
        <v>-303</v>
      </c>
      <c r="DD368" s="1549">
        <f>-179-SUM(DB368:DC368)</f>
        <v>-80</v>
      </c>
      <c r="DE368">
        <f>-335-SUM(DB368:DD368)</f>
        <v>-156</v>
      </c>
      <c r="DF368" s="783">
        <f t="shared" si="894"/>
        <v>-335</v>
      </c>
      <c r="DG368" s="76">
        <v>231</v>
      </c>
      <c r="DH368" s="76">
        <f>92-DG368</f>
        <v>-139</v>
      </c>
      <c r="DI368" s="76">
        <f>135-SUM(DG368:DH368)</f>
        <v>43</v>
      </c>
      <c r="DJ368" s="1778">
        <f t="shared" si="895"/>
        <v>67</v>
      </c>
      <c r="DK368" s="807">
        <v>202</v>
      </c>
      <c r="DL368" s="401">
        <v>217</v>
      </c>
      <c r="DM368" s="401">
        <f>154-DL368</f>
        <v>-63</v>
      </c>
      <c r="DN368" s="401">
        <f>6-SUM(DL368:DM368)</f>
        <v>-148</v>
      </c>
      <c r="DO368" s="401">
        <f>44-SUM(DL368:DN368)</f>
        <v>38</v>
      </c>
      <c r="DP368" s="807">
        <f t="shared" si="896"/>
        <v>44</v>
      </c>
      <c r="DQ368" s="1436">
        <v>246</v>
      </c>
      <c r="DR368" s="76">
        <f>DR224-DQ224</f>
        <v>0</v>
      </c>
      <c r="DS368" s="76">
        <f>DS224-DR224</f>
        <v>0</v>
      </c>
      <c r="DT368" s="1437">
        <f>DT224-DS224</f>
        <v>0</v>
      </c>
      <c r="DU368" s="807">
        <f t="shared" si="898"/>
        <v>246</v>
      </c>
      <c r="DV368" s="1436">
        <f>DV224-DU224</f>
        <v>0</v>
      </c>
      <c r="DW368" s="76">
        <f>DW224-DV224</f>
        <v>0</v>
      </c>
      <c r="DX368" s="76">
        <f>DX224-DW224</f>
        <v>0</v>
      </c>
      <c r="DY368" s="1437">
        <f>DY224-DX224</f>
        <v>0</v>
      </c>
      <c r="DZ368" s="807">
        <f t="shared" si="900"/>
        <v>0</v>
      </c>
      <c r="EA368" s="1436">
        <f>EA224-DZ224</f>
        <v>0</v>
      </c>
      <c r="EB368" s="76">
        <f>EB224-EA224</f>
        <v>0</v>
      </c>
      <c r="EC368" s="76">
        <f>EC224-EB224</f>
        <v>0</v>
      </c>
      <c r="ED368" s="1437">
        <f>ED224-EC224</f>
        <v>0</v>
      </c>
      <c r="EE368" s="807">
        <f t="shared" si="902"/>
        <v>0</v>
      </c>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row>
    <row r="369" spans="2:232" s="69" customFormat="1" ht="12" thickBot="1">
      <c r="B369" s="934" t="s">
        <v>403</v>
      </c>
      <c r="C369" s="1259"/>
      <c r="D369" s="297"/>
      <c r="E369" s="297"/>
      <c r="F369" s="501">
        <f>F363+F364+F365+F366+F367+F368</f>
        <v>-65.595000000000013</v>
      </c>
      <c r="G369" s="501">
        <f>G363+G364+G365+G366+G367+G368</f>
        <v>15.335000000000006</v>
      </c>
      <c r="H369" s="501">
        <f>H363+H364+H365+H366+H367+H368</f>
        <v>-28.655000000000012</v>
      </c>
      <c r="I369" s="501">
        <f>I363+I364+I365+I366+I367+I368</f>
        <v>-58.135999999999981</v>
      </c>
      <c r="J369" s="501">
        <f>J363+J364+J365+J366+J367+J368</f>
        <v>-139.97800000000001</v>
      </c>
      <c r="K369" s="501"/>
      <c r="L369" s="501"/>
      <c r="M369" s="501"/>
      <c r="N369" s="501"/>
      <c r="O369" s="501">
        <f>O363+O364+O365+O366+O367+O368</f>
        <v>-118.31399999999999</v>
      </c>
      <c r="P369" s="501"/>
      <c r="Q369" s="501"/>
      <c r="R369" s="501"/>
      <c r="S369" s="501"/>
      <c r="T369" s="501">
        <f>T363+T364+T365+T366+T367+T368</f>
        <v>34.626999999999981</v>
      </c>
      <c r="U369" s="501"/>
      <c r="V369" s="501"/>
      <c r="W369" s="501"/>
      <c r="X369" s="501"/>
      <c r="Y369" s="501">
        <f>Y363+Y364+Y365+Y366+Y367+Y368</f>
        <v>-146.096</v>
      </c>
      <c r="Z369" s="501"/>
      <c r="AA369" s="501"/>
      <c r="AB369" s="501"/>
      <c r="AC369" s="501"/>
      <c r="AD369" s="501">
        <f>AD363+AD364+AD365+AD366+AD367+AD368</f>
        <v>-211.80000000000007</v>
      </c>
      <c r="AE369" s="501"/>
      <c r="AF369" s="501"/>
      <c r="AG369" s="501"/>
      <c r="AH369" s="501"/>
      <c r="AI369" s="501">
        <f>AI363+AI364+AI365+AI366+AI367+AI368</f>
        <v>-108.40000000000006</v>
      </c>
      <c r="AJ369" s="501"/>
      <c r="AK369" s="501"/>
      <c r="AL369" s="501"/>
      <c r="AM369" s="501"/>
      <c r="AN369" s="501">
        <f>AN363+AN364+AN365+AN366+AN367+AN368</f>
        <v>-551.90000000000009</v>
      </c>
      <c r="AO369" s="501"/>
      <c r="AP369" s="501"/>
      <c r="AQ369" s="501"/>
      <c r="AR369" s="501"/>
      <c r="AS369" s="501">
        <f>AS363+AS364+AS365+AS366+AS367+AS368</f>
        <v>106.10000000000002</v>
      </c>
      <c r="AT369" s="501"/>
      <c r="AU369" s="501"/>
      <c r="AV369" s="501"/>
      <c r="AW369" s="501"/>
      <c r="AX369" s="501">
        <f>AX363+AX364+AX365+AX366+AX367+AX368</f>
        <v>-130.30000000000004</v>
      </c>
      <c r="AY369" s="501"/>
      <c r="AZ369" s="501"/>
      <c r="BA369" s="501"/>
      <c r="BB369" s="501"/>
      <c r="BC369" s="501">
        <f>BC363+BC364+BC365+BC366+BC367+BC368</f>
        <v>-264</v>
      </c>
      <c r="BD369" s="501"/>
      <c r="BE369" s="501"/>
      <c r="BF369" s="501"/>
      <c r="BG369" s="501"/>
      <c r="BH369" s="501">
        <f>BH363+BH364+BH365+BH366+BH367+BH368</f>
        <v>-708.00000000000011</v>
      </c>
      <c r="BI369" s="501"/>
      <c r="BJ369" s="501"/>
      <c r="BK369" s="501"/>
      <c r="BL369" s="501"/>
      <c r="BM369" s="501">
        <f>BM363+BM364+BM365+BM366+BM367+BM368</f>
        <v>256.79999999999995</v>
      </c>
      <c r="BN369" s="501"/>
      <c r="BO369" s="501"/>
      <c r="BP369" s="501"/>
      <c r="BQ369" s="501"/>
      <c r="BR369" s="501">
        <f>BR363+BR364+BR365+BR366+BR367+BR368</f>
        <v>-467.3</v>
      </c>
      <c r="BS369" s="916">
        <f>SUM(BS363:BS368)</f>
        <v>-275</v>
      </c>
      <c r="BT369" s="412">
        <f>SUM(BT363:BT368)</f>
        <v>298.30000000000007</v>
      </c>
      <c r="BU369" s="412">
        <f>SUM(BU363:BU368)</f>
        <v>141.19999999999996</v>
      </c>
      <c r="BV369" s="917">
        <f>SUM(BV363:BV368)</f>
        <v>-251.29999999999995</v>
      </c>
      <c r="BW369" s="501">
        <f>BW363+BW364+BW365+BW366+BW367+BW368</f>
        <v>-86.799999999999912</v>
      </c>
      <c r="BX369" s="916">
        <f>SUM(BX363:BX368)</f>
        <v>-384</v>
      </c>
      <c r="BY369" s="412">
        <f>SUM(BY363:BY368)</f>
        <v>520</v>
      </c>
      <c r="BZ369" s="412">
        <f>SUM(BZ363:BZ368)</f>
        <v>483</v>
      </c>
      <c r="CA369" s="917">
        <f>SUM(CA363:CA368)</f>
        <v>154</v>
      </c>
      <c r="CB369" s="501">
        <f>CB363+CB364+CB365+CB366+CB367+CB368</f>
        <v>773</v>
      </c>
      <c r="CC369" s="916">
        <f>SUM(CC363:CC368)</f>
        <v>394</v>
      </c>
      <c r="CD369" s="412">
        <f>SUM(CD363:CD368)</f>
        <v>-321</v>
      </c>
      <c r="CE369" s="412">
        <f>SUM(CE363:CE368)</f>
        <v>278</v>
      </c>
      <c r="CF369" s="412">
        <f>SUM(CF363:CF368)</f>
        <v>65</v>
      </c>
      <c r="CG369" s="1264">
        <f>CG363+CG364+CG365+CG366+CG367+CG368</f>
        <v>416</v>
      </c>
      <c r="CH369" s="412">
        <f>SUM(CH363:CH368)</f>
        <v>283</v>
      </c>
      <c r="CI369" s="412">
        <f>SUM(CI363:CI368)</f>
        <v>-210</v>
      </c>
      <c r="CJ369" s="412">
        <f>SUM(CJ363:CJ368)</f>
        <v>246</v>
      </c>
      <c r="CK369" s="412">
        <f>SUM(CK363:CK368)</f>
        <v>-362</v>
      </c>
      <c r="CL369" s="1264">
        <f>CL363+CL364+CL365+CL366+CL367+CL368</f>
        <v>-43</v>
      </c>
      <c r="CM369" s="412">
        <f t="shared" ref="CM369:DD369" si="903">SUM(CM363:CM368)</f>
        <v>-81</v>
      </c>
      <c r="CN369" s="412">
        <f t="shared" si="903"/>
        <v>40</v>
      </c>
      <c r="CO369" s="412">
        <f t="shared" si="903"/>
        <v>878</v>
      </c>
      <c r="CP369" s="412">
        <f t="shared" si="903"/>
        <v>-106</v>
      </c>
      <c r="CQ369" s="1264">
        <f t="shared" si="903"/>
        <v>731</v>
      </c>
      <c r="CR369" s="501">
        <f t="shared" si="903"/>
        <v>-214</v>
      </c>
      <c r="CS369" s="501">
        <f t="shared" si="903"/>
        <v>213</v>
      </c>
      <c r="CT369" s="501">
        <f t="shared" si="903"/>
        <v>562</v>
      </c>
      <c r="CU369" s="501">
        <f t="shared" si="903"/>
        <v>106</v>
      </c>
      <c r="CV369" s="1264">
        <f t="shared" si="903"/>
        <v>667</v>
      </c>
      <c r="CW369" s="412">
        <f>SUM(CW363:CW368)</f>
        <v>-846</v>
      </c>
      <c r="CX369" s="412">
        <f>SUM(CX363:CX368)</f>
        <v>305</v>
      </c>
      <c r="CY369" s="412">
        <f>SUM(CY363:CY368)</f>
        <v>61</v>
      </c>
      <c r="CZ369" s="502">
        <f t="shared" si="903"/>
        <v>690</v>
      </c>
      <c r="DA369" s="1264">
        <f>SUM(DA363:DA368)</f>
        <v>210</v>
      </c>
      <c r="DB369" s="412">
        <f>SUM(DB363:DB368)</f>
        <v>189</v>
      </c>
      <c r="DC369" s="412">
        <f>SUM(DC363:DC368)</f>
        <v>-209</v>
      </c>
      <c r="DD369" s="412">
        <f t="shared" si="903"/>
        <v>52</v>
      </c>
      <c r="DE369" s="412">
        <f t="shared" ref="DE369:DU369" si="904">SUM(DE363:DE368)</f>
        <v>463</v>
      </c>
      <c r="DF369" s="2151">
        <f t="shared" si="904"/>
        <v>495</v>
      </c>
      <c r="DG369" s="412">
        <f>SUM(DG363:DG368)</f>
        <v>-801</v>
      </c>
      <c r="DH369" s="412">
        <f>SUM(DH363:DH368)</f>
        <v>362</v>
      </c>
      <c r="DI369" s="412">
        <f>SUM(DI363:DI368)</f>
        <v>571</v>
      </c>
      <c r="DJ369" s="412">
        <f>SUM(DJ363:DJ368)</f>
        <v>1550</v>
      </c>
      <c r="DK369" s="1424">
        <f t="shared" si="904"/>
        <v>1682</v>
      </c>
      <c r="DL369" s="412">
        <f>SUM(DL363:DL368)</f>
        <v>-978</v>
      </c>
      <c r="DM369" s="412">
        <f>SUM(DM363:DM368)</f>
        <v>1477</v>
      </c>
      <c r="DN369" s="412">
        <f>SUM(DN363:DN368)</f>
        <v>201</v>
      </c>
      <c r="DO369" s="412">
        <f>SUM(DO363:DO368)</f>
        <v>918</v>
      </c>
      <c r="DP369" s="1424">
        <f t="shared" si="904"/>
        <v>1618</v>
      </c>
      <c r="DQ369" s="1860">
        <f>SUM(DQ363:DQ368)</f>
        <v>-490</v>
      </c>
      <c r="DR369" s="412">
        <f t="shared" ca="1" si="904"/>
        <v>-993.12190700040355</v>
      </c>
      <c r="DS369" s="412">
        <f t="shared" ca="1" si="904"/>
        <v>754.56237486177361</v>
      </c>
      <c r="DT369" s="1861">
        <f t="shared" ca="1" si="904"/>
        <v>799.5211769606758</v>
      </c>
      <c r="DU369" s="1424">
        <f t="shared" ca="1" si="904"/>
        <v>70.961644822045855</v>
      </c>
      <c r="DV369" s="1860">
        <f t="shared" ref="DV369:DZ369" si="905">SUM(DV363:DV368)</f>
        <v>-102.02271493333774</v>
      </c>
      <c r="DW369" s="412">
        <f t="shared" ca="1" si="905"/>
        <v>-1125.6074987823476</v>
      </c>
      <c r="DX369" s="412">
        <f t="shared" ca="1" si="905"/>
        <v>641.97062248995826</v>
      </c>
      <c r="DY369" s="1861">
        <f t="shared" ca="1" si="905"/>
        <v>775.22530740687125</v>
      </c>
      <c r="DZ369" s="1424">
        <f t="shared" ca="1" si="905"/>
        <v>189.56571618114413</v>
      </c>
      <c r="EA369" s="1860">
        <f t="shared" ref="EA369:EE369" si="906">SUM(EA363:EA368)</f>
        <v>48.159258462655089</v>
      </c>
      <c r="EB369" s="412">
        <f t="shared" ca="1" si="906"/>
        <v>-1131.0815991237923</v>
      </c>
      <c r="EC369" s="412">
        <f t="shared" ca="1" si="906"/>
        <v>648.79882131725026</v>
      </c>
      <c r="ED369" s="1861">
        <f t="shared" ca="1" si="906"/>
        <v>413.490638926879</v>
      </c>
      <c r="EE369" s="1424">
        <f t="shared" ca="1" si="906"/>
        <v>-20.632880417007982</v>
      </c>
      <c r="EF369" s="33"/>
      <c r="EG369" s="33"/>
      <c r="EH369"/>
      <c r="EI369"/>
      <c r="EJ369"/>
      <c r="EK369"/>
      <c r="EL369"/>
      <c r="EM369"/>
      <c r="EN369" s="33"/>
      <c r="EO369" s="33"/>
      <c r="EP369" s="33"/>
      <c r="EQ369" s="33"/>
      <c r="ER369" s="33"/>
      <c r="ES369" s="33"/>
      <c r="ET369" s="33"/>
      <c r="EU369" s="33"/>
      <c r="EV369" s="33"/>
      <c r="EW369" s="33"/>
      <c r="EX369" s="33"/>
      <c r="EY369" s="33"/>
      <c r="EZ369" s="33"/>
      <c r="FA369" s="33"/>
      <c r="FB369" s="33"/>
      <c r="FC369" s="33"/>
      <c r="FD369" s="33"/>
      <c r="FE369" s="33"/>
      <c r="FF369" s="33"/>
      <c r="FG369" s="33"/>
      <c r="FH369" s="33"/>
      <c r="FI369" s="33"/>
      <c r="FJ369" s="33"/>
      <c r="FK369" s="33"/>
      <c r="FL369" s="33"/>
      <c r="FM369" s="33"/>
      <c r="FN369" s="33"/>
      <c r="FO369" s="33"/>
      <c r="FP369" s="33"/>
      <c r="FQ369" s="33"/>
      <c r="FR369" s="33"/>
      <c r="FS369" s="33"/>
      <c r="FT369" s="33"/>
      <c r="FU369" s="33"/>
      <c r="FV369" s="33"/>
      <c r="FW369" s="33"/>
      <c r="FX369" s="33"/>
      <c r="FY369" s="33"/>
      <c r="FZ369" s="33"/>
      <c r="GA369" s="33"/>
      <c r="GB369" s="33"/>
      <c r="GC369" s="33"/>
      <c r="GD369" s="33"/>
      <c r="GE369" s="33"/>
      <c r="GF369" s="33"/>
      <c r="GG369" s="33"/>
      <c r="GH369" s="33"/>
      <c r="GI369" s="33"/>
      <c r="GJ369" s="33"/>
      <c r="GK369" s="33"/>
      <c r="GL369" s="33"/>
      <c r="GM369" s="33"/>
      <c r="GN369" s="33"/>
      <c r="GO369" s="33"/>
      <c r="GP369" s="33"/>
      <c r="GQ369" s="33"/>
      <c r="GR369" s="33"/>
      <c r="GS369" s="33"/>
      <c r="GT369" s="33"/>
      <c r="GU369" s="33"/>
      <c r="GV369" s="33"/>
      <c r="GW369" s="33"/>
      <c r="GX369" s="33"/>
      <c r="GY369" s="33"/>
      <c r="GZ369" s="33"/>
      <c r="HA369" s="33"/>
      <c r="HB369" s="33"/>
      <c r="HC369" s="33"/>
      <c r="HD369" s="33"/>
      <c r="HE369" s="33"/>
      <c r="HF369" s="33"/>
      <c r="HG369" s="33"/>
      <c r="HH369" s="33"/>
      <c r="HI369" s="33"/>
      <c r="HJ369" s="33"/>
      <c r="HK369" s="33"/>
      <c r="HL369" s="33"/>
      <c r="HM369" s="33"/>
      <c r="HN369" s="33"/>
      <c r="HO369" s="33"/>
      <c r="HP369" s="33"/>
      <c r="HQ369" s="33"/>
      <c r="HR369" s="33"/>
      <c r="HS369" s="33"/>
      <c r="HT369" s="33"/>
      <c r="HU369" s="33"/>
      <c r="HV369" s="33"/>
      <c r="HW369" s="33"/>
      <c r="HX369" s="33"/>
    </row>
    <row r="370" spans="2:232" s="921" customFormat="1">
      <c r="B370" s="735" t="s">
        <v>330</v>
      </c>
      <c r="C370" s="1260"/>
      <c r="D370" s="918"/>
      <c r="E370" s="918"/>
      <c r="F370" s="919">
        <f>F356+F358+F360+F362+F369</f>
        <v>218.34800000000001</v>
      </c>
      <c r="G370" s="919">
        <f>G356+G358+G360+G362+G369</f>
        <v>338.51099999999946</v>
      </c>
      <c r="H370" s="919">
        <f>H356+H358+H360+H362+H369</f>
        <v>306.87699999999967</v>
      </c>
      <c r="I370" s="919">
        <f>I356+I358+I360+I362+I369</f>
        <v>355.44399999999973</v>
      </c>
      <c r="J370" s="919">
        <f>J356+J358+J360+J362+J369</f>
        <v>344.95299999999969</v>
      </c>
      <c r="K370" s="919"/>
      <c r="L370" s="919"/>
      <c r="M370" s="919"/>
      <c r="N370" s="919"/>
      <c r="O370" s="919">
        <f>O356+O358+O360+O362+O369</f>
        <v>415.35499999999922</v>
      </c>
      <c r="P370" s="919"/>
      <c r="Q370" s="919"/>
      <c r="R370" s="919"/>
      <c r="S370" s="919"/>
      <c r="T370" s="919">
        <f>T356+T358+T360+T362+T369</f>
        <v>666.84199999999942</v>
      </c>
      <c r="U370" s="919"/>
      <c r="V370" s="919"/>
      <c r="W370" s="919"/>
      <c r="X370" s="919"/>
      <c r="Y370" s="919">
        <f>Y356+Y358+Y360+Y362+Y369</f>
        <v>617.66500000000019</v>
      </c>
      <c r="Z370" s="919"/>
      <c r="AA370" s="919"/>
      <c r="AB370" s="919"/>
      <c r="AC370" s="919"/>
      <c r="AD370" s="919">
        <f>AD356+AD358+AD360+AD362+AD369</f>
        <v>651.99999999999875</v>
      </c>
      <c r="AE370" s="919"/>
      <c r="AF370" s="919"/>
      <c r="AG370" s="919"/>
      <c r="AH370" s="919"/>
      <c r="AI370" s="919">
        <f>AI356+AI358+AI360+AI362+AI369</f>
        <v>989.3</v>
      </c>
      <c r="AJ370" s="919"/>
      <c r="AK370" s="919"/>
      <c r="AL370" s="919"/>
      <c r="AM370" s="919"/>
      <c r="AN370" s="919">
        <f>AN356+AN358+AN360+AN362+AN369+AN359</f>
        <v>719.19999999999823</v>
      </c>
      <c r="AO370" s="919"/>
      <c r="AP370" s="919"/>
      <c r="AQ370" s="919"/>
      <c r="AR370" s="919"/>
      <c r="AS370" s="919">
        <f>AS356+AS358+AS360+AS362+AS369+AS359</f>
        <v>1711.8000000000002</v>
      </c>
      <c r="AT370" s="919"/>
      <c r="AU370" s="919"/>
      <c r="AV370" s="919"/>
      <c r="AW370" s="919"/>
      <c r="AX370" s="919">
        <f>AX356+AX358+AX360+AX362+AX369+AX359</f>
        <v>1502.6000000000013</v>
      </c>
      <c r="AY370" s="919"/>
      <c r="AZ370" s="919"/>
      <c r="BA370" s="919"/>
      <c r="BB370" s="919"/>
      <c r="BC370" s="919">
        <f>BC356+BC358+BC360+BC362+BC369+BC359</f>
        <v>1644.0000004359281</v>
      </c>
      <c r="BD370" s="919"/>
      <c r="BE370" s="919"/>
      <c r="BF370" s="919"/>
      <c r="BG370" s="919"/>
      <c r="BH370" s="919">
        <f>BH356+BH358+BH360+BH362+BH369+BH359</f>
        <v>1371.2440000000001</v>
      </c>
      <c r="BI370" s="919"/>
      <c r="BJ370" s="919"/>
      <c r="BK370" s="919"/>
      <c r="BL370" s="919"/>
      <c r="BM370" s="919">
        <f>BM356+BM358+BM360+BM361+BM362+BM369+BM359</f>
        <v>2695.1000000000058</v>
      </c>
      <c r="BN370" s="919"/>
      <c r="BO370" s="919"/>
      <c r="BP370" s="919"/>
      <c r="BQ370" s="919"/>
      <c r="BR370" s="702">
        <f>BR369+SUM(BR356:BR362)</f>
        <v>2356.4999999999932</v>
      </c>
      <c r="BS370" s="701">
        <f>BS356+BS358+BS360+BS362+BS369+BS359+BS361</f>
        <v>339</v>
      </c>
      <c r="BT370" s="702">
        <f>BT356+BT358+BT360+BT362+BT369+BT359+BT361</f>
        <v>1167.1000000000001</v>
      </c>
      <c r="BU370" s="702">
        <f>BU356+BU358+BU360+BU362+BU369+BU359+BU361</f>
        <v>984.9</v>
      </c>
      <c r="BV370" s="703">
        <f>BV356+BV358+BV360+BV362+BV369+BV359+BV361</f>
        <v>461.69999999999976</v>
      </c>
      <c r="BW370" s="702">
        <f>BW369+SUM(BW356:BW362)</f>
        <v>3039</v>
      </c>
      <c r="BX370" s="701">
        <f>BX356+BX358+BX360+BX362+BX369+BX359+BX361</f>
        <v>312</v>
      </c>
      <c r="BY370" s="702">
        <f>BY356+BY358+BY360+BY362+BY369+BY359+BY361</f>
        <v>1428</v>
      </c>
      <c r="BZ370" s="702">
        <f>BZ356+BZ358+BZ360+BZ362+BZ369+BZ359+BZ361</f>
        <v>1519</v>
      </c>
      <c r="CA370" s="703">
        <f>CA356+CA358+CA360+CA362+CA369+CA359+CA361</f>
        <v>852</v>
      </c>
      <c r="CB370" s="702">
        <f>CB369+SUM(CB356:CB362)</f>
        <v>4111</v>
      </c>
      <c r="CC370" s="701">
        <f>CC356+CC358+CC360+CC362+CC369+CC359+CC361</f>
        <v>1168</v>
      </c>
      <c r="CD370" s="702">
        <f>CD356+CD358+CD360+CD362+CD369+CD359+CD361</f>
        <v>595</v>
      </c>
      <c r="CE370" s="702">
        <f>CE356+CE358+CE360+CE362+CE369+CE359+CE361</f>
        <v>1056</v>
      </c>
      <c r="CF370" s="702">
        <f>CF356+CF358+CF360+CF362+CF369+CF359+CF361</f>
        <v>925</v>
      </c>
      <c r="CG370" s="1265">
        <f t="shared" ref="CG370:DL370" si="907">CG369+SUM(CG356:CG362)</f>
        <v>3744</v>
      </c>
      <c r="CH370" s="702">
        <f t="shared" si="907"/>
        <v>1165</v>
      </c>
      <c r="CI370" s="702">
        <f t="shared" si="907"/>
        <v>886</v>
      </c>
      <c r="CJ370" s="702">
        <f t="shared" si="907"/>
        <v>1230</v>
      </c>
      <c r="CK370" s="702">
        <f t="shared" si="907"/>
        <v>362</v>
      </c>
      <c r="CL370" s="1265">
        <f t="shared" si="907"/>
        <v>3643</v>
      </c>
      <c r="CM370" s="702">
        <f t="shared" si="907"/>
        <v>809</v>
      </c>
      <c r="CN370" s="702">
        <f t="shared" si="907"/>
        <v>1007</v>
      </c>
      <c r="CO370" s="702">
        <f t="shared" si="907"/>
        <v>1847</v>
      </c>
      <c r="CP370" s="702">
        <f t="shared" si="907"/>
        <v>768</v>
      </c>
      <c r="CQ370" s="1265">
        <f t="shared" si="907"/>
        <v>4431</v>
      </c>
      <c r="CR370" s="702">
        <f t="shared" si="907"/>
        <v>601</v>
      </c>
      <c r="CS370" s="702">
        <f t="shared" si="907"/>
        <v>1198</v>
      </c>
      <c r="CT370" s="702">
        <f t="shared" si="907"/>
        <v>1379</v>
      </c>
      <c r="CU370" s="702">
        <f t="shared" si="907"/>
        <v>1123</v>
      </c>
      <c r="CV370" s="1265">
        <f t="shared" si="907"/>
        <v>4301</v>
      </c>
      <c r="CW370" s="702">
        <f t="shared" si="907"/>
        <v>133</v>
      </c>
      <c r="CX370" s="702">
        <f t="shared" si="907"/>
        <v>1104</v>
      </c>
      <c r="CY370" s="702">
        <f t="shared" si="907"/>
        <v>1272</v>
      </c>
      <c r="CZ370" s="920">
        <f t="shared" si="907"/>
        <v>1384</v>
      </c>
      <c r="DA370" s="1265">
        <f t="shared" si="907"/>
        <v>3893</v>
      </c>
      <c r="DB370" s="702">
        <f t="shared" si="907"/>
        <v>1009</v>
      </c>
      <c r="DC370" s="702">
        <f t="shared" si="907"/>
        <v>1328</v>
      </c>
      <c r="DD370" s="702">
        <f t="shared" si="907"/>
        <v>1822</v>
      </c>
      <c r="DE370" s="702">
        <f t="shared" si="907"/>
        <v>1505</v>
      </c>
      <c r="DF370" s="2056">
        <f t="shared" si="907"/>
        <v>5664</v>
      </c>
      <c r="DG370" s="702">
        <f t="shared" si="907"/>
        <v>732</v>
      </c>
      <c r="DH370" s="702">
        <f t="shared" si="907"/>
        <v>2353</v>
      </c>
      <c r="DI370" s="702">
        <f t="shared" si="907"/>
        <v>2104</v>
      </c>
      <c r="DJ370" s="702">
        <f t="shared" si="907"/>
        <v>2658</v>
      </c>
      <c r="DK370" s="1265">
        <f t="shared" si="907"/>
        <v>7847</v>
      </c>
      <c r="DL370" s="702">
        <f t="shared" si="907"/>
        <v>525</v>
      </c>
      <c r="DM370" s="702">
        <f t="shared" ref="DM370:EE370" si="908">DM369+SUM(DM356:DM362)</f>
        <v>2857</v>
      </c>
      <c r="DN370" s="702">
        <f t="shared" si="908"/>
        <v>1855</v>
      </c>
      <c r="DO370" s="702">
        <f t="shared" si="908"/>
        <v>2014</v>
      </c>
      <c r="DP370" s="1265">
        <f t="shared" si="908"/>
        <v>7251</v>
      </c>
      <c r="DQ370" s="1803">
        <f t="shared" ref="DQ370" si="909">DQ369+SUM(DQ356:DQ362)</f>
        <v>961</v>
      </c>
      <c r="DR370" s="702">
        <f t="shared" ca="1" si="908"/>
        <v>701.36724090358985</v>
      </c>
      <c r="DS370" s="702">
        <f t="shared" ca="1" si="908"/>
        <v>2385.4256122558036</v>
      </c>
      <c r="DT370" s="1804">
        <f t="shared" ca="1" si="908"/>
        <v>2425.843987655142</v>
      </c>
      <c r="DU370" s="1265">
        <f t="shared" ca="1" si="908"/>
        <v>6473.6368408145345</v>
      </c>
      <c r="DV370" s="1803">
        <f t="shared" ca="1" si="908"/>
        <v>1423.9151001502939</v>
      </c>
      <c r="DW370" s="702">
        <f t="shared" ca="1" si="908"/>
        <v>691.30562548989565</v>
      </c>
      <c r="DX370" s="702">
        <f t="shared" ca="1" si="908"/>
        <v>2452.8135267540924</v>
      </c>
      <c r="DY370" s="1804">
        <f t="shared" ca="1" si="908"/>
        <v>2611.8213036573256</v>
      </c>
      <c r="DZ370" s="1265">
        <f t="shared" ca="1" si="908"/>
        <v>7179.8555560516079</v>
      </c>
      <c r="EA370" s="1803">
        <f t="shared" ca="1" si="908"/>
        <v>1803.2491966964155</v>
      </c>
      <c r="EB370" s="702">
        <f t="shared" ca="1" si="908"/>
        <v>893.44642485172699</v>
      </c>
      <c r="EC370" s="702">
        <f t="shared" ca="1" si="908"/>
        <v>2681.8221388567899</v>
      </c>
      <c r="ED370" s="1804">
        <f t="shared" ca="1" si="908"/>
        <v>2475.426902685811</v>
      </c>
      <c r="EE370" s="1265">
        <f t="shared" ca="1" si="908"/>
        <v>7853.9446630907441</v>
      </c>
      <c r="EF370" s="704"/>
      <c r="EG370" s="704"/>
      <c r="EH370"/>
      <c r="EI370"/>
      <c r="EJ370"/>
      <c r="EK370"/>
      <c r="EL370"/>
      <c r="EM370"/>
      <c r="EN370" s="704"/>
      <c r="EO370" s="704"/>
      <c r="EP370" s="704"/>
      <c r="EQ370" s="704"/>
      <c r="ER370" s="704"/>
      <c r="ES370" s="704"/>
      <c r="ET370" s="704"/>
      <c r="EU370" s="704"/>
      <c r="EV370" s="704"/>
      <c r="EW370" s="704"/>
      <c r="EX370" s="704"/>
      <c r="EY370" s="704"/>
      <c r="EZ370" s="704"/>
      <c r="FA370" s="704"/>
      <c r="FB370" s="704"/>
      <c r="FC370" s="704"/>
      <c r="FD370" s="704"/>
      <c r="FE370" s="704"/>
      <c r="FF370" s="704"/>
      <c r="FG370" s="704"/>
      <c r="FH370" s="704"/>
      <c r="FI370" s="704"/>
      <c r="FJ370" s="704"/>
      <c r="FK370" s="704"/>
      <c r="FL370" s="704"/>
      <c r="FM370" s="704"/>
      <c r="FN370" s="704"/>
      <c r="FO370" s="704"/>
      <c r="FP370" s="704"/>
      <c r="FQ370" s="704"/>
      <c r="FR370" s="704"/>
      <c r="FS370" s="704"/>
      <c r="FT370" s="704"/>
      <c r="FU370" s="704"/>
      <c r="FV370" s="704"/>
      <c r="FW370" s="704"/>
      <c r="FX370" s="704"/>
      <c r="FY370" s="704"/>
      <c r="FZ370" s="704"/>
      <c r="GA370" s="704"/>
      <c r="GB370" s="704"/>
      <c r="GC370" s="704"/>
      <c r="GD370" s="704"/>
      <c r="GE370" s="704"/>
      <c r="GF370" s="704"/>
      <c r="GG370" s="704"/>
      <c r="GH370" s="704"/>
      <c r="GI370" s="704"/>
      <c r="GJ370" s="704"/>
      <c r="GK370" s="704"/>
      <c r="GL370" s="704"/>
      <c r="GM370" s="704"/>
      <c r="GN370" s="704"/>
      <c r="GO370" s="704"/>
      <c r="GP370" s="704"/>
      <c r="GQ370" s="704"/>
      <c r="GR370" s="704"/>
      <c r="GS370" s="704"/>
      <c r="GT370" s="704"/>
      <c r="GU370" s="704"/>
      <c r="GV370" s="704"/>
      <c r="GW370" s="704"/>
      <c r="GX370" s="704"/>
      <c r="GY370" s="704"/>
      <c r="GZ370" s="704"/>
      <c r="HA370" s="704"/>
      <c r="HB370" s="704"/>
      <c r="HC370" s="704"/>
      <c r="HD370" s="704"/>
      <c r="HE370" s="704"/>
      <c r="HF370" s="704"/>
      <c r="HG370" s="704"/>
      <c r="HH370" s="704"/>
      <c r="HI370" s="704"/>
      <c r="HJ370" s="704"/>
      <c r="HK370" s="704"/>
      <c r="HL370" s="704"/>
      <c r="HM370" s="704"/>
      <c r="HN370" s="704"/>
      <c r="HO370" s="704"/>
      <c r="HP370" s="704"/>
      <c r="HQ370" s="704"/>
      <c r="HR370" s="704"/>
      <c r="HS370" s="704"/>
      <c r="HT370" s="704"/>
      <c r="HU370" s="704"/>
      <c r="HV370" s="704"/>
      <c r="HW370" s="704"/>
      <c r="HX370" s="704"/>
    </row>
    <row r="371" spans="2:232">
      <c r="B371" s="538"/>
      <c r="C371" s="1261"/>
      <c r="D371" s="413"/>
      <c r="E371" s="413"/>
      <c r="F371" s="406"/>
      <c r="G371" s="406"/>
      <c r="H371" s="406"/>
      <c r="I371" s="406"/>
      <c r="J371" s="406"/>
      <c r="K371" s="406"/>
      <c r="L371" s="406"/>
      <c r="M371" s="406"/>
      <c r="N371" s="406"/>
      <c r="O371" s="406"/>
      <c r="P371" s="406"/>
      <c r="Q371" s="406"/>
      <c r="R371" s="406"/>
      <c r="S371" s="406"/>
      <c r="T371" s="406"/>
      <c r="U371" s="406"/>
      <c r="V371" s="406"/>
      <c r="W371" s="406"/>
      <c r="X371" s="406"/>
      <c r="Y371" s="406"/>
      <c r="Z371" s="406"/>
      <c r="AA371" s="406"/>
      <c r="AB371" s="406"/>
      <c r="AC371" s="406"/>
      <c r="AD371" s="406"/>
      <c r="AE371" s="406"/>
      <c r="AF371" s="406"/>
      <c r="AG371" s="406"/>
      <c r="AH371" s="406"/>
      <c r="AI371" s="406"/>
      <c r="AJ371" s="406"/>
      <c r="AK371" s="406"/>
      <c r="AL371" s="406"/>
      <c r="AM371" s="406"/>
      <c r="AN371" s="406"/>
      <c r="AO371" s="406"/>
      <c r="AP371" s="406"/>
      <c r="AQ371" s="406"/>
      <c r="AR371" s="406"/>
      <c r="AS371" s="406"/>
      <c r="AT371" s="406"/>
      <c r="AU371" s="406"/>
      <c r="AV371" s="406"/>
      <c r="AW371" s="406"/>
      <c r="AX371" s="406"/>
      <c r="AY371" s="406"/>
      <c r="AZ371" s="406"/>
      <c r="BA371" s="406"/>
      <c r="BB371" s="406"/>
      <c r="BC371" s="406"/>
      <c r="BD371" s="406"/>
      <c r="BE371" s="406"/>
      <c r="BF371" s="406"/>
      <c r="BG371" s="406"/>
      <c r="BH371" s="406"/>
      <c r="BI371" s="406"/>
      <c r="BJ371" s="406"/>
      <c r="BK371" s="406"/>
      <c r="BL371" s="406"/>
      <c r="BM371" s="406"/>
      <c r="BN371" s="406"/>
      <c r="BO371" s="406"/>
      <c r="BP371" s="406"/>
      <c r="BQ371" s="406"/>
      <c r="BR371" s="406"/>
      <c r="BS371" s="265"/>
      <c r="BT371" s="266"/>
      <c r="BU371" s="266"/>
      <c r="BV371" s="267"/>
      <c r="BW371" s="406"/>
      <c r="BX371" s="121"/>
      <c r="BY371" s="266"/>
      <c r="BZ371" s="266"/>
      <c r="CA371" s="1346">
        <f>CA370/CB370</f>
        <v>0.20724884456336659</v>
      </c>
      <c r="CB371" s="406"/>
      <c r="CC371" s="121"/>
      <c r="CD371" s="73"/>
      <c r="CE371" s="73"/>
      <c r="CF371" s="1346">
        <f>CF370/CG370</f>
        <v>0.24706196581196582</v>
      </c>
      <c r="CG371" s="783"/>
      <c r="CH371" s="73"/>
      <c r="CI371" s="73"/>
      <c r="CJ371" s="73"/>
      <c r="CK371" s="1346">
        <f>CK370/CL370</f>
        <v>9.9368652209717259E-2</v>
      </c>
      <c r="CL371" s="783"/>
      <c r="CM371" s="73"/>
      <c r="CN371" s="73"/>
      <c r="CO371" s="73"/>
      <c r="CP371" s="1346"/>
      <c r="CQ371" s="783"/>
      <c r="CR371" s="76"/>
      <c r="CS371" s="76"/>
      <c r="CT371" s="76"/>
      <c r="CU371" s="1346"/>
      <c r="CV371" s="783"/>
      <c r="CW371" s="76"/>
      <c r="CX371" s="76"/>
      <c r="CY371" s="76"/>
      <c r="CZ371" s="498"/>
      <c r="DA371" s="783"/>
      <c r="DB371" s="76"/>
      <c r="DC371" s="76"/>
      <c r="DD371" s="76"/>
      <c r="DE371" s="76"/>
      <c r="DF371" s="1369"/>
      <c r="DG371" s="76"/>
      <c r="DH371" s="76"/>
      <c r="DI371" s="76"/>
      <c r="DJ371" s="76"/>
      <c r="DK371" s="807"/>
      <c r="DL371" s="76"/>
      <c r="DM371" s="76"/>
      <c r="DN371" s="76"/>
      <c r="DO371" s="76"/>
      <c r="DP371" s="807"/>
      <c r="DQ371" s="1436"/>
      <c r="DR371" s="76"/>
      <c r="DS371" s="76"/>
      <c r="DT371" s="1437"/>
      <c r="DU371" s="807"/>
      <c r="DV371" s="1436"/>
      <c r="DW371" s="76"/>
      <c r="DX371" s="76"/>
      <c r="DY371" s="1437"/>
      <c r="DZ371" s="807"/>
      <c r="EA371" s="1436"/>
      <c r="EB371" s="76"/>
      <c r="EC371" s="76"/>
      <c r="ED371" s="1437"/>
      <c r="EE371" s="807"/>
    </row>
    <row r="372" spans="2:232" customFormat="1">
      <c r="B372" s="561" t="s">
        <v>412</v>
      </c>
      <c r="C372" s="1257"/>
      <c r="D372" s="164"/>
      <c r="E372" s="164"/>
      <c r="F372" s="399">
        <v>-202.452</v>
      </c>
      <c r="G372" s="399">
        <v>-144.94300000000001</v>
      </c>
      <c r="H372" s="399">
        <v>-184.67400000000001</v>
      </c>
      <c r="I372" s="399">
        <v>-289.976</v>
      </c>
      <c r="J372" s="399">
        <v>-310.25400000000002</v>
      </c>
      <c r="K372" s="399"/>
      <c r="L372" s="399"/>
      <c r="M372" s="399"/>
      <c r="N372" s="399"/>
      <c r="O372" s="399">
        <v>-364.58600000000001</v>
      </c>
      <c r="P372" s="399"/>
      <c r="Q372" s="399"/>
      <c r="R372" s="399"/>
      <c r="S372" s="399"/>
      <c r="T372" s="399">
        <v>-485.08499999999998</v>
      </c>
      <c r="U372" s="399"/>
      <c r="V372" s="399"/>
      <c r="W372" s="399"/>
      <c r="X372" s="399"/>
      <c r="Y372" s="399">
        <v>-640.976</v>
      </c>
      <c r="Z372" s="399"/>
      <c r="AA372" s="399"/>
      <c r="AB372" s="399"/>
      <c r="AC372" s="399"/>
      <c r="AD372" s="399">
        <v>-696.3</v>
      </c>
      <c r="AE372" s="399"/>
      <c r="AF372" s="399"/>
      <c r="AG372" s="399"/>
      <c r="AH372" s="399"/>
      <c r="AI372" s="399">
        <v>-1119.0999999999999</v>
      </c>
      <c r="AJ372" s="399"/>
      <c r="AK372" s="399"/>
      <c r="AL372" s="399"/>
      <c r="AM372" s="399"/>
      <c r="AN372" s="399">
        <v>-1237</v>
      </c>
      <c r="AO372" s="399"/>
      <c r="AP372" s="399"/>
      <c r="AQ372" s="399"/>
      <c r="AR372" s="399"/>
      <c r="AS372" s="399">
        <v>-934.4</v>
      </c>
      <c r="AT372" s="399"/>
      <c r="AU372" s="399"/>
      <c r="AV372" s="399"/>
      <c r="AW372" s="399"/>
      <c r="AX372" s="399">
        <v>-795.1</v>
      </c>
      <c r="AY372" s="399"/>
      <c r="AZ372" s="399"/>
      <c r="BA372" s="399"/>
      <c r="BB372" s="399"/>
      <c r="BC372" s="399">
        <v>-939.5</v>
      </c>
      <c r="BD372" s="399"/>
      <c r="BE372" s="399"/>
      <c r="BF372" s="399"/>
      <c r="BG372" s="399"/>
      <c r="BH372" s="399">
        <f>-Model!BH181</f>
        <v>-1237.5440000000001</v>
      </c>
      <c r="BI372" s="399"/>
      <c r="BJ372" s="399"/>
      <c r="BK372" s="399"/>
      <c r="BL372" s="399"/>
      <c r="BM372" s="399">
        <v>-1337.8</v>
      </c>
      <c r="BN372" s="399"/>
      <c r="BO372" s="399"/>
      <c r="BP372" s="399"/>
      <c r="BQ372" s="399"/>
      <c r="BR372" s="399">
        <f>-1785.3</f>
        <v>-1785.3</v>
      </c>
      <c r="BS372" s="400">
        <v>-490</v>
      </c>
      <c r="BT372" s="401">
        <f>-1042.9-BS372</f>
        <v>-552.90000000000009</v>
      </c>
      <c r="BU372" s="401">
        <f>-1652.6-BT372-BS372</f>
        <v>-609.69999999999982</v>
      </c>
      <c r="BV372" s="402">
        <f>BW372-SUM(BS372:BU372)</f>
        <v>-572.09999999999991</v>
      </c>
      <c r="BW372" s="399">
        <v>-2224.6999999999998</v>
      </c>
      <c r="BX372" s="400">
        <v>-638</v>
      </c>
      <c r="BY372" s="401">
        <f>-1092-BX372</f>
        <v>-454</v>
      </c>
      <c r="BZ372" s="401">
        <f>-1534-SUM(BX372:BY372)</f>
        <v>-442</v>
      </c>
      <c r="CA372" s="402">
        <f>CB372-SUM(BX372:BZ372)</f>
        <v>-393</v>
      </c>
      <c r="CB372" s="399">
        <v>-1927</v>
      </c>
      <c r="CC372" s="400">
        <v>-304</v>
      </c>
      <c r="CD372" s="401">
        <f>-524-CC372</f>
        <v>-220</v>
      </c>
      <c r="CE372" s="401">
        <f>-786-SUM(CC372:CD372)</f>
        <v>-262</v>
      </c>
      <c r="CF372" s="401">
        <f>-1014-SUM(CC372:CE372)</f>
        <v>-228</v>
      </c>
      <c r="CG372" s="782">
        <f>SUM(CC372:CF372)</f>
        <v>-1014</v>
      </c>
      <c r="CH372" s="401">
        <v>-273</v>
      </c>
      <c r="CI372" s="401">
        <f>-469-CH372</f>
        <v>-196</v>
      </c>
      <c r="CJ372" s="401">
        <f>-699-SUM(CH372:CI372)</f>
        <v>-230</v>
      </c>
      <c r="CK372" s="401">
        <f>-1213-SUM(CH372:CJ372)</f>
        <v>-514</v>
      </c>
      <c r="CL372" s="782">
        <f>SUM(CH372:CK372)</f>
        <v>-1213</v>
      </c>
      <c r="CM372" s="401">
        <v>-419</v>
      </c>
      <c r="CN372" s="401">
        <f>-723-CM372</f>
        <v>-304</v>
      </c>
      <c r="CO372" s="401">
        <f>-1102-SUM(CM372:CN372)</f>
        <v>-379</v>
      </c>
      <c r="CP372" s="401">
        <f>-1550-SUM(CM372:CO372)</f>
        <v>-448</v>
      </c>
      <c r="CQ372" s="782">
        <f>SUM(CM372:CP372)</f>
        <v>-1550</v>
      </c>
      <c r="CR372" s="404">
        <v>-336</v>
      </c>
      <c r="CS372" s="404">
        <f>-581-CR372</f>
        <v>-245</v>
      </c>
      <c r="CT372" s="404">
        <f>-874-SUM(CR372:CS372)</f>
        <v>-293</v>
      </c>
      <c r="CU372" s="404">
        <f>-1212-SUM(CR372:CT372)</f>
        <v>-338</v>
      </c>
      <c r="CV372" s="782">
        <f>SUM(CR372:CU372)</f>
        <v>-1212</v>
      </c>
      <c r="CW372" s="404">
        <v>-364</v>
      </c>
      <c r="CX372" s="404">
        <f>-591-CW372</f>
        <v>-227</v>
      </c>
      <c r="CY372" s="404">
        <f>-821-CW372-CX372</f>
        <v>-230</v>
      </c>
      <c r="CZ372" s="503">
        <f>-1106-CY372-CX372-CW372</f>
        <v>-285</v>
      </c>
      <c r="DA372" s="782">
        <f>SUM(CW372:CZ372)</f>
        <v>-1106</v>
      </c>
      <c r="DB372" s="404">
        <v>-335</v>
      </c>
      <c r="DC372" s="404">
        <f>-643-DB372</f>
        <v>-308</v>
      </c>
      <c r="DD372" s="404">
        <f>-890-SUM(DB372:DC372)</f>
        <v>-247</v>
      </c>
      <c r="DE372" s="404">
        <f>-1251-SUM(DB372:DD372)</f>
        <v>-361</v>
      </c>
      <c r="DF372" s="783">
        <f>SUM(DB372:DE372)</f>
        <v>-1251</v>
      </c>
      <c r="DG372" s="404">
        <v>-340</v>
      </c>
      <c r="DH372" s="404">
        <f>-657-DG372</f>
        <v>-317</v>
      </c>
      <c r="DI372" s="404">
        <f>-904-SUM(DG372:DH372)</f>
        <v>-247</v>
      </c>
      <c r="DJ372" s="1778">
        <f>DK372-SUM(DG372:DI372)</f>
        <v>-421</v>
      </c>
      <c r="DK372" s="1425">
        <v>-1325</v>
      </c>
      <c r="DL372" s="401">
        <v>-378</v>
      </c>
      <c r="DM372" s="401">
        <f>-639-DL372</f>
        <v>-261</v>
      </c>
      <c r="DN372" s="401">
        <f>-912-SUM(DL372:DM372)</f>
        <v>-273</v>
      </c>
      <c r="DO372" s="401">
        <f>-1351-SUM(DL372:DN372)</f>
        <v>-439</v>
      </c>
      <c r="DP372" s="1425">
        <f>SUM(DL372:DO372)</f>
        <v>-1351</v>
      </c>
      <c r="DQ372" s="1434">
        <v>-378</v>
      </c>
      <c r="DR372" s="404">
        <f>-DR271</f>
        <v>-291.22000000000003</v>
      </c>
      <c r="DS372" s="404">
        <f>-DS271</f>
        <v>-303.45999999999998</v>
      </c>
      <c r="DT372" s="1435">
        <f>-DT271</f>
        <v>-472.78000000000003</v>
      </c>
      <c r="DU372" s="1425">
        <f>SUM(DQ372:DT372)</f>
        <v>-1445.46</v>
      </c>
      <c r="DV372" s="1434">
        <f>-DV271</f>
        <v>-385.56</v>
      </c>
      <c r="DW372" s="404">
        <f>-DW271</f>
        <v>-297.04440000000005</v>
      </c>
      <c r="DX372" s="404">
        <f>-DX271</f>
        <v>-309.5292</v>
      </c>
      <c r="DY372" s="1435">
        <f>-DY271</f>
        <v>-482.23560000000003</v>
      </c>
      <c r="DZ372" s="1425">
        <f>SUM(DV372:DY372)</f>
        <v>-1474.3692000000001</v>
      </c>
      <c r="EA372" s="1434">
        <f>-EA271</f>
        <v>-393.27120000000002</v>
      </c>
      <c r="EB372" s="404">
        <f>-EB271</f>
        <v>-302.98528800000008</v>
      </c>
      <c r="EC372" s="404">
        <f>-EC271</f>
        <v>-315.719784</v>
      </c>
      <c r="ED372" s="1435">
        <f>-ED271</f>
        <v>-491.88031200000006</v>
      </c>
      <c r="EE372" s="1425">
        <f>SUM(EA372:ED372)</f>
        <v>-1503.8565840000001</v>
      </c>
    </row>
    <row r="373" spans="2:232" customFormat="1">
      <c r="B373" s="1516" t="s">
        <v>449</v>
      </c>
      <c r="C373" s="1257"/>
      <c r="D373" s="164"/>
      <c r="E373" s="164"/>
      <c r="F373" s="406">
        <v>-8.9139999999999997</v>
      </c>
      <c r="G373" s="406">
        <v>-27.152999999999999</v>
      </c>
      <c r="H373" s="406">
        <v>-35.981000000000002</v>
      </c>
      <c r="I373" s="406">
        <v>-6.4450000000000003</v>
      </c>
      <c r="J373" s="406">
        <v>-34.14</v>
      </c>
      <c r="K373" s="406"/>
      <c r="L373" s="406"/>
      <c r="M373" s="406"/>
      <c r="N373" s="406"/>
      <c r="O373" s="406">
        <v>47.4</v>
      </c>
      <c r="P373" s="406"/>
      <c r="Q373" s="406"/>
      <c r="R373" s="406"/>
      <c r="S373" s="406"/>
      <c r="T373" s="406">
        <v>-16.186</v>
      </c>
      <c r="U373" s="406"/>
      <c r="V373" s="406"/>
      <c r="W373" s="406"/>
      <c r="X373" s="406"/>
      <c r="Y373" s="406">
        <f>8.8+58</f>
        <v>66.8</v>
      </c>
      <c r="Z373" s="406"/>
      <c r="AA373" s="406"/>
      <c r="AB373" s="406"/>
      <c r="AC373" s="406"/>
      <c r="AD373" s="406">
        <v>9.1</v>
      </c>
      <c r="AE373" s="406"/>
      <c r="AF373" s="406"/>
      <c r="AG373" s="406"/>
      <c r="AH373" s="406"/>
      <c r="AI373" s="406">
        <f>47.7+11.1</f>
        <v>58.800000000000004</v>
      </c>
      <c r="AJ373" s="406"/>
      <c r="AK373" s="406"/>
      <c r="AL373" s="406"/>
      <c r="AM373" s="406"/>
      <c r="AN373" s="406">
        <v>59</v>
      </c>
      <c r="AO373" s="406"/>
      <c r="AP373" s="406"/>
      <c r="AQ373" s="406"/>
      <c r="AR373" s="406"/>
      <c r="AS373" s="406">
        <v>14.4</v>
      </c>
      <c r="AT373" s="406"/>
      <c r="AU373" s="406"/>
      <c r="AV373" s="406"/>
      <c r="AW373" s="406"/>
      <c r="AX373" s="406">
        <v>8.4</v>
      </c>
      <c r="AY373" s="406"/>
      <c r="AZ373" s="406"/>
      <c r="BA373" s="406"/>
      <c r="BB373" s="406"/>
      <c r="BC373" s="406">
        <v>10.199999999999999</v>
      </c>
      <c r="BD373" s="406"/>
      <c r="BE373" s="406"/>
      <c r="BF373" s="406"/>
      <c r="BG373" s="406"/>
      <c r="BH373" s="406">
        <v>10.1</v>
      </c>
      <c r="BI373" s="406"/>
      <c r="BJ373" s="406"/>
      <c r="BK373" s="406"/>
      <c r="BL373" s="406"/>
      <c r="BM373" s="406">
        <v>10.7</v>
      </c>
      <c r="BN373" s="406"/>
      <c r="BO373" s="406"/>
      <c r="BP373" s="406"/>
      <c r="BQ373" s="406"/>
      <c r="BR373" s="406">
        <v>5.5</v>
      </c>
      <c r="BS373" s="121">
        <v>2</v>
      </c>
      <c r="BT373" s="73">
        <f>1.7-BS373</f>
        <v>-0.30000000000000004</v>
      </c>
      <c r="BU373" s="73">
        <f>11.8-BT373-BS373</f>
        <v>10.100000000000001</v>
      </c>
      <c r="BV373" s="402">
        <f>BW373-SUM(BS373:BU373)</f>
        <v>5.5</v>
      </c>
      <c r="BW373" s="406">
        <v>17.3</v>
      </c>
      <c r="BX373" s="121"/>
      <c r="BY373" s="73"/>
      <c r="BZ373" s="73">
        <v>11</v>
      </c>
      <c r="CA373" s="402">
        <f>CB373-SUM(BX373:BZ373)</f>
        <v>-6</v>
      </c>
      <c r="CB373" s="399">
        <v>5</v>
      </c>
      <c r="CC373" s="121">
        <f>-600+500</f>
        <v>-100</v>
      </c>
      <c r="CD373" s="73">
        <f>-1200+1100-CC373</f>
        <v>0</v>
      </c>
      <c r="CE373" s="73">
        <f>-2400+2300-SUM(CC373:CD373)</f>
        <v>0</v>
      </c>
      <c r="CF373" s="73">
        <f>3500-3000-SUM(CC373:CE373)</f>
        <v>600</v>
      </c>
      <c r="CG373" s="783">
        <f>SUM(CC373:CF373)</f>
        <v>500</v>
      </c>
      <c r="CH373" s="73">
        <v>0</v>
      </c>
      <c r="CI373" s="73">
        <v>0</v>
      </c>
      <c r="CJ373" s="73">
        <v>0</v>
      </c>
      <c r="CK373" s="73">
        <v>0</v>
      </c>
      <c r="CL373" s="783">
        <f>SUM(CH373:CK373)</f>
        <v>0</v>
      </c>
      <c r="CM373" s="73"/>
      <c r="CN373" s="73"/>
      <c r="CO373" s="73"/>
      <c r="CP373" s="73"/>
      <c r="CQ373" s="783">
        <f>SUM(CM373:CP373)</f>
        <v>0</v>
      </c>
      <c r="CR373" s="76"/>
      <c r="CS373" s="76"/>
      <c r="CT373" s="76"/>
      <c r="CU373" s="76"/>
      <c r="CV373" s="783">
        <f>SUM(CR373:CU373)</f>
        <v>0</v>
      </c>
      <c r="CW373" s="76">
        <f>-19+19</f>
        <v>0</v>
      </c>
      <c r="CX373" s="76">
        <f>(-34+34)-CW373</f>
        <v>0</v>
      </c>
      <c r="CY373" s="76">
        <f>(-41+42)-CW373-CX373</f>
        <v>1</v>
      </c>
      <c r="CZ373" s="498">
        <f>-59+58-CY373-CX373-CW373</f>
        <v>-2</v>
      </c>
      <c r="DA373" s="783">
        <f>SUM(CW373:CZ373)</f>
        <v>-1</v>
      </c>
      <c r="DB373" s="76">
        <f>-17+16</f>
        <v>-1</v>
      </c>
      <c r="DC373" s="76">
        <f>29-29-DB373</f>
        <v>1</v>
      </c>
      <c r="DD373" s="76"/>
      <c r="DE373" s="76"/>
      <c r="DF373" s="783">
        <f>SUM(DB373:DE373)</f>
        <v>0</v>
      </c>
      <c r="DG373" s="76">
        <v>0</v>
      </c>
      <c r="DH373" s="76">
        <v>0</v>
      </c>
      <c r="DI373" s="76">
        <v>0</v>
      </c>
      <c r="DJ373" s="1778">
        <f>DK373-SUM(DG373:DI373)</f>
        <v>155</v>
      </c>
      <c r="DK373" s="807">
        <v>155</v>
      </c>
      <c r="DL373" s="401"/>
      <c r="DM373" s="401"/>
      <c r="DN373" s="401"/>
      <c r="DO373" s="401"/>
      <c r="DP373" s="807">
        <f>SUM(DL373:DO373)</f>
        <v>0</v>
      </c>
      <c r="DQ373" s="1436"/>
      <c r="DR373" s="76"/>
      <c r="DS373" s="76"/>
      <c r="DT373" s="1437"/>
      <c r="DU373" s="807">
        <f>SUM(DQ373:DT373)</f>
        <v>0</v>
      </c>
      <c r="DV373" s="1436"/>
      <c r="DW373" s="76"/>
      <c r="DX373" s="76"/>
      <c r="DY373" s="1437"/>
      <c r="DZ373" s="807">
        <f>SUM(DV373:DY373)</f>
        <v>0</v>
      </c>
      <c r="EA373" s="1436"/>
      <c r="EB373" s="76"/>
      <c r="EC373" s="76"/>
      <c r="ED373" s="1437"/>
      <c r="EE373" s="807">
        <f>SUM(EA373:ED373)</f>
        <v>0</v>
      </c>
    </row>
    <row r="374" spans="2:232" customFormat="1">
      <c r="B374" s="561" t="s">
        <v>275</v>
      </c>
      <c r="C374" s="736"/>
      <c r="D374" s="73"/>
      <c r="E374" s="73"/>
      <c r="F374" s="406">
        <v>3.847</v>
      </c>
      <c r="G374" s="406">
        <v>5.8369999999999997</v>
      </c>
      <c r="H374" s="406">
        <v>8.9730000000000008</v>
      </c>
      <c r="I374" s="406">
        <v>14.333</v>
      </c>
      <c r="J374" s="406">
        <v>15.242000000000001</v>
      </c>
      <c r="K374" s="406"/>
      <c r="L374" s="406"/>
      <c r="M374" s="406"/>
      <c r="N374" s="406"/>
      <c r="O374" s="406">
        <v>17.869</v>
      </c>
      <c r="P374" s="406"/>
      <c r="Q374" s="406"/>
      <c r="R374" s="406"/>
      <c r="S374" s="406"/>
      <c r="T374" s="406">
        <v>15.175000000000001</v>
      </c>
      <c r="U374" s="406"/>
      <c r="V374" s="406"/>
      <c r="W374" s="406"/>
      <c r="X374" s="406"/>
      <c r="Y374" s="406">
        <v>71.900000000000006</v>
      </c>
      <c r="Z374" s="406"/>
      <c r="AA374" s="406"/>
      <c r="AB374" s="406"/>
      <c r="AC374" s="406"/>
      <c r="AD374" s="406">
        <v>41.7</v>
      </c>
      <c r="AE374" s="406"/>
      <c r="AF374" s="406"/>
      <c r="AG374" s="406"/>
      <c r="AH374" s="406"/>
      <c r="AI374" s="406">
        <v>22.9</v>
      </c>
      <c r="AJ374" s="406"/>
      <c r="AK374" s="406"/>
      <c r="AL374" s="406"/>
      <c r="AM374" s="406"/>
      <c r="AN374" s="406">
        <v>43.5</v>
      </c>
      <c r="AO374" s="406"/>
      <c r="AP374" s="406"/>
      <c r="AQ374" s="406"/>
      <c r="AR374" s="406"/>
      <c r="AS374" s="406">
        <v>368.1</v>
      </c>
      <c r="AT374" s="406"/>
      <c r="AU374" s="406"/>
      <c r="AV374" s="406"/>
      <c r="AW374" s="406"/>
      <c r="AX374" s="406">
        <v>84.5</v>
      </c>
      <c r="AY374" s="406"/>
      <c r="AZ374" s="406"/>
      <c r="BA374" s="406"/>
      <c r="BB374" s="406"/>
      <c r="BC374" s="406">
        <v>6.2</v>
      </c>
      <c r="BD374" s="406"/>
      <c r="BE374" s="406"/>
      <c r="BF374" s="406"/>
      <c r="BG374" s="406"/>
      <c r="BH374" s="406">
        <v>15.5</v>
      </c>
      <c r="BI374" s="406"/>
      <c r="BJ374" s="406"/>
      <c r="BK374" s="406"/>
      <c r="BL374" s="406"/>
      <c r="BM374" s="406">
        <v>23</v>
      </c>
      <c r="BN374" s="406"/>
      <c r="BO374" s="406"/>
      <c r="BP374" s="406"/>
      <c r="BQ374" s="406"/>
      <c r="BR374" s="406">
        <v>40.799999999999997</v>
      </c>
      <c r="BS374" s="121">
        <v>5</v>
      </c>
      <c r="BT374" s="73">
        <f>10.3-BS374</f>
        <v>5.3000000000000007</v>
      </c>
      <c r="BU374" s="73">
        <f>13.9-BT374-BS374</f>
        <v>3.5999999999999996</v>
      </c>
      <c r="BV374" s="402">
        <f>BW374-SUM(BS374:BU374)</f>
        <v>-13.9</v>
      </c>
      <c r="BW374" s="406"/>
      <c r="BX374" s="121">
        <v>15</v>
      </c>
      <c r="BY374" s="73">
        <f>29-BX374</f>
        <v>14</v>
      </c>
      <c r="BZ374" s="73">
        <f>35-SUM(BX374:BY374)</f>
        <v>6</v>
      </c>
      <c r="CA374" s="402">
        <f>CB374-SUM(BX374:BZ374)</f>
        <v>16</v>
      </c>
      <c r="CB374" s="399">
        <v>51</v>
      </c>
      <c r="CC374" s="121">
        <v>5</v>
      </c>
      <c r="CD374" s="73">
        <f>19-CC374</f>
        <v>14</v>
      </c>
      <c r="CE374" s="73">
        <f>29-SUM(CC374:CD374)</f>
        <v>10</v>
      </c>
      <c r="CF374" s="73">
        <f>51-SUM(CC374:CE374)</f>
        <v>22</v>
      </c>
      <c r="CG374" s="783">
        <f>SUM(CC374:CF374)</f>
        <v>51</v>
      </c>
      <c r="CH374" s="73">
        <v>13</v>
      </c>
      <c r="CI374" s="73">
        <f>24-CH374</f>
        <v>11</v>
      </c>
      <c r="CJ374" s="73">
        <f>54-SUM(CH374:CI374)</f>
        <v>30</v>
      </c>
      <c r="CK374" s="73">
        <f>79-SUM(CH374:CJ374)</f>
        <v>25</v>
      </c>
      <c r="CL374" s="783">
        <f>SUM(CH374:CK374)</f>
        <v>79</v>
      </c>
      <c r="CM374" s="73">
        <v>0</v>
      </c>
      <c r="CN374" s="73">
        <v>35</v>
      </c>
      <c r="CO374" s="73">
        <f>40-45-CN374</f>
        <v>-40</v>
      </c>
      <c r="CP374" s="73">
        <f>123-45-SUM(CM374:CO374)</f>
        <v>83</v>
      </c>
      <c r="CQ374" s="783">
        <f>SUM(CM374:CP374)</f>
        <v>78</v>
      </c>
      <c r="CR374" s="76">
        <v>10</v>
      </c>
      <c r="CS374" s="76">
        <f>18+20-CR374</f>
        <v>28</v>
      </c>
      <c r="CT374" s="76">
        <f>27+20-SUM(CR374:CS374)</f>
        <v>9</v>
      </c>
      <c r="CU374" s="76">
        <f>145+20-SUM(CR374:CT374)</f>
        <v>118</v>
      </c>
      <c r="CV374" s="783">
        <f>SUM(CR374:CU374)</f>
        <v>165</v>
      </c>
      <c r="CW374" s="76">
        <v>14</v>
      </c>
      <c r="CX374" s="76">
        <f>209-CW374</f>
        <v>195</v>
      </c>
      <c r="CY374" s="76">
        <f>173-CW374-CX374</f>
        <v>-36</v>
      </c>
      <c r="CZ374" s="498">
        <f>206+93-CY374-CX374-CW374</f>
        <v>126</v>
      </c>
      <c r="DA374" s="783">
        <f>SUM(CW374:CZ374)</f>
        <v>299</v>
      </c>
      <c r="DB374" s="76"/>
      <c r="DC374" s="76">
        <f>579-DB374</f>
        <v>579</v>
      </c>
      <c r="DD374" s="76">
        <f>814+71+867-SUM(DB374:DC374)</f>
        <v>1173</v>
      </c>
      <c r="DE374" s="404">
        <f>814-SUM(DB374:DD374)</f>
        <v>-938</v>
      </c>
      <c r="DF374" s="783">
        <f>SUM(DB374:DE374)</f>
        <v>814</v>
      </c>
      <c r="DG374" s="76">
        <f>43+40</f>
        <v>83</v>
      </c>
      <c r="DH374" s="76">
        <f>43-DG374</f>
        <v>-40</v>
      </c>
      <c r="DI374" s="76">
        <f>68-SUM(DG374:DH374)</f>
        <v>25</v>
      </c>
      <c r="DJ374" s="1778">
        <f>DK374-SUM(DG374:DI374)</f>
        <v>-8</v>
      </c>
      <c r="DK374" s="807">
        <v>60</v>
      </c>
      <c r="DL374" s="401">
        <f>26+436</f>
        <v>462</v>
      </c>
      <c r="DM374" s="401">
        <f>436+22-DL374</f>
        <v>-4</v>
      </c>
      <c r="DN374" s="401">
        <f>436-SUM(DL374:DM374)</f>
        <v>-22</v>
      </c>
      <c r="DO374" s="401">
        <f>444-SUM(DL374:DN374)</f>
        <v>8</v>
      </c>
      <c r="DP374" s="807">
        <f>SUM(DL374:DO374)</f>
        <v>444</v>
      </c>
      <c r="DQ374" s="1436">
        <v>13</v>
      </c>
      <c r="DR374" s="76"/>
      <c r="DS374" s="76"/>
      <c r="DT374" s="1437"/>
      <c r="DU374" s="807">
        <f>SUM(DQ374:DT374)</f>
        <v>13</v>
      </c>
      <c r="DV374" s="1436"/>
      <c r="DW374" s="76"/>
      <c r="DX374" s="76"/>
      <c r="DY374" s="1437"/>
      <c r="DZ374" s="807">
        <f>SUM(DV374:DY374)</f>
        <v>0</v>
      </c>
      <c r="EA374" s="1436"/>
      <c r="EB374" s="76"/>
      <c r="EC374" s="76"/>
      <c r="ED374" s="1437"/>
      <c r="EE374" s="807">
        <f>SUM(EA374:ED374)</f>
        <v>0</v>
      </c>
    </row>
    <row r="375" spans="2:232" customFormat="1">
      <c r="B375" s="561" t="s">
        <v>404</v>
      </c>
      <c r="C375" s="736"/>
      <c r="D375" s="73"/>
      <c r="E375" s="73"/>
      <c r="F375" s="406"/>
      <c r="G375" s="406"/>
      <c r="H375" s="406"/>
      <c r="I375" s="406"/>
      <c r="J375" s="406"/>
      <c r="K375" s="406"/>
      <c r="L375" s="406"/>
      <c r="M375" s="406"/>
      <c r="N375" s="406"/>
      <c r="O375" s="406"/>
      <c r="P375" s="406"/>
      <c r="Q375" s="406"/>
      <c r="R375" s="406"/>
      <c r="S375" s="406"/>
      <c r="T375" s="406"/>
      <c r="U375" s="406"/>
      <c r="V375" s="406"/>
      <c r="W375" s="406"/>
      <c r="X375" s="406"/>
      <c r="Y375" s="406"/>
      <c r="Z375" s="406"/>
      <c r="AA375" s="406"/>
      <c r="AB375" s="406"/>
      <c r="AC375" s="406"/>
      <c r="AD375" s="406"/>
      <c r="AE375" s="406"/>
      <c r="AF375" s="406"/>
      <c r="AG375" s="406"/>
      <c r="AH375" s="406"/>
      <c r="AI375" s="406"/>
      <c r="AJ375" s="406"/>
      <c r="AK375" s="406"/>
      <c r="AL375" s="406"/>
      <c r="AM375" s="406"/>
      <c r="AN375" s="406"/>
      <c r="AO375" s="406"/>
      <c r="AP375" s="406"/>
      <c r="AQ375" s="406"/>
      <c r="AR375" s="406"/>
      <c r="AS375" s="406"/>
      <c r="AT375" s="406"/>
      <c r="AU375" s="406"/>
      <c r="AV375" s="406"/>
      <c r="AW375" s="406"/>
      <c r="AX375" s="406"/>
      <c r="AY375" s="406"/>
      <c r="AZ375" s="406"/>
      <c r="BA375" s="406"/>
      <c r="BB375" s="406"/>
      <c r="BC375" s="406"/>
      <c r="BD375" s="406"/>
      <c r="BE375" s="406"/>
      <c r="BF375" s="406"/>
      <c r="BG375" s="406"/>
      <c r="BH375" s="406"/>
      <c r="BI375" s="406"/>
      <c r="BJ375" s="406"/>
      <c r="BK375" s="406"/>
      <c r="BL375" s="406"/>
      <c r="BM375" s="496">
        <v>-485.4</v>
      </c>
      <c r="BN375" s="496"/>
      <c r="BO375" s="496"/>
      <c r="BP375" s="496"/>
      <c r="BQ375" s="496"/>
      <c r="BR375" s="496">
        <v>-1085.8</v>
      </c>
      <c r="BS375" s="121">
        <v>-48</v>
      </c>
      <c r="BT375" s="73">
        <f>-89.7-BS375</f>
        <v>-41.7</v>
      </c>
      <c r="BU375" s="73">
        <f>-527.4-BT375-BS375</f>
        <v>-437.7</v>
      </c>
      <c r="BV375" s="402">
        <f>BW375-SUM(BS375:BU375)</f>
        <v>-92.899999999999977</v>
      </c>
      <c r="BW375" s="496">
        <v>-620.29999999999995</v>
      </c>
      <c r="BX375" s="121">
        <v>-61</v>
      </c>
      <c r="BY375" s="73">
        <f>-183-BX375</f>
        <v>-122</v>
      </c>
      <c r="BZ375" s="73">
        <f>-348-SUM(BX375:BY375)</f>
        <v>-165</v>
      </c>
      <c r="CA375" s="402">
        <f>CB375-SUM(BX375:BZ375)</f>
        <v>-57</v>
      </c>
      <c r="CB375" s="399">
        <v>-405</v>
      </c>
      <c r="CC375" s="121">
        <v>-32</v>
      </c>
      <c r="CD375" s="73">
        <f>-116-CC375</f>
        <v>-84</v>
      </c>
      <c r="CE375" s="73">
        <f>-764-SUM(CC375:CD375)</f>
        <v>-648</v>
      </c>
      <c r="CF375" s="73">
        <f>-779-SUM(CC375:CE375)</f>
        <v>-15</v>
      </c>
      <c r="CG375" s="783">
        <f>SUM(CC375:CF375)</f>
        <v>-779</v>
      </c>
      <c r="CH375" s="73">
        <v>-63</v>
      </c>
      <c r="CI375" s="73">
        <f>-141-CH375</f>
        <v>-78</v>
      </c>
      <c r="CJ375" s="73">
        <f>-182-SUM(CH375:CI375)</f>
        <v>-41</v>
      </c>
      <c r="CK375" s="73">
        <f>-630+442-SUM(CH375:CJ375)</f>
        <v>-6</v>
      </c>
      <c r="CL375" s="783">
        <f>SUM(CH375:CK375)</f>
        <v>-188</v>
      </c>
      <c r="CM375" s="73">
        <f>-70+24-29</f>
        <v>-75</v>
      </c>
      <c r="CN375" s="73">
        <f>-204-45-CM375</f>
        <v>-174</v>
      </c>
      <c r="CO375" s="73">
        <f>-421-SUM(CM375:CN375)</f>
        <v>-172</v>
      </c>
      <c r="CP375" s="73">
        <f>-4025-491-SUM(CM375:CO375)</f>
        <v>-4095</v>
      </c>
      <c r="CQ375" s="783">
        <f>SUM(CM375:CP375)</f>
        <v>-4516</v>
      </c>
      <c r="CR375" s="316">
        <v>-471</v>
      </c>
      <c r="CS375" s="316">
        <f>-552-CR375</f>
        <v>-81</v>
      </c>
      <c r="CT375" s="73">
        <f>-588-SUM(CR375:CS375)</f>
        <v>-36</v>
      </c>
      <c r="CU375" s="73">
        <f>-630-SUM(CR375:CT375)</f>
        <v>-42</v>
      </c>
      <c r="CV375" s="783">
        <f>SUM(CR375:CU375)</f>
        <v>-630</v>
      </c>
      <c r="CW375" s="1587">
        <v>-243</v>
      </c>
      <c r="CX375" s="1587">
        <f>-297-CW375</f>
        <v>-54</v>
      </c>
      <c r="CY375" s="1587">
        <f>-323-CW375-CX375</f>
        <v>-26</v>
      </c>
      <c r="CZ375" s="1622">
        <f>-344-CY375-CX375-CW375</f>
        <v>-21</v>
      </c>
      <c r="DA375" s="783">
        <f>SUM(CW375:CZ375)</f>
        <v>-344</v>
      </c>
      <c r="DB375" s="1587">
        <v>-13</v>
      </c>
      <c r="DC375" s="1670">
        <f>-4461-92-DB375</f>
        <v>-4540</v>
      </c>
      <c r="DD375" s="1670">
        <f>-4461-SUM(DB375:DC375)</f>
        <v>92</v>
      </c>
      <c r="DE375" s="404">
        <f>-371-4461-SUM(DB375:DD375)</f>
        <v>-371</v>
      </c>
      <c r="DF375" s="783">
        <f>SUM(DB375:DE375)</f>
        <v>-4832</v>
      </c>
      <c r="DG375" s="484">
        <v>-72</v>
      </c>
      <c r="DH375" s="484">
        <f>-86-DG375</f>
        <v>-14</v>
      </c>
      <c r="DI375" s="484">
        <f>-115-SUM(DG375:DH375)</f>
        <v>-29</v>
      </c>
      <c r="DJ375" s="1778">
        <f>DK375-SUM(DG375:DI375)</f>
        <v>189</v>
      </c>
      <c r="DK375" s="1422">
        <v>74</v>
      </c>
      <c r="DL375" s="401">
        <v>-15</v>
      </c>
      <c r="DM375" s="401">
        <f>-52-DL375</f>
        <v>-37</v>
      </c>
      <c r="DN375" s="401">
        <f>39-SUM(DL375:DM375)</f>
        <v>91</v>
      </c>
      <c r="DO375" s="401">
        <f>-88-SUM(DL375:DN375)</f>
        <v>-127</v>
      </c>
      <c r="DP375" s="1422">
        <f>SUM(DL375:DO375)</f>
        <v>-88</v>
      </c>
      <c r="DQ375" s="1850">
        <v>-265</v>
      </c>
      <c r="DR375" s="484">
        <f>DQ375</f>
        <v>-265</v>
      </c>
      <c r="DS375" s="484">
        <f>DR375</f>
        <v>-265</v>
      </c>
      <c r="DT375" s="1851">
        <v>0</v>
      </c>
      <c r="DU375" s="1422">
        <f>SUM(DQ375:DT375)</f>
        <v>-795</v>
      </c>
      <c r="DV375" s="1850">
        <f>DT375</f>
        <v>0</v>
      </c>
      <c r="DW375" s="484">
        <f>DV375</f>
        <v>0</v>
      </c>
      <c r="DX375" s="484">
        <f>DW375</f>
        <v>0</v>
      </c>
      <c r="DY375" s="1851">
        <f>DX375</f>
        <v>0</v>
      </c>
      <c r="DZ375" s="1422">
        <f>SUM(DV375:DY375)</f>
        <v>0</v>
      </c>
      <c r="EA375" s="1850">
        <f>DY375</f>
        <v>0</v>
      </c>
      <c r="EB375" s="484">
        <f>EA375</f>
        <v>0</v>
      </c>
      <c r="EC375" s="484">
        <f>EB375</f>
        <v>0</v>
      </c>
      <c r="ED375" s="1851">
        <f>EC375</f>
        <v>0</v>
      </c>
      <c r="EE375" s="1422">
        <f>SUM(EA375:ED375)</f>
        <v>0</v>
      </c>
    </row>
    <row r="376" spans="2:232" customFormat="1">
      <c r="B376" s="561" t="s">
        <v>276</v>
      </c>
      <c r="C376" s="736"/>
      <c r="D376" s="73"/>
      <c r="E376" s="73"/>
      <c r="F376" s="406">
        <f>0.132+57.185</f>
        <v>57.317</v>
      </c>
      <c r="G376" s="406">
        <f>0.159+17.918-9.1</f>
        <v>8.9769999999999985</v>
      </c>
      <c r="H376" s="406">
        <f>1.073+51.349-2.151</f>
        <v>50.271000000000001</v>
      </c>
      <c r="I376" s="406">
        <f>1+0.815-2</f>
        <v>-0.18500000000000005</v>
      </c>
      <c r="J376" s="406">
        <f>30.51</f>
        <v>30.51</v>
      </c>
      <c r="K376" s="406"/>
      <c r="L376" s="406"/>
      <c r="M376" s="406"/>
      <c r="N376" s="406"/>
      <c r="O376" s="406">
        <v>0</v>
      </c>
      <c r="P376" s="406"/>
      <c r="Q376" s="406"/>
      <c r="R376" s="406"/>
      <c r="S376" s="406"/>
      <c r="T376" s="406">
        <v>0</v>
      </c>
      <c r="U376" s="406"/>
      <c r="V376" s="406"/>
      <c r="W376" s="406"/>
      <c r="X376" s="406"/>
      <c r="Y376" s="406">
        <v>0</v>
      </c>
      <c r="Z376" s="406"/>
      <c r="AA376" s="406"/>
      <c r="AB376" s="406"/>
      <c r="AC376" s="406"/>
      <c r="AD376" s="406">
        <v>0</v>
      </c>
      <c r="AE376" s="406"/>
      <c r="AF376" s="406"/>
      <c r="AG376" s="406"/>
      <c r="AH376" s="406"/>
      <c r="AI376" s="406">
        <v>0</v>
      </c>
      <c r="AJ376" s="406"/>
      <c r="AK376" s="406"/>
      <c r="AL376" s="406"/>
      <c r="AM376" s="406"/>
      <c r="AN376" s="406">
        <v>0</v>
      </c>
      <c r="AO376" s="406"/>
      <c r="AP376" s="406"/>
      <c r="AQ376" s="406"/>
      <c r="AR376" s="406"/>
      <c r="AS376" s="406">
        <f>AN376</f>
        <v>0</v>
      </c>
      <c r="AT376" s="406"/>
      <c r="AU376" s="406"/>
      <c r="AV376" s="406"/>
      <c r="AW376" s="406"/>
      <c r="AX376" s="406"/>
      <c r="AY376" s="406"/>
      <c r="AZ376" s="406"/>
      <c r="BA376" s="406"/>
      <c r="BB376" s="406"/>
      <c r="BC376" s="406"/>
      <c r="BD376" s="406"/>
      <c r="BE376" s="406"/>
      <c r="BF376" s="406"/>
      <c r="BG376" s="406"/>
      <c r="BH376" s="406"/>
      <c r="BI376" s="406"/>
      <c r="BJ376" s="406"/>
      <c r="BK376" s="406"/>
      <c r="BL376" s="406"/>
      <c r="BM376" s="406"/>
      <c r="BN376" s="406"/>
      <c r="BO376" s="406"/>
      <c r="BP376" s="406"/>
      <c r="BQ376" s="406"/>
      <c r="BR376" s="406"/>
      <c r="BS376" s="121"/>
      <c r="BT376" s="73"/>
      <c r="BU376" s="73"/>
      <c r="BV376" s="75"/>
      <c r="BW376" s="406">
        <v>9.8000000000000007</v>
      </c>
      <c r="BX376" s="121"/>
      <c r="BY376" s="73">
        <f>-1150+500</f>
        <v>-650</v>
      </c>
      <c r="BZ376" s="73">
        <f>-1400+1300-SUM(BX376:BY376)</f>
        <v>550</v>
      </c>
      <c r="CA376" s="75">
        <f>CB376-SUM(BX376:BZ376)</f>
        <v>-400</v>
      </c>
      <c r="CB376" s="399">
        <f>-2600+2100</f>
        <v>-500</v>
      </c>
      <c r="CC376" s="121">
        <v>0</v>
      </c>
      <c r="CD376" s="73">
        <v>0</v>
      </c>
      <c r="CE376" s="73">
        <f>-31-SUM(CC376:CD376)</f>
        <v>-31</v>
      </c>
      <c r="CF376" s="73">
        <f>-32-SUM(CC376:CE376)</f>
        <v>-1</v>
      </c>
      <c r="CG376" s="783">
        <f>SUM(CC376:CF376)</f>
        <v>-32</v>
      </c>
      <c r="CH376" s="73">
        <v>-11</v>
      </c>
      <c r="CI376" s="73">
        <f>-27-CH376</f>
        <v>-16</v>
      </c>
      <c r="CJ376" s="73">
        <f>-17-SUM(CH376:CI376)</f>
        <v>10</v>
      </c>
      <c r="CK376" s="73">
        <f>-12-191-SUM(CH376:CJ376)</f>
        <v>-186</v>
      </c>
      <c r="CL376" s="783">
        <f>SUM(CH376:CK376)</f>
        <v>-203</v>
      </c>
      <c r="CM376" s="73">
        <v>-3</v>
      </c>
      <c r="CN376" s="73">
        <f>-14-CM376</f>
        <v>-11</v>
      </c>
      <c r="CO376" s="73">
        <f>-22-SUM(CM376:CN376)</f>
        <v>-8</v>
      </c>
      <c r="CP376" s="73">
        <f>-63+191-SUM(CM376:CO376)</f>
        <v>150</v>
      </c>
      <c r="CQ376" s="783">
        <f>SUM(CM376:CP376)</f>
        <v>128</v>
      </c>
      <c r="CR376" s="189">
        <v>-12</v>
      </c>
      <c r="CS376" s="76">
        <f>-28-49-CR376</f>
        <v>-65</v>
      </c>
      <c r="CT376" s="76">
        <f>-55+5-40-SUM(CR376:CS376)</f>
        <v>-13</v>
      </c>
      <c r="CU376" s="76">
        <f>-224-66+16-45-SUM(CR376:CT376)</f>
        <v>-229</v>
      </c>
      <c r="CV376" s="783">
        <f>SUM(CR376:CU376)</f>
        <v>-319</v>
      </c>
      <c r="CW376" s="76">
        <f>-42-290</f>
        <v>-332</v>
      </c>
      <c r="CX376" s="76">
        <f>(-430-59)-CW376</f>
        <v>-157</v>
      </c>
      <c r="CY376" s="76">
        <f>(-493-82)-CW376-CX376</f>
        <v>-86</v>
      </c>
      <c r="CZ376" s="498">
        <f>-493-86-CY376-CX376-CW376</f>
        <v>-4</v>
      </c>
      <c r="DA376" s="783">
        <f>SUM(CW376:CZ376)</f>
        <v>-579</v>
      </c>
      <c r="DB376" s="76">
        <v>294</v>
      </c>
      <c r="DC376" s="76">
        <f>74-165-DB376</f>
        <v>-385</v>
      </c>
      <c r="DD376" s="76">
        <f>-112-41+42-174-SUM(DB376:DC376)</f>
        <v>-194</v>
      </c>
      <c r="DE376" s="404">
        <f>814+184-49+50-59+53-SUM(DB376:DD376)</f>
        <v>1278</v>
      </c>
      <c r="DF376" s="783">
        <f>SUM(DB376:DE376)</f>
        <v>993</v>
      </c>
      <c r="DG376" s="76">
        <f>54+25-25+4</f>
        <v>58</v>
      </c>
      <c r="DH376" s="76">
        <f>60-30+36-3+85-DG376</f>
        <v>90</v>
      </c>
      <c r="DI376" s="76">
        <f>60+116-1169-17-SUM(DG376:DH376)</f>
        <v>-1158</v>
      </c>
      <c r="DJ376" s="1778">
        <f>DK376-SUM(DG376:DI376)</f>
        <v>-1471</v>
      </c>
      <c r="DK376" s="807">
        <f>-2360-126+5</f>
        <v>-2481</v>
      </c>
      <c r="DL376" s="401">
        <v>20</v>
      </c>
      <c r="DM376" s="401">
        <f>36-DL376</f>
        <v>16</v>
      </c>
      <c r="DN376" s="401">
        <f>-63+48-SUM(DL376:DM376)</f>
        <v>-51</v>
      </c>
      <c r="DO376" s="401">
        <f>59+93-SUM(DL376:DN376)</f>
        <v>167</v>
      </c>
      <c r="DP376" s="807">
        <f>SUM(DL376:DO376)</f>
        <v>152</v>
      </c>
      <c r="DQ376" s="1436">
        <v>31</v>
      </c>
      <c r="DR376" s="76"/>
      <c r="DS376" s="76"/>
      <c r="DT376" s="1437"/>
      <c r="DU376" s="807">
        <f>SUM(DQ376:DT376)</f>
        <v>31</v>
      </c>
      <c r="DV376" s="1436"/>
      <c r="DW376" s="76"/>
      <c r="DX376" s="76"/>
      <c r="DY376" s="1437"/>
      <c r="DZ376" s="807">
        <f>SUM(DV376:DY376)</f>
        <v>0</v>
      </c>
      <c r="EA376" s="1436"/>
      <c r="EB376" s="76"/>
      <c r="EC376" s="76"/>
      <c r="ED376" s="1437"/>
      <c r="EE376" s="807">
        <f>SUM(EA376:ED376)</f>
        <v>0</v>
      </c>
    </row>
    <row r="377" spans="2:232" s="704" customFormat="1">
      <c r="B377" s="735" t="s">
        <v>269</v>
      </c>
      <c r="C377" s="1260"/>
      <c r="D377" s="918"/>
      <c r="E377" s="918"/>
      <c r="F377" s="919">
        <f>SUM(F372:F376)</f>
        <v>-150.20199999999997</v>
      </c>
      <c r="G377" s="919">
        <f>SUM(G372:G376)</f>
        <v>-157.28200000000001</v>
      </c>
      <c r="H377" s="919">
        <f>SUM(H372:H376)</f>
        <v>-161.411</v>
      </c>
      <c r="I377" s="919">
        <f>SUM(I372:I376)</f>
        <v>-282.27299999999997</v>
      </c>
      <c r="J377" s="919">
        <f>SUM(J372:J376)</f>
        <v>-298.642</v>
      </c>
      <c r="K377" s="919"/>
      <c r="L377" s="919"/>
      <c r="M377" s="919"/>
      <c r="N377" s="919"/>
      <c r="O377" s="919">
        <f>SUM(O372:O376)</f>
        <v>-299.31700000000001</v>
      </c>
      <c r="P377" s="919"/>
      <c r="Q377" s="919"/>
      <c r="R377" s="919"/>
      <c r="S377" s="919"/>
      <c r="T377" s="919">
        <f>SUM(T372:T376)</f>
        <v>-486.09599999999995</v>
      </c>
      <c r="U377" s="919"/>
      <c r="V377" s="919"/>
      <c r="W377" s="919"/>
      <c r="X377" s="919"/>
      <c r="Y377" s="919">
        <f>SUM(Y372:Y376)</f>
        <v>-502.27600000000007</v>
      </c>
      <c r="Z377" s="919"/>
      <c r="AA377" s="919"/>
      <c r="AB377" s="919"/>
      <c r="AC377" s="919"/>
      <c r="AD377" s="919">
        <f>SUM(AD372:AD376)</f>
        <v>-645.49999999999989</v>
      </c>
      <c r="AE377" s="919"/>
      <c r="AF377" s="919"/>
      <c r="AG377" s="919"/>
      <c r="AH377" s="919"/>
      <c r="AI377" s="919">
        <f>SUM(AI372:AI376)</f>
        <v>-1037.3999999999999</v>
      </c>
      <c r="AJ377" s="919"/>
      <c r="AK377" s="919"/>
      <c r="AL377" s="919"/>
      <c r="AM377" s="919"/>
      <c r="AN377" s="919">
        <f>SUM(AN372:AN376)</f>
        <v>-1134.5</v>
      </c>
      <c r="AO377" s="919"/>
      <c r="AP377" s="919"/>
      <c r="AQ377" s="919"/>
      <c r="AR377" s="919"/>
      <c r="AS377" s="919">
        <f>SUM(AS372:AS376)</f>
        <v>-551.9</v>
      </c>
      <c r="AT377" s="919"/>
      <c r="AU377" s="919"/>
      <c r="AV377" s="919"/>
      <c r="AW377" s="919"/>
      <c r="AX377" s="919">
        <f>SUM(AX372:AX376)</f>
        <v>-702.2</v>
      </c>
      <c r="AY377" s="919"/>
      <c r="AZ377" s="919"/>
      <c r="BA377" s="919"/>
      <c r="BB377" s="919"/>
      <c r="BC377" s="919">
        <f>SUM(BC372:BC376)</f>
        <v>-923.09999999999991</v>
      </c>
      <c r="BD377" s="919"/>
      <c r="BE377" s="919"/>
      <c r="BF377" s="919"/>
      <c r="BG377" s="919"/>
      <c r="BH377" s="919">
        <f>SUM(BH372:BH376)</f>
        <v>-1211.9440000000002</v>
      </c>
      <c r="BI377" s="919"/>
      <c r="BJ377" s="919"/>
      <c r="BK377" s="919"/>
      <c r="BL377" s="919"/>
      <c r="BM377" s="919">
        <f>SUM(BM372:BM376)</f>
        <v>-1789.5</v>
      </c>
      <c r="BN377" s="919"/>
      <c r="BO377" s="919"/>
      <c r="BP377" s="919"/>
      <c r="BQ377" s="919"/>
      <c r="BR377" s="919">
        <f t="shared" ref="BR377:DF377" si="910">SUM(BR372:BR376)</f>
        <v>-2824.8</v>
      </c>
      <c r="BS377" s="701">
        <f t="shared" si="910"/>
        <v>-531</v>
      </c>
      <c r="BT377" s="702">
        <f t="shared" si="910"/>
        <v>-589.60000000000014</v>
      </c>
      <c r="BU377" s="702">
        <f t="shared" si="910"/>
        <v>-1033.6999999999998</v>
      </c>
      <c r="BV377" s="703">
        <f t="shared" si="910"/>
        <v>-673.39999999999986</v>
      </c>
      <c r="BW377" s="919">
        <f t="shared" si="910"/>
        <v>-2817.8999999999996</v>
      </c>
      <c r="BX377" s="701">
        <f t="shared" si="910"/>
        <v>-684</v>
      </c>
      <c r="BY377" s="702">
        <f t="shared" si="910"/>
        <v>-1212</v>
      </c>
      <c r="BZ377" s="702">
        <f t="shared" si="910"/>
        <v>-40</v>
      </c>
      <c r="CA377" s="703">
        <f t="shared" si="910"/>
        <v>-840</v>
      </c>
      <c r="CB377" s="919">
        <f t="shared" si="910"/>
        <v>-2776</v>
      </c>
      <c r="CC377" s="701">
        <f t="shared" si="910"/>
        <v>-431</v>
      </c>
      <c r="CD377" s="702">
        <f t="shared" si="910"/>
        <v>-290</v>
      </c>
      <c r="CE377" s="702">
        <f t="shared" si="910"/>
        <v>-931</v>
      </c>
      <c r="CF377" s="702">
        <f t="shared" si="910"/>
        <v>378</v>
      </c>
      <c r="CG377" s="1266">
        <f t="shared" si="910"/>
        <v>-1274</v>
      </c>
      <c r="CH377" s="702">
        <f t="shared" si="910"/>
        <v>-334</v>
      </c>
      <c r="CI377" s="702">
        <f t="shared" si="910"/>
        <v>-279</v>
      </c>
      <c r="CJ377" s="702">
        <f t="shared" si="910"/>
        <v>-231</v>
      </c>
      <c r="CK377" s="702">
        <f t="shared" si="910"/>
        <v>-681</v>
      </c>
      <c r="CL377" s="1266">
        <f t="shared" si="910"/>
        <v>-1525</v>
      </c>
      <c r="CM377" s="702">
        <f t="shared" si="910"/>
        <v>-497</v>
      </c>
      <c r="CN377" s="702">
        <f t="shared" si="910"/>
        <v>-454</v>
      </c>
      <c r="CO377" s="702">
        <f t="shared" si="910"/>
        <v>-599</v>
      </c>
      <c r="CP377" s="702">
        <f t="shared" si="910"/>
        <v>-4310</v>
      </c>
      <c r="CQ377" s="1266">
        <f t="shared" si="910"/>
        <v>-5860</v>
      </c>
      <c r="CR377" s="702">
        <f t="shared" si="910"/>
        <v>-809</v>
      </c>
      <c r="CS377" s="702">
        <f t="shared" si="910"/>
        <v>-363</v>
      </c>
      <c r="CT377" s="702">
        <f t="shared" si="910"/>
        <v>-333</v>
      </c>
      <c r="CU377" s="702">
        <f t="shared" si="910"/>
        <v>-491</v>
      </c>
      <c r="CV377" s="1266">
        <f t="shared" si="910"/>
        <v>-1996</v>
      </c>
      <c r="CW377" s="702">
        <f t="shared" si="910"/>
        <v>-925</v>
      </c>
      <c r="CX377" s="702">
        <f t="shared" si="910"/>
        <v>-243</v>
      </c>
      <c r="CY377" s="702">
        <f t="shared" si="910"/>
        <v>-377</v>
      </c>
      <c r="CZ377" s="920">
        <f t="shared" si="910"/>
        <v>-186</v>
      </c>
      <c r="DA377" s="1266">
        <f t="shared" si="910"/>
        <v>-1731</v>
      </c>
      <c r="DB377" s="702">
        <f t="shared" si="910"/>
        <v>-55</v>
      </c>
      <c r="DC377" s="702">
        <f t="shared" si="910"/>
        <v>-4653</v>
      </c>
      <c r="DD377" s="702">
        <f t="shared" si="910"/>
        <v>824</v>
      </c>
      <c r="DE377" s="702">
        <f>SUM(DE372:DE376)</f>
        <v>-392</v>
      </c>
      <c r="DF377" s="1266">
        <f t="shared" si="910"/>
        <v>-4276</v>
      </c>
      <c r="DG377" s="702">
        <f t="shared" ref="DG377:DH377" si="911">SUM(DG372:DG376)</f>
        <v>-271</v>
      </c>
      <c r="DH377" s="702">
        <f t="shared" si="911"/>
        <v>-281</v>
      </c>
      <c r="DI377" s="702">
        <f t="shared" ref="DI377" si="912">SUM(DI372:DI376)</f>
        <v>-1409</v>
      </c>
      <c r="DJ377" s="702">
        <f t="shared" ref="DJ377:DU377" si="913">SUM(DJ372:DJ376)</f>
        <v>-1556</v>
      </c>
      <c r="DK377" s="1265">
        <f t="shared" si="913"/>
        <v>-3517</v>
      </c>
      <c r="DL377" s="702">
        <f t="shared" ref="DL377:DM377" si="914">SUM(DL372:DL376)</f>
        <v>89</v>
      </c>
      <c r="DM377" s="702">
        <f t="shared" si="914"/>
        <v>-286</v>
      </c>
      <c r="DN377" s="702">
        <f t="shared" ref="DN377:DO377" si="915">SUM(DN372:DN376)</f>
        <v>-255</v>
      </c>
      <c r="DO377" s="702">
        <f t="shared" si="915"/>
        <v>-391</v>
      </c>
      <c r="DP377" s="1265">
        <f t="shared" si="913"/>
        <v>-843</v>
      </c>
      <c r="DQ377" s="1803">
        <f t="shared" si="913"/>
        <v>-599</v>
      </c>
      <c r="DR377" s="702">
        <f t="shared" si="913"/>
        <v>-556.22</v>
      </c>
      <c r="DS377" s="702">
        <f t="shared" si="913"/>
        <v>-568.46</v>
      </c>
      <c r="DT377" s="1804">
        <f t="shared" si="913"/>
        <v>-472.78000000000003</v>
      </c>
      <c r="DU377" s="1265">
        <f t="shared" si="913"/>
        <v>-2196.46</v>
      </c>
      <c r="DV377" s="1803">
        <f t="shared" ref="DV377:DZ377" si="916">SUM(DV372:DV376)</f>
        <v>-385.56</v>
      </c>
      <c r="DW377" s="702">
        <f t="shared" si="916"/>
        <v>-297.04440000000005</v>
      </c>
      <c r="DX377" s="702">
        <f t="shared" si="916"/>
        <v>-309.5292</v>
      </c>
      <c r="DY377" s="1804">
        <f t="shared" si="916"/>
        <v>-482.23560000000003</v>
      </c>
      <c r="DZ377" s="1265">
        <f t="shared" si="916"/>
        <v>-1474.3692000000001</v>
      </c>
      <c r="EA377" s="1803">
        <f t="shared" ref="EA377:EE377" si="917">SUM(EA372:EA376)</f>
        <v>-393.27120000000002</v>
      </c>
      <c r="EB377" s="702">
        <f t="shared" si="917"/>
        <v>-302.98528800000008</v>
      </c>
      <c r="EC377" s="702">
        <f t="shared" si="917"/>
        <v>-315.719784</v>
      </c>
      <c r="ED377" s="1804">
        <f t="shared" si="917"/>
        <v>-491.88031200000006</v>
      </c>
      <c r="EE377" s="1265">
        <f t="shared" si="917"/>
        <v>-1503.8565840000001</v>
      </c>
      <c r="EH377"/>
      <c r="EI377"/>
      <c r="EJ377"/>
      <c r="EK377"/>
      <c r="EL377"/>
      <c r="EM377"/>
    </row>
    <row r="378" spans="2:232">
      <c r="B378" s="538"/>
      <c r="C378" s="1261"/>
      <c r="D378" s="413"/>
      <c r="E378" s="413"/>
      <c r="F378" s="504"/>
      <c r="G378" s="504"/>
      <c r="H378" s="504"/>
      <c r="I378" s="504"/>
      <c r="J378" s="504"/>
      <c r="K378" s="504"/>
      <c r="L378" s="504"/>
      <c r="M378" s="504"/>
      <c r="N378" s="504"/>
      <c r="O378" s="504"/>
      <c r="P378" s="504"/>
      <c r="Q378" s="504"/>
      <c r="R378" s="504"/>
      <c r="S378" s="504"/>
      <c r="T378" s="504"/>
      <c r="U378" s="504"/>
      <c r="V378" s="504"/>
      <c r="W378" s="504"/>
      <c r="X378" s="504"/>
      <c r="Y378" s="504"/>
      <c r="Z378" s="504"/>
      <c r="AA378" s="504"/>
      <c r="AB378" s="504"/>
      <c r="AC378" s="504"/>
      <c r="AD378" s="504"/>
      <c r="AE378" s="504"/>
      <c r="AF378" s="504"/>
      <c r="AG378" s="504"/>
      <c r="AH378" s="504"/>
      <c r="AI378" s="504"/>
      <c r="AJ378" s="504"/>
      <c r="AK378" s="504"/>
      <c r="AL378" s="504"/>
      <c r="AM378" s="504"/>
      <c r="AN378" s="504"/>
      <c r="AO378" s="504"/>
      <c r="AP378" s="504"/>
      <c r="AQ378" s="504"/>
      <c r="AR378" s="504"/>
      <c r="AS378" s="504"/>
      <c r="AT378" s="504"/>
      <c r="AU378" s="504"/>
      <c r="AV378" s="504"/>
      <c r="AW378" s="504"/>
      <c r="AX378" s="504"/>
      <c r="AY378" s="504"/>
      <c r="AZ378" s="504"/>
      <c r="BA378" s="504"/>
      <c r="BB378" s="504"/>
      <c r="BC378" s="504"/>
      <c r="BD378" s="504"/>
      <c r="BE378" s="504"/>
      <c r="BF378" s="504"/>
      <c r="BG378" s="504"/>
      <c r="BH378" s="504"/>
      <c r="BI378" s="504"/>
      <c r="BJ378" s="504"/>
      <c r="BK378" s="504"/>
      <c r="BL378" s="504"/>
      <c r="BM378" s="504"/>
      <c r="BN378" s="504"/>
      <c r="BO378" s="504"/>
      <c r="BP378" s="504"/>
      <c r="BQ378" s="504"/>
      <c r="BR378" s="504"/>
      <c r="BS378" s="121"/>
      <c r="BT378" s="73"/>
      <c r="BU378" s="73"/>
      <c r="BV378" s="75"/>
      <c r="BW378" s="406"/>
      <c r="BX378" s="121"/>
      <c r="BY378" s="73"/>
      <c r="BZ378" s="73"/>
      <c r="CA378" s="75"/>
      <c r="CB378" s="406"/>
      <c r="CC378" s="121"/>
      <c r="CD378" s="73"/>
      <c r="CE378" s="73"/>
      <c r="CF378" s="73"/>
      <c r="CG378" s="783"/>
      <c r="CH378" s="73"/>
      <c r="CI378" s="73"/>
      <c r="CJ378" s="73"/>
      <c r="CK378" s="73"/>
      <c r="CL378" s="783"/>
      <c r="CM378" s="406"/>
      <c r="CN378" s="406"/>
      <c r="CO378" s="406"/>
      <c r="CP378" s="406"/>
      <c r="CQ378" s="783"/>
      <c r="CR378" s="76"/>
      <c r="CS378" s="76"/>
      <c r="CT378" s="76"/>
      <c r="CU378" s="76"/>
      <c r="CV378" s="783"/>
      <c r="CW378" s="76"/>
      <c r="CX378" s="76"/>
      <c r="CY378" s="76"/>
      <c r="CZ378" s="498"/>
      <c r="DA378" s="783"/>
      <c r="DB378" s="76"/>
      <c r="DC378" s="76"/>
      <c r="DD378" s="76"/>
      <c r="DE378" s="76"/>
      <c r="DF378" s="1369"/>
      <c r="DG378" s="76"/>
      <c r="DH378" s="76"/>
      <c r="DI378" s="76"/>
      <c r="DJ378" s="76"/>
      <c r="DK378" s="807"/>
      <c r="DL378" s="76"/>
      <c r="DM378" s="76"/>
      <c r="DN378" s="76"/>
      <c r="DO378" s="76"/>
      <c r="DP378" s="807"/>
      <c r="DQ378" s="1436"/>
      <c r="DR378" s="76"/>
      <c r="DS378" s="76"/>
      <c r="DT378" s="1437"/>
      <c r="DU378" s="807"/>
      <c r="DV378" s="1436"/>
      <c r="DW378" s="76"/>
      <c r="DX378" s="76"/>
      <c r="DY378" s="1437"/>
      <c r="DZ378" s="807"/>
      <c r="EA378" s="1436"/>
      <c r="EB378" s="76"/>
      <c r="EC378" s="76"/>
      <c r="ED378" s="1437"/>
      <c r="EE378" s="807"/>
    </row>
    <row r="379" spans="2:232">
      <c r="B379" s="561" t="s">
        <v>278</v>
      </c>
      <c r="C379" s="1258"/>
      <c r="D379" s="354"/>
      <c r="E379" s="354"/>
      <c r="F379" s="406">
        <v>-24.46</v>
      </c>
      <c r="G379" s="406">
        <v>-5.5819999999999999</v>
      </c>
      <c r="H379" s="406">
        <v>-112.053</v>
      </c>
      <c r="I379" s="406">
        <v>-5.76</v>
      </c>
      <c r="J379" s="406">
        <v>-4.1289999999999996</v>
      </c>
      <c r="K379" s="406"/>
      <c r="L379" s="406"/>
      <c r="M379" s="406"/>
      <c r="N379" s="406"/>
      <c r="O379" s="406">
        <v>-0.436</v>
      </c>
      <c r="P379" s="406"/>
      <c r="Q379" s="406"/>
      <c r="R379" s="406"/>
      <c r="S379" s="406"/>
      <c r="T379" s="406">
        <v>-1.292</v>
      </c>
      <c r="U379" s="406"/>
      <c r="V379" s="406"/>
      <c r="W379" s="406"/>
      <c r="X379" s="406"/>
      <c r="Y379" s="406">
        <v>0</v>
      </c>
      <c r="Z379" s="406"/>
      <c r="AA379" s="406"/>
      <c r="AB379" s="406"/>
      <c r="AC379" s="406"/>
      <c r="AD379" s="406">
        <v>0</v>
      </c>
      <c r="AE379" s="406"/>
      <c r="AF379" s="406"/>
      <c r="AG379" s="406"/>
      <c r="AH379" s="406"/>
      <c r="AI379" s="406">
        <v>0</v>
      </c>
      <c r="AJ379" s="406"/>
      <c r="AK379" s="406"/>
      <c r="AL379" s="406"/>
      <c r="AM379" s="406"/>
      <c r="AN379" s="406">
        <v>440.7</v>
      </c>
      <c r="AO379" s="406"/>
      <c r="AP379" s="406"/>
      <c r="AQ379" s="406"/>
      <c r="AR379" s="406"/>
      <c r="AS379" s="406">
        <v>-440.7</v>
      </c>
      <c r="AT379" s="406"/>
      <c r="AU379" s="406"/>
      <c r="AV379" s="406"/>
      <c r="AW379" s="406"/>
      <c r="AX379" s="406">
        <v>0</v>
      </c>
      <c r="AY379" s="406"/>
      <c r="AZ379" s="406"/>
      <c r="BA379" s="406"/>
      <c r="BB379" s="406"/>
      <c r="BC379" s="406">
        <f>BC219-AX219</f>
        <v>0</v>
      </c>
      <c r="BD379" s="406"/>
      <c r="BE379" s="406"/>
      <c r="BF379" s="406"/>
      <c r="BG379" s="406"/>
      <c r="BH379" s="406">
        <f>BH219-BC219</f>
        <v>0</v>
      </c>
      <c r="BI379" s="406"/>
      <c r="BJ379" s="406"/>
      <c r="BK379" s="406"/>
      <c r="BL379" s="406"/>
      <c r="BM379" s="406">
        <f>BM219-BH219</f>
        <v>0</v>
      </c>
      <c r="BN379" s="406"/>
      <c r="BO379" s="406"/>
      <c r="BP379" s="406"/>
      <c r="BQ379" s="406"/>
      <c r="BR379" s="406">
        <f>850-141.2</f>
        <v>708.8</v>
      </c>
      <c r="BS379" s="121">
        <f>317-29</f>
        <v>288</v>
      </c>
      <c r="BT379" s="76">
        <f>-122.2-BS379-28.5</f>
        <v>-438.7</v>
      </c>
      <c r="BU379" s="73">
        <f>262.5-28.5-BT379-BS379</f>
        <v>384.70000000000005</v>
      </c>
      <c r="BV379" s="494">
        <f>BW379-SUM(BS379:BU379)</f>
        <v>221.8</v>
      </c>
      <c r="BW379" s="406">
        <f>-801.6+1285.9-28.5</f>
        <v>455.80000000000007</v>
      </c>
      <c r="BX379" s="121">
        <v>998</v>
      </c>
      <c r="BY379" s="73">
        <f>-70+987-BX379</f>
        <v>-81</v>
      </c>
      <c r="BZ379" s="73">
        <f>-70+987-SUM(BX379:BY379)</f>
        <v>0</v>
      </c>
      <c r="CA379" s="494">
        <f>CB379-SUM(BX379:BZ379)</f>
        <v>-2</v>
      </c>
      <c r="CB379" s="406">
        <f>985-70</f>
        <v>915</v>
      </c>
      <c r="CC379" s="121">
        <v>0</v>
      </c>
      <c r="CD379" s="73">
        <v>0</v>
      </c>
      <c r="CE379" s="73">
        <f>-576-SUM(CC379:CD379)</f>
        <v>-576</v>
      </c>
      <c r="CF379" s="73">
        <f>-576-SUM(CC379:CE379)</f>
        <v>0</v>
      </c>
      <c r="CG379" s="783">
        <f t="shared" ref="CG379:CG386" si="918">SUM(CC379:CF379)</f>
        <v>-576</v>
      </c>
      <c r="CH379" s="73"/>
      <c r="CI379" s="73"/>
      <c r="CJ379" s="73"/>
      <c r="CK379" s="73">
        <v>-17</v>
      </c>
      <c r="CL379" s="783">
        <f t="shared" ref="CL379:CL386" si="919">SUM(CH379:CK379)</f>
        <v>-17</v>
      </c>
      <c r="CM379" s="406"/>
      <c r="CN379" s="406"/>
      <c r="CO379" s="406"/>
      <c r="CP379" s="406">
        <f>3000</f>
        <v>3000</v>
      </c>
      <c r="CQ379" s="783">
        <f t="shared" ref="CQ379:CQ386" si="920">SUM(CM379:CP379)</f>
        <v>3000</v>
      </c>
      <c r="CR379" s="76">
        <f>4000-3000</f>
        <v>1000</v>
      </c>
      <c r="CS379" s="76">
        <f>4000-3000-CR379</f>
        <v>0</v>
      </c>
      <c r="CT379" s="76">
        <f>4000-3000-SUM(CR379:CS379)</f>
        <v>0</v>
      </c>
      <c r="CU379" s="76">
        <f>(4000-4300)-SUM(CR379:CT379)</f>
        <v>-1300</v>
      </c>
      <c r="CV379" s="783">
        <f t="shared" ref="CV379:CV386" si="921">SUM(CR379:CU379)</f>
        <v>-300</v>
      </c>
      <c r="CW379" s="76"/>
      <c r="CX379" s="76"/>
      <c r="CY379" s="192">
        <v>-550</v>
      </c>
      <c r="CZ379" s="498"/>
      <c r="DA379" s="783">
        <f t="shared" ref="DA379:DA386" si="922">SUM(CW379:CZ379)</f>
        <v>-550</v>
      </c>
      <c r="DB379" s="76">
        <v>10020</v>
      </c>
      <c r="DC379" s="1670">
        <f>-330+12279-7817-DB379</f>
        <v>-5888</v>
      </c>
      <c r="DD379" s="1670">
        <f>-251+12279-8582-SUM(DB379:DC379)</f>
        <v>-686</v>
      </c>
      <c r="DE379" s="76">
        <f>-226+12285-10472-SUM(DB379:DD379)</f>
        <v>-1859</v>
      </c>
      <c r="DF379" s="783">
        <f t="shared" ref="DF379:DF386" si="923">SUM(DB379:DE379)</f>
        <v>1587</v>
      </c>
      <c r="DG379" s="76">
        <f>52-41</f>
        <v>11</v>
      </c>
      <c r="DH379" s="1549">
        <f>-81+61-DG379</f>
        <v>-31</v>
      </c>
      <c r="DI379" s="1549">
        <f>-658-31-SUM(DG379:DH379)</f>
        <v>-669</v>
      </c>
      <c r="DJ379" s="1778">
        <f>DK379-SUM(DG379:DI379)</f>
        <v>5918</v>
      </c>
      <c r="DK379" s="1422">
        <f>29+5991-791</f>
        <v>5229</v>
      </c>
      <c r="DL379" s="401">
        <f>49-4-457</f>
        <v>-412</v>
      </c>
      <c r="DM379" s="401">
        <f>76-9-DL379</f>
        <v>479</v>
      </c>
      <c r="DN379" s="401">
        <f>277-40-SUM(DL379:DM379)</f>
        <v>170</v>
      </c>
      <c r="DO379" s="401">
        <f>33-6196-SUM(DL379:DN379)</f>
        <v>-6400</v>
      </c>
      <c r="DP379" s="1422">
        <f t="shared" ref="DP379:DP386" si="924">SUM(DL379:DO379)</f>
        <v>-6163</v>
      </c>
      <c r="DQ379" s="1850">
        <f>1026+110-92-2525</f>
        <v>-1481</v>
      </c>
      <c r="DR379" s="484">
        <f>DR227-DQ227</f>
        <v>932</v>
      </c>
      <c r="DS379" s="484">
        <f>DS227-DR227</f>
        <v>0</v>
      </c>
      <c r="DT379" s="1851">
        <f>DT227-DS227</f>
        <v>0</v>
      </c>
      <c r="DU379" s="1422">
        <f t="shared" ref="DU379:DU386" si="925">SUM(DQ379:DT379)</f>
        <v>-549</v>
      </c>
      <c r="DV379" s="1850">
        <f>DV227-DU227</f>
        <v>-1492</v>
      </c>
      <c r="DW379" s="484">
        <f>DW227-DV227</f>
        <v>0</v>
      </c>
      <c r="DX379" s="484">
        <f>DX227-DW227</f>
        <v>0</v>
      </c>
      <c r="DY379" s="1851">
        <f>DY227-DX227</f>
        <v>0</v>
      </c>
      <c r="DZ379" s="1422">
        <f t="shared" ref="DZ379:DZ386" si="926">SUM(DV379:DY379)</f>
        <v>-1492</v>
      </c>
      <c r="EA379" s="1850">
        <f>EA227-DZ227</f>
        <v>-250</v>
      </c>
      <c r="EB379" s="484">
        <f>EB227-EA227</f>
        <v>0</v>
      </c>
      <c r="EC379" s="484">
        <f>EC227-EB227</f>
        <v>0</v>
      </c>
      <c r="ED379" s="1851">
        <f>ED227-EC227</f>
        <v>0</v>
      </c>
      <c r="EE379" s="1422">
        <f t="shared" ref="EE379:EE386" si="927">SUM(EA379:ED379)</f>
        <v>-250</v>
      </c>
    </row>
    <row r="380" spans="2:232">
      <c r="B380" s="561" t="s">
        <v>454</v>
      </c>
      <c r="C380" s="539"/>
      <c r="D380" s="64"/>
      <c r="E380" s="64"/>
      <c r="F380" s="406">
        <v>-54.77</v>
      </c>
      <c r="G380" s="406">
        <v>-62.151000000000003</v>
      </c>
      <c r="H380" s="406">
        <v>-71.382000000000005</v>
      </c>
      <c r="I380" s="406">
        <v>-81.225999999999999</v>
      </c>
      <c r="J380" s="406">
        <v>-92.918999999999997</v>
      </c>
      <c r="K380" s="406"/>
      <c r="L380" s="406"/>
      <c r="M380" s="406"/>
      <c r="N380" s="406"/>
      <c r="O380" s="406">
        <v>-105.22499999999999</v>
      </c>
      <c r="P380" s="406"/>
      <c r="Q380" s="406"/>
      <c r="R380" s="406"/>
      <c r="S380" s="406"/>
      <c r="T380" s="406">
        <v>-115.6</v>
      </c>
      <c r="U380" s="406"/>
      <c r="V380" s="406"/>
      <c r="W380" s="406"/>
      <c r="X380" s="406"/>
      <c r="Y380" s="406">
        <v>-122.5</v>
      </c>
      <c r="Z380" s="406"/>
      <c r="AA380" s="406"/>
      <c r="AB380" s="406"/>
      <c r="AC380" s="406"/>
      <c r="AD380" s="406">
        <v>-128.6</v>
      </c>
      <c r="AE380" s="406"/>
      <c r="AF380" s="406"/>
      <c r="AG380" s="406"/>
      <c r="AH380" s="406"/>
      <c r="AI380" s="406">
        <v>-134.6</v>
      </c>
      <c r="AJ380" s="406"/>
      <c r="AK380" s="406"/>
      <c r="AL380" s="406"/>
      <c r="AM380" s="406"/>
      <c r="AN380" s="406">
        <v>-140.9</v>
      </c>
      <c r="AO380" s="406"/>
      <c r="AP380" s="406"/>
      <c r="AQ380" s="406"/>
      <c r="AR380" s="406"/>
      <c r="AS380" s="406">
        <v>-147</v>
      </c>
      <c r="AT380" s="406"/>
      <c r="AU380" s="406"/>
      <c r="AV380" s="406"/>
      <c r="AW380" s="406"/>
      <c r="AX380" s="406">
        <v>-152.4</v>
      </c>
      <c r="AY380" s="406"/>
      <c r="AZ380" s="406"/>
      <c r="BA380" s="406"/>
      <c r="BB380" s="406"/>
      <c r="BC380" s="406">
        <v>-176.9</v>
      </c>
      <c r="BD380" s="406"/>
      <c r="BE380" s="406"/>
      <c r="BF380" s="406"/>
      <c r="BG380" s="406"/>
      <c r="BH380" s="406">
        <v>-214.5</v>
      </c>
      <c r="BI380" s="406"/>
      <c r="BJ380" s="406"/>
      <c r="BK380" s="406"/>
      <c r="BL380" s="406"/>
      <c r="BM380" s="406">
        <v>-262.89999999999998</v>
      </c>
      <c r="BN380" s="406"/>
      <c r="BO380" s="406"/>
      <c r="BP380" s="406"/>
      <c r="BQ380" s="406"/>
      <c r="BR380" s="406">
        <v>-310.2</v>
      </c>
      <c r="BS380" s="121">
        <v>-94</v>
      </c>
      <c r="BT380" s="76">
        <f>-188.4-BS380</f>
        <v>-94.4</v>
      </c>
      <c r="BU380" s="73">
        <f>-282.5-BT380-BS380</f>
        <v>-94.1</v>
      </c>
      <c r="BV380" s="494">
        <f>BW380-SUM(BS380:BU380)</f>
        <v>-94</v>
      </c>
      <c r="BW380" s="406">
        <v>-376.5</v>
      </c>
      <c r="BX380" s="121">
        <v>-111</v>
      </c>
      <c r="BY380" s="73">
        <f>-223-BX380</f>
        <v>-112</v>
      </c>
      <c r="BZ380" s="73">
        <f>-334-SUM(BX380:BY380)</f>
        <v>-111</v>
      </c>
      <c r="CA380" s="494">
        <f>CB380-SUM(BX380:BZ380)</f>
        <v>-112</v>
      </c>
      <c r="CB380" s="406">
        <v>-446</v>
      </c>
      <c r="CC380" s="121">
        <v>-136</v>
      </c>
      <c r="CD380" s="73">
        <f>-272-CC380</f>
        <v>-136</v>
      </c>
      <c r="CE380" s="73">
        <f>-407-SUM(CC380:CD380)</f>
        <v>-135</v>
      </c>
      <c r="CF380" s="73">
        <f>-541-SUM(CC380:CE380)</f>
        <v>-134</v>
      </c>
      <c r="CG380" s="783">
        <f t="shared" si="918"/>
        <v>-541</v>
      </c>
      <c r="CH380" s="73">
        <v>-166</v>
      </c>
      <c r="CI380" s="73">
        <f>-328-CH380</f>
        <v>-162</v>
      </c>
      <c r="CJ380" s="73">
        <f>-488-SUM(CH380:CI380)</f>
        <v>-160</v>
      </c>
      <c r="CK380" s="73">
        <f>-647-SUM(CH380:CJ380)</f>
        <v>-159</v>
      </c>
      <c r="CL380" s="783">
        <f t="shared" si="919"/>
        <v>-647</v>
      </c>
      <c r="CM380" s="406">
        <v>-202</v>
      </c>
      <c r="CN380" s="406">
        <f>-398-CM380</f>
        <v>-196</v>
      </c>
      <c r="CO380" s="406">
        <f>-593-SUM(CM380:CN380)</f>
        <v>-195</v>
      </c>
      <c r="CP380" s="406">
        <f>-787-SUM(CM380:CO380)</f>
        <v>-194</v>
      </c>
      <c r="CQ380" s="783">
        <f t="shared" si="920"/>
        <v>-787</v>
      </c>
      <c r="CR380" s="406">
        <v>-260</v>
      </c>
      <c r="CS380" s="406">
        <f>-520-CR380</f>
        <v>-260</v>
      </c>
      <c r="CT380" s="406">
        <f>-780-SUM(CR380:CS380)</f>
        <v>-260</v>
      </c>
      <c r="CU380" s="406">
        <f>-1040-SUM(CR380:CT380)</f>
        <v>-260</v>
      </c>
      <c r="CV380" s="783">
        <f t="shared" si="921"/>
        <v>-1040</v>
      </c>
      <c r="CW380" s="406">
        <v>-298</v>
      </c>
      <c r="CX380" s="406">
        <f>-597-CW380</f>
        <v>-299</v>
      </c>
      <c r="CY380" s="406">
        <f>-898-CW380-CX380</f>
        <v>-301</v>
      </c>
      <c r="CZ380" s="505">
        <f>-1199-CY380-CX380-CW380</f>
        <v>-301</v>
      </c>
      <c r="DA380" s="783">
        <f t="shared" si="922"/>
        <v>-1199</v>
      </c>
      <c r="DB380" s="406">
        <v>-322</v>
      </c>
      <c r="DC380" s="406">
        <f>-642-DB380</f>
        <v>-320</v>
      </c>
      <c r="DD380" s="406">
        <f>-1013-SUM(DB380:DC380)</f>
        <v>-371</v>
      </c>
      <c r="DE380" s="406">
        <f>-1384-SUM(DB380:DD380)</f>
        <v>-371</v>
      </c>
      <c r="DF380" s="783">
        <f t="shared" si="923"/>
        <v>-1384</v>
      </c>
      <c r="DG380" s="406">
        <v>-393</v>
      </c>
      <c r="DH380" s="406">
        <f>-787-DG380</f>
        <v>-394</v>
      </c>
      <c r="DI380" s="406">
        <f>-1174-SUM(DG380:DH380)</f>
        <v>-387</v>
      </c>
      <c r="DJ380" s="1778">
        <f>DK380-SUM(DG380:DI380)</f>
        <v>-389</v>
      </c>
      <c r="DK380" s="783">
        <v>-1563</v>
      </c>
      <c r="DL380" s="401">
        <v>-406</v>
      </c>
      <c r="DM380" s="401">
        <f>-817-DL380</f>
        <v>-411</v>
      </c>
      <c r="DN380" s="401">
        <f>-1228-SUM(DL380:DM380)</f>
        <v>-411</v>
      </c>
      <c r="DO380" s="401">
        <f>-1723-SUM(DL380:DN380)</f>
        <v>-495</v>
      </c>
      <c r="DP380" s="783">
        <f t="shared" si="924"/>
        <v>-1723</v>
      </c>
      <c r="DQ380" s="1802">
        <v>-413</v>
      </c>
      <c r="DR380" s="406">
        <f>DR302</f>
        <v>-443.52243832490007</v>
      </c>
      <c r="DS380" s="406">
        <f ca="1">DS302</f>
        <v>-443.52243832490001</v>
      </c>
      <c r="DT380" s="1754">
        <f ca="1">DT302</f>
        <v>-443.52243832490001</v>
      </c>
      <c r="DU380" s="783">
        <f t="shared" ca="1" si="925"/>
        <v>-1743.5673149747004</v>
      </c>
      <c r="DV380" s="1802">
        <f>DV302</f>
        <v>-481.86895045007299</v>
      </c>
      <c r="DW380" s="406">
        <f>DW302</f>
        <v>-475.86321874275592</v>
      </c>
      <c r="DX380" s="406">
        <f ca="1">DX302</f>
        <v>-469.85748703543874</v>
      </c>
      <c r="DY380" s="1754">
        <f ca="1">DY302</f>
        <v>-463.85175532812167</v>
      </c>
      <c r="DZ380" s="783">
        <f t="shared" ca="1" si="926"/>
        <v>-1891.4414115563893</v>
      </c>
      <c r="EA380" s="1802">
        <f>EA302</f>
        <v>-503.63062598288508</v>
      </c>
      <c r="EB380" s="406">
        <f>EB302</f>
        <v>-497.0243211048363</v>
      </c>
      <c r="EC380" s="406">
        <f ca="1">EC302</f>
        <v>-490.41801622678747</v>
      </c>
      <c r="ED380" s="1754">
        <f ca="1">ED302</f>
        <v>-483.8117113487387</v>
      </c>
      <c r="EE380" s="783">
        <f t="shared" ca="1" si="927"/>
        <v>-1974.8846746632476</v>
      </c>
    </row>
    <row r="381" spans="2:232">
      <c r="B381" s="561" t="s">
        <v>152</v>
      </c>
      <c r="C381" s="1261"/>
      <c r="D381" s="413"/>
      <c r="E381" s="413"/>
      <c r="F381" s="406">
        <v>-5.9859999999999998</v>
      </c>
      <c r="G381" s="406">
        <v>-0.65300000000000002</v>
      </c>
      <c r="H381" s="406">
        <v>-12.592000000000001</v>
      </c>
      <c r="I381" s="406">
        <v>4.3</v>
      </c>
      <c r="J381" s="406">
        <v>-5.8490000000000002</v>
      </c>
      <c r="K381" s="406"/>
      <c r="L381" s="406"/>
      <c r="M381" s="406"/>
      <c r="N381" s="406"/>
      <c r="O381" s="406">
        <v>-12.928000000000001</v>
      </c>
      <c r="P381" s="406"/>
      <c r="Q381" s="406"/>
      <c r="R381" s="406"/>
      <c r="S381" s="406"/>
      <c r="T381" s="406">
        <v>16.878</v>
      </c>
      <c r="U381" s="406"/>
      <c r="V381" s="406"/>
      <c r="W381" s="406"/>
      <c r="X381" s="406"/>
      <c r="Y381" s="406">
        <v>105.116</v>
      </c>
      <c r="Z381" s="406"/>
      <c r="AA381" s="406"/>
      <c r="AB381" s="406"/>
      <c r="AC381" s="406"/>
      <c r="AD381" s="406">
        <v>105</v>
      </c>
      <c r="AE381" s="406"/>
      <c r="AF381" s="406"/>
      <c r="AG381" s="406"/>
      <c r="AH381" s="406"/>
      <c r="AI381" s="406">
        <v>79.2</v>
      </c>
      <c r="AJ381" s="406"/>
      <c r="AK381" s="406"/>
      <c r="AL381" s="406"/>
      <c r="AM381" s="406"/>
      <c r="AN381" s="406">
        <v>126.1</v>
      </c>
      <c r="AO381" s="406"/>
      <c r="AP381" s="406"/>
      <c r="AQ381" s="406"/>
      <c r="AR381" s="406"/>
      <c r="AS381" s="406">
        <v>136.5</v>
      </c>
      <c r="AT381" s="406"/>
      <c r="AU381" s="406"/>
      <c r="AV381" s="406"/>
      <c r="AW381" s="406"/>
      <c r="AX381" s="406">
        <v>82</v>
      </c>
      <c r="AY381" s="406"/>
      <c r="AZ381" s="406"/>
      <c r="BA381" s="406"/>
      <c r="BB381" s="406"/>
      <c r="BC381" s="406">
        <v>145.1</v>
      </c>
      <c r="BD381" s="406"/>
      <c r="BE381" s="406"/>
      <c r="BF381" s="406"/>
      <c r="BG381" s="406"/>
      <c r="BH381" s="406">
        <v>177.5</v>
      </c>
      <c r="BI381" s="406"/>
      <c r="BJ381" s="406"/>
      <c r="BK381" s="406"/>
      <c r="BL381" s="406"/>
      <c r="BM381" s="406">
        <v>277.5</v>
      </c>
      <c r="BN381" s="406"/>
      <c r="BO381" s="406"/>
      <c r="BP381" s="406"/>
      <c r="BQ381" s="406"/>
      <c r="BR381" s="406">
        <v>266.10000000000002</v>
      </c>
      <c r="BS381" s="121">
        <v>68</v>
      </c>
      <c r="BT381" s="76">
        <f>106.4-BS381</f>
        <v>38.400000000000006</v>
      </c>
      <c r="BU381" s="73">
        <f>160.9-BT381-BS381</f>
        <v>54.5</v>
      </c>
      <c r="BV381" s="494">
        <f>BW381-SUM(BS381:BU381)</f>
        <v>48.900000000000006</v>
      </c>
      <c r="BW381" s="406">
        <v>209.8</v>
      </c>
      <c r="BX381" s="121">
        <v>32</v>
      </c>
      <c r="BY381" s="73">
        <f>77-BX381</f>
        <v>45</v>
      </c>
      <c r="BZ381" s="73">
        <f>106-SUM(BX381:BY381)</f>
        <v>29</v>
      </c>
      <c r="CA381" s="494">
        <f>CB381-SUM(BX381:BZ381)</f>
        <v>32</v>
      </c>
      <c r="CB381" s="406">
        <v>138</v>
      </c>
      <c r="CC381" s="121">
        <v>63</v>
      </c>
      <c r="CD381" s="73">
        <f>102-CC381</f>
        <v>39</v>
      </c>
      <c r="CE381" s="73">
        <f>206-SUM(CC381:CD381)</f>
        <v>104</v>
      </c>
      <c r="CF381" s="73">
        <f>233-SUM(CC381:CE381)</f>
        <v>27</v>
      </c>
      <c r="CG381" s="783">
        <f t="shared" si="918"/>
        <v>233</v>
      </c>
      <c r="CH381" s="73">
        <v>29</v>
      </c>
      <c r="CI381" s="73">
        <f>123-CH381</f>
        <v>94</v>
      </c>
      <c r="CJ381" s="73">
        <f>203-SUM(CH381:CI381)</f>
        <v>80</v>
      </c>
      <c r="CK381" s="73">
        <f>235-SUM(CH381:CJ381)</f>
        <v>32</v>
      </c>
      <c r="CL381" s="783">
        <f t="shared" si="919"/>
        <v>235</v>
      </c>
      <c r="CM381" s="406">
        <v>42</v>
      </c>
      <c r="CN381" s="406">
        <f>85-CM381</f>
        <v>43</v>
      </c>
      <c r="CO381" s="406">
        <f>120-SUM(CM381:CN381)</f>
        <v>35</v>
      </c>
      <c r="CP381" s="406">
        <f>165-SUM(CM381:CO381)</f>
        <v>45</v>
      </c>
      <c r="CQ381" s="783">
        <f t="shared" si="920"/>
        <v>165</v>
      </c>
      <c r="CR381" s="406">
        <v>45</v>
      </c>
      <c r="CS381" s="406">
        <f>170-CR381</f>
        <v>125</v>
      </c>
      <c r="CT381" s="406">
        <f>391-SUM(CR381:CS381)</f>
        <v>221</v>
      </c>
      <c r="CU381" s="406">
        <f>486-SUM(CR381:CT381)</f>
        <v>95</v>
      </c>
      <c r="CV381" s="783">
        <f t="shared" si="921"/>
        <v>486</v>
      </c>
      <c r="CW381" s="406">
        <v>173</v>
      </c>
      <c r="CX381" s="406">
        <f>416-CW381</f>
        <v>243</v>
      </c>
      <c r="CY381" s="406">
        <f>518-CW381-CX381</f>
        <v>102</v>
      </c>
      <c r="CZ381" s="505">
        <f>612-CY381-CX381-CW381</f>
        <v>94</v>
      </c>
      <c r="DA381" s="783">
        <f t="shared" si="922"/>
        <v>612</v>
      </c>
      <c r="DB381" s="406">
        <v>112</v>
      </c>
      <c r="DC381" s="406">
        <f>293-DB381</f>
        <v>181</v>
      </c>
      <c r="DD381" s="406">
        <f>400-SUM(DB381:DC381)</f>
        <v>107</v>
      </c>
      <c r="DE381" s="406">
        <f>503-SUM(DB381:DD381)</f>
        <v>103</v>
      </c>
      <c r="DF381" s="783">
        <f t="shared" si="923"/>
        <v>503</v>
      </c>
      <c r="DG381" s="406">
        <v>71</v>
      </c>
      <c r="DH381" s="406">
        <f>129-DG381</f>
        <v>58</v>
      </c>
      <c r="DI381" s="406">
        <f>175-SUM(DG381:DH381)</f>
        <v>46</v>
      </c>
      <c r="DJ381" s="1778">
        <f>DK381-SUM(DG381:DI381)</f>
        <v>60</v>
      </c>
      <c r="DK381" s="783">
        <v>235</v>
      </c>
      <c r="DL381" s="401"/>
      <c r="DM381" s="401"/>
      <c r="DN381" s="401"/>
      <c r="DO381" s="401"/>
      <c r="DP381" s="783">
        <f t="shared" si="924"/>
        <v>0</v>
      </c>
      <c r="DQ381" s="1802"/>
      <c r="DR381" s="406"/>
      <c r="DS381" s="406"/>
      <c r="DT381" s="1754"/>
      <c r="DU381" s="783">
        <f t="shared" si="925"/>
        <v>0</v>
      </c>
      <c r="DV381" s="1802"/>
      <c r="DW381" s="406"/>
      <c r="DX381" s="406"/>
      <c r="DY381" s="1754"/>
      <c r="DZ381" s="783">
        <f t="shared" si="926"/>
        <v>0</v>
      </c>
      <c r="EA381" s="1802"/>
      <c r="EB381" s="406"/>
      <c r="EC381" s="406"/>
      <c r="ED381" s="1754"/>
      <c r="EE381" s="783">
        <f t="shared" si="927"/>
        <v>0</v>
      </c>
    </row>
    <row r="382" spans="2:232">
      <c r="B382" s="561" t="s">
        <v>132</v>
      </c>
      <c r="C382" s="1261"/>
      <c r="D382" s="413"/>
      <c r="E382" s="413"/>
      <c r="F382" s="406"/>
      <c r="G382" s="406"/>
      <c r="H382" s="406"/>
      <c r="I382" s="406"/>
      <c r="J382" s="406"/>
      <c r="K382" s="406"/>
      <c r="L382" s="406"/>
      <c r="M382" s="406"/>
      <c r="N382" s="406"/>
      <c r="O382" s="406"/>
      <c r="P382" s="406"/>
      <c r="Q382" s="406"/>
      <c r="R382" s="406"/>
      <c r="S382" s="406"/>
      <c r="T382" s="406"/>
      <c r="U382" s="406"/>
      <c r="V382" s="406"/>
      <c r="W382" s="406"/>
      <c r="X382" s="406"/>
      <c r="Y382" s="406"/>
      <c r="Z382" s="406"/>
      <c r="AA382" s="406"/>
      <c r="AB382" s="406"/>
      <c r="AC382" s="406"/>
      <c r="AD382" s="406"/>
      <c r="AE382" s="406"/>
      <c r="AF382" s="406"/>
      <c r="AG382" s="406"/>
      <c r="AH382" s="406"/>
      <c r="AI382" s="406"/>
      <c r="AJ382" s="406"/>
      <c r="AK382" s="406"/>
      <c r="AL382" s="406"/>
      <c r="AM382" s="406"/>
      <c r="AN382" s="406"/>
      <c r="AO382" s="406"/>
      <c r="AP382" s="406"/>
      <c r="AQ382" s="406"/>
      <c r="AR382" s="406"/>
      <c r="AS382" s="406">
        <v>-25.4</v>
      </c>
      <c r="AT382" s="406"/>
      <c r="AU382" s="406"/>
      <c r="AV382" s="406"/>
      <c r="AW382" s="406"/>
      <c r="AX382" s="406">
        <v>-149.19999999999999</v>
      </c>
      <c r="AY382" s="406"/>
      <c r="AZ382" s="406"/>
      <c r="BA382" s="406"/>
      <c r="BB382" s="406"/>
      <c r="BC382" s="406">
        <v>-299.2</v>
      </c>
      <c r="BD382" s="406"/>
      <c r="BE382" s="406"/>
      <c r="BF382" s="406"/>
      <c r="BG382" s="406"/>
      <c r="BH382" s="406">
        <v>-781.8</v>
      </c>
      <c r="BI382" s="406"/>
      <c r="BJ382" s="406"/>
      <c r="BK382" s="406"/>
      <c r="BL382" s="406"/>
      <c r="BM382" s="406">
        <v>-668.8</v>
      </c>
      <c r="BN382" s="406"/>
      <c r="BO382" s="406"/>
      <c r="BP382" s="406"/>
      <c r="BQ382" s="406"/>
      <c r="BR382" s="406">
        <v>-1063.5</v>
      </c>
      <c r="BS382" s="121">
        <v>-78</v>
      </c>
      <c r="BT382" s="76">
        <f>-147.7-BS382</f>
        <v>-69.699999999999989</v>
      </c>
      <c r="BU382" s="73">
        <f>-220.1-BT382-BS382</f>
        <v>-72.400000000000006</v>
      </c>
      <c r="BV382" s="494">
        <f>BW382-SUM(BS382:BU382)</f>
        <v>-73.900000000000006</v>
      </c>
      <c r="BW382" s="406">
        <v>-294</v>
      </c>
      <c r="BX382" s="121">
        <v>-99</v>
      </c>
      <c r="BY382" s="73">
        <f>-140-BX382</f>
        <v>-41</v>
      </c>
      <c r="BZ382" s="73">
        <f>-140-SUM(BX382:BY382)</f>
        <v>0</v>
      </c>
      <c r="CA382" s="494">
        <f>CB382-SUM(BX382:BZ382)</f>
        <v>-140</v>
      </c>
      <c r="CB382" s="406">
        <v>-280</v>
      </c>
      <c r="CC382" s="121">
        <v>-195</v>
      </c>
      <c r="CD382" s="73">
        <f>-447-CC382</f>
        <v>-252</v>
      </c>
      <c r="CE382" s="73">
        <f>-754-SUM(CC382:CD382)</f>
        <v>-307</v>
      </c>
      <c r="CF382" s="73">
        <f>-1756-SUM(CC382:CE382)</f>
        <v>-1002</v>
      </c>
      <c r="CG382" s="783">
        <f t="shared" si="918"/>
        <v>-1756</v>
      </c>
      <c r="CH382" s="73">
        <v>-510</v>
      </c>
      <c r="CI382" s="73">
        <f>-890-CH382</f>
        <v>-380</v>
      </c>
      <c r="CJ382" s="73">
        <f>-1393-SUM(CH382:CI382)</f>
        <v>-503</v>
      </c>
      <c r="CK382" s="73">
        <f>-2028-SUM(CH382:CJ382)</f>
        <v>-635</v>
      </c>
      <c r="CL382" s="783">
        <f t="shared" si="919"/>
        <v>-2028</v>
      </c>
      <c r="CM382" s="406">
        <v>-608</v>
      </c>
      <c r="CN382" s="406">
        <f>-1015-CM382</f>
        <v>-407</v>
      </c>
      <c r="CO382" s="406">
        <f>-1191-SUM(CM382:CN382)</f>
        <v>-176</v>
      </c>
      <c r="CP382" s="406">
        <f>-1191-SUM(CM382:CO382)</f>
        <v>0</v>
      </c>
      <c r="CQ382" s="783">
        <f t="shared" si="920"/>
        <v>-1191</v>
      </c>
      <c r="CR382" s="406">
        <v>-50</v>
      </c>
      <c r="CS382" s="406">
        <f>-116-CR382</f>
        <v>-66</v>
      </c>
      <c r="CT382" s="406">
        <f>-567-SUM(CR382:CS382)</f>
        <v>-451</v>
      </c>
      <c r="CU382" s="406">
        <f>-615-SUM(CR382:CT382)</f>
        <v>-48</v>
      </c>
      <c r="CV382" s="783">
        <f t="shared" si="921"/>
        <v>-615</v>
      </c>
      <c r="CW382" s="406">
        <v>-205</v>
      </c>
      <c r="CX382" s="406">
        <f>-205-CW382</f>
        <v>0</v>
      </c>
      <c r="CY382" s="406">
        <f>-205-CW382-CX382</f>
        <v>0</v>
      </c>
      <c r="CZ382" s="505">
        <f>-705-CY382-CX382-CW382</f>
        <v>-500</v>
      </c>
      <c r="DA382" s="783">
        <f t="shared" si="922"/>
        <v>-705</v>
      </c>
      <c r="DB382" s="406">
        <v>-500</v>
      </c>
      <c r="DC382" s="406">
        <f>-594-DB382</f>
        <v>-94</v>
      </c>
      <c r="DD382" s="406">
        <f>-831-SUM(DB382:DC382)</f>
        <v>-237</v>
      </c>
      <c r="DE382" s="406">
        <f>-1226-SUM(DB382:DD382)</f>
        <v>-395</v>
      </c>
      <c r="DF382" s="783">
        <f t="shared" si="923"/>
        <v>-1226</v>
      </c>
      <c r="DG382" s="406">
        <v>-529</v>
      </c>
      <c r="DH382" s="406">
        <f>-1152-DG382</f>
        <v>-623</v>
      </c>
      <c r="DI382" s="406">
        <f>-1152-SUM(DG382:DH382)</f>
        <v>0</v>
      </c>
      <c r="DJ382" s="1778">
        <f>DK382-SUM(DG382:DI382)</f>
        <v>0</v>
      </c>
      <c r="DK382" s="783">
        <v>-1152</v>
      </c>
      <c r="DL382" s="401">
        <v>41</v>
      </c>
      <c r="DM382" s="401">
        <f>-457-DL382</f>
        <v>-498</v>
      </c>
      <c r="DN382" s="401">
        <f>-1457-SUM(DL382:DM382)</f>
        <v>-1000</v>
      </c>
      <c r="DO382" s="401">
        <f>-5220-SUM(DL382:DN382)</f>
        <v>-3763</v>
      </c>
      <c r="DP382" s="783">
        <f t="shared" si="924"/>
        <v>-5220</v>
      </c>
      <c r="DQ382" s="1802">
        <v>32</v>
      </c>
      <c r="DR382" s="406">
        <f>DR294</f>
        <v>0</v>
      </c>
      <c r="DS382" s="406">
        <f>DS294</f>
        <v>0</v>
      </c>
      <c r="DT382" s="1754">
        <f>DT294</f>
        <v>0</v>
      </c>
      <c r="DU382" s="783">
        <f t="shared" si="925"/>
        <v>32</v>
      </c>
      <c r="DV382" s="1802">
        <f>DV294</f>
        <v>-1000</v>
      </c>
      <c r="DW382" s="406">
        <f>DW294</f>
        <v>-1000</v>
      </c>
      <c r="DX382" s="406">
        <f>DX294</f>
        <v>-1000</v>
      </c>
      <c r="DY382" s="1754">
        <f>DY294</f>
        <v>-1000</v>
      </c>
      <c r="DZ382" s="783">
        <f t="shared" si="926"/>
        <v>-4000</v>
      </c>
      <c r="EA382" s="1802">
        <f>EA294</f>
        <v>-1000</v>
      </c>
      <c r="EB382" s="406">
        <f>EB294</f>
        <v>-1000</v>
      </c>
      <c r="EC382" s="406">
        <f>EC294</f>
        <v>-1000</v>
      </c>
      <c r="ED382" s="1754">
        <f>ED294</f>
        <v>-1000</v>
      </c>
      <c r="EE382" s="783">
        <f t="shared" si="927"/>
        <v>-4000</v>
      </c>
    </row>
    <row r="383" spans="2:232" ht="11.25" customHeight="1">
      <c r="B383" s="561" t="s">
        <v>332</v>
      </c>
      <c r="C383" s="539"/>
      <c r="D383" s="64"/>
      <c r="E383" s="64"/>
      <c r="F383" s="406">
        <v>-4.4740000000000002</v>
      </c>
      <c r="G383" s="406">
        <v>-4.4779999999999998</v>
      </c>
      <c r="H383" s="406">
        <v>-2.3820000000000001</v>
      </c>
      <c r="I383" s="406">
        <v>-3.3519999999999999</v>
      </c>
      <c r="J383" s="406">
        <v>3.9159999999999999</v>
      </c>
      <c r="K383" s="406"/>
      <c r="L383" s="406"/>
      <c r="M383" s="406"/>
      <c r="N383" s="406"/>
      <c r="O383" s="406">
        <v>-6.7569999999999997</v>
      </c>
      <c r="P383" s="406"/>
      <c r="Q383" s="406"/>
      <c r="R383" s="406"/>
      <c r="S383" s="406"/>
      <c r="T383" s="406">
        <v>0</v>
      </c>
      <c r="U383" s="406"/>
      <c r="V383" s="406"/>
      <c r="W383" s="406"/>
      <c r="X383" s="406"/>
      <c r="Y383" s="406">
        <v>0</v>
      </c>
      <c r="Z383" s="406"/>
      <c r="AA383" s="406"/>
      <c r="AB383" s="406"/>
      <c r="AC383" s="406"/>
      <c r="AD383" s="406">
        <v>0</v>
      </c>
      <c r="AE383" s="406"/>
      <c r="AF383" s="406"/>
      <c r="AG383" s="406"/>
      <c r="AH383" s="406"/>
      <c r="AI383" s="406">
        <v>0</v>
      </c>
      <c r="AJ383" s="406"/>
      <c r="AK383" s="406"/>
      <c r="AL383" s="406"/>
      <c r="AM383" s="406"/>
      <c r="AN383" s="406">
        <v>0</v>
      </c>
      <c r="AO383" s="406"/>
      <c r="AP383" s="406"/>
      <c r="AQ383" s="406"/>
      <c r="AR383" s="406"/>
      <c r="AS383" s="406"/>
      <c r="AT383" s="406"/>
      <c r="AU383" s="406"/>
      <c r="AV383" s="406"/>
      <c r="AW383" s="406"/>
      <c r="AX383" s="406"/>
      <c r="AY383" s="406"/>
      <c r="AZ383" s="406"/>
      <c r="BA383" s="406"/>
      <c r="BB383" s="406"/>
      <c r="BC383" s="406"/>
      <c r="BD383" s="406"/>
      <c r="BE383" s="406"/>
      <c r="BF383" s="406"/>
      <c r="BG383" s="406"/>
      <c r="BH383" s="406"/>
      <c r="BI383" s="406"/>
      <c r="BJ383" s="406"/>
      <c r="BK383" s="406"/>
      <c r="BL383" s="406"/>
      <c r="BM383" s="406"/>
      <c r="BN383" s="406"/>
      <c r="BO383" s="406"/>
      <c r="BP383" s="406"/>
      <c r="BQ383" s="406"/>
      <c r="BR383" s="406"/>
      <c r="BS383" s="121">
        <v>-3</v>
      </c>
      <c r="BT383" s="76">
        <f>0-BS383</f>
        <v>3</v>
      </c>
      <c r="BU383" s="73"/>
      <c r="BV383" s="494">
        <f>BW383-SUM(BS383:BU383)</f>
        <v>0</v>
      </c>
      <c r="BW383" s="406"/>
      <c r="BX383" s="121"/>
      <c r="BY383" s="73"/>
      <c r="BZ383" s="73"/>
      <c r="CA383" s="494">
        <f>CB383-SUM(BX383:BZ383)</f>
        <v>0</v>
      </c>
      <c r="CB383" s="406"/>
      <c r="CC383" s="121"/>
      <c r="CD383" s="73"/>
      <c r="CE383" s="73"/>
      <c r="CF383" s="73"/>
      <c r="CG383" s="783">
        <f t="shared" si="918"/>
        <v>0</v>
      </c>
      <c r="CH383" s="73"/>
      <c r="CI383" s="73"/>
      <c r="CJ383" s="73"/>
      <c r="CK383" s="73"/>
      <c r="CL383" s="783">
        <f t="shared" si="919"/>
        <v>0</v>
      </c>
      <c r="CM383" s="406"/>
      <c r="CN383" s="406"/>
      <c r="CO383" s="406"/>
      <c r="CP383" s="406"/>
      <c r="CQ383" s="783">
        <f t="shared" si="920"/>
        <v>0</v>
      </c>
      <c r="CR383" s="406"/>
      <c r="CS383" s="406"/>
      <c r="CT383" s="406"/>
      <c r="CU383" s="406"/>
      <c r="CV383" s="783">
        <f t="shared" si="921"/>
        <v>0</v>
      </c>
      <c r="CW383" s="406"/>
      <c r="CX383" s="406"/>
      <c r="CY383" s="406"/>
      <c r="CZ383" s="505"/>
      <c r="DA383" s="783">
        <f t="shared" si="922"/>
        <v>0</v>
      </c>
      <c r="DB383" s="406"/>
      <c r="DC383" s="406"/>
      <c r="DD383" s="406"/>
      <c r="DE383" s="406"/>
      <c r="DF383" s="783">
        <f t="shared" si="923"/>
        <v>0</v>
      </c>
      <c r="DG383" s="406"/>
      <c r="DH383" s="406"/>
      <c r="DI383" s="406"/>
      <c r="DJ383" s="406"/>
      <c r="DK383" s="783">
        <f t="shared" ref="DK383:DK386" si="928">SUM(DG383:DJ383)</f>
        <v>0</v>
      </c>
      <c r="DL383" s="406"/>
      <c r="DM383" s="406"/>
      <c r="DN383" s="406"/>
      <c r="DO383" s="406"/>
      <c r="DP383" s="783">
        <f t="shared" si="924"/>
        <v>0</v>
      </c>
      <c r="DQ383" s="1802"/>
      <c r="DR383" s="406"/>
      <c r="DS383" s="406"/>
      <c r="DT383" s="1754"/>
      <c r="DU383" s="783">
        <f t="shared" si="925"/>
        <v>0</v>
      </c>
      <c r="DV383" s="1802"/>
      <c r="DW383" s="406"/>
      <c r="DX383" s="406"/>
      <c r="DY383" s="1754"/>
      <c r="DZ383" s="783">
        <f t="shared" si="926"/>
        <v>0</v>
      </c>
      <c r="EA383" s="1802"/>
      <c r="EB383" s="406"/>
      <c r="EC383" s="406"/>
      <c r="ED383" s="1754"/>
      <c r="EE383" s="783">
        <f t="shared" si="927"/>
        <v>0</v>
      </c>
    </row>
    <row r="384" spans="2:232" ht="11.25" customHeight="1">
      <c r="B384" s="561" t="s">
        <v>127</v>
      </c>
      <c r="C384" s="539"/>
      <c r="D384" s="64"/>
      <c r="E384" s="64"/>
      <c r="F384" s="406"/>
      <c r="G384" s="406"/>
      <c r="H384" s="406"/>
      <c r="I384" s="406"/>
      <c r="J384" s="406"/>
      <c r="K384" s="406"/>
      <c r="L384" s="406"/>
      <c r="M384" s="406"/>
      <c r="N384" s="406"/>
      <c r="O384" s="406"/>
      <c r="P384" s="406"/>
      <c r="Q384" s="406"/>
      <c r="R384" s="406"/>
      <c r="S384" s="406"/>
      <c r="T384" s="406"/>
      <c r="U384" s="406"/>
      <c r="V384" s="406"/>
      <c r="W384" s="406"/>
      <c r="X384" s="406"/>
      <c r="Y384" s="406"/>
      <c r="Z384" s="406"/>
      <c r="AA384" s="406"/>
      <c r="AB384" s="406"/>
      <c r="AC384" s="406"/>
      <c r="AD384" s="406"/>
      <c r="AE384" s="406"/>
      <c r="AF384" s="406"/>
      <c r="AG384" s="406"/>
      <c r="AH384" s="406"/>
      <c r="AI384" s="406"/>
      <c r="AJ384" s="406"/>
      <c r="AK384" s="406"/>
      <c r="AL384" s="406"/>
      <c r="AM384" s="406"/>
      <c r="AN384" s="406"/>
      <c r="AO384" s="406"/>
      <c r="AP384" s="406"/>
      <c r="AQ384" s="406"/>
      <c r="AR384" s="406"/>
      <c r="AS384" s="406">
        <v>0</v>
      </c>
      <c r="AT384" s="406"/>
      <c r="AU384" s="406"/>
      <c r="AV384" s="406"/>
      <c r="AW384" s="406"/>
      <c r="AX384" s="406">
        <v>0</v>
      </c>
      <c r="AY384" s="406"/>
      <c r="AZ384" s="406"/>
      <c r="BA384" s="406"/>
      <c r="BB384" s="406"/>
      <c r="BC384" s="406">
        <v>0</v>
      </c>
      <c r="BD384" s="406"/>
      <c r="BE384" s="406"/>
      <c r="BF384" s="406"/>
      <c r="BG384" s="406"/>
      <c r="BH384" s="406">
        <v>0</v>
      </c>
      <c r="BI384" s="406"/>
      <c r="BJ384" s="406"/>
      <c r="BK384" s="406"/>
      <c r="BL384" s="406"/>
      <c r="BM384" s="406">
        <v>0</v>
      </c>
      <c r="BN384" s="406"/>
      <c r="BO384" s="406"/>
      <c r="BP384" s="406"/>
      <c r="BQ384" s="406"/>
      <c r="BR384" s="406">
        <v>0.2</v>
      </c>
      <c r="BS384" s="121"/>
      <c r="BT384" s="76"/>
      <c r="BU384" s="73"/>
      <c r="BV384" s="75"/>
      <c r="BW384" s="406">
        <v>0</v>
      </c>
      <c r="BX384" s="121"/>
      <c r="BY384" s="73"/>
      <c r="BZ384" s="73"/>
      <c r="CA384" s="75"/>
      <c r="CB384" s="406">
        <v>0</v>
      </c>
      <c r="CC384" s="121"/>
      <c r="CD384" s="73"/>
      <c r="CE384" s="73"/>
      <c r="CF384" s="73"/>
      <c r="CG384" s="783">
        <f t="shared" si="918"/>
        <v>0</v>
      </c>
      <c r="CH384" s="73"/>
      <c r="CI384" s="73"/>
      <c r="CJ384" s="73"/>
      <c r="CK384" s="73"/>
      <c r="CL384" s="783">
        <f t="shared" si="919"/>
        <v>0</v>
      </c>
      <c r="CM384" s="406"/>
      <c r="CN384" s="406"/>
      <c r="CO384" s="406"/>
      <c r="CP384" s="406">
        <v>0</v>
      </c>
      <c r="CQ384" s="783">
        <f t="shared" si="920"/>
        <v>0</v>
      </c>
      <c r="CR384" s="406"/>
      <c r="CS384" s="406"/>
      <c r="CT384" s="406"/>
      <c r="CU384" s="406"/>
      <c r="CV384" s="783">
        <f t="shared" si="921"/>
        <v>0</v>
      </c>
      <c r="CW384" s="406"/>
      <c r="CX384" s="406"/>
      <c r="CY384" s="406"/>
      <c r="CZ384" s="505"/>
      <c r="DA384" s="783">
        <f t="shared" si="922"/>
        <v>0</v>
      </c>
      <c r="DB384" s="406"/>
      <c r="DC384" s="406"/>
      <c r="DD384" s="406"/>
      <c r="DE384" s="406"/>
      <c r="DF384" s="783">
        <f t="shared" si="923"/>
        <v>0</v>
      </c>
      <c r="DG384" s="406"/>
      <c r="DH384" s="406"/>
      <c r="DI384" s="406"/>
      <c r="DJ384" s="406"/>
      <c r="DK384" s="783">
        <f t="shared" si="928"/>
        <v>0</v>
      </c>
      <c r="DL384" s="406"/>
      <c r="DM384" s="406"/>
      <c r="DN384" s="406"/>
      <c r="DO384" s="406"/>
      <c r="DP384" s="783">
        <f t="shared" si="924"/>
        <v>0</v>
      </c>
      <c r="DQ384" s="1802"/>
      <c r="DR384" s="406"/>
      <c r="DS384" s="406"/>
      <c r="DT384" s="1754"/>
      <c r="DU384" s="783">
        <f t="shared" si="925"/>
        <v>0</v>
      </c>
      <c r="DV384" s="1802"/>
      <c r="DW384" s="406"/>
      <c r="DX384" s="406"/>
      <c r="DY384" s="1754"/>
      <c r="DZ384" s="783">
        <f t="shared" si="926"/>
        <v>0</v>
      </c>
      <c r="EA384" s="1802"/>
      <c r="EB384" s="406"/>
      <c r="EC384" s="406"/>
      <c r="ED384" s="1754"/>
      <c r="EE384" s="783">
        <f t="shared" si="927"/>
        <v>0</v>
      </c>
    </row>
    <row r="385" spans="2:232">
      <c r="B385" s="561" t="s">
        <v>39</v>
      </c>
      <c r="C385" s="1258"/>
      <c r="D385" s="354"/>
      <c r="E385" s="354"/>
      <c r="F385" s="406">
        <v>0</v>
      </c>
      <c r="G385" s="406">
        <v>0</v>
      </c>
      <c r="H385" s="406">
        <v>0</v>
      </c>
      <c r="I385" s="406">
        <v>0</v>
      </c>
      <c r="J385" s="406">
        <v>0</v>
      </c>
      <c r="K385" s="406"/>
      <c r="L385" s="406"/>
      <c r="M385" s="406"/>
      <c r="N385" s="406"/>
      <c r="O385" s="406">
        <v>0</v>
      </c>
      <c r="P385" s="406"/>
      <c r="Q385" s="406"/>
      <c r="R385" s="406"/>
      <c r="S385" s="406"/>
      <c r="T385" s="406">
        <v>0</v>
      </c>
      <c r="U385" s="406"/>
      <c r="V385" s="406"/>
      <c r="W385" s="406"/>
      <c r="X385" s="406"/>
      <c r="Y385" s="406">
        <v>20.100000000000001</v>
      </c>
      <c r="Z385" s="406"/>
      <c r="AA385" s="406"/>
      <c r="AB385" s="406"/>
      <c r="AC385" s="406"/>
      <c r="AD385" s="406">
        <v>14.5</v>
      </c>
      <c r="AE385" s="406"/>
      <c r="AF385" s="406"/>
      <c r="AG385" s="406"/>
      <c r="AH385" s="406"/>
      <c r="AI385" s="406">
        <v>-7.9</v>
      </c>
      <c r="AJ385" s="406"/>
      <c r="AK385" s="406"/>
      <c r="AL385" s="406"/>
      <c r="AM385" s="406"/>
      <c r="AN385" s="406">
        <v>-6.5</v>
      </c>
      <c r="AO385" s="406"/>
      <c r="AP385" s="406"/>
      <c r="AQ385" s="406"/>
      <c r="AR385" s="406"/>
      <c r="AS385" s="406">
        <v>-12.3</v>
      </c>
      <c r="AT385" s="406"/>
      <c r="AU385" s="406"/>
      <c r="AV385" s="406"/>
      <c r="AW385" s="406"/>
      <c r="AX385" s="406">
        <v>-2.5</v>
      </c>
      <c r="AY385" s="406"/>
      <c r="AZ385" s="406"/>
      <c r="BA385" s="406"/>
      <c r="BB385" s="406"/>
      <c r="BC385" s="406">
        <v>28.9</v>
      </c>
      <c r="BD385" s="406"/>
      <c r="BE385" s="406"/>
      <c r="BF385" s="406"/>
      <c r="BG385" s="406"/>
      <c r="BH385" s="406">
        <f>14.4</f>
        <v>14.4</v>
      </c>
      <c r="BI385" s="406"/>
      <c r="BJ385" s="406"/>
      <c r="BK385" s="406"/>
      <c r="BL385" s="406"/>
      <c r="BM385" s="406">
        <v>-14.3</v>
      </c>
      <c r="BN385" s="406"/>
      <c r="BO385" s="406"/>
      <c r="BP385" s="406"/>
      <c r="BQ385" s="406"/>
      <c r="BR385" s="406">
        <f>-213.9-13.4</f>
        <v>-227.3</v>
      </c>
      <c r="BS385" s="121"/>
      <c r="BT385" s="76">
        <v>-4.5999999999999996</v>
      </c>
      <c r="BU385" s="73">
        <f>-12-BT385</f>
        <v>-7.4</v>
      </c>
      <c r="BV385" s="494">
        <f>BW385-SUM(BS385:BU385)</f>
        <v>-16.3</v>
      </c>
      <c r="BW385" s="406">
        <v>-28.3</v>
      </c>
      <c r="BX385" s="121">
        <v>-5</v>
      </c>
      <c r="BY385" s="73">
        <f>-9-BX385</f>
        <v>-4</v>
      </c>
      <c r="BZ385" s="73">
        <f>-15-SUM(BX385:BY385)</f>
        <v>-6</v>
      </c>
      <c r="CA385" s="494">
        <f>CB385-SUM(BX385:BZ385)</f>
        <v>-3</v>
      </c>
      <c r="CB385" s="406">
        <v>-18</v>
      </c>
      <c r="CC385" s="121">
        <v>-4</v>
      </c>
      <c r="CD385" s="73">
        <f>-11-CC385</f>
        <v>-7</v>
      </c>
      <c r="CE385" s="73">
        <f>-11-SUM(CC385:CD385)</f>
        <v>0</v>
      </c>
      <c r="CF385" s="73">
        <f>-37-SUM(CC385:CE385)</f>
        <v>-26</v>
      </c>
      <c r="CG385" s="783">
        <f t="shared" si="918"/>
        <v>-37</v>
      </c>
      <c r="CH385" s="73">
        <v>-2</v>
      </c>
      <c r="CI385" s="73">
        <f>20-CH385</f>
        <v>22</v>
      </c>
      <c r="CJ385" s="73">
        <f>13-SUM(CH385:CI385)</f>
        <v>-7</v>
      </c>
      <c r="CK385" s="73">
        <f>15-SUM(CH385:CJ385)</f>
        <v>2</v>
      </c>
      <c r="CL385" s="783">
        <f t="shared" si="919"/>
        <v>15</v>
      </c>
      <c r="CM385" s="406">
        <v>-6</v>
      </c>
      <c r="CN385" s="406">
        <f>-9-CM385</f>
        <v>-3</v>
      </c>
      <c r="CO385" s="406">
        <f>-10-SUM(CM385:CN385)</f>
        <v>-1</v>
      </c>
      <c r="CP385" s="406">
        <f>-17-SUM(CM385:CO385)</f>
        <v>-7</v>
      </c>
      <c r="CQ385" s="783">
        <f t="shared" si="920"/>
        <v>-17</v>
      </c>
      <c r="CR385" s="406">
        <v>5</v>
      </c>
      <c r="CS385" s="406">
        <f>-27-CR385</f>
        <v>-32</v>
      </c>
      <c r="CT385" s="406">
        <f>-20-SUM(CR385:CS385)</f>
        <v>7</v>
      </c>
      <c r="CU385" s="406">
        <f>-27-SUM(CR385:CT385)</f>
        <v>-7</v>
      </c>
      <c r="CV385" s="783">
        <f t="shared" si="921"/>
        <v>-27</v>
      </c>
      <c r="CW385" s="406">
        <v>-15</v>
      </c>
      <c r="CX385" s="1522">
        <f>-12-CW385</f>
        <v>3</v>
      </c>
      <c r="CY385" s="406">
        <f>(-34+225)-CW385-CX385</f>
        <v>203</v>
      </c>
      <c r="CZ385" s="505">
        <f>268-48-CY385-CX385-CW385</f>
        <v>29</v>
      </c>
      <c r="DA385" s="783">
        <f t="shared" si="922"/>
        <v>220</v>
      </c>
      <c r="DB385" s="1522">
        <f>-61-10</f>
        <v>-71</v>
      </c>
      <c r="DC385" s="1522">
        <f>-360-99-DB385</f>
        <v>-388</v>
      </c>
      <c r="DD385" s="1522">
        <f>-380-SUM(DB385:DC385)</f>
        <v>79</v>
      </c>
      <c r="DE385" s="1522">
        <f>-395-SUM(DB385:DD385)</f>
        <v>-15</v>
      </c>
      <c r="DF385" s="783">
        <f t="shared" si="923"/>
        <v>-395</v>
      </c>
      <c r="DG385" s="414">
        <v>-13</v>
      </c>
      <c r="DH385" s="414">
        <f>-29-DG385</f>
        <v>-16</v>
      </c>
      <c r="DI385" s="414">
        <f>-54-SUM(DG385:DH385)</f>
        <v>-25</v>
      </c>
      <c r="DJ385" s="1778">
        <f>DK385-SUM(DG385:DI385)</f>
        <v>-89</v>
      </c>
      <c r="DK385" s="1422">
        <v>-143</v>
      </c>
      <c r="DL385" s="401">
        <v>-1</v>
      </c>
      <c r="DM385" s="401">
        <f>116-31-DL385</f>
        <v>86</v>
      </c>
      <c r="DN385" s="401">
        <f>174-59-SUM(DL385:DM385)</f>
        <v>30</v>
      </c>
      <c r="DO385" s="401">
        <f>217-45-SUM(DL385:DN385)</f>
        <v>57</v>
      </c>
      <c r="DP385" s="1422">
        <f t="shared" si="924"/>
        <v>172</v>
      </c>
      <c r="DQ385" s="1850">
        <v>5</v>
      </c>
      <c r="DR385" s="484"/>
      <c r="DS385" s="484"/>
      <c r="DT385" s="1851"/>
      <c r="DU385" s="1422">
        <f t="shared" si="925"/>
        <v>5</v>
      </c>
      <c r="DV385" s="1850"/>
      <c r="DW385" s="484"/>
      <c r="DX385" s="484"/>
      <c r="DY385" s="1851"/>
      <c r="DZ385" s="1422">
        <f t="shared" si="926"/>
        <v>0</v>
      </c>
      <c r="EA385" s="1850"/>
      <c r="EB385" s="484"/>
      <c r="EC385" s="484"/>
      <c r="ED385" s="1851"/>
      <c r="EE385" s="1422">
        <f t="shared" si="927"/>
        <v>0</v>
      </c>
    </row>
    <row r="386" spans="2:232">
      <c r="B386" s="561" t="s">
        <v>273</v>
      </c>
      <c r="C386" s="1258"/>
      <c r="D386" s="354"/>
      <c r="E386" s="354"/>
      <c r="F386" s="406"/>
      <c r="G386" s="406"/>
      <c r="H386" s="406"/>
      <c r="I386" s="406"/>
      <c r="J386" s="406"/>
      <c r="K386" s="406"/>
      <c r="L386" s="406"/>
      <c r="M386" s="406"/>
      <c r="N386" s="406"/>
      <c r="O386" s="406"/>
      <c r="P386" s="406"/>
      <c r="Q386" s="406"/>
      <c r="R386" s="406"/>
      <c r="S386" s="406"/>
      <c r="T386" s="406"/>
      <c r="U386" s="406"/>
      <c r="V386" s="406"/>
      <c r="W386" s="406"/>
      <c r="X386" s="406"/>
      <c r="Y386" s="406"/>
      <c r="Z386" s="406"/>
      <c r="AA386" s="406"/>
      <c r="AB386" s="406"/>
      <c r="AC386" s="406"/>
      <c r="AD386" s="406"/>
      <c r="AE386" s="406"/>
      <c r="AF386" s="406"/>
      <c r="AG386" s="406"/>
      <c r="AH386" s="406"/>
      <c r="AI386" s="406"/>
      <c r="AJ386" s="406"/>
      <c r="AK386" s="406"/>
      <c r="AL386" s="406"/>
      <c r="AM386" s="406"/>
      <c r="AN386" s="406"/>
      <c r="AO386" s="406"/>
      <c r="AP386" s="406"/>
      <c r="AQ386" s="406"/>
      <c r="AR386" s="406"/>
      <c r="AS386" s="406">
        <v>0.4</v>
      </c>
      <c r="AT386" s="406"/>
      <c r="AU386" s="406"/>
      <c r="AV386" s="406"/>
      <c r="AW386" s="406"/>
      <c r="AX386" s="406">
        <v>1.4</v>
      </c>
      <c r="AY386" s="406"/>
      <c r="AZ386" s="406"/>
      <c r="BA386" s="406"/>
      <c r="BB386" s="406"/>
      <c r="BC386" s="406">
        <v>-1242.8</v>
      </c>
      <c r="BD386" s="406"/>
      <c r="BE386" s="406"/>
      <c r="BF386" s="406"/>
      <c r="BG386" s="406"/>
      <c r="BH386" s="406">
        <v>777.9</v>
      </c>
      <c r="BI386" s="406"/>
      <c r="BJ386" s="406"/>
      <c r="BK386" s="406"/>
      <c r="BL386" s="406"/>
      <c r="BM386" s="406">
        <v>106</v>
      </c>
      <c r="BN386" s="406"/>
      <c r="BO386" s="406"/>
      <c r="BP386" s="406"/>
      <c r="BQ386" s="406"/>
      <c r="BR386" s="406">
        <f>-6396.9+6826</f>
        <v>429.10000000000036</v>
      </c>
      <c r="BS386" s="121"/>
      <c r="BT386" s="73"/>
      <c r="BU386" s="73"/>
      <c r="BV386" s="75"/>
      <c r="BW386" s="406"/>
      <c r="BX386" s="121"/>
      <c r="BY386" s="73"/>
      <c r="BZ386" s="73"/>
      <c r="CA386" s="75"/>
      <c r="CB386" s="406"/>
      <c r="CC386" s="121"/>
      <c r="CD386" s="73"/>
      <c r="CE386" s="73"/>
      <c r="CF386" s="73"/>
      <c r="CG386" s="783">
        <f t="shared" si="918"/>
        <v>0</v>
      </c>
      <c r="CH386" s="73"/>
      <c r="CI386" s="73"/>
      <c r="CJ386" s="73"/>
      <c r="CK386" s="73"/>
      <c r="CL386" s="783">
        <f t="shared" si="919"/>
        <v>0</v>
      </c>
      <c r="CM386" s="406"/>
      <c r="CN386" s="406"/>
      <c r="CO386" s="406"/>
      <c r="CP386" s="406"/>
      <c r="CQ386" s="783">
        <f t="shared" si="920"/>
        <v>0</v>
      </c>
      <c r="CR386" s="406"/>
      <c r="CS386" s="406"/>
      <c r="CT386" s="406"/>
      <c r="CU386" s="406"/>
      <c r="CV386" s="783">
        <f t="shared" si="921"/>
        <v>0</v>
      </c>
      <c r="CW386" s="406"/>
      <c r="CX386" s="406"/>
      <c r="CY386" s="406"/>
      <c r="CZ386" s="505"/>
      <c r="DA386" s="783">
        <f t="shared" si="922"/>
        <v>0</v>
      </c>
      <c r="DB386" s="406"/>
      <c r="DC386" s="406"/>
      <c r="DD386" s="406"/>
      <c r="DE386" s="406"/>
      <c r="DF386" s="783">
        <f t="shared" si="923"/>
        <v>0</v>
      </c>
      <c r="DG386" s="406"/>
      <c r="DH386" s="406"/>
      <c r="DI386" s="406"/>
      <c r="DJ386" s="406"/>
      <c r="DK386" s="783">
        <f t="shared" si="928"/>
        <v>0</v>
      </c>
      <c r="DL386" s="406"/>
      <c r="DM386" s="406"/>
      <c r="DN386" s="406"/>
      <c r="DO386" s="406"/>
      <c r="DP386" s="783">
        <f t="shared" si="924"/>
        <v>0</v>
      </c>
      <c r="DQ386" s="1802"/>
      <c r="DR386" s="406"/>
      <c r="DS386" s="406"/>
      <c r="DT386" s="1754"/>
      <c r="DU386" s="783">
        <f t="shared" si="925"/>
        <v>0</v>
      </c>
      <c r="DV386" s="1802"/>
      <c r="DW386" s="406"/>
      <c r="DX386" s="406"/>
      <c r="DY386" s="1754"/>
      <c r="DZ386" s="783">
        <f t="shared" si="926"/>
        <v>0</v>
      </c>
      <c r="EA386" s="1802"/>
      <c r="EB386" s="406"/>
      <c r="EC386" s="406"/>
      <c r="ED386" s="1754"/>
      <c r="EE386" s="783">
        <f t="shared" si="927"/>
        <v>0</v>
      </c>
    </row>
    <row r="387" spans="2:232" s="704" customFormat="1">
      <c r="B387" s="735" t="s">
        <v>277</v>
      </c>
      <c r="C387" s="1260"/>
      <c r="D387" s="918"/>
      <c r="E387" s="918"/>
      <c r="F387" s="919">
        <f>SUM(F379:F385)</f>
        <v>-89.690000000000012</v>
      </c>
      <c r="G387" s="919">
        <f>SUM(G379:G385)</f>
        <v>-72.864000000000004</v>
      </c>
      <c r="H387" s="919">
        <f>SUM(H379:H385)</f>
        <v>-198.40900000000002</v>
      </c>
      <c r="I387" s="919">
        <f>SUM(I379:I385)</f>
        <v>-86.038000000000011</v>
      </c>
      <c r="J387" s="919">
        <f>SUM(J379:J385)</f>
        <v>-98.981000000000009</v>
      </c>
      <c r="K387" s="919"/>
      <c r="L387" s="919"/>
      <c r="M387" s="919"/>
      <c r="N387" s="919"/>
      <c r="O387" s="919">
        <f>SUM(O379:O385)</f>
        <v>-125.346</v>
      </c>
      <c r="P387" s="919"/>
      <c r="Q387" s="919"/>
      <c r="R387" s="919"/>
      <c r="S387" s="919"/>
      <c r="T387" s="919">
        <f>SUM(T379:T385)</f>
        <v>-100.014</v>
      </c>
      <c r="U387" s="919"/>
      <c r="V387" s="919"/>
      <c r="W387" s="919"/>
      <c r="X387" s="919"/>
      <c r="Y387" s="919">
        <f>SUM(Y379:Y385)</f>
        <v>2.7160000000000011</v>
      </c>
      <c r="Z387" s="919"/>
      <c r="AA387" s="919"/>
      <c r="AB387" s="919"/>
      <c r="AC387" s="919"/>
      <c r="AD387" s="919">
        <f>SUM(AD379:AD385)</f>
        <v>-9.0999999999999943</v>
      </c>
      <c r="AE387" s="919"/>
      <c r="AF387" s="919"/>
      <c r="AG387" s="919"/>
      <c r="AH387" s="919"/>
      <c r="AI387" s="919">
        <f>SUM(AI379:AI385)</f>
        <v>-63.29999999999999</v>
      </c>
      <c r="AJ387" s="919"/>
      <c r="AK387" s="919"/>
      <c r="AL387" s="919"/>
      <c r="AM387" s="919"/>
      <c r="AN387" s="919">
        <f>SUM(AN379:AN385)</f>
        <v>419.4</v>
      </c>
      <c r="AO387" s="919"/>
      <c r="AP387" s="919"/>
      <c r="AQ387" s="919"/>
      <c r="AR387" s="919"/>
      <c r="AS387" s="919">
        <f>SUM(AS379:AS386)</f>
        <v>-488.50000000000006</v>
      </c>
      <c r="AT387" s="919"/>
      <c r="AU387" s="919"/>
      <c r="AV387" s="919"/>
      <c r="AW387" s="919"/>
      <c r="AX387" s="919">
        <f>SUM(AX379:AX386)</f>
        <v>-220.7</v>
      </c>
      <c r="AY387" s="919"/>
      <c r="AZ387" s="919"/>
      <c r="BA387" s="919"/>
      <c r="BB387" s="919"/>
      <c r="BC387" s="919">
        <f>SUM(BC379:BC386)</f>
        <v>-1544.9</v>
      </c>
      <c r="BD387" s="919"/>
      <c r="BE387" s="919"/>
      <c r="BF387" s="919"/>
      <c r="BG387" s="919"/>
      <c r="BH387" s="919">
        <f>SUM(BH379:BH386)</f>
        <v>-26.5</v>
      </c>
      <c r="BI387" s="919"/>
      <c r="BJ387" s="919"/>
      <c r="BK387" s="919"/>
      <c r="BL387" s="919"/>
      <c r="BM387" s="919">
        <f>SUM(BM379:BM386)</f>
        <v>-562.49999999999989</v>
      </c>
      <c r="BN387" s="919"/>
      <c r="BO387" s="919"/>
      <c r="BP387" s="919"/>
      <c r="BQ387" s="919"/>
      <c r="BR387" s="919">
        <f t="shared" ref="BR387:DF387" si="929">SUM(BR379:BR386)</f>
        <v>-196.79999999999961</v>
      </c>
      <c r="BS387" s="701">
        <f t="shared" si="929"/>
        <v>181</v>
      </c>
      <c r="BT387" s="702">
        <f t="shared" si="929"/>
        <v>-566.00000000000011</v>
      </c>
      <c r="BU387" s="702">
        <f t="shared" si="929"/>
        <v>265.30000000000007</v>
      </c>
      <c r="BV387" s="703">
        <f t="shared" si="929"/>
        <v>86.500000000000014</v>
      </c>
      <c r="BW387" s="919">
        <f t="shared" si="929"/>
        <v>-33.199999999999918</v>
      </c>
      <c r="BX387" s="701">
        <f t="shared" si="929"/>
        <v>815</v>
      </c>
      <c r="BY387" s="702">
        <f t="shared" si="929"/>
        <v>-193</v>
      </c>
      <c r="BZ387" s="702">
        <f t="shared" si="929"/>
        <v>-88</v>
      </c>
      <c r="CA387" s="703">
        <f t="shared" si="929"/>
        <v>-225</v>
      </c>
      <c r="CB387" s="919">
        <f t="shared" si="929"/>
        <v>309</v>
      </c>
      <c r="CC387" s="701">
        <f t="shared" si="929"/>
        <v>-272</v>
      </c>
      <c r="CD387" s="702">
        <f t="shared" si="929"/>
        <v>-356</v>
      </c>
      <c r="CE387" s="702">
        <f t="shared" si="929"/>
        <v>-914</v>
      </c>
      <c r="CF387" s="702">
        <f t="shared" si="929"/>
        <v>-1135</v>
      </c>
      <c r="CG387" s="1266">
        <f t="shared" si="929"/>
        <v>-2677</v>
      </c>
      <c r="CH387" s="702">
        <f t="shared" si="929"/>
        <v>-649</v>
      </c>
      <c r="CI387" s="702">
        <f t="shared" si="929"/>
        <v>-426</v>
      </c>
      <c r="CJ387" s="702">
        <f t="shared" si="929"/>
        <v>-590</v>
      </c>
      <c r="CK387" s="702">
        <f t="shared" si="929"/>
        <v>-777</v>
      </c>
      <c r="CL387" s="1266">
        <f t="shared" si="929"/>
        <v>-2442</v>
      </c>
      <c r="CM387" s="919">
        <f t="shared" si="929"/>
        <v>-774</v>
      </c>
      <c r="CN387" s="919">
        <f t="shared" si="929"/>
        <v>-563</v>
      </c>
      <c r="CO387" s="919">
        <f t="shared" si="929"/>
        <v>-337</v>
      </c>
      <c r="CP387" s="919">
        <f t="shared" si="929"/>
        <v>2844</v>
      </c>
      <c r="CQ387" s="1266">
        <f t="shared" si="929"/>
        <v>1170</v>
      </c>
      <c r="CR387" s="919">
        <f t="shared" si="929"/>
        <v>740</v>
      </c>
      <c r="CS387" s="919">
        <f t="shared" si="929"/>
        <v>-233</v>
      </c>
      <c r="CT387" s="919">
        <f t="shared" si="929"/>
        <v>-483</v>
      </c>
      <c r="CU387" s="919">
        <f t="shared" si="929"/>
        <v>-1520</v>
      </c>
      <c r="CV387" s="1266">
        <f t="shared" si="929"/>
        <v>-1496</v>
      </c>
      <c r="CW387" s="919">
        <f t="shared" si="929"/>
        <v>-345</v>
      </c>
      <c r="CX387" s="919">
        <f t="shared" si="929"/>
        <v>-53</v>
      </c>
      <c r="CY387" s="919">
        <f t="shared" si="929"/>
        <v>-546</v>
      </c>
      <c r="CZ387" s="922">
        <f t="shared" si="929"/>
        <v>-678</v>
      </c>
      <c r="DA387" s="1266">
        <f t="shared" si="929"/>
        <v>-1622</v>
      </c>
      <c r="DB387" s="919">
        <f t="shared" si="929"/>
        <v>9239</v>
      </c>
      <c r="DC387" s="919">
        <f t="shared" si="929"/>
        <v>-6509</v>
      </c>
      <c r="DD387" s="919">
        <f t="shared" si="929"/>
        <v>-1108</v>
      </c>
      <c r="DE387" s="919">
        <f>SUM(DE379:DE386)</f>
        <v>-2537</v>
      </c>
      <c r="DF387" s="1266">
        <f t="shared" si="929"/>
        <v>-915</v>
      </c>
      <c r="DG387" s="919">
        <f t="shared" ref="DG387:DH387" si="930">SUM(DG379:DG386)</f>
        <v>-853</v>
      </c>
      <c r="DH387" s="919">
        <f t="shared" si="930"/>
        <v>-1006</v>
      </c>
      <c r="DI387" s="919">
        <f t="shared" ref="DI387" si="931">SUM(DI379:DI386)</f>
        <v>-1035</v>
      </c>
      <c r="DJ387" s="919">
        <f t="shared" ref="DJ387:DU387" si="932">SUM(DJ379:DJ386)</f>
        <v>5500</v>
      </c>
      <c r="DK387" s="1266">
        <f t="shared" si="932"/>
        <v>2606</v>
      </c>
      <c r="DL387" s="919">
        <f t="shared" ref="DL387:DM387" si="933">SUM(DL379:DL386)</f>
        <v>-778</v>
      </c>
      <c r="DM387" s="919">
        <f t="shared" si="933"/>
        <v>-344</v>
      </c>
      <c r="DN387" s="919">
        <f t="shared" ref="DN387:DO387" si="934">SUM(DN379:DN386)</f>
        <v>-1211</v>
      </c>
      <c r="DO387" s="919">
        <f t="shared" si="934"/>
        <v>-10601</v>
      </c>
      <c r="DP387" s="1266">
        <f t="shared" si="932"/>
        <v>-12934</v>
      </c>
      <c r="DQ387" s="1805">
        <f t="shared" si="932"/>
        <v>-1857</v>
      </c>
      <c r="DR387" s="919">
        <f t="shared" si="932"/>
        <v>488.47756167509993</v>
      </c>
      <c r="DS387" s="919">
        <f t="shared" ca="1" si="932"/>
        <v>-443.52243832490001</v>
      </c>
      <c r="DT387" s="1806">
        <f t="shared" ca="1" si="932"/>
        <v>-443.52243832490001</v>
      </c>
      <c r="DU387" s="1266">
        <f t="shared" ca="1" si="932"/>
        <v>-2255.5673149747004</v>
      </c>
      <c r="DV387" s="1805">
        <f t="shared" ref="DV387:DZ387" si="935">SUM(DV379:DV386)</f>
        <v>-2973.868950450073</v>
      </c>
      <c r="DW387" s="919">
        <f t="shared" si="935"/>
        <v>-1475.8632187427559</v>
      </c>
      <c r="DX387" s="919">
        <f t="shared" ca="1" si="935"/>
        <v>-1469.8574870354387</v>
      </c>
      <c r="DY387" s="1806">
        <f t="shared" ca="1" si="935"/>
        <v>-1463.8517553281217</v>
      </c>
      <c r="DZ387" s="1266">
        <f t="shared" ca="1" si="935"/>
        <v>-7383.4414115563895</v>
      </c>
      <c r="EA387" s="1805">
        <f t="shared" ref="EA387:EE387" si="936">SUM(EA379:EA386)</f>
        <v>-1753.630625982885</v>
      </c>
      <c r="EB387" s="919">
        <f t="shared" si="936"/>
        <v>-1497.0243211048364</v>
      </c>
      <c r="EC387" s="919">
        <f t="shared" ca="1" si="936"/>
        <v>-1490.4180162267876</v>
      </c>
      <c r="ED387" s="1806">
        <f t="shared" ca="1" si="936"/>
        <v>-1483.8117113487388</v>
      </c>
      <c r="EE387" s="1266">
        <f t="shared" ca="1" si="936"/>
        <v>-6224.884674663248</v>
      </c>
      <c r="EH387"/>
      <c r="EI387"/>
      <c r="EJ387"/>
      <c r="EK387"/>
      <c r="EL387"/>
      <c r="EM387"/>
    </row>
    <row r="388" spans="2:232" s="704" customFormat="1">
      <c r="B388" s="1712"/>
      <c r="C388" s="1713"/>
      <c r="D388" s="1714"/>
      <c r="E388" s="1714"/>
      <c r="F388" s="1715"/>
      <c r="G388" s="1715"/>
      <c r="H388" s="1715"/>
      <c r="I388" s="1715"/>
      <c r="J388" s="1715"/>
      <c r="K388" s="1715"/>
      <c r="L388" s="1715"/>
      <c r="M388" s="1715"/>
      <c r="N388" s="1715"/>
      <c r="O388" s="1715"/>
      <c r="P388" s="1715"/>
      <c r="Q388" s="1715"/>
      <c r="R388" s="1715"/>
      <c r="S388" s="1715"/>
      <c r="T388" s="1715"/>
      <c r="U388" s="1715"/>
      <c r="V388" s="1715"/>
      <c r="W388" s="1715"/>
      <c r="X388" s="1715"/>
      <c r="Y388" s="1715"/>
      <c r="Z388" s="1715"/>
      <c r="AA388" s="1715"/>
      <c r="AB388" s="1715"/>
      <c r="AC388" s="1715"/>
      <c r="AD388" s="1715"/>
      <c r="AE388" s="1715"/>
      <c r="AF388" s="1715"/>
      <c r="AG388" s="1715"/>
      <c r="AH388" s="1715"/>
      <c r="AI388" s="1715"/>
      <c r="AJ388" s="1715"/>
      <c r="AK388" s="1715"/>
      <c r="AL388" s="1715"/>
      <c r="AM388" s="1715"/>
      <c r="AN388" s="1715"/>
      <c r="AO388" s="1715"/>
      <c r="AP388" s="1715"/>
      <c r="AQ388" s="1715"/>
      <c r="AR388" s="1715"/>
      <c r="AS388" s="1715"/>
      <c r="AT388" s="1715"/>
      <c r="AU388" s="1715"/>
      <c r="AV388" s="1715"/>
      <c r="AW388" s="1715"/>
      <c r="AX388" s="1715"/>
      <c r="AY388" s="1715"/>
      <c r="AZ388" s="1715"/>
      <c r="BA388" s="1715"/>
      <c r="BB388" s="1715"/>
      <c r="BC388" s="1715"/>
      <c r="BD388" s="1715"/>
      <c r="BE388" s="1715"/>
      <c r="BF388" s="1715"/>
      <c r="BG388" s="1715"/>
      <c r="BH388" s="1715"/>
      <c r="BI388" s="1715"/>
      <c r="BJ388" s="1715"/>
      <c r="BK388" s="1715"/>
      <c r="BL388" s="1715"/>
      <c r="BM388" s="1715"/>
      <c r="BN388" s="1715"/>
      <c r="BO388" s="1715"/>
      <c r="BP388" s="1715"/>
      <c r="BQ388" s="1715"/>
      <c r="BR388" s="1715"/>
      <c r="BS388" s="1716"/>
      <c r="BT388" s="1717"/>
      <c r="BU388" s="1717"/>
      <c r="BV388" s="1718"/>
      <c r="BW388" s="1715"/>
      <c r="BX388" s="1716"/>
      <c r="BY388" s="1717"/>
      <c r="BZ388" s="1717"/>
      <c r="CA388" s="1718"/>
      <c r="CB388" s="1715"/>
      <c r="CC388" s="1716"/>
      <c r="CD388" s="1717"/>
      <c r="CE388" s="1717"/>
      <c r="CF388" s="1717"/>
      <c r="CG388" s="1719"/>
      <c r="CH388" s="1717"/>
      <c r="CI388" s="1717"/>
      <c r="CJ388" s="1717"/>
      <c r="CK388" s="1717"/>
      <c r="CL388" s="1719"/>
      <c r="CM388" s="1715"/>
      <c r="CN388" s="1715"/>
      <c r="CO388" s="1715"/>
      <c r="CP388" s="1715"/>
      <c r="CQ388" s="1719"/>
      <c r="CR388" s="1715"/>
      <c r="CS388" s="1715"/>
      <c r="CT388" s="1715"/>
      <c r="CU388" s="1715"/>
      <c r="CV388" s="1719"/>
      <c r="CW388" s="1715"/>
      <c r="CX388" s="1715"/>
      <c r="CY388" s="1715"/>
      <c r="CZ388" s="1720"/>
      <c r="DA388" s="1719"/>
      <c r="DB388" s="1715"/>
      <c r="DC388" s="1715"/>
      <c r="DD388" s="1715"/>
      <c r="DE388" s="1715"/>
      <c r="DF388" s="1721"/>
      <c r="DG388" s="1715"/>
      <c r="DH388" s="1715"/>
      <c r="DI388" s="1715"/>
      <c r="DJ388" s="1715"/>
      <c r="DK388" s="1719"/>
      <c r="DL388" s="1715"/>
      <c r="DM388" s="1715"/>
      <c r="DN388" s="1715"/>
      <c r="DO388" s="1715"/>
      <c r="DP388" s="1719"/>
      <c r="DQ388" s="1807"/>
      <c r="DR388" s="1715"/>
      <c r="DS388" s="1715"/>
      <c r="DT388" s="1808"/>
      <c r="DU388" s="1719"/>
      <c r="DV388" s="1807"/>
      <c r="DW388" s="1715"/>
      <c r="DX388" s="1715"/>
      <c r="DY388" s="1808"/>
      <c r="DZ388" s="1719"/>
      <c r="EA388" s="1807"/>
      <c r="EB388" s="1715"/>
      <c r="EC388" s="1715"/>
      <c r="ED388" s="1808"/>
      <c r="EE388" s="1719"/>
      <c r="EH388"/>
      <c r="EI388"/>
      <c r="EJ388"/>
      <c r="EK388"/>
      <c r="EL388"/>
      <c r="EM388"/>
    </row>
    <row r="389" spans="2:232" s="704" customFormat="1">
      <c r="B389" s="1712" t="s">
        <v>477</v>
      </c>
      <c r="C389" s="1713"/>
      <c r="D389" s="1714"/>
      <c r="E389" s="1714"/>
      <c r="F389" s="1715"/>
      <c r="G389" s="1715"/>
      <c r="H389" s="1715"/>
      <c r="I389" s="1715"/>
      <c r="J389" s="1715"/>
      <c r="K389" s="1715"/>
      <c r="L389" s="1715"/>
      <c r="M389" s="1715"/>
      <c r="N389" s="1715"/>
      <c r="O389" s="1715"/>
      <c r="P389" s="1715"/>
      <c r="Q389" s="1715"/>
      <c r="R389" s="1715"/>
      <c r="S389" s="1715"/>
      <c r="T389" s="1715"/>
      <c r="U389" s="1715"/>
      <c r="V389" s="1715"/>
      <c r="W389" s="1715"/>
      <c r="X389" s="1715"/>
      <c r="Y389" s="1715"/>
      <c r="Z389" s="1715"/>
      <c r="AA389" s="1715"/>
      <c r="AB389" s="1715"/>
      <c r="AC389" s="1715"/>
      <c r="AD389" s="1715"/>
      <c r="AE389" s="1715"/>
      <c r="AF389" s="1715"/>
      <c r="AG389" s="1715"/>
      <c r="AH389" s="1715"/>
      <c r="AI389" s="1715"/>
      <c r="AJ389" s="1715"/>
      <c r="AK389" s="1715"/>
      <c r="AL389" s="1715"/>
      <c r="AM389" s="1715"/>
      <c r="AN389" s="1715"/>
      <c r="AO389" s="1715"/>
      <c r="AP389" s="1715"/>
      <c r="AQ389" s="1715"/>
      <c r="AR389" s="1715"/>
      <c r="AS389" s="1715"/>
      <c r="AT389" s="1715"/>
      <c r="AU389" s="1715"/>
      <c r="AV389" s="1715"/>
      <c r="AW389" s="1715"/>
      <c r="AX389" s="1715"/>
      <c r="AY389" s="1715"/>
      <c r="AZ389" s="1715"/>
      <c r="BA389" s="1715"/>
      <c r="BB389" s="1715"/>
      <c r="BC389" s="1715"/>
      <c r="BD389" s="1715"/>
      <c r="BE389" s="1715"/>
      <c r="BF389" s="1715"/>
      <c r="BG389" s="1715"/>
      <c r="BH389" s="1715"/>
      <c r="BI389" s="1715"/>
      <c r="BJ389" s="1715"/>
      <c r="BK389" s="1715"/>
      <c r="BL389" s="1715"/>
      <c r="BM389" s="1715"/>
      <c r="BN389" s="1715"/>
      <c r="BO389" s="1715"/>
      <c r="BP389" s="1715"/>
      <c r="BQ389" s="1715"/>
      <c r="BR389" s="1715"/>
      <c r="BS389" s="1716"/>
      <c r="BT389" s="1717"/>
      <c r="BU389" s="1717"/>
      <c r="BV389" s="1718"/>
      <c r="BW389" s="1715"/>
      <c r="BX389" s="1716"/>
      <c r="BY389" s="1717"/>
      <c r="BZ389" s="1717"/>
      <c r="CA389" s="1718"/>
      <c r="CB389" s="1715"/>
      <c r="CC389" s="1716"/>
      <c r="CD389" s="1717"/>
      <c r="CE389" s="1717"/>
      <c r="CF389" s="1717"/>
      <c r="CG389" s="1719"/>
      <c r="CH389" s="1717"/>
      <c r="CI389" s="1717"/>
      <c r="CJ389" s="1717"/>
      <c r="CK389" s="1717"/>
      <c r="CL389" s="1719"/>
      <c r="CM389" s="1715"/>
      <c r="CN389" s="1715"/>
      <c r="CO389" s="1715"/>
      <c r="CP389" s="1715"/>
      <c r="CQ389" s="1719"/>
      <c r="CR389" s="1715"/>
      <c r="CS389" s="1715"/>
      <c r="CT389" s="1715"/>
      <c r="CU389" s="1715"/>
      <c r="CV389" s="1719"/>
      <c r="CW389" s="1715"/>
      <c r="CX389" s="1715"/>
      <c r="CY389" s="1715"/>
      <c r="CZ389" s="1720"/>
      <c r="DA389" s="1719"/>
      <c r="DB389" s="1715"/>
      <c r="DC389" s="1715"/>
      <c r="DD389" s="1715">
        <v>-94</v>
      </c>
      <c r="DE389" s="1715">
        <f>-119-DD389</f>
        <v>-25</v>
      </c>
      <c r="DF389" s="783">
        <f>SUM(DB389:DE389)</f>
        <v>-119</v>
      </c>
      <c r="DG389" s="1715">
        <v>-38</v>
      </c>
      <c r="DH389" s="1715">
        <f>-88-DG389</f>
        <v>-50</v>
      </c>
      <c r="DI389" s="1715">
        <f>-43-SUM(DG389:DH389)</f>
        <v>45</v>
      </c>
      <c r="DJ389" s="1778">
        <f>DK389-SUM(DG389:DI389)</f>
        <v>-86</v>
      </c>
      <c r="DK389" s="1719">
        <v>-129</v>
      </c>
      <c r="DL389" s="401">
        <v>-45</v>
      </c>
      <c r="DM389" s="401">
        <f>-48-DL389</f>
        <v>-3</v>
      </c>
      <c r="DN389" s="401">
        <f>-6-SUM(DL389:DM389)</f>
        <v>42</v>
      </c>
      <c r="DO389" s="401">
        <f>20-SUM(DL389:DN389)</f>
        <v>26</v>
      </c>
      <c r="DP389" s="1719">
        <f>SUM(DL389:DO389)</f>
        <v>20</v>
      </c>
      <c r="DQ389" s="1807">
        <v>24</v>
      </c>
      <c r="DR389" s="1715"/>
      <c r="DS389" s="1715"/>
      <c r="DT389" s="1808"/>
      <c r="DU389" s="1719">
        <f>SUM(DQ389:DT389)</f>
        <v>24</v>
      </c>
      <c r="DV389" s="1807"/>
      <c r="DW389" s="1715"/>
      <c r="DX389" s="1715"/>
      <c r="DY389" s="1808"/>
      <c r="DZ389" s="1719">
        <f>SUM(DV389:DY389)</f>
        <v>0</v>
      </c>
      <c r="EA389" s="1807"/>
      <c r="EB389" s="1715"/>
      <c r="EC389" s="1715"/>
      <c r="ED389" s="1808"/>
      <c r="EE389" s="1719">
        <f>SUM(EA389:ED389)</f>
        <v>0</v>
      </c>
      <c r="EH389"/>
      <c r="EI389"/>
      <c r="EJ389"/>
      <c r="EK389"/>
      <c r="EL389"/>
      <c r="EM389"/>
    </row>
    <row r="390" spans="2:232">
      <c r="B390" s="538"/>
      <c r="C390" s="1261"/>
      <c r="D390" s="413"/>
      <c r="E390" s="413"/>
      <c r="F390" s="414"/>
      <c r="G390" s="414"/>
      <c r="H390" s="414"/>
      <c r="I390" s="414"/>
      <c r="J390" s="414"/>
      <c r="K390" s="414"/>
      <c r="L390" s="414"/>
      <c r="M390" s="414"/>
      <c r="N390" s="414"/>
      <c r="O390" s="414"/>
      <c r="P390" s="414"/>
      <c r="Q390" s="414"/>
      <c r="R390" s="414"/>
      <c r="S390" s="414"/>
      <c r="T390" s="414"/>
      <c r="U390" s="414"/>
      <c r="V390" s="414"/>
      <c r="W390" s="414"/>
      <c r="X390" s="414"/>
      <c r="Y390" s="414"/>
      <c r="Z390" s="414"/>
      <c r="AA390" s="414"/>
      <c r="AB390" s="414"/>
      <c r="AC390" s="414"/>
      <c r="AD390" s="414"/>
      <c r="AE390" s="414"/>
      <c r="AF390" s="414"/>
      <c r="AG390" s="414"/>
      <c r="AH390" s="414"/>
      <c r="AI390" s="414"/>
      <c r="AJ390" s="414"/>
      <c r="AK390" s="414"/>
      <c r="AL390" s="414"/>
      <c r="AM390" s="414"/>
      <c r="AN390" s="414"/>
      <c r="AO390" s="414"/>
      <c r="AP390" s="414"/>
      <c r="AQ390" s="414"/>
      <c r="AR390" s="414"/>
      <c r="AS390" s="414"/>
      <c r="AT390" s="414"/>
      <c r="AU390" s="414"/>
      <c r="AV390" s="414"/>
      <c r="AW390" s="414"/>
      <c r="AX390" s="414"/>
      <c r="AY390" s="414"/>
      <c r="AZ390" s="414"/>
      <c r="BA390" s="414"/>
      <c r="BB390" s="414"/>
      <c r="BC390" s="414"/>
      <c r="BD390" s="414"/>
      <c r="BE390" s="414"/>
      <c r="BF390" s="414"/>
      <c r="BG390" s="414"/>
      <c r="BH390" s="414"/>
      <c r="BI390" s="414"/>
      <c r="BJ390" s="414"/>
      <c r="BK390" s="414"/>
      <c r="BL390" s="414"/>
      <c r="BM390" s="406"/>
      <c r="BN390" s="406"/>
      <c r="BO390" s="406"/>
      <c r="BP390" s="406"/>
      <c r="BQ390" s="406"/>
      <c r="BR390" s="406"/>
      <c r="BS390" s="121"/>
      <c r="BT390" s="73"/>
      <c r="BU390" s="73"/>
      <c r="BV390" s="75"/>
      <c r="BW390" s="406"/>
      <c r="BX390" s="121"/>
      <c r="BY390" s="73"/>
      <c r="BZ390" s="73"/>
      <c r="CA390" s="75"/>
      <c r="CB390" s="406"/>
      <c r="CC390" s="121"/>
      <c r="CD390" s="73"/>
      <c r="CE390" s="73"/>
      <c r="CF390" s="73"/>
      <c r="CG390" s="783"/>
      <c r="CH390" s="73"/>
      <c r="CI390" s="73"/>
      <c r="CJ390" s="73"/>
      <c r="CK390" s="73"/>
      <c r="CL390" s="783"/>
      <c r="CM390" s="406"/>
      <c r="CN390" s="406"/>
      <c r="CO390" s="406"/>
      <c r="CP390" s="406"/>
      <c r="CQ390" s="783"/>
      <c r="CR390" s="73"/>
      <c r="CS390" s="73"/>
      <c r="CT390" s="73"/>
      <c r="CU390" s="73"/>
      <c r="CV390" s="783"/>
      <c r="CW390" s="73"/>
      <c r="CX390" s="73"/>
      <c r="CY390" s="73"/>
      <c r="CZ390" s="506"/>
      <c r="DA390" s="783"/>
      <c r="DB390" s="73"/>
      <c r="DC390" s="73"/>
      <c r="DD390" s="73"/>
      <c r="DE390" s="73"/>
      <c r="DF390" s="783"/>
      <c r="DG390" s="73"/>
      <c r="DH390" s="73"/>
      <c r="DI390" s="73"/>
      <c r="DJ390" s="73"/>
      <c r="DK390" s="777"/>
      <c r="DL390" s="73"/>
      <c r="DM390" s="73"/>
      <c r="DN390" s="73"/>
      <c r="DO390" s="73"/>
      <c r="DP390" s="777"/>
      <c r="DQ390" s="1446"/>
      <c r="DR390" s="73"/>
      <c r="DS390" s="73"/>
      <c r="DT390" s="736"/>
      <c r="DU390" s="777"/>
      <c r="DV390" s="1446"/>
      <c r="DW390" s="73"/>
      <c r="DX390" s="73"/>
      <c r="DY390" s="736"/>
      <c r="DZ390" s="777"/>
      <c r="EA390" s="1446"/>
      <c r="EB390" s="73"/>
      <c r="EC390" s="73"/>
      <c r="ED390" s="736"/>
      <c r="EE390" s="777"/>
    </row>
    <row r="391" spans="2:232" customFormat="1">
      <c r="B391" s="561" t="s">
        <v>225</v>
      </c>
      <c r="C391" s="1257"/>
      <c r="D391" s="164"/>
      <c r="E391" s="164"/>
      <c r="F391" s="399">
        <v>-135.9140000000001</v>
      </c>
      <c r="G391" s="399">
        <v>72.528999999999428</v>
      </c>
      <c r="H391" s="399">
        <f>H370+H377+H387</f>
        <v>-52.943000000000353</v>
      </c>
      <c r="I391" s="399">
        <f>I370+I377+I387</f>
        <v>-12.867000000000246</v>
      </c>
      <c r="J391" s="399">
        <f>J370+J377+J387</f>
        <v>-52.670000000000314</v>
      </c>
      <c r="K391" s="399"/>
      <c r="L391" s="399"/>
      <c r="M391" s="399"/>
      <c r="N391" s="399"/>
      <c r="O391" s="399">
        <f>O370+O377+O387</f>
        <v>-9.3080000000007885</v>
      </c>
      <c r="P391" s="399"/>
      <c r="Q391" s="399"/>
      <c r="R391" s="399"/>
      <c r="S391" s="399"/>
      <c r="T391" s="399">
        <f>T370+T377+T387</f>
        <v>80.731999999999474</v>
      </c>
      <c r="U391" s="399"/>
      <c r="V391" s="399"/>
      <c r="W391" s="399"/>
      <c r="X391" s="399"/>
      <c r="Y391" s="399">
        <f>Y370+Y377+Y387</f>
        <v>118.10500000000013</v>
      </c>
      <c r="Z391" s="399"/>
      <c r="AA391" s="399"/>
      <c r="AB391" s="399"/>
      <c r="AC391" s="399"/>
      <c r="AD391" s="399">
        <f>AD370+AD377+AD387</f>
        <v>-2.6000000000011312</v>
      </c>
      <c r="AE391" s="399"/>
      <c r="AF391" s="399"/>
      <c r="AG391" s="399"/>
      <c r="AH391" s="399"/>
      <c r="AI391" s="399">
        <f>AI370+AI377+AI387</f>
        <v>-111.39999999999989</v>
      </c>
      <c r="AJ391" s="399"/>
      <c r="AK391" s="399"/>
      <c r="AL391" s="399"/>
      <c r="AM391" s="399"/>
      <c r="AN391" s="399">
        <f>AN370+AN377+AN387</f>
        <v>4.0999999999982037</v>
      </c>
      <c r="AO391" s="399"/>
      <c r="AP391" s="399"/>
      <c r="AQ391" s="399"/>
      <c r="AR391" s="399"/>
      <c r="AS391" s="399">
        <f>AS370+AS377+AS387</f>
        <v>671.40000000000009</v>
      </c>
      <c r="AT391" s="399"/>
      <c r="AU391" s="399"/>
      <c r="AV391" s="399"/>
      <c r="AW391" s="399"/>
      <c r="AX391" s="399">
        <f>AX370+AX377+AX387</f>
        <v>579.70000000000118</v>
      </c>
      <c r="AY391" s="399"/>
      <c r="AZ391" s="399"/>
      <c r="BA391" s="399"/>
      <c r="BB391" s="399"/>
      <c r="BC391" s="399">
        <f>BC370+BC377+BC387</f>
        <v>-823.99999956407191</v>
      </c>
      <c r="BD391" s="399"/>
      <c r="BE391" s="399"/>
      <c r="BF391" s="399"/>
      <c r="BG391" s="399"/>
      <c r="BH391" s="399">
        <f>BH370+BH377+BH387</f>
        <v>132.79999999999995</v>
      </c>
      <c r="BI391" s="399"/>
      <c r="BJ391" s="399"/>
      <c r="BK391" s="399"/>
      <c r="BL391" s="399"/>
      <c r="BM391" s="399">
        <f>BM370+BM377+BM387</f>
        <v>343.10000000000593</v>
      </c>
      <c r="BN391" s="399"/>
      <c r="BO391" s="399"/>
      <c r="BP391" s="399"/>
      <c r="BQ391" s="399"/>
      <c r="BR391" s="399">
        <f>BR370+BR377+BR387</f>
        <v>-665.10000000000662</v>
      </c>
      <c r="BS391" s="400">
        <f>BS387+BS377+BS370</f>
        <v>-11</v>
      </c>
      <c r="BT391" s="401">
        <f>BT387+BT377+BT370</f>
        <v>11.499999999999773</v>
      </c>
      <c r="BU391" s="401">
        <f>BU387+BU377+BU370</f>
        <v>216.50000000000023</v>
      </c>
      <c r="BV391" s="402">
        <f>BV387+BV377+BV370</f>
        <v>-125.2000000000001</v>
      </c>
      <c r="BW391" s="399">
        <f>BW370+BW377+BW387</f>
        <v>187.90000000000043</v>
      </c>
      <c r="BX391" s="400">
        <f>BX387+BX377+BX370</f>
        <v>443</v>
      </c>
      <c r="BY391" s="401">
        <f>BY387+BY377+BY370</f>
        <v>23</v>
      </c>
      <c r="BZ391" s="401">
        <f>BZ387+BZ377+BZ370</f>
        <v>1391</v>
      </c>
      <c r="CA391" s="402">
        <f>CA387+CA377+CA370</f>
        <v>-213</v>
      </c>
      <c r="CB391" s="399">
        <f>CB370+CB377+CB387</f>
        <v>1644</v>
      </c>
      <c r="CC391" s="400">
        <f>CC387+CC377+CC370</f>
        <v>465</v>
      </c>
      <c r="CD391" s="401">
        <f>CD387+CD377+CD370</f>
        <v>-51</v>
      </c>
      <c r="CE391" s="401">
        <f>CE387+CE377+CE370</f>
        <v>-789</v>
      </c>
      <c r="CF391" s="401">
        <f>CF387+CF377+CF370</f>
        <v>168</v>
      </c>
      <c r="CG391" s="782">
        <f>CG370+CG377+CG387</f>
        <v>-207</v>
      </c>
      <c r="CH391" s="401">
        <f>CH387+CH377+CH370</f>
        <v>182</v>
      </c>
      <c r="CI391" s="401">
        <f>CI387+CI377+CI370</f>
        <v>181</v>
      </c>
      <c r="CJ391" s="401">
        <f>CJ387+CJ377+CJ370</f>
        <v>409</v>
      </c>
      <c r="CK391" s="401">
        <f>CK387+CK377+CK370</f>
        <v>-1096</v>
      </c>
      <c r="CL391" s="782">
        <f>CL370+CL377+CL387</f>
        <v>-324</v>
      </c>
      <c r="CM391" s="399">
        <f>CM387+CM377+CM370</f>
        <v>-462</v>
      </c>
      <c r="CN391" s="399">
        <f>CN387+CN377+CN370</f>
        <v>-10</v>
      </c>
      <c r="CO391" s="399">
        <f>CO387+CO377+CO370</f>
        <v>911</v>
      </c>
      <c r="CP391" s="399">
        <f>CP387+CP377+CP370</f>
        <v>-698</v>
      </c>
      <c r="CQ391" s="782">
        <f>CQ370+CQ377+CQ387</f>
        <v>-259</v>
      </c>
      <c r="CR391" s="401">
        <f>CR387+CR377+CR370</f>
        <v>532</v>
      </c>
      <c r="CS391" s="401">
        <f>CS387+CS377+CS370</f>
        <v>602</v>
      </c>
      <c r="CT391" s="401">
        <f>CT387+CT377+CT370</f>
        <v>563</v>
      </c>
      <c r="CU391" s="401">
        <f>CU387+CU377+CU370</f>
        <v>-888</v>
      </c>
      <c r="CV391" s="782">
        <f>CV370+CV377+CV387</f>
        <v>809</v>
      </c>
      <c r="CW391" s="401">
        <f>CW387+CW377+CW370</f>
        <v>-1137</v>
      </c>
      <c r="CX391" s="401">
        <f>CX387+CX377+CX370</f>
        <v>808</v>
      </c>
      <c r="CY391" s="401">
        <f>CY387+CY377+CY370</f>
        <v>349</v>
      </c>
      <c r="CZ391" s="493">
        <f>CZ387+CZ377+CZ370</f>
        <v>520</v>
      </c>
      <c r="DA391" s="782">
        <f>DA370+DA377+DA387</f>
        <v>540</v>
      </c>
      <c r="DB391" s="1672">
        <f>DB387+DB377+DB370</f>
        <v>10193</v>
      </c>
      <c r="DC391" s="401">
        <f>DC387+DC377+DC370</f>
        <v>-9834</v>
      </c>
      <c r="DD391" s="401">
        <f t="shared" ref="DD391:DU391" si="937">DD387+DD377+DD370+DD389</f>
        <v>1444</v>
      </c>
      <c r="DE391" s="401">
        <f t="shared" si="937"/>
        <v>-1449</v>
      </c>
      <c r="DF391" s="782">
        <f t="shared" si="937"/>
        <v>354</v>
      </c>
      <c r="DG391" s="401">
        <f t="shared" si="937"/>
        <v>-430</v>
      </c>
      <c r="DH391" s="401">
        <f t="shared" ref="DH391:DI391" si="938">DH387+DH377+DH370+DH389</f>
        <v>1016</v>
      </c>
      <c r="DI391" s="401">
        <f t="shared" si="938"/>
        <v>-295</v>
      </c>
      <c r="DJ391" s="401">
        <f t="shared" si="937"/>
        <v>6516</v>
      </c>
      <c r="DK391" s="944">
        <f t="shared" si="937"/>
        <v>6807</v>
      </c>
      <c r="DL391" s="401">
        <f t="shared" ref="DL391:DM391" si="939">DL387+DL377+DL370+DL389</f>
        <v>-209</v>
      </c>
      <c r="DM391" s="401">
        <f t="shared" si="939"/>
        <v>2224</v>
      </c>
      <c r="DN391" s="401">
        <f t="shared" ref="DN391:DO391" si="940">DN387+DN377+DN370+DN389</f>
        <v>431</v>
      </c>
      <c r="DO391" s="401">
        <f t="shared" si="940"/>
        <v>-8952</v>
      </c>
      <c r="DP391" s="944">
        <f t="shared" si="937"/>
        <v>-6506</v>
      </c>
      <c r="DQ391" s="1777">
        <f t="shared" si="937"/>
        <v>-1471</v>
      </c>
      <c r="DR391" s="401">
        <f t="shared" ca="1" si="937"/>
        <v>633.6248025786897</v>
      </c>
      <c r="DS391" s="401">
        <f t="shared" ca="1" si="937"/>
        <v>1373.4431739309034</v>
      </c>
      <c r="DT391" s="1778">
        <f t="shared" ca="1" si="937"/>
        <v>1509.5415493302419</v>
      </c>
      <c r="DU391" s="944">
        <f t="shared" ca="1" si="937"/>
        <v>2045.6095258398336</v>
      </c>
      <c r="DV391" s="1777">
        <f t="shared" ref="DV391:DZ391" ca="1" si="941">DV387+DV377+DV370+DV389</f>
        <v>-1935.5138502997791</v>
      </c>
      <c r="DW391" s="401">
        <f t="shared" ca="1" si="941"/>
        <v>-1081.6019932528602</v>
      </c>
      <c r="DX391" s="401">
        <f t="shared" ca="1" si="941"/>
        <v>673.42683971865381</v>
      </c>
      <c r="DY391" s="1778">
        <f t="shared" ca="1" si="941"/>
        <v>665.73394832920394</v>
      </c>
      <c r="DZ391" s="944">
        <f t="shared" ca="1" si="941"/>
        <v>-1677.9550555047817</v>
      </c>
      <c r="EA391" s="1777">
        <f t="shared" ref="EA391:EE391" ca="1" si="942">EA387+EA377+EA370+EA389</f>
        <v>-343.65262928646939</v>
      </c>
      <c r="EB391" s="401">
        <f t="shared" ca="1" si="942"/>
        <v>-906.56318425310951</v>
      </c>
      <c r="EC391" s="401">
        <f t="shared" ca="1" si="942"/>
        <v>875.68433863000246</v>
      </c>
      <c r="ED391" s="1778">
        <f t="shared" ca="1" si="942"/>
        <v>499.73487933707224</v>
      </c>
      <c r="EE391" s="944">
        <f t="shared" ca="1" si="942"/>
        <v>125.20340442749603</v>
      </c>
    </row>
    <row r="392" spans="2:232" customFormat="1">
      <c r="B392" s="561" t="s">
        <v>326</v>
      </c>
      <c r="C392" s="1257"/>
      <c r="D392" s="164"/>
      <c r="E392" s="164"/>
      <c r="F392" s="399">
        <v>207.92500000000001</v>
      </c>
      <c r="G392" s="399">
        <v>72.01099999999991</v>
      </c>
      <c r="H392" s="399">
        <f>+G393</f>
        <v>144.53999999999934</v>
      </c>
      <c r="I392" s="399">
        <f>+H393</f>
        <v>91.596999999998985</v>
      </c>
      <c r="J392" s="399">
        <f>+I393</f>
        <v>78.729999999998739</v>
      </c>
      <c r="K392" s="399"/>
      <c r="L392" s="399"/>
      <c r="M392" s="399"/>
      <c r="N392" s="399"/>
      <c r="O392" s="399">
        <f>+J393</f>
        <v>22.245000000000001</v>
      </c>
      <c r="P392" s="399"/>
      <c r="Q392" s="399"/>
      <c r="R392" s="399"/>
      <c r="S392" s="399"/>
      <c r="T392" s="399">
        <f>+O393</f>
        <v>12.936999999999212</v>
      </c>
      <c r="U392" s="399"/>
      <c r="V392" s="399"/>
      <c r="W392" s="399"/>
      <c r="X392" s="399"/>
      <c r="Y392" s="399">
        <f>+T393</f>
        <v>93.568999999998695</v>
      </c>
      <c r="Z392" s="399"/>
      <c r="AA392" s="399"/>
      <c r="AB392" s="399"/>
      <c r="AC392" s="399"/>
      <c r="AD392" s="399">
        <f>+Y393</f>
        <v>211.57399999999885</v>
      </c>
      <c r="AE392" s="399"/>
      <c r="AF392" s="399"/>
      <c r="AG392" s="399"/>
      <c r="AH392" s="399"/>
      <c r="AI392" s="399">
        <f>+AD393</f>
        <v>208.97399999999772</v>
      </c>
      <c r="AJ392" s="399"/>
      <c r="AK392" s="399"/>
      <c r="AL392" s="399"/>
      <c r="AM392" s="399"/>
      <c r="AN392" s="399">
        <v>12.8</v>
      </c>
      <c r="AO392" s="399"/>
      <c r="AP392" s="399"/>
      <c r="AQ392" s="399"/>
      <c r="AR392" s="399"/>
      <c r="AS392" s="399">
        <v>16.899999999999999</v>
      </c>
      <c r="AT392" s="399"/>
      <c r="AU392" s="399"/>
      <c r="AV392" s="399"/>
      <c r="AW392" s="399"/>
      <c r="AX392" s="399">
        <f>+AS393</f>
        <v>688.30000000000007</v>
      </c>
      <c r="AY392" s="399"/>
      <c r="AZ392" s="399"/>
      <c r="BA392" s="399"/>
      <c r="BB392" s="399"/>
      <c r="BC392" s="399">
        <f>+AX393</f>
        <v>1268.0000000000014</v>
      </c>
      <c r="BD392" s="399"/>
      <c r="BE392" s="399"/>
      <c r="BF392" s="399"/>
      <c r="BG392" s="399"/>
      <c r="BH392" s="399">
        <f>+BC393</f>
        <v>444.00000043592945</v>
      </c>
      <c r="BI392" s="399"/>
      <c r="BJ392" s="399"/>
      <c r="BK392" s="399"/>
      <c r="BL392" s="399"/>
      <c r="BM392" s="399">
        <f>+BH393</f>
        <v>576.80000043592941</v>
      </c>
      <c r="BN392" s="399"/>
      <c r="BO392" s="399"/>
      <c r="BP392" s="399"/>
      <c r="BQ392" s="399"/>
      <c r="BR392" s="399">
        <f>+BM393</f>
        <v>919.90000043593534</v>
      </c>
      <c r="BS392" s="400">
        <f>BW392</f>
        <v>254.80000043592872</v>
      </c>
      <c r="BT392" s="401">
        <f>BS393</f>
        <v>243.80000043592872</v>
      </c>
      <c r="BU392" s="401">
        <f>BT393</f>
        <v>255.3000004359285</v>
      </c>
      <c r="BV392" s="402">
        <f>BU393</f>
        <v>471.80000043592872</v>
      </c>
      <c r="BW392" s="399">
        <f>+BR393</f>
        <v>254.80000043592872</v>
      </c>
      <c r="BX392" s="400">
        <f>BW393</f>
        <v>442.70000043592916</v>
      </c>
      <c r="BY392" s="401">
        <f>BX393</f>
        <v>885.70000043592916</v>
      </c>
      <c r="BZ392" s="401">
        <f>BY393</f>
        <v>908.70000043592916</v>
      </c>
      <c r="CA392" s="402">
        <f>BZ393</f>
        <v>2299.7000004359293</v>
      </c>
      <c r="CB392" s="399">
        <f>+BW393</f>
        <v>442.70000043592916</v>
      </c>
      <c r="CC392" s="400">
        <f>CA393</f>
        <v>2086.7000004359293</v>
      </c>
      <c r="CD392" s="401">
        <f>CC393</f>
        <v>2551.7000004359293</v>
      </c>
      <c r="CE392" s="401">
        <f>CD393</f>
        <v>2500.7000004359293</v>
      </c>
      <c r="CF392" s="401">
        <f>CE393</f>
        <v>1711.7000004359293</v>
      </c>
      <c r="CG392" s="782">
        <f>+CB393</f>
        <v>2086.7000004359293</v>
      </c>
      <c r="CH392" s="401">
        <f>CF393</f>
        <v>1879.7000004359293</v>
      </c>
      <c r="CI392" s="401">
        <f>CH393</f>
        <v>2061.7000004359293</v>
      </c>
      <c r="CJ392" s="401">
        <f>CI393</f>
        <v>2242.7000004359293</v>
      </c>
      <c r="CK392" s="401">
        <f>CJ393</f>
        <v>2651.7000004359293</v>
      </c>
      <c r="CL392" s="782">
        <f>+CG393</f>
        <v>1879.7000004359293</v>
      </c>
      <c r="CM392" s="399">
        <f>CK393</f>
        <v>1555.7000004359293</v>
      </c>
      <c r="CN392" s="399">
        <f>CM393</f>
        <v>1093.7000004359293</v>
      </c>
      <c r="CO392" s="399">
        <f>CN393</f>
        <v>1083.7000004359293</v>
      </c>
      <c r="CP392" s="399">
        <f>CO393</f>
        <v>1994.7000004359293</v>
      </c>
      <c r="CQ392" s="782">
        <f>+CL393</f>
        <v>1555.7000004359293</v>
      </c>
      <c r="CR392" s="401">
        <f>CP393</f>
        <v>1296.7000004359293</v>
      </c>
      <c r="CS392" s="401">
        <f>CR393</f>
        <v>1828.7000004359293</v>
      </c>
      <c r="CT392" s="401">
        <f>CS393</f>
        <v>2430.7000004359293</v>
      </c>
      <c r="CU392" s="401">
        <f>CT393</f>
        <v>2993.7000004359293</v>
      </c>
      <c r="CV392" s="782">
        <f>+CQ393</f>
        <v>1296.7000004359293</v>
      </c>
      <c r="CW392" s="401">
        <f>CU393</f>
        <v>2105.7000004359293</v>
      </c>
      <c r="CX392" s="401">
        <f>CW393</f>
        <v>968.70000043592927</v>
      </c>
      <c r="CY392" s="401">
        <f>CX393</f>
        <v>1776.7000004359293</v>
      </c>
      <c r="CZ392" s="493">
        <f>CY393</f>
        <v>2125.7000004359293</v>
      </c>
      <c r="DA392" s="782">
        <f>+CV393</f>
        <v>2105.7000004359293</v>
      </c>
      <c r="DB392" s="1671">
        <f>CZ201</f>
        <v>2646</v>
      </c>
      <c r="DC392" s="401">
        <f>DB393</f>
        <v>12839</v>
      </c>
      <c r="DD392" s="401">
        <f>DC393</f>
        <v>3005</v>
      </c>
      <c r="DE392" s="401">
        <f>DD393</f>
        <v>4449</v>
      </c>
      <c r="DF392" s="1370">
        <f>+DA393</f>
        <v>2645.7000004359293</v>
      </c>
      <c r="DG392" s="401">
        <f>DE201</f>
        <v>3000</v>
      </c>
      <c r="DH392" s="401">
        <f>DG201</f>
        <v>2570</v>
      </c>
      <c r="DI392" s="401">
        <f>DH201</f>
        <v>3586</v>
      </c>
      <c r="DJ392" s="401">
        <f>DI393</f>
        <v>3291</v>
      </c>
      <c r="DK392" s="944">
        <f>+DF393</f>
        <v>2999.7000004359293</v>
      </c>
      <c r="DL392" s="401">
        <f>DK393</f>
        <v>9806.7000004359288</v>
      </c>
      <c r="DM392" s="401">
        <f>DL393</f>
        <v>9597.7000004359288</v>
      </c>
      <c r="DN392" s="401">
        <f>DM393</f>
        <v>11821.700000435929</v>
      </c>
      <c r="DO392" s="401">
        <f>DN393</f>
        <v>12252.700000435929</v>
      </c>
      <c r="DP392" s="944">
        <f>+DK393</f>
        <v>9806.7000004359288</v>
      </c>
      <c r="DQ392" s="1777">
        <f>DP393</f>
        <v>3300.7000004359288</v>
      </c>
      <c r="DR392" s="401">
        <f>DQ393</f>
        <v>1829.7000004359288</v>
      </c>
      <c r="DS392" s="401">
        <f ca="1">DR393</f>
        <v>2463.3248030146187</v>
      </c>
      <c r="DT392" s="1778">
        <f ca="1">DS393</f>
        <v>3836.7679769455222</v>
      </c>
      <c r="DU392" s="944">
        <f>+DP393</f>
        <v>3300.7000004359288</v>
      </c>
      <c r="DV392" s="1777">
        <f ca="1">DU393</f>
        <v>5346.3095262757624</v>
      </c>
      <c r="DW392" s="401">
        <f ca="1">DV393</f>
        <v>3410.7956759759836</v>
      </c>
      <c r="DX392" s="401">
        <f ca="1">DW393</f>
        <v>2329.1936827231234</v>
      </c>
      <c r="DY392" s="1778">
        <f ca="1">DX393</f>
        <v>3002.6205224417772</v>
      </c>
      <c r="DZ392" s="944">
        <f ca="1">+DU393</f>
        <v>5346.3095262757624</v>
      </c>
      <c r="EA392" s="1777">
        <f ca="1">DZ393</f>
        <v>3668.3544707709807</v>
      </c>
      <c r="EB392" s="401">
        <f ca="1">EA393</f>
        <v>3324.7018414845115</v>
      </c>
      <c r="EC392" s="401">
        <f ca="1">EB393</f>
        <v>2418.1386572314022</v>
      </c>
      <c r="ED392" s="1778">
        <f ca="1">EC393</f>
        <v>3293.8229958614047</v>
      </c>
      <c r="EE392" s="944">
        <f ca="1">+DZ393</f>
        <v>3668.3544707709807</v>
      </c>
    </row>
    <row r="393" spans="2:232" s="704" customFormat="1" ht="12" thickBot="1">
      <c r="B393" s="748" t="s">
        <v>463</v>
      </c>
      <c r="C393" s="1262"/>
      <c r="D393" s="935"/>
      <c r="E393" s="935"/>
      <c r="F393" s="750">
        <v>72.01099999999991</v>
      </c>
      <c r="G393" s="750">
        <v>144.53999999999934</v>
      </c>
      <c r="H393" s="750">
        <f>+H392+H391</f>
        <v>91.596999999998985</v>
      </c>
      <c r="I393" s="750">
        <f>+I392+I391</f>
        <v>78.729999999998739</v>
      </c>
      <c r="J393" s="750">
        <v>22.245000000000001</v>
      </c>
      <c r="K393" s="750"/>
      <c r="L393" s="750"/>
      <c r="M393" s="750"/>
      <c r="N393" s="750"/>
      <c r="O393" s="750">
        <f>+O392+O391</f>
        <v>12.936999999999212</v>
      </c>
      <c r="P393" s="750"/>
      <c r="Q393" s="750"/>
      <c r="R393" s="750"/>
      <c r="S393" s="750"/>
      <c r="T393" s="750">
        <f>+T392+T391-0.1</f>
        <v>93.568999999998695</v>
      </c>
      <c r="U393" s="750"/>
      <c r="V393" s="750"/>
      <c r="W393" s="750"/>
      <c r="X393" s="750"/>
      <c r="Y393" s="750">
        <f>+Y392+Y391-0.1</f>
        <v>211.57399999999885</v>
      </c>
      <c r="Z393" s="750"/>
      <c r="AA393" s="750"/>
      <c r="AB393" s="750"/>
      <c r="AC393" s="750"/>
      <c r="AD393" s="750">
        <f>+AD392+AD391</f>
        <v>208.97399999999772</v>
      </c>
      <c r="AE393" s="750"/>
      <c r="AF393" s="750"/>
      <c r="AG393" s="750"/>
      <c r="AH393" s="750"/>
      <c r="AI393" s="750">
        <f>+AI392+AI391</f>
        <v>97.573999999997824</v>
      </c>
      <c r="AJ393" s="750"/>
      <c r="AK393" s="750"/>
      <c r="AL393" s="750"/>
      <c r="AM393" s="750"/>
      <c r="AN393" s="750">
        <f>+AN392+AN391</f>
        <v>16.899999999998204</v>
      </c>
      <c r="AO393" s="750"/>
      <c r="AP393" s="750"/>
      <c r="AQ393" s="750"/>
      <c r="AR393" s="750"/>
      <c r="AS393" s="750">
        <f>+AS392+AS391</f>
        <v>688.30000000000007</v>
      </c>
      <c r="AT393" s="750"/>
      <c r="AU393" s="750"/>
      <c r="AV393" s="750"/>
      <c r="AW393" s="750"/>
      <c r="AX393" s="750">
        <f>+AX392+AX391</f>
        <v>1268.0000000000014</v>
      </c>
      <c r="AY393" s="750"/>
      <c r="AZ393" s="750"/>
      <c r="BA393" s="750"/>
      <c r="BB393" s="750"/>
      <c r="BC393" s="750">
        <f>+BC392+BC391</f>
        <v>444.00000043592945</v>
      </c>
      <c r="BD393" s="750"/>
      <c r="BE393" s="750"/>
      <c r="BF393" s="750"/>
      <c r="BG393" s="750"/>
      <c r="BH393" s="750">
        <f>+BH392+BH391</f>
        <v>576.80000043592941</v>
      </c>
      <c r="BI393" s="750"/>
      <c r="BJ393" s="750"/>
      <c r="BK393" s="750"/>
      <c r="BL393" s="750"/>
      <c r="BM393" s="750">
        <f>+BM392+BM391</f>
        <v>919.90000043593534</v>
      </c>
      <c r="BN393" s="750"/>
      <c r="BO393" s="750"/>
      <c r="BP393" s="750"/>
      <c r="BQ393" s="750"/>
      <c r="BR393" s="750">
        <f>+BR392+BR391</f>
        <v>254.80000043592872</v>
      </c>
      <c r="BS393" s="751">
        <f>BS391+BS392</f>
        <v>243.80000043592872</v>
      </c>
      <c r="BT393" s="752">
        <f>BT391+BT392</f>
        <v>255.3000004359285</v>
      </c>
      <c r="BU393" s="752">
        <f>BU391+BU392</f>
        <v>471.80000043592872</v>
      </c>
      <c r="BV393" s="753">
        <f>BV391+BV392</f>
        <v>346.60000043592862</v>
      </c>
      <c r="BW393" s="750">
        <f>+BW392+BW391</f>
        <v>442.70000043592916</v>
      </c>
      <c r="BX393" s="751">
        <f>BX391+BX392</f>
        <v>885.70000043592916</v>
      </c>
      <c r="BY393" s="752">
        <f>BY391+BY392</f>
        <v>908.70000043592916</v>
      </c>
      <c r="BZ393" s="752">
        <f>BZ391+BZ392</f>
        <v>2299.7000004359293</v>
      </c>
      <c r="CA393" s="753">
        <f>CA391+CA392</f>
        <v>2086.7000004359293</v>
      </c>
      <c r="CB393" s="750">
        <f>+CB392+CB391</f>
        <v>2086.7000004359293</v>
      </c>
      <c r="CC393" s="751">
        <f>CC391+CC392</f>
        <v>2551.7000004359293</v>
      </c>
      <c r="CD393" s="752">
        <f>CD391+CD392</f>
        <v>2500.7000004359293</v>
      </c>
      <c r="CE393" s="752">
        <f>CE391+CE392</f>
        <v>1711.7000004359293</v>
      </c>
      <c r="CF393" s="752">
        <f>CF391+CF392</f>
        <v>1879.7000004359293</v>
      </c>
      <c r="CG393" s="793">
        <f>+CG392+CG391</f>
        <v>1879.7000004359293</v>
      </c>
      <c r="CH393" s="752">
        <f>CH391+CH392</f>
        <v>2061.7000004359293</v>
      </c>
      <c r="CI393" s="752">
        <f>CI391+CI392</f>
        <v>2242.7000004359293</v>
      </c>
      <c r="CJ393" s="752">
        <f>CJ391+CJ392</f>
        <v>2651.7000004359293</v>
      </c>
      <c r="CK393" s="752">
        <f>CK391+CK392</f>
        <v>1555.7000004359293</v>
      </c>
      <c r="CL393" s="793">
        <f>+CL392+CL391</f>
        <v>1555.7000004359293</v>
      </c>
      <c r="CM393" s="750">
        <f>CM391+CM392</f>
        <v>1093.7000004359293</v>
      </c>
      <c r="CN393" s="750">
        <f>CN391+CN392</f>
        <v>1083.7000004359293</v>
      </c>
      <c r="CO393" s="750">
        <f>CO391+CO392</f>
        <v>1994.7000004359293</v>
      </c>
      <c r="CP393" s="750">
        <f>CP391+CP392</f>
        <v>1296.7000004359293</v>
      </c>
      <c r="CQ393" s="793">
        <f>+CQ392+CQ391</f>
        <v>1296.7000004359293</v>
      </c>
      <c r="CR393" s="752">
        <f>CR391+CR392</f>
        <v>1828.7000004359293</v>
      </c>
      <c r="CS393" s="752">
        <f>CS391+CS392</f>
        <v>2430.7000004359293</v>
      </c>
      <c r="CT393" s="752">
        <f>CT391+CT392</f>
        <v>2993.7000004359293</v>
      </c>
      <c r="CU393" s="752">
        <f>CU391+CU392</f>
        <v>2105.7000004359293</v>
      </c>
      <c r="CV393" s="793">
        <f>+CV392+CV391</f>
        <v>2105.7000004359293</v>
      </c>
      <c r="CW393" s="752">
        <f>CW391+CW392</f>
        <v>968.70000043592927</v>
      </c>
      <c r="CX393" s="752">
        <f>CX391+CX392</f>
        <v>1776.7000004359293</v>
      </c>
      <c r="CY393" s="752">
        <f>CY391+CY392</f>
        <v>2125.7000004359293</v>
      </c>
      <c r="CZ393" s="937">
        <f>CZ391+CZ392</f>
        <v>2645.7000004359293</v>
      </c>
      <c r="DA393" s="793">
        <f>+DA392+DA391</f>
        <v>2645.7000004359293</v>
      </c>
      <c r="DB393" s="936">
        <f t="shared" ref="DB393:DU393" si="943">DB391+DB392</f>
        <v>12839</v>
      </c>
      <c r="DC393" s="752">
        <f t="shared" si="943"/>
        <v>3005</v>
      </c>
      <c r="DD393" s="752">
        <f t="shared" si="943"/>
        <v>4449</v>
      </c>
      <c r="DE393" s="752">
        <f t="shared" si="943"/>
        <v>3000</v>
      </c>
      <c r="DF393" s="1426">
        <f t="shared" si="943"/>
        <v>2999.7000004359293</v>
      </c>
      <c r="DG393" s="752">
        <f t="shared" ref="DG393:DH393" si="944">DG391+DG392</f>
        <v>2570</v>
      </c>
      <c r="DH393" s="752">
        <f t="shared" si="944"/>
        <v>3586</v>
      </c>
      <c r="DI393" s="752">
        <f t="shared" ref="DI393" si="945">DI391+DI392</f>
        <v>3291</v>
      </c>
      <c r="DJ393" s="752">
        <f t="shared" si="943"/>
        <v>9807</v>
      </c>
      <c r="DK393" s="1426">
        <f t="shared" si="943"/>
        <v>9806.7000004359288</v>
      </c>
      <c r="DL393" s="752">
        <f t="shared" ref="DL393:DM393" si="946">DL391+DL392</f>
        <v>9597.7000004359288</v>
      </c>
      <c r="DM393" s="752">
        <f t="shared" si="946"/>
        <v>11821.700000435929</v>
      </c>
      <c r="DN393" s="752">
        <f t="shared" ref="DN393:DO393" si="947">DN391+DN392</f>
        <v>12252.700000435929</v>
      </c>
      <c r="DO393" s="752">
        <f t="shared" si="947"/>
        <v>3300.7000004359288</v>
      </c>
      <c r="DP393" s="1426">
        <f t="shared" si="943"/>
        <v>3300.7000004359288</v>
      </c>
      <c r="DQ393" s="1454">
        <f t="shared" si="943"/>
        <v>1829.7000004359288</v>
      </c>
      <c r="DR393" s="752">
        <f t="shared" ca="1" si="943"/>
        <v>2463.3248030146187</v>
      </c>
      <c r="DS393" s="752">
        <f t="shared" ca="1" si="943"/>
        <v>3836.7679769455222</v>
      </c>
      <c r="DT393" s="1455">
        <f t="shared" ca="1" si="943"/>
        <v>5346.3095262757643</v>
      </c>
      <c r="DU393" s="1426">
        <f t="shared" ca="1" si="943"/>
        <v>5346.3095262757624</v>
      </c>
      <c r="DV393" s="1454">
        <f t="shared" ref="DV393:DZ393" ca="1" si="948">DV391+DV392</f>
        <v>3410.7956759759836</v>
      </c>
      <c r="DW393" s="752">
        <f t="shared" ca="1" si="948"/>
        <v>2329.1936827231234</v>
      </c>
      <c r="DX393" s="752">
        <f t="shared" ca="1" si="948"/>
        <v>3002.6205224417772</v>
      </c>
      <c r="DY393" s="1455">
        <f t="shared" ca="1" si="948"/>
        <v>3668.3544707709812</v>
      </c>
      <c r="DZ393" s="1426">
        <f t="shared" ca="1" si="948"/>
        <v>3668.3544707709807</v>
      </c>
      <c r="EA393" s="1454">
        <f t="shared" ref="EA393:EE393" ca="1" si="949">EA391+EA392</f>
        <v>3324.7018414845115</v>
      </c>
      <c r="EB393" s="752">
        <f t="shared" ca="1" si="949"/>
        <v>2418.1386572314022</v>
      </c>
      <c r="EC393" s="752">
        <f t="shared" ca="1" si="949"/>
        <v>3293.8229958614047</v>
      </c>
      <c r="ED393" s="1455">
        <f t="shared" ca="1" si="949"/>
        <v>3793.5578751984767</v>
      </c>
      <c r="EE393" s="1426">
        <f t="shared" ca="1" si="949"/>
        <v>3793.5578751984767</v>
      </c>
      <c r="EH393"/>
      <c r="EI393"/>
      <c r="EJ393"/>
      <c r="EK393"/>
      <c r="EL393"/>
      <c r="EM393"/>
    </row>
    <row r="394" spans="2:232" ht="12" thickBot="1">
      <c r="B394" s="162"/>
      <c r="C394" s="413"/>
      <c r="D394" s="413"/>
      <c r="E394" s="413"/>
      <c r="F394" s="399"/>
      <c r="G394" s="399"/>
      <c r="H394" s="399"/>
      <c r="I394" s="399"/>
      <c r="J394" s="399"/>
      <c r="K394" s="399"/>
      <c r="L394" s="399"/>
      <c r="M394" s="399"/>
      <c r="N394" s="399"/>
      <c r="O394" s="399"/>
      <c r="P394" s="399"/>
      <c r="Q394" s="399"/>
      <c r="R394" s="399"/>
      <c r="S394" s="399"/>
      <c r="T394" s="399"/>
      <c r="U394" s="399"/>
      <c r="V394" s="399"/>
      <c r="W394" s="399"/>
      <c r="X394" s="399"/>
      <c r="Y394" s="399"/>
      <c r="Z394" s="399"/>
      <c r="AA394" s="399"/>
      <c r="AB394" s="399"/>
      <c r="AC394" s="399"/>
      <c r="AD394" s="399"/>
      <c r="AE394" s="399"/>
      <c r="AF394" s="399"/>
      <c r="AG394" s="399"/>
      <c r="AH394" s="399"/>
      <c r="AI394" s="399"/>
      <c r="AJ394" s="399"/>
      <c r="AK394" s="399"/>
      <c r="AL394" s="399"/>
      <c r="AM394" s="399"/>
      <c r="AN394" s="399"/>
      <c r="AO394" s="399"/>
      <c r="AP394" s="399"/>
      <c r="AQ394" s="399"/>
      <c r="AR394" s="399"/>
      <c r="AS394" s="399"/>
      <c r="AT394" s="399"/>
      <c r="AU394" s="399"/>
      <c r="AV394" s="399"/>
      <c r="AW394" s="399"/>
      <c r="AX394" s="507"/>
      <c r="AY394" s="507"/>
      <c r="AZ394" s="507"/>
      <c r="BA394" s="507"/>
      <c r="BB394" s="507"/>
      <c r="BC394" s="507"/>
      <c r="BD394" s="507"/>
      <c r="BE394" s="507"/>
      <c r="BF394" s="507"/>
      <c r="BG394" s="507"/>
      <c r="BH394" s="507"/>
      <c r="BI394" s="507"/>
      <c r="BJ394" s="507"/>
      <c r="BK394" s="507"/>
      <c r="BL394" s="507"/>
      <c r="BM394" s="507"/>
      <c r="BN394" s="507"/>
      <c r="BO394" s="507"/>
      <c r="BP394" s="507"/>
      <c r="BQ394" s="507"/>
      <c r="BR394" s="507"/>
      <c r="BS394" s="88"/>
      <c r="BT394" s="88"/>
      <c r="BU394" s="88"/>
      <c r="BV394" s="88"/>
      <c r="BW394" s="507"/>
      <c r="BX394" s="88"/>
      <c r="BY394" s="88"/>
      <c r="BZ394" s="88"/>
      <c r="CA394" s="88"/>
      <c r="CB394" s="507"/>
      <c r="CC394" s="88"/>
      <c r="CD394" s="88"/>
      <c r="CE394" s="88"/>
      <c r="CF394" s="88"/>
      <c r="CG394" s="507"/>
      <c r="CH394" s="88"/>
      <c r="CI394" s="88"/>
      <c r="CJ394" s="88"/>
      <c r="CK394" s="88"/>
      <c r="CL394" s="507"/>
      <c r="CM394" s="71"/>
      <c r="CN394" s="71"/>
      <c r="CO394" s="71"/>
      <c r="CP394" s="71"/>
      <c r="CQ394" s="507"/>
      <c r="CR394" s="71"/>
      <c r="CS394" s="71"/>
      <c r="CT394" s="71"/>
      <c r="CU394" s="71"/>
      <c r="CV394" s="507"/>
      <c r="CW394" s="71"/>
      <c r="CX394" s="71"/>
      <c r="CY394" s="71"/>
      <c r="CZ394" s="71"/>
      <c r="DA394" s="507"/>
      <c r="DB394" s="71"/>
      <c r="DC394" s="71"/>
      <c r="DD394" s="71"/>
      <c r="DE394" s="71"/>
      <c r="DF394" s="507"/>
      <c r="DG394" s="71"/>
      <c r="DH394" s="71"/>
      <c r="DI394" s="71"/>
      <c r="DJ394" s="71"/>
      <c r="DK394" s="507"/>
      <c r="DL394" s="71"/>
      <c r="DM394" s="71"/>
      <c r="DN394" s="71"/>
      <c r="DO394" s="71"/>
      <c r="DP394" s="507"/>
      <c r="DQ394" s="507"/>
      <c r="DR394" s="507"/>
      <c r="DS394" s="507"/>
      <c r="DT394" s="507"/>
      <c r="DU394" s="507"/>
      <c r="DV394" s="507"/>
      <c r="DW394" s="507"/>
      <c r="DX394" s="507"/>
      <c r="DY394" s="507"/>
      <c r="DZ394" s="507"/>
      <c r="EA394" s="507"/>
      <c r="EB394" s="507"/>
      <c r="EC394" s="507"/>
      <c r="ED394" s="507"/>
      <c r="EE394" s="507"/>
    </row>
    <row r="395" spans="2:232" s="8" customFormat="1" ht="12" thickBot="1">
      <c r="B395" s="923" t="s">
        <v>189</v>
      </c>
      <c r="C395" s="924"/>
      <c r="D395" s="924"/>
      <c r="E395" s="924"/>
      <c r="F395" s="925">
        <f>F370+F372</f>
        <v>15.896000000000015</v>
      </c>
      <c r="G395" s="925">
        <f>G370+G372</f>
        <v>193.56799999999944</v>
      </c>
      <c r="H395" s="925">
        <f>H370+H372</f>
        <v>122.20299999999966</v>
      </c>
      <c r="I395" s="925">
        <f>I370+I372</f>
        <v>65.467999999999734</v>
      </c>
      <c r="J395" s="925">
        <f>J370+J372</f>
        <v>34.698999999999671</v>
      </c>
      <c r="K395" s="925"/>
      <c r="L395" s="925"/>
      <c r="M395" s="925"/>
      <c r="N395" s="925"/>
      <c r="O395" s="925">
        <f>O370+O372</f>
        <v>50.76899999999921</v>
      </c>
      <c r="P395" s="925"/>
      <c r="Q395" s="925"/>
      <c r="R395" s="925"/>
      <c r="S395" s="925"/>
      <c r="T395" s="925">
        <f>T370+T372</f>
        <v>181.75699999999944</v>
      </c>
      <c r="U395" s="925"/>
      <c r="V395" s="925"/>
      <c r="W395" s="925"/>
      <c r="X395" s="925"/>
      <c r="Y395" s="925">
        <f>Y370+Y372</f>
        <v>-23.310999999999808</v>
      </c>
      <c r="Z395" s="925"/>
      <c r="AA395" s="925"/>
      <c r="AB395" s="925"/>
      <c r="AC395" s="925"/>
      <c r="AD395" s="925">
        <f>AD370+AD372</f>
        <v>-44.300000000001205</v>
      </c>
      <c r="AE395" s="925"/>
      <c r="AF395" s="925"/>
      <c r="AG395" s="925"/>
      <c r="AH395" s="925"/>
      <c r="AI395" s="925">
        <f>AI370+AI372</f>
        <v>-129.79999999999995</v>
      </c>
      <c r="AJ395" s="925"/>
      <c r="AK395" s="925"/>
      <c r="AL395" s="925"/>
      <c r="AM395" s="925"/>
      <c r="AN395" s="925">
        <f>AN370+AN372</f>
        <v>-517.80000000000177</v>
      </c>
      <c r="AO395" s="925"/>
      <c r="AP395" s="925"/>
      <c r="AQ395" s="925"/>
      <c r="AR395" s="925"/>
      <c r="AS395" s="925">
        <f>AS370+AS372</f>
        <v>777.4000000000002</v>
      </c>
      <c r="AT395" s="925"/>
      <c r="AU395" s="925"/>
      <c r="AV395" s="925"/>
      <c r="AW395" s="925"/>
      <c r="AX395" s="925">
        <f>AX370+AX372</f>
        <v>707.50000000000125</v>
      </c>
      <c r="AY395" s="925"/>
      <c r="AZ395" s="925"/>
      <c r="BA395" s="925"/>
      <c r="BB395" s="925"/>
      <c r="BC395" s="925">
        <f>BC370+BC372</f>
        <v>704.50000043592809</v>
      </c>
      <c r="BD395" s="925"/>
      <c r="BE395" s="925"/>
      <c r="BF395" s="925"/>
      <c r="BG395" s="925"/>
      <c r="BH395" s="925">
        <f>BH370+BH372</f>
        <v>133.70000000000005</v>
      </c>
      <c r="BI395" s="925"/>
      <c r="BJ395" s="925"/>
      <c r="BK395" s="925"/>
      <c r="BL395" s="925"/>
      <c r="BM395" s="925">
        <f>BM370+BM372</f>
        <v>1357.3000000000059</v>
      </c>
      <c r="BN395" s="925"/>
      <c r="BO395" s="925"/>
      <c r="BP395" s="925"/>
      <c r="BQ395" s="925"/>
      <c r="BR395" s="925">
        <f>BR370+BR372</f>
        <v>571.19999999999322</v>
      </c>
      <c r="BS395" s="926"/>
      <c r="BT395" s="926"/>
      <c r="BU395" s="926"/>
      <c r="BV395" s="926"/>
      <c r="BW395" s="925">
        <f>BW370+BW372</f>
        <v>814.30000000000018</v>
      </c>
      <c r="BX395" s="926"/>
      <c r="BY395" s="926"/>
      <c r="BZ395" s="926"/>
      <c r="CA395" s="926"/>
      <c r="CB395" s="925">
        <f>CB370+CB372</f>
        <v>2184</v>
      </c>
      <c r="CC395" s="926"/>
      <c r="CD395" s="926"/>
      <c r="CE395" s="926"/>
      <c r="CF395" s="926"/>
      <c r="CG395" s="1368">
        <f>CG370+CG372</f>
        <v>2730</v>
      </c>
      <c r="CH395" s="926"/>
      <c r="CI395" s="926"/>
      <c r="CJ395" s="926"/>
      <c r="CK395" s="926"/>
      <c r="CL395" s="1368">
        <f>CL370+CL372</f>
        <v>2430</v>
      </c>
      <c r="CM395" s="927"/>
      <c r="CN395" s="927"/>
      <c r="CO395" s="927"/>
      <c r="CP395" s="927"/>
      <c r="CQ395" s="1368">
        <f t="shared" ref="CQ395:DF395" si="950">CQ370+CQ372</f>
        <v>2881</v>
      </c>
      <c r="CR395" s="927">
        <f t="shared" si="950"/>
        <v>265</v>
      </c>
      <c r="CS395" s="927">
        <f t="shared" si="950"/>
        <v>953</v>
      </c>
      <c r="CT395" s="927">
        <f t="shared" si="950"/>
        <v>1086</v>
      </c>
      <c r="CU395" s="927">
        <f t="shared" si="950"/>
        <v>785</v>
      </c>
      <c r="CV395" s="1368">
        <f t="shared" si="950"/>
        <v>3089</v>
      </c>
      <c r="CW395" s="927">
        <f t="shared" si="950"/>
        <v>-231</v>
      </c>
      <c r="CX395" s="927">
        <f t="shared" si="950"/>
        <v>877</v>
      </c>
      <c r="CY395" s="927">
        <f t="shared" si="950"/>
        <v>1042</v>
      </c>
      <c r="CZ395" s="927">
        <f t="shared" si="950"/>
        <v>1099</v>
      </c>
      <c r="DA395" s="1368">
        <f t="shared" si="950"/>
        <v>2787</v>
      </c>
      <c r="DB395" s="927">
        <f t="shared" si="950"/>
        <v>674</v>
      </c>
      <c r="DC395" s="927">
        <f t="shared" si="950"/>
        <v>1020</v>
      </c>
      <c r="DD395" s="927">
        <f t="shared" si="950"/>
        <v>1575</v>
      </c>
      <c r="DE395" s="927">
        <f>DE370+DE372</f>
        <v>1144</v>
      </c>
      <c r="DF395" s="1368">
        <f t="shared" si="950"/>
        <v>4413</v>
      </c>
      <c r="DG395" s="927">
        <f t="shared" ref="DG395:DH395" si="951">DG370+DG372</f>
        <v>392</v>
      </c>
      <c r="DH395" s="927">
        <f t="shared" si="951"/>
        <v>2036</v>
      </c>
      <c r="DI395" s="927">
        <f t="shared" ref="DI395" si="952">DI370+DI372</f>
        <v>1857</v>
      </c>
      <c r="DJ395" s="927">
        <f t="shared" ref="DJ395:DU395" si="953">DJ370+DJ372</f>
        <v>2237</v>
      </c>
      <c r="DK395" s="928">
        <f t="shared" si="953"/>
        <v>6522</v>
      </c>
      <c r="DL395" s="927">
        <f t="shared" ref="DL395:DM395" si="954">DL370+DL372</f>
        <v>147</v>
      </c>
      <c r="DM395" s="927">
        <f t="shared" si="954"/>
        <v>2596</v>
      </c>
      <c r="DN395" s="927">
        <f t="shared" ref="DN395:DO395" si="955">DN370+DN372</f>
        <v>1582</v>
      </c>
      <c r="DO395" s="927">
        <f t="shared" si="955"/>
        <v>1575</v>
      </c>
      <c r="DP395" s="928">
        <f t="shared" si="953"/>
        <v>5900</v>
      </c>
      <c r="DQ395" s="925">
        <f t="shared" si="953"/>
        <v>583</v>
      </c>
      <c r="DR395" s="925">
        <f t="shared" ca="1" si="953"/>
        <v>410.14724090358982</v>
      </c>
      <c r="DS395" s="925">
        <f t="shared" ca="1" si="953"/>
        <v>2081.9656122558035</v>
      </c>
      <c r="DT395" s="928">
        <f t="shared" ca="1" si="953"/>
        <v>1953.063987655142</v>
      </c>
      <c r="DU395" s="928">
        <f t="shared" ca="1" si="953"/>
        <v>5028.1768408145344</v>
      </c>
      <c r="DV395" s="925">
        <f t="shared" ref="DV395:DZ395" ca="1" si="956">DV370+DV372</f>
        <v>1038.355100150294</v>
      </c>
      <c r="DW395" s="925">
        <f t="shared" ca="1" si="956"/>
        <v>394.26122548989559</v>
      </c>
      <c r="DX395" s="925">
        <f t="shared" ca="1" si="956"/>
        <v>2143.2843267540925</v>
      </c>
      <c r="DY395" s="928">
        <f t="shared" ca="1" si="956"/>
        <v>2129.5857036573257</v>
      </c>
      <c r="DZ395" s="928">
        <f t="shared" ca="1" si="956"/>
        <v>5705.4863560516078</v>
      </c>
      <c r="EA395" s="925">
        <f t="shared" ref="EA395:EE395" ca="1" si="957">EA370+EA372</f>
        <v>1409.9779966964156</v>
      </c>
      <c r="EB395" s="925">
        <f t="shared" ca="1" si="957"/>
        <v>590.46113685172691</v>
      </c>
      <c r="EC395" s="925">
        <f t="shared" ca="1" si="957"/>
        <v>2366.10235485679</v>
      </c>
      <c r="ED395" s="928">
        <f t="shared" ca="1" si="957"/>
        <v>1983.546590685811</v>
      </c>
      <c r="EE395" s="928">
        <f t="shared" ca="1" si="957"/>
        <v>6350.088079090744</v>
      </c>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row>
    <row r="396" spans="2:232" s="8" customFormat="1">
      <c r="B396" s="37"/>
      <c r="C396" s="31"/>
      <c r="D396" s="31"/>
      <c r="E396" s="31"/>
      <c r="F396" s="35"/>
      <c r="G396" s="35"/>
      <c r="H396" s="36"/>
      <c r="I396" s="35"/>
      <c r="J396" s="35"/>
      <c r="K396" s="35"/>
      <c r="L396" s="35"/>
      <c r="M396" s="35"/>
      <c r="N396" s="35"/>
      <c r="O396" s="35"/>
      <c r="P396" s="35"/>
      <c r="Q396" s="35"/>
      <c r="R396" s="35"/>
      <c r="S396" s="35"/>
      <c r="T396" s="35"/>
      <c r="U396" s="35"/>
      <c r="V396" s="35"/>
      <c r="W396" s="35"/>
      <c r="X396" s="35"/>
      <c r="Y396" s="35"/>
      <c r="Z396" s="35"/>
      <c r="AA396" s="35"/>
      <c r="AB396" s="35"/>
      <c r="AC396" s="35"/>
      <c r="AD396" s="35"/>
      <c r="AE396" s="35"/>
      <c r="AF396" s="35"/>
      <c r="AG396" s="35"/>
      <c r="AH396" s="35"/>
      <c r="AI396" s="35"/>
      <c r="AJ396" s="35"/>
      <c r="AK396" s="35"/>
      <c r="AL396" s="35"/>
      <c r="AM396" s="35"/>
      <c r="AN396" s="35"/>
      <c r="AO396" s="35"/>
      <c r="AP396" s="35"/>
      <c r="AQ396" s="35"/>
      <c r="AR396" s="35"/>
      <c r="AS396" s="35"/>
      <c r="AT396" s="35"/>
      <c r="AU396" s="35"/>
      <c r="AV396" s="35"/>
      <c r="AW396" s="35"/>
      <c r="AX396" s="22"/>
      <c r="AY396" s="22"/>
      <c r="AZ396" s="22"/>
      <c r="BA396" s="22"/>
      <c r="BB396" s="22"/>
      <c r="BC396" s="22"/>
      <c r="BD396" s="22"/>
      <c r="BE396" s="22"/>
      <c r="BF396" s="22"/>
      <c r="BG396" s="22"/>
      <c r="BH396" s="22"/>
      <c r="BI396" s="22"/>
      <c r="BJ396" s="22"/>
      <c r="BK396" s="22"/>
      <c r="BL396" s="22"/>
      <c r="BM396" s="22"/>
      <c r="BN396" s="22"/>
      <c r="BO396" s="22"/>
      <c r="BP396" s="22"/>
      <c r="BQ396" s="22"/>
      <c r="BR396" s="22"/>
      <c r="BS396" s="22"/>
      <c r="BT396" s="22"/>
      <c r="BU396" s="22"/>
      <c r="BV396" s="22"/>
      <c r="BW396" s="22"/>
      <c r="BX396" s="22"/>
      <c r="BY396" s="22"/>
      <c r="BZ396" s="22"/>
      <c r="CA396" s="22"/>
      <c r="CB396" s="22"/>
      <c r="CC396" s="22"/>
      <c r="CD396" s="22"/>
      <c r="CE396" s="22"/>
      <c r="CF396" s="22"/>
      <c r="CG396" s="22"/>
      <c r="CH396" s="22"/>
      <c r="CI396" s="22"/>
      <c r="CJ396" s="22"/>
      <c r="CK396" s="22"/>
      <c r="CL396" s="22"/>
      <c r="CM396" s="32"/>
      <c r="CN396" s="32"/>
      <c r="CO396" s="32"/>
      <c r="CP396" s="32"/>
      <c r="CQ396" s="22"/>
      <c r="CR396" s="32"/>
      <c r="CS396" s="32"/>
      <c r="CT396" s="32"/>
      <c r="CU396" s="32"/>
      <c r="CV396" s="22"/>
      <c r="CW396" s="32"/>
      <c r="CX396" s="32"/>
      <c r="CY396" s="32"/>
      <c r="CZ396" s="32"/>
      <c r="DA396" s="22"/>
      <c r="DB396" s="32"/>
      <c r="DC396" s="32"/>
      <c r="DD396" s="32"/>
      <c r="DE396" s="32"/>
      <c r="DF396" s="22"/>
      <c r="DG396" s="22"/>
      <c r="DH396" s="22"/>
      <c r="DI396" s="22"/>
      <c r="DJ396" s="22"/>
      <c r="DK396" s="22"/>
      <c r="DL396" s="22"/>
      <c r="DM396" s="22"/>
      <c r="DN396" s="22"/>
      <c r="DO396" s="22"/>
      <c r="DP396" s="22"/>
      <c r="DQ396" s="22"/>
      <c r="DR396" s="22"/>
      <c r="DS396" s="22"/>
      <c r="DT396" s="22"/>
      <c r="DU396" s="22"/>
      <c r="DV396" s="22"/>
      <c r="DW396" s="22"/>
      <c r="DX396" s="22"/>
      <c r="DY396" s="22"/>
      <c r="DZ396" s="22"/>
      <c r="EA396" s="22"/>
      <c r="EB396" s="22"/>
      <c r="EC396" s="22"/>
      <c r="ED396" s="22"/>
      <c r="EE396" s="22"/>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row>
    <row r="397" spans="2:232">
      <c r="B397" s="2313" t="s">
        <v>617</v>
      </c>
      <c r="C397" s="2314"/>
      <c r="D397" s="2315">
        <f>+D40+D29+D37</f>
        <v>89.596999999999994</v>
      </c>
      <c r="E397" s="2315">
        <f t="shared" ref="E397:BP397" si="958">+E40+E29+E37</f>
        <v>106.346</v>
      </c>
      <c r="F397" s="2316">
        <f t="shared" si="958"/>
        <v>116.979</v>
      </c>
      <c r="G397" s="2316">
        <f t="shared" si="958"/>
        <v>132.37700000000001</v>
      </c>
      <c r="H397" s="2316">
        <f t="shared" si="958"/>
        <v>154.387</v>
      </c>
      <c r="I397" s="2316">
        <f t="shared" si="958"/>
        <v>176.49199999999999</v>
      </c>
      <c r="J397" s="2316">
        <f t="shared" si="958"/>
        <v>202.95</v>
      </c>
      <c r="K397" s="2316">
        <f t="shared" si="958"/>
        <v>40.271999999999998</v>
      </c>
      <c r="L397" s="2316">
        <f t="shared" si="958"/>
        <v>80.22</v>
      </c>
      <c r="M397" s="2316">
        <f t="shared" si="958"/>
        <v>57.936</v>
      </c>
      <c r="N397" s="2316">
        <f t="shared" si="958"/>
        <v>56.76</v>
      </c>
      <c r="O397" s="2316">
        <f t="shared" si="958"/>
        <v>235.18799999999999</v>
      </c>
      <c r="P397" s="2316">
        <f t="shared" si="958"/>
        <v>47.460999999999999</v>
      </c>
      <c r="Q397" s="2316">
        <f t="shared" si="958"/>
        <v>93.278999999999996</v>
      </c>
      <c r="R397" s="2316">
        <f t="shared" si="958"/>
        <v>68.391000000000005</v>
      </c>
      <c r="S397" s="2316">
        <f t="shared" si="958"/>
        <v>66.998000000000005</v>
      </c>
      <c r="T397" s="2316">
        <f t="shared" si="958"/>
        <v>276.12900000000002</v>
      </c>
      <c r="U397" s="2316">
        <f t="shared" si="958"/>
        <v>55.518000000000001</v>
      </c>
      <c r="V397" s="2316">
        <f t="shared" si="958"/>
        <v>108.07599999999999</v>
      </c>
      <c r="W397" s="2316">
        <f t="shared" si="958"/>
        <v>79.688000000000002</v>
      </c>
      <c r="X397" s="2316">
        <f t="shared" si="958"/>
        <v>96.581000000000003</v>
      </c>
      <c r="Y397" s="2316">
        <f t="shared" si="958"/>
        <v>339.863</v>
      </c>
      <c r="Z397" s="2316">
        <f t="shared" si="958"/>
        <v>65.8</v>
      </c>
      <c r="AA397" s="2316">
        <f t="shared" si="958"/>
        <v>130.80000000000001</v>
      </c>
      <c r="AB397" s="2316">
        <f t="shared" si="958"/>
        <v>102.9</v>
      </c>
      <c r="AC397" s="2316">
        <f t="shared" si="958"/>
        <v>103.7</v>
      </c>
      <c r="AD397" s="2316">
        <f t="shared" si="958"/>
        <v>403.2</v>
      </c>
      <c r="AE397" s="2316">
        <f t="shared" si="958"/>
        <v>83.5</v>
      </c>
      <c r="AF397" s="2316">
        <f t="shared" si="958"/>
        <v>153.4</v>
      </c>
      <c r="AG397" s="2316">
        <f t="shared" si="958"/>
        <v>121.3</v>
      </c>
      <c r="AH397" s="2316">
        <f t="shared" si="958"/>
        <v>128.19999999999999</v>
      </c>
      <c r="AI397" s="2316">
        <f t="shared" si="958"/>
        <v>486.4</v>
      </c>
      <c r="AJ397" s="2316">
        <f t="shared" si="958"/>
        <v>99.2</v>
      </c>
      <c r="AK397" s="2316">
        <f t="shared" si="958"/>
        <v>182.9</v>
      </c>
      <c r="AL397" s="2316">
        <f t="shared" si="958"/>
        <v>132.1</v>
      </c>
      <c r="AM397" s="2316">
        <f t="shared" si="958"/>
        <v>122.9</v>
      </c>
      <c r="AN397" s="2316">
        <f t="shared" si="958"/>
        <v>537.1</v>
      </c>
      <c r="AO397" s="2316">
        <f t="shared" si="958"/>
        <v>112.8</v>
      </c>
      <c r="AP397" s="2316">
        <f t="shared" si="958"/>
        <v>198</v>
      </c>
      <c r="AQ397" s="2316">
        <f t="shared" si="958"/>
        <v>157</v>
      </c>
      <c r="AR397" s="2316">
        <f t="shared" si="958"/>
        <v>150.30000000000001</v>
      </c>
      <c r="AS397" s="2316">
        <f t="shared" si="958"/>
        <v>611.29999999999995</v>
      </c>
      <c r="AT397" s="2316">
        <f t="shared" si="958"/>
        <v>140.4</v>
      </c>
      <c r="AU397" s="2316">
        <f t="shared" si="958"/>
        <v>224.9</v>
      </c>
      <c r="AV397" s="2316">
        <f t="shared" si="958"/>
        <v>179.6</v>
      </c>
      <c r="AW397" s="2316">
        <f t="shared" si="958"/>
        <v>168.1</v>
      </c>
      <c r="AX397" s="2316">
        <f t="shared" si="958"/>
        <v>699.30000000000007</v>
      </c>
      <c r="AY397" s="2316">
        <f t="shared" si="958"/>
        <v>152.9</v>
      </c>
      <c r="AZ397" s="2316">
        <f t="shared" si="958"/>
        <v>254.08603099999999</v>
      </c>
      <c r="BA397" s="2316">
        <f t="shared" si="958"/>
        <v>206.7</v>
      </c>
      <c r="BB397" s="2316">
        <f t="shared" si="958"/>
        <v>190.1</v>
      </c>
      <c r="BC397" s="2316">
        <f t="shared" si="958"/>
        <v>803.78603099999998</v>
      </c>
      <c r="BD397" s="2316">
        <f t="shared" si="958"/>
        <v>182.6</v>
      </c>
      <c r="BE397" s="2316">
        <f t="shared" si="958"/>
        <v>291.39999999999998</v>
      </c>
      <c r="BF397" s="2316">
        <f t="shared" si="958"/>
        <v>244</v>
      </c>
      <c r="BG397" s="2316">
        <f t="shared" si="958"/>
        <v>178.1</v>
      </c>
      <c r="BH397" s="2316">
        <f t="shared" si="958"/>
        <v>896.1</v>
      </c>
      <c r="BI397" s="2316">
        <f t="shared" si="958"/>
        <v>203</v>
      </c>
      <c r="BJ397" s="2316">
        <f t="shared" si="958"/>
        <v>307.39999999999998</v>
      </c>
      <c r="BK397" s="2316">
        <f t="shared" si="958"/>
        <v>254</v>
      </c>
      <c r="BL397" s="2316">
        <f t="shared" si="958"/>
        <v>239.1</v>
      </c>
      <c r="BM397" s="2316">
        <f t="shared" si="958"/>
        <v>1003.5</v>
      </c>
      <c r="BN397" s="2316">
        <f t="shared" si="958"/>
        <v>250.8</v>
      </c>
      <c r="BO397" s="2316">
        <f t="shared" si="958"/>
        <v>378.8</v>
      </c>
      <c r="BP397" s="2316">
        <f t="shared" si="958"/>
        <v>304.8</v>
      </c>
      <c r="BQ397" s="2316">
        <f t="shared" ref="BQ397:DZ397" si="959">+BQ40+BQ29+BQ37</f>
        <v>213.4</v>
      </c>
      <c r="BR397" s="2316">
        <f t="shared" si="959"/>
        <v>1148</v>
      </c>
      <c r="BS397" s="2317">
        <f t="shared" si="959"/>
        <v>272.7</v>
      </c>
      <c r="BT397" s="2318">
        <f t="shared" si="959"/>
        <v>399.8</v>
      </c>
      <c r="BU397" s="2319">
        <f t="shared" si="959"/>
        <v>340</v>
      </c>
      <c r="BV397" s="2320">
        <f t="shared" si="959"/>
        <v>231.13900000000018</v>
      </c>
      <c r="BW397" s="2316">
        <f t="shared" si="959"/>
        <v>1273</v>
      </c>
      <c r="BX397" s="2317">
        <f t="shared" si="959"/>
        <v>246</v>
      </c>
      <c r="BY397" s="2319">
        <f t="shared" si="959"/>
        <v>370</v>
      </c>
      <c r="BZ397" s="2319">
        <f t="shared" si="959"/>
        <v>299</v>
      </c>
      <c r="CA397" s="2320">
        <f t="shared" si="959"/>
        <v>243</v>
      </c>
      <c r="CB397" s="2316">
        <f t="shared" si="959"/>
        <v>1158</v>
      </c>
      <c r="CC397" s="2317">
        <f t="shared" si="959"/>
        <v>287</v>
      </c>
      <c r="CD397" s="2319">
        <f t="shared" si="959"/>
        <v>395</v>
      </c>
      <c r="CE397" s="2319">
        <f t="shared" si="959"/>
        <v>342</v>
      </c>
      <c r="CF397" s="2319">
        <f t="shared" si="959"/>
        <v>258</v>
      </c>
      <c r="CG397" s="2321">
        <f t="shared" si="959"/>
        <v>1282</v>
      </c>
      <c r="CH397" s="2319">
        <f t="shared" si="959"/>
        <v>341</v>
      </c>
      <c r="CI397" s="2319">
        <f t="shared" si="959"/>
        <v>450</v>
      </c>
      <c r="CJ397" s="2319">
        <f t="shared" si="959"/>
        <v>330</v>
      </c>
      <c r="CK397" s="2319">
        <f t="shared" si="959"/>
        <v>459</v>
      </c>
      <c r="CL397" s="2321">
        <f t="shared" si="959"/>
        <v>1580</v>
      </c>
      <c r="CM397" s="2316">
        <f t="shared" si="959"/>
        <v>329</v>
      </c>
      <c r="CN397" s="2316">
        <f t="shared" si="959"/>
        <v>405</v>
      </c>
      <c r="CO397" s="2316">
        <f t="shared" si="959"/>
        <v>319</v>
      </c>
      <c r="CP397" s="2316">
        <f t="shared" si="959"/>
        <v>196</v>
      </c>
      <c r="CQ397" s="2321">
        <f t="shared" si="959"/>
        <v>1249</v>
      </c>
      <c r="CR397" s="2316">
        <f t="shared" si="959"/>
        <v>255</v>
      </c>
      <c r="CS397" s="2316">
        <f t="shared" si="959"/>
        <v>394</v>
      </c>
      <c r="CT397" s="2316">
        <f t="shared" si="959"/>
        <v>350</v>
      </c>
      <c r="CU397" s="2316">
        <f t="shared" si="959"/>
        <v>322</v>
      </c>
      <c r="CV397" s="2321">
        <f t="shared" si="959"/>
        <v>1321</v>
      </c>
      <c r="CW397" s="2316">
        <f t="shared" si="959"/>
        <v>376</v>
      </c>
      <c r="CX397" s="2316">
        <f t="shared" si="959"/>
        <v>364</v>
      </c>
      <c r="CY397" s="2316">
        <f t="shared" si="959"/>
        <v>296</v>
      </c>
      <c r="CZ397" s="2322">
        <f t="shared" si="959"/>
        <v>323</v>
      </c>
      <c r="DA397" s="2321">
        <f t="shared" si="959"/>
        <v>1359</v>
      </c>
      <c r="DB397" s="2316">
        <f t="shared" si="959"/>
        <v>288</v>
      </c>
      <c r="DC397" s="2316">
        <f t="shared" si="959"/>
        <v>353</v>
      </c>
      <c r="DD397" s="2316">
        <f t="shared" si="959"/>
        <v>408</v>
      </c>
      <c r="DE397" s="2316">
        <f t="shared" si="959"/>
        <v>-64</v>
      </c>
      <c r="DF397" s="2321">
        <f t="shared" si="959"/>
        <v>985</v>
      </c>
      <c r="DG397" s="2316">
        <f t="shared" si="959"/>
        <v>167</v>
      </c>
      <c r="DH397" s="2316">
        <f t="shared" si="959"/>
        <v>301</v>
      </c>
      <c r="DI397" s="2316">
        <f t="shared" si="959"/>
        <v>322</v>
      </c>
      <c r="DJ397" s="2316">
        <f t="shared" si="959"/>
        <v>249</v>
      </c>
      <c r="DK397" s="2321">
        <f t="shared" si="959"/>
        <v>1039</v>
      </c>
      <c r="DL397" s="2316">
        <f t="shared" si="959"/>
        <v>392</v>
      </c>
      <c r="DM397" s="2316">
        <f t="shared" si="959"/>
        <v>430</v>
      </c>
      <c r="DN397" s="2316">
        <f t="shared" si="959"/>
        <v>321</v>
      </c>
      <c r="DO397" s="2323">
        <f t="shared" si="959"/>
        <v>426</v>
      </c>
      <c r="DP397" s="2321">
        <f t="shared" si="959"/>
        <v>1569</v>
      </c>
      <c r="DQ397" s="2324">
        <f t="shared" ref="DQ397" si="960">+DQ40+DQ29+DQ37</f>
        <v>400</v>
      </c>
      <c r="DR397" s="2316">
        <f t="shared" ca="1" si="959"/>
        <v>414.75393696875312</v>
      </c>
      <c r="DS397" s="2316">
        <f t="shared" ca="1" si="959"/>
        <v>302.91049545369293</v>
      </c>
      <c r="DT397" s="2323">
        <f t="shared" ca="1" si="959"/>
        <v>289.11243010824273</v>
      </c>
      <c r="DU397" s="2321">
        <f t="shared" ca="1" si="959"/>
        <v>1406.776862530689</v>
      </c>
      <c r="DV397" s="2324">
        <f t="shared" ca="1" si="959"/>
        <v>284.41759453426204</v>
      </c>
      <c r="DW397" s="2316">
        <f t="shared" ca="1" si="959"/>
        <v>338.84673145048839</v>
      </c>
      <c r="DX397" s="2316">
        <f t="shared" ca="1" si="959"/>
        <v>339.58369545063056</v>
      </c>
      <c r="DY397" s="2323">
        <f t="shared" ca="1" si="959"/>
        <v>332.26971115955752</v>
      </c>
      <c r="DZ397" s="2325">
        <f t="shared" ca="1" si="959"/>
        <v>1295.1177325949384</v>
      </c>
      <c r="EA397" s="2324">
        <f t="shared" ref="EA397:EE397" ca="1" si="961">+EA40+EA29+EA37</f>
        <v>294.03367899442452</v>
      </c>
      <c r="EB397" s="2316">
        <f t="shared" ca="1" si="961"/>
        <v>343.83433608986002</v>
      </c>
      <c r="EC397" s="2316">
        <f t="shared" ca="1" si="961"/>
        <v>347.60563254006922</v>
      </c>
      <c r="ED397" s="2323">
        <f t="shared" ca="1" si="961"/>
        <v>340.91103021437908</v>
      </c>
      <c r="EE397" s="2325">
        <f t="shared" ca="1" si="961"/>
        <v>1326.3846778387328</v>
      </c>
    </row>
    <row r="398" spans="2:232">
      <c r="B398" s="2326" t="s">
        <v>618</v>
      </c>
      <c r="C398" s="2327"/>
      <c r="D398" s="2328">
        <f>+D397+D41</f>
        <v>243.83900000000017</v>
      </c>
      <c r="E398" s="2328">
        <f t="shared" ref="E398:BP398" si="962">+E397+E41</f>
        <v>280.923</v>
      </c>
      <c r="F398" s="2329">
        <f t="shared" si="962"/>
        <v>311.94400000000002</v>
      </c>
      <c r="G398" s="2329">
        <f t="shared" si="962"/>
        <v>353.00499999999948</v>
      </c>
      <c r="H398" s="2329">
        <f t="shared" si="962"/>
        <v>376.05299999999971</v>
      </c>
      <c r="I398" s="2329">
        <f t="shared" si="962"/>
        <v>458.42099999999971</v>
      </c>
      <c r="J398" s="2329">
        <f t="shared" si="962"/>
        <v>523.74099999999976</v>
      </c>
      <c r="K398" s="2329">
        <f t="shared" si="962"/>
        <v>103.92699999999967</v>
      </c>
      <c r="L398" s="2329">
        <f t="shared" si="962"/>
        <v>212.48799999999994</v>
      </c>
      <c r="M398" s="2329">
        <f t="shared" si="962"/>
        <v>153.07199999999983</v>
      </c>
      <c r="N398" s="2329">
        <f t="shared" si="962"/>
        <v>141.54899999999975</v>
      </c>
      <c r="O398" s="2329">
        <f t="shared" si="962"/>
        <v>611.03599999999915</v>
      </c>
      <c r="P398" s="2329">
        <f t="shared" si="962"/>
        <v>128.40499999999989</v>
      </c>
      <c r="Q398" s="2329">
        <f t="shared" si="962"/>
        <v>249.9619999999997</v>
      </c>
      <c r="R398" s="2329">
        <f t="shared" si="962"/>
        <v>180.82100000000005</v>
      </c>
      <c r="S398" s="2329">
        <f t="shared" si="962"/>
        <v>169.94799999999984</v>
      </c>
      <c r="T398" s="2329">
        <f t="shared" si="962"/>
        <v>729.13599999999951</v>
      </c>
      <c r="U398" s="2329">
        <f t="shared" si="962"/>
        <v>122.99699999999982</v>
      </c>
      <c r="V398" s="2329">
        <f t="shared" si="962"/>
        <v>288.81300000000005</v>
      </c>
      <c r="W398" s="2329">
        <f t="shared" si="962"/>
        <v>222.00000000000023</v>
      </c>
      <c r="X398" s="2329">
        <f t="shared" si="962"/>
        <v>263.34599999999995</v>
      </c>
      <c r="Y398" s="2329">
        <f t="shared" si="962"/>
        <v>897.15600000000018</v>
      </c>
      <c r="Z398" s="2329">
        <f t="shared" si="962"/>
        <v>183.6999999999999</v>
      </c>
      <c r="AA398" s="2329">
        <f t="shared" si="962"/>
        <v>347.20000000000016</v>
      </c>
      <c r="AB398" s="2329">
        <f t="shared" si="962"/>
        <v>277.99999999999955</v>
      </c>
      <c r="AC398" s="2329">
        <f t="shared" si="962"/>
        <v>263.60000000000002</v>
      </c>
      <c r="AD398" s="2329">
        <f t="shared" si="962"/>
        <v>1027.2999999999988</v>
      </c>
      <c r="AE398" s="2329">
        <f t="shared" si="962"/>
        <v>228.89999999999972</v>
      </c>
      <c r="AF398" s="2329">
        <f t="shared" si="962"/>
        <v>392.30000000000007</v>
      </c>
      <c r="AG398" s="2329">
        <f t="shared" si="962"/>
        <v>314.90000000000043</v>
      </c>
      <c r="AH398" s="2329">
        <f t="shared" si="962"/>
        <v>344.80000000000007</v>
      </c>
      <c r="AI398" s="2329">
        <f t="shared" si="962"/>
        <v>1280.9000000000001</v>
      </c>
      <c r="AJ398" s="2329">
        <f t="shared" si="962"/>
        <v>257.59999999999945</v>
      </c>
      <c r="AK398" s="2329">
        <f t="shared" si="962"/>
        <v>479.80000000000007</v>
      </c>
      <c r="AL398" s="2329">
        <f t="shared" si="962"/>
        <v>345.49999999999955</v>
      </c>
      <c r="AM398" s="2329">
        <f t="shared" si="962"/>
        <v>339.80000000000041</v>
      </c>
      <c r="AN398" s="2329">
        <f t="shared" si="962"/>
        <v>1422.6999999999982</v>
      </c>
      <c r="AO398" s="2329">
        <f t="shared" si="962"/>
        <v>298.69999999999953</v>
      </c>
      <c r="AP398" s="2329">
        <f t="shared" si="962"/>
        <v>524.59999999999968</v>
      </c>
      <c r="AQ398" s="2329">
        <f t="shared" si="962"/>
        <v>415.99999999999989</v>
      </c>
      <c r="AR398" s="2329">
        <f t="shared" si="962"/>
        <v>398.00000000000006</v>
      </c>
      <c r="AS398" s="2329">
        <f t="shared" si="962"/>
        <v>1619.4</v>
      </c>
      <c r="AT398" s="2329">
        <f t="shared" si="962"/>
        <v>344.89999999999986</v>
      </c>
      <c r="AU398" s="2329">
        <f t="shared" si="962"/>
        <v>595.8000000000003</v>
      </c>
      <c r="AV398" s="2329">
        <f t="shared" si="962"/>
        <v>451.80000000000007</v>
      </c>
      <c r="AW398" s="2329">
        <f t="shared" si="962"/>
        <v>444.29999999999961</v>
      </c>
      <c r="AX398" s="2329">
        <f t="shared" si="962"/>
        <v>1864.400000000001</v>
      </c>
      <c r="AY398" s="2329">
        <f t="shared" si="962"/>
        <v>407.79999999999956</v>
      </c>
      <c r="AZ398" s="2329">
        <f t="shared" si="962"/>
        <v>687.586031435932</v>
      </c>
      <c r="BA398" s="2329">
        <f t="shared" si="962"/>
        <v>551.3000000000003</v>
      </c>
      <c r="BB398" s="2329">
        <f t="shared" si="962"/>
        <v>506.900000000001</v>
      </c>
      <c r="BC398" s="2329">
        <f t="shared" si="962"/>
        <v>2153.5860314359284</v>
      </c>
      <c r="BD398" s="2329">
        <f t="shared" si="962"/>
        <v>511.20000000000039</v>
      </c>
      <c r="BE398" s="2329">
        <f t="shared" si="962"/>
        <v>782.30000000000041</v>
      </c>
      <c r="BF398" s="2329">
        <f t="shared" si="962"/>
        <v>655.0000000000008</v>
      </c>
      <c r="BG398" s="2329">
        <f t="shared" si="962"/>
        <v>507.09999999999934</v>
      </c>
      <c r="BH398" s="2329">
        <f t="shared" si="962"/>
        <v>2455.6</v>
      </c>
      <c r="BI398" s="2329">
        <f t="shared" si="962"/>
        <v>548.60000000000014</v>
      </c>
      <c r="BJ398" s="2329">
        <f t="shared" si="962"/>
        <v>830.900000000001</v>
      </c>
      <c r="BK398" s="2329">
        <f t="shared" si="962"/>
        <v>723.20000000000084</v>
      </c>
      <c r="BL398" s="2329">
        <f t="shared" si="962"/>
        <v>651.3999999999985</v>
      </c>
      <c r="BM398" s="2329">
        <f t="shared" si="962"/>
        <v>2754.1000000000054</v>
      </c>
      <c r="BN398" s="2329">
        <f t="shared" si="962"/>
        <v>682.50000000000057</v>
      </c>
      <c r="BO398" s="2329">
        <f t="shared" si="962"/>
        <v>1030.700000000001</v>
      </c>
      <c r="BP398" s="2329">
        <f t="shared" si="962"/>
        <v>865.99999999999886</v>
      </c>
      <c r="BQ398" s="2329">
        <f t="shared" ref="BQ398:DZ398" si="963">+BQ397+BQ41</f>
        <v>609.89999999999907</v>
      </c>
      <c r="BR398" s="2329">
        <f t="shared" si="963"/>
        <v>3189.0999999999935</v>
      </c>
      <c r="BS398" s="2330">
        <f t="shared" si="963"/>
        <v>728.29999999999961</v>
      </c>
      <c r="BT398" s="1537">
        <f t="shared" si="963"/>
        <v>1085.1000000000004</v>
      </c>
      <c r="BU398" s="1530">
        <f t="shared" si="963"/>
        <v>913.20000000000073</v>
      </c>
      <c r="BV398" s="2331">
        <f t="shared" si="963"/>
        <v>674.47000000000048</v>
      </c>
      <c r="BW398" s="2329">
        <f t="shared" si="963"/>
        <v>3301.5299999999947</v>
      </c>
      <c r="BX398" s="2330">
        <f t="shared" si="963"/>
        <v>654</v>
      </c>
      <c r="BY398" s="1530">
        <f t="shared" si="963"/>
        <v>1010</v>
      </c>
      <c r="BZ398" s="1530">
        <f t="shared" si="963"/>
        <v>821</v>
      </c>
      <c r="CA398" s="2331">
        <f t="shared" si="963"/>
        <v>679</v>
      </c>
      <c r="CB398" s="2329">
        <f t="shared" si="963"/>
        <v>3164</v>
      </c>
      <c r="CC398" s="2330">
        <f t="shared" si="963"/>
        <v>821</v>
      </c>
      <c r="CD398" s="1530">
        <f t="shared" si="963"/>
        <v>1105</v>
      </c>
      <c r="CE398" s="1530">
        <f t="shared" si="963"/>
        <v>892</v>
      </c>
      <c r="CF398" s="1530">
        <f t="shared" si="963"/>
        <v>801</v>
      </c>
      <c r="CG398" s="2332">
        <f t="shared" si="963"/>
        <v>3619</v>
      </c>
      <c r="CH398" s="1530">
        <f t="shared" si="963"/>
        <v>980</v>
      </c>
      <c r="CI398" s="1530">
        <f t="shared" si="963"/>
        <v>1252</v>
      </c>
      <c r="CJ398" s="1530">
        <f t="shared" si="963"/>
        <v>1000</v>
      </c>
      <c r="CK398" s="1530">
        <f t="shared" si="963"/>
        <v>1058</v>
      </c>
      <c r="CL398" s="2332">
        <f t="shared" si="963"/>
        <v>4290</v>
      </c>
      <c r="CM398" s="2329">
        <f t="shared" si="963"/>
        <v>948</v>
      </c>
      <c r="CN398" s="2329">
        <f t="shared" si="963"/>
        <v>1172</v>
      </c>
      <c r="CO398" s="2329">
        <f t="shared" si="963"/>
        <v>947</v>
      </c>
      <c r="CP398" s="2329">
        <f t="shared" si="963"/>
        <v>749</v>
      </c>
      <c r="CQ398" s="2332">
        <f t="shared" si="963"/>
        <v>3816</v>
      </c>
      <c r="CR398" s="2329">
        <f t="shared" si="963"/>
        <v>808</v>
      </c>
      <c r="CS398" s="2329">
        <f t="shared" si="963"/>
        <v>1309</v>
      </c>
      <c r="CT398" s="2329">
        <f t="shared" si="963"/>
        <v>1162</v>
      </c>
      <c r="CU398" s="2329">
        <f t="shared" si="963"/>
        <v>1024</v>
      </c>
      <c r="CV398" s="2332">
        <f t="shared" si="963"/>
        <v>4303</v>
      </c>
      <c r="CW398" s="2329">
        <f t="shared" si="963"/>
        <v>1064</v>
      </c>
      <c r="CX398" s="2329">
        <f t="shared" si="963"/>
        <v>1244</v>
      </c>
      <c r="CY398" s="2329">
        <f t="shared" si="963"/>
        <v>1179</v>
      </c>
      <c r="CZ398" s="2333">
        <f t="shared" si="963"/>
        <v>1037</v>
      </c>
      <c r="DA398" s="2332">
        <f t="shared" si="963"/>
        <v>4524</v>
      </c>
      <c r="DB398" s="2329">
        <f t="shared" si="963"/>
        <v>1037</v>
      </c>
      <c r="DC398" s="2329">
        <f t="shared" si="963"/>
        <v>1597</v>
      </c>
      <c r="DD398" s="2329">
        <f t="shared" si="963"/>
        <v>1531</v>
      </c>
      <c r="DE398" s="2329">
        <f t="shared" si="963"/>
        <v>905</v>
      </c>
      <c r="DF398" s="2332">
        <f t="shared" si="963"/>
        <v>5070</v>
      </c>
      <c r="DG398" s="2329">
        <f t="shared" si="963"/>
        <v>1299</v>
      </c>
      <c r="DH398" s="2329">
        <f t="shared" si="963"/>
        <v>1724</v>
      </c>
      <c r="DI398" s="2329">
        <f t="shared" si="963"/>
        <v>1610</v>
      </c>
      <c r="DJ398" s="2329">
        <f t="shared" si="963"/>
        <v>1415</v>
      </c>
      <c r="DK398" s="2332">
        <f t="shared" si="963"/>
        <v>6048</v>
      </c>
      <c r="DL398" s="2329">
        <f t="shared" si="963"/>
        <v>1593</v>
      </c>
      <c r="DM398" s="2329">
        <f t="shared" si="963"/>
        <v>1906</v>
      </c>
      <c r="DN398" s="2329">
        <f t="shared" si="963"/>
        <v>1762</v>
      </c>
      <c r="DO398" s="2334">
        <f t="shared" si="963"/>
        <v>1811</v>
      </c>
      <c r="DP398" s="2332">
        <f t="shared" si="963"/>
        <v>7072</v>
      </c>
      <c r="DQ398" s="2335">
        <f t="shared" ref="DQ398" si="964">+DQ397+DQ41</f>
        <v>1695</v>
      </c>
      <c r="DR398" s="2329">
        <f t="shared" ca="1" si="963"/>
        <v>1948.9472295866005</v>
      </c>
      <c r="DS398" s="2329">
        <f t="shared" ca="1" si="963"/>
        <v>1808.8515951905424</v>
      </c>
      <c r="DT398" s="2334">
        <f t="shared" ca="1" si="963"/>
        <v>1717.6894916575493</v>
      </c>
      <c r="DU398" s="2332">
        <f t="shared" ca="1" si="963"/>
        <v>7170.4883164347029</v>
      </c>
      <c r="DV398" s="2335">
        <f t="shared" ca="1" si="963"/>
        <v>1686.0391277339729</v>
      </c>
      <c r="DW398" s="2329">
        <f t="shared" ca="1" si="963"/>
        <v>1995.2756688642098</v>
      </c>
      <c r="DX398" s="2329">
        <f t="shared" ca="1" si="963"/>
        <v>2014.8307751269519</v>
      </c>
      <c r="DY398" s="2334">
        <f t="shared" ca="1" si="963"/>
        <v>1966.7669405736056</v>
      </c>
      <c r="DZ398" s="2336">
        <f t="shared" ca="1" si="963"/>
        <v>7662.9125122987189</v>
      </c>
      <c r="EA398" s="2335">
        <f t="shared" ref="EA398" ca="1" si="965">+EA397+EA41</f>
        <v>1740.9881817920382</v>
      </c>
      <c r="EB398" s="2329">
        <f t="shared" ref="EB398" ca="1" si="966">+EB397+EB41</f>
        <v>2023.7762668034695</v>
      </c>
      <c r="EC398" s="2329">
        <f t="shared" ref="EC398" ca="1" si="967">+EC397+EC41</f>
        <v>2060.6704156380224</v>
      </c>
      <c r="ED398" s="2334">
        <f t="shared" ref="ED398" ca="1" si="968">+ED397+ED41</f>
        <v>2016.14590660115</v>
      </c>
      <c r="EE398" s="2336">
        <f t="shared" ref="EE398" ca="1" si="969">+EE397+EE41</f>
        <v>7841.5807708346929</v>
      </c>
      <c r="EF398" s="2312"/>
      <c r="EG398" s="2312"/>
      <c r="EN398" s="2312"/>
      <c r="EO398" s="2312"/>
      <c r="EP398" s="2312"/>
      <c r="EQ398" s="2312"/>
      <c r="ER398" s="2312"/>
      <c r="ES398" s="2312"/>
      <c r="ET398" s="2312"/>
      <c r="EU398" s="2312"/>
      <c r="EV398" s="2312"/>
      <c r="EW398" s="2312"/>
      <c r="EX398" s="2312"/>
      <c r="EY398" s="2312"/>
      <c r="EZ398" s="2312"/>
      <c r="FA398" s="2312"/>
      <c r="FB398" s="2312"/>
      <c r="FC398" s="2312"/>
      <c r="FD398" s="2312"/>
      <c r="FE398" s="2312"/>
      <c r="FF398" s="2312"/>
      <c r="FG398" s="2312"/>
      <c r="FH398" s="2312"/>
      <c r="FI398" s="2312"/>
      <c r="FJ398" s="2312"/>
      <c r="FK398" s="2312"/>
      <c r="FL398" s="2312"/>
      <c r="FM398" s="2312"/>
      <c r="FN398" s="2312"/>
      <c r="FO398" s="2312"/>
      <c r="FP398" s="2312"/>
      <c r="FQ398" s="2312"/>
      <c r="FR398" s="2312"/>
      <c r="FS398" s="2312"/>
      <c r="FT398" s="2312"/>
      <c r="FU398" s="2312"/>
      <c r="FV398" s="2312"/>
      <c r="FW398" s="2312"/>
      <c r="FX398" s="2312"/>
      <c r="FY398" s="2312"/>
      <c r="FZ398" s="2312"/>
      <c r="GA398" s="2312"/>
      <c r="GB398" s="2312"/>
      <c r="GC398" s="2312"/>
      <c r="GD398" s="2312"/>
      <c r="GE398" s="2312"/>
      <c r="GF398" s="2312"/>
      <c r="GG398" s="2312"/>
      <c r="GH398" s="2312"/>
      <c r="GI398" s="2312"/>
      <c r="GJ398" s="2312"/>
      <c r="GK398" s="2312"/>
      <c r="GL398" s="2312"/>
      <c r="GM398" s="2312"/>
      <c r="GN398" s="2312"/>
      <c r="GO398" s="2312"/>
      <c r="GP398" s="2312"/>
      <c r="GQ398" s="2312"/>
      <c r="GR398" s="2312"/>
      <c r="GS398" s="2312"/>
      <c r="GT398" s="2312"/>
      <c r="GU398" s="2312"/>
      <c r="GV398" s="2312"/>
      <c r="GW398" s="2312"/>
      <c r="GX398" s="2312"/>
      <c r="GY398" s="2312"/>
      <c r="GZ398" s="2312"/>
      <c r="HA398" s="2312"/>
      <c r="HB398" s="2312"/>
      <c r="HC398" s="2312"/>
      <c r="HD398" s="2312"/>
      <c r="HE398" s="2312"/>
      <c r="HF398" s="2312"/>
      <c r="HG398" s="2312"/>
      <c r="HH398" s="2312"/>
      <c r="HI398" s="2312"/>
      <c r="HJ398" s="2312"/>
      <c r="HK398" s="2312"/>
      <c r="HL398" s="2312"/>
      <c r="HM398" s="2312"/>
      <c r="HN398" s="2312"/>
      <c r="HO398" s="2312"/>
      <c r="HP398" s="2312"/>
      <c r="HQ398" s="2312"/>
      <c r="HR398" s="2312"/>
      <c r="HS398" s="2312"/>
      <c r="HT398" s="2312"/>
      <c r="HU398" s="2312"/>
      <c r="HV398" s="2312"/>
      <c r="HW398" s="2312"/>
      <c r="HX398" s="2312"/>
    </row>
    <row r="399" spans="2:232">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c r="CB399" s="5"/>
      <c r="CC399" s="5"/>
      <c r="CD399" s="5"/>
      <c r="CE399" s="5"/>
      <c r="CF399" s="5"/>
      <c r="CG399" s="5"/>
      <c r="CH399" s="5"/>
      <c r="CI399" s="5"/>
      <c r="CJ399" s="5"/>
      <c r="CK399" s="5"/>
      <c r="CL399" s="5"/>
      <c r="CM399" s="27"/>
      <c r="CN399" s="27"/>
      <c r="CO399" s="27"/>
      <c r="CP399" s="27"/>
      <c r="CQ399" s="5"/>
      <c r="CR399" s="27"/>
      <c r="CS399" s="27"/>
      <c r="CT399" s="27"/>
      <c r="CU399" s="27"/>
      <c r="CV399" s="1625"/>
      <c r="CW399" s="27"/>
      <c r="CX399" s="27"/>
      <c r="CY399" s="27"/>
      <c r="CZ399" s="27"/>
      <c r="DA399" s="1625"/>
      <c r="DB399" s="1625"/>
      <c r="DC399" s="1625"/>
      <c r="DD399" s="1625"/>
      <c r="DE399" s="1625"/>
      <c r="DF399" s="1625"/>
      <c r="DG399" s="1625"/>
      <c r="DH399" s="1625"/>
      <c r="DI399" s="1625"/>
      <c r="DJ399" s="1625"/>
      <c r="DK399" s="1625"/>
      <c r="DL399" s="1625"/>
      <c r="DM399" s="1625"/>
      <c r="DN399" s="1625"/>
      <c r="DO399" s="1625"/>
      <c r="DP399" s="1625"/>
      <c r="DQ399" s="1625"/>
      <c r="DR399" s="1625"/>
      <c r="DS399" s="1625"/>
      <c r="DT399" s="1625"/>
      <c r="DU399" s="1625"/>
      <c r="DV399" s="1625"/>
      <c r="DW399" s="1625"/>
      <c r="DX399" s="1625"/>
      <c r="DY399" s="1625"/>
      <c r="DZ399" s="1625"/>
      <c r="EA399" s="1625"/>
      <c r="EB399" s="1625"/>
      <c r="EC399" s="1625"/>
      <c r="ED399" s="1625"/>
      <c r="EE399" s="1625"/>
      <c r="EF399" s="2312"/>
      <c r="EG399" s="2312"/>
      <c r="EN399" s="2312"/>
      <c r="EO399" s="2312"/>
      <c r="EP399" s="2312"/>
      <c r="EQ399" s="2312"/>
      <c r="ER399" s="2312"/>
      <c r="ES399" s="2312"/>
      <c r="ET399" s="2312"/>
      <c r="EU399" s="2312"/>
      <c r="EV399" s="2312"/>
      <c r="EW399" s="2312"/>
      <c r="EX399" s="2312"/>
      <c r="EY399" s="2312"/>
      <c r="EZ399" s="2312"/>
      <c r="FA399" s="2312"/>
      <c r="FB399" s="2312"/>
      <c r="FC399" s="2312"/>
      <c r="FD399" s="2312"/>
      <c r="FE399" s="2312"/>
      <c r="FF399" s="2312"/>
      <c r="FG399" s="2312"/>
      <c r="FH399" s="2312"/>
      <c r="FI399" s="2312"/>
      <c r="FJ399" s="2312"/>
      <c r="FK399" s="2312"/>
      <c r="FL399" s="2312"/>
      <c r="FM399" s="2312"/>
      <c r="FN399" s="2312"/>
      <c r="FO399" s="2312"/>
      <c r="FP399" s="2312"/>
      <c r="FQ399" s="2312"/>
      <c r="FR399" s="2312"/>
      <c r="FS399" s="2312"/>
      <c r="FT399" s="2312"/>
      <c r="FU399" s="2312"/>
      <c r="FV399" s="2312"/>
      <c r="FW399" s="2312"/>
      <c r="FX399" s="2312"/>
      <c r="FY399" s="2312"/>
      <c r="FZ399" s="2312"/>
      <c r="GA399" s="2312"/>
      <c r="GB399" s="2312"/>
      <c r="GC399" s="2312"/>
      <c r="GD399" s="2312"/>
      <c r="GE399" s="2312"/>
      <c r="GF399" s="2312"/>
      <c r="GG399" s="2312"/>
      <c r="GH399" s="2312"/>
      <c r="GI399" s="2312"/>
      <c r="GJ399" s="2312"/>
      <c r="GK399" s="2312"/>
      <c r="GL399" s="2312"/>
      <c r="GM399" s="2312"/>
      <c r="GN399" s="2312"/>
      <c r="GO399" s="2312"/>
      <c r="GP399" s="2312"/>
      <c r="GQ399" s="2312"/>
      <c r="GR399" s="2312"/>
      <c r="GS399" s="2312"/>
      <c r="GT399" s="2312"/>
      <c r="GU399" s="2312"/>
      <c r="GV399" s="2312"/>
      <c r="GW399" s="2312"/>
      <c r="GX399" s="2312"/>
      <c r="GY399" s="2312"/>
      <c r="GZ399" s="2312"/>
      <c r="HA399" s="2312"/>
      <c r="HB399" s="2312"/>
      <c r="HC399" s="2312"/>
      <c r="HD399" s="2312"/>
      <c r="HE399" s="2312"/>
      <c r="HF399" s="2312"/>
      <c r="HG399" s="2312"/>
      <c r="HH399" s="2312"/>
      <c r="HI399" s="2312"/>
      <c r="HJ399" s="2312"/>
      <c r="HK399" s="2312"/>
      <c r="HL399" s="2312"/>
      <c r="HM399" s="2312"/>
      <c r="HN399" s="2312"/>
      <c r="HO399" s="2312"/>
      <c r="HP399" s="2312"/>
      <c r="HQ399" s="2312"/>
      <c r="HR399" s="2312"/>
      <c r="HS399" s="2312"/>
      <c r="HT399" s="2312"/>
      <c r="HU399" s="2312"/>
      <c r="HV399" s="2312"/>
      <c r="HW399" s="2312"/>
      <c r="HX399" s="2312"/>
    </row>
    <row r="400" spans="2:232">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c r="CB400" s="5"/>
      <c r="CC400" s="5"/>
      <c r="CD400" s="5"/>
      <c r="CE400" s="5"/>
      <c r="CF400" s="5"/>
      <c r="CG400" s="5"/>
      <c r="CH400" s="5"/>
      <c r="CI400" s="5"/>
      <c r="CJ400" s="5"/>
      <c r="CK400" s="5"/>
      <c r="CL400" s="5"/>
      <c r="CM400" s="27"/>
      <c r="CN400" s="27"/>
      <c r="CO400" s="27"/>
      <c r="CP400" s="27"/>
      <c r="CQ400" s="5"/>
      <c r="CR400" s="27"/>
      <c r="CS400" s="27"/>
      <c r="CT400" s="27"/>
      <c r="CU400" s="27"/>
      <c r="CV400" s="5"/>
      <c r="CW400" s="27"/>
      <c r="CX400" s="27"/>
      <c r="CY400" s="27"/>
      <c r="CZ400" s="27"/>
      <c r="DA400" s="11"/>
      <c r="DB400" s="27"/>
      <c r="DC400" s="1625"/>
      <c r="DD400" s="27"/>
      <c r="DE400" s="1520"/>
      <c r="DF400" s="5"/>
      <c r="DG400" s="5"/>
      <c r="DH400" s="5"/>
      <c r="DI400" s="5"/>
      <c r="DJ400" s="5"/>
      <c r="DK400" s="12"/>
      <c r="DL400" s="12"/>
      <c r="DM400" s="12"/>
      <c r="DN400" s="12"/>
      <c r="DO400" s="12"/>
      <c r="DP400" s="5"/>
      <c r="DQ400" s="12"/>
      <c r="DR400" s="12"/>
      <c r="DS400" s="12"/>
      <c r="DT400" s="12"/>
      <c r="DU400" s="5"/>
      <c r="DV400" s="12"/>
      <c r="DW400" s="12"/>
      <c r="DX400" s="12"/>
      <c r="DY400" s="12"/>
      <c r="DZ400" s="5"/>
      <c r="EA400" s="12"/>
      <c r="EB400" s="12"/>
      <c r="EC400" s="12"/>
      <c r="ED400" s="12"/>
      <c r="EE400" s="5"/>
    </row>
    <row r="401" spans="2:135" outlineLevel="1">
      <c r="B401" s="1" t="s">
        <v>309</v>
      </c>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c r="CB401" s="5"/>
      <c r="CC401" s="5"/>
      <c r="CD401" s="5"/>
      <c r="CE401" s="5"/>
      <c r="CF401" s="5"/>
      <c r="CG401" s="5"/>
      <c r="CH401" s="5"/>
      <c r="CI401" s="5"/>
      <c r="CJ401" s="5"/>
      <c r="CK401" s="5"/>
      <c r="CL401" s="5"/>
      <c r="CM401" s="27"/>
      <c r="CN401" s="27"/>
      <c r="CO401" s="27"/>
      <c r="CP401" s="27"/>
      <c r="CQ401" s="5"/>
      <c r="CR401" s="27"/>
      <c r="CS401" s="27"/>
      <c r="CT401" s="27"/>
      <c r="CU401" s="27"/>
      <c r="CV401" s="5"/>
      <c r="CW401" s="27"/>
      <c r="CX401" s="27"/>
      <c r="CY401" s="27"/>
      <c r="CZ401" s="27"/>
      <c r="DA401" s="11"/>
      <c r="DB401" s="27"/>
      <c r="DC401" s="27"/>
      <c r="DD401" s="27"/>
      <c r="DE401" s="27"/>
      <c r="DF401" s="5"/>
      <c r="DG401" s="5"/>
      <c r="DH401" s="5"/>
      <c r="DI401" s="5"/>
      <c r="DJ401" s="5"/>
      <c r="DK401" s="5"/>
      <c r="DL401" s="5"/>
      <c r="DM401" s="5"/>
      <c r="DN401" s="5"/>
      <c r="DO401" s="5"/>
      <c r="DP401" s="5"/>
      <c r="DQ401" s="5"/>
      <c r="DR401" s="5"/>
      <c r="DS401" s="5"/>
      <c r="DT401" s="5"/>
      <c r="DU401" s="5"/>
      <c r="DV401" s="5"/>
      <c r="DW401" s="5"/>
      <c r="DX401" s="5"/>
      <c r="DY401" s="5"/>
      <c r="DZ401" s="5"/>
      <c r="EA401" s="5"/>
      <c r="EB401" s="5"/>
      <c r="EC401" s="5"/>
      <c r="ED401" s="5"/>
      <c r="EE401" s="5"/>
    </row>
    <row r="402" spans="2:135" outlineLevel="1">
      <c r="B402" s="2" t="s">
        <v>25</v>
      </c>
      <c r="F402" s="5">
        <f>Model!F9</f>
        <v>6733.0439999999999</v>
      </c>
      <c r="G402" s="5">
        <f>Model!G9</f>
        <v>7474.9610000000002</v>
      </c>
      <c r="H402" s="5">
        <f>Model!H9</f>
        <v>8294.84</v>
      </c>
      <c r="I402" s="5">
        <f>Model!I9</f>
        <v>9234.9779999999992</v>
      </c>
      <c r="J402" s="5">
        <f>Model!J9</f>
        <v>10395.096</v>
      </c>
      <c r="K402" s="5"/>
      <c r="L402" s="5"/>
      <c r="M402" s="5"/>
      <c r="N402" s="5"/>
      <c r="O402" s="5">
        <f>Model!O9</f>
        <v>11778.407999999999</v>
      </c>
      <c r="P402" s="5"/>
      <c r="Q402" s="5"/>
      <c r="R402" s="5"/>
      <c r="S402" s="5"/>
      <c r="T402" s="5">
        <f>Model!T9</f>
        <v>13363.023000000001</v>
      </c>
      <c r="U402" s="5"/>
      <c r="V402" s="5"/>
      <c r="W402" s="5"/>
      <c r="X402" s="5"/>
      <c r="Y402" s="5">
        <f>Model!Y9</f>
        <v>15306.56</v>
      </c>
      <c r="Z402" s="5"/>
      <c r="AA402" s="5"/>
      <c r="AB402" s="5"/>
      <c r="AC402" s="5"/>
      <c r="AD402" s="5">
        <f>Model!AD9</f>
        <v>17838.8</v>
      </c>
      <c r="AE402" s="5"/>
      <c r="AF402" s="5"/>
      <c r="AG402" s="5"/>
      <c r="AH402" s="5"/>
      <c r="AI402" s="5">
        <f>Model!AI9</f>
        <v>21206.9</v>
      </c>
      <c r="AJ402" s="5"/>
      <c r="AK402" s="5"/>
      <c r="AL402" s="5"/>
      <c r="AM402" s="5"/>
      <c r="AN402" s="5">
        <f>Model!AN9</f>
        <v>24623</v>
      </c>
      <c r="AO402" s="5"/>
      <c r="AP402" s="5"/>
      <c r="AQ402" s="5"/>
      <c r="AR402" s="5"/>
      <c r="AS402" s="5">
        <f>Model!AS9</f>
        <v>28681.1</v>
      </c>
      <c r="AT402" s="5"/>
      <c r="AU402" s="5"/>
      <c r="AV402" s="5"/>
      <c r="AW402" s="5"/>
      <c r="AX402" s="5">
        <f>Model!AX9</f>
        <v>32505.4</v>
      </c>
      <c r="AY402" s="5"/>
      <c r="AZ402" s="5"/>
      <c r="BA402" s="5"/>
      <c r="BB402" s="5"/>
      <c r="BC402" s="5">
        <f>Model!BC9</f>
        <v>37508.199999999997</v>
      </c>
      <c r="BD402" s="5"/>
      <c r="BE402" s="5"/>
      <c r="BF402" s="5"/>
      <c r="BG402" s="5"/>
      <c r="BH402" s="5">
        <f>Model!BH9</f>
        <v>42201.599999999999</v>
      </c>
      <c r="BI402" s="5"/>
      <c r="BJ402" s="5"/>
      <c r="BK402" s="5"/>
      <c r="BL402" s="5"/>
      <c r="BM402" s="5">
        <f>Model!BM9</f>
        <v>47409</v>
      </c>
      <c r="BN402" s="5"/>
      <c r="BO402" s="5"/>
      <c r="BP402" s="5"/>
      <c r="BQ402" s="5"/>
      <c r="BR402" s="5">
        <f>Model!BR9</f>
        <v>53762</v>
      </c>
      <c r="BS402" s="5">
        <f>Model!BS9</f>
        <v>14027.9</v>
      </c>
      <c r="BT402" s="5">
        <f>Model!BT9</f>
        <v>15393.6</v>
      </c>
      <c r="BU402" s="5">
        <f>Model!BU9</f>
        <v>15015.7</v>
      </c>
      <c r="BV402" s="5">
        <f>Model!BV9</f>
        <v>14597.1</v>
      </c>
      <c r="BW402" s="5">
        <f>Model!BW9</f>
        <v>59034.299999999996</v>
      </c>
      <c r="BX402" s="5">
        <f>Model!BX9</f>
        <v>14947</v>
      </c>
      <c r="BY402" s="5">
        <f>Model!BY9</f>
        <v>16475</v>
      </c>
      <c r="BZ402" s="5">
        <f>Model!BZ9</f>
        <v>16210</v>
      </c>
      <c r="CA402" s="5">
        <f>Model!CA9</f>
        <v>15703</v>
      </c>
      <c r="CB402" s="5">
        <f>Model!CB9</f>
        <v>63335</v>
      </c>
      <c r="CC402" s="5">
        <f>Model!CC9</f>
        <v>16364</v>
      </c>
      <c r="CD402" s="5">
        <f>Model!CD9</f>
        <v>16987</v>
      </c>
      <c r="CE402" s="5">
        <f>Model!CE9</f>
        <v>17199</v>
      </c>
      <c r="CF402" s="5">
        <f>Model!CF9</f>
        <v>16870</v>
      </c>
      <c r="CG402" s="5">
        <f>Model!CG9</f>
        <v>67420</v>
      </c>
      <c r="CH402" s="5">
        <f>Model!CH9</f>
        <v>17344</v>
      </c>
      <c r="CI402" s="5">
        <f>Model!CI9</f>
        <v>18502</v>
      </c>
      <c r="CJ402" s="5">
        <f>Model!CJ9</f>
        <v>18371</v>
      </c>
      <c r="CK402" s="5">
        <f>Model!CK9</f>
        <v>17967</v>
      </c>
      <c r="CL402" s="5">
        <f>Model!CL9</f>
        <v>72184</v>
      </c>
      <c r="CM402" s="5">
        <f>Model!CM9</f>
        <v>18157</v>
      </c>
      <c r="CN402" s="5">
        <f>Model!CN9</f>
        <v>18651</v>
      </c>
      <c r="CO402" s="5">
        <f>Model!CO9</f>
        <v>17752</v>
      </c>
      <c r="CP402" s="5">
        <f>Model!CP9</f>
        <v>17073</v>
      </c>
      <c r="CQ402" s="5">
        <f>Model!CQ9</f>
        <v>71633</v>
      </c>
      <c r="CR402" s="5">
        <f>Model!CR9</f>
        <v>17316</v>
      </c>
      <c r="CS402" s="5">
        <f>Model!CS9</f>
        <v>18647</v>
      </c>
      <c r="CT402" s="5">
        <f>Model!CT9</f>
        <v>18313</v>
      </c>
      <c r="CU402" s="5">
        <f>Model!CU9</f>
        <v>17941</v>
      </c>
      <c r="CV402" s="5">
        <f>Model!CV9</f>
        <v>72217</v>
      </c>
      <c r="CW402" s="5">
        <f>Model!CW9</f>
        <v>18329</v>
      </c>
      <c r="CX402" s="5">
        <f>Model!CX9</f>
        <v>19605</v>
      </c>
      <c r="CY402" s="5">
        <f>Model!CY9</f>
        <v>19401</v>
      </c>
      <c r="CZ402" s="5">
        <f>Model!CZ9</f>
        <v>19057</v>
      </c>
      <c r="DA402" s="5">
        <f>Model!DA9</f>
        <v>76392</v>
      </c>
      <c r="DB402" s="5">
        <f>Model!DB9</f>
        <v>19554</v>
      </c>
      <c r="DC402" s="5">
        <f>Model!DC9</f>
        <v>26573</v>
      </c>
      <c r="DD402" s="5">
        <f>Model!DD9</f>
        <v>28795</v>
      </c>
      <c r="DE402" s="5">
        <f>Model!DE9</f>
        <v>28522</v>
      </c>
      <c r="DF402" s="5">
        <f>Model!DF9</f>
        <v>103444</v>
      </c>
      <c r="DG402" s="5">
        <f>Model!DG9</f>
        <v>29033</v>
      </c>
      <c r="DH402" s="5">
        <f>Model!DH9</f>
        <v>30184</v>
      </c>
      <c r="DI402" s="5">
        <f>Model!DI9</f>
        <v>29498</v>
      </c>
      <c r="DJ402" s="5">
        <f>Model!DJ9</f>
        <v>28636</v>
      </c>
      <c r="DK402" s="5">
        <f>Model!DK9</f>
        <v>117351</v>
      </c>
      <c r="DL402" s="5">
        <f>Model!DL9</f>
        <v>28501</v>
      </c>
      <c r="DM402" s="5">
        <f>Model!DM9</f>
        <v>29446</v>
      </c>
      <c r="DN402" s="5">
        <f>Model!DN9</f>
        <v>30118</v>
      </c>
      <c r="DO402" s="5">
        <f>Model!DO9</f>
        <v>30149</v>
      </c>
      <c r="DP402" s="5">
        <f>Model!DP9</f>
        <v>118214</v>
      </c>
      <c r="DQ402" s="5">
        <f>Model!DQ9</f>
        <v>30740</v>
      </c>
      <c r="DR402" s="5">
        <f ca="1">Model!DR9</f>
        <v>33566.861696755666</v>
      </c>
      <c r="DS402" s="5">
        <f ca="1">Model!DS9</f>
        <v>33846.769999439988</v>
      </c>
      <c r="DT402" s="5">
        <f>Model!DT9</f>
        <v>33300.983209543454</v>
      </c>
      <c r="DU402" s="5">
        <f ca="1">Model!DU9</f>
        <v>131454.61490573912</v>
      </c>
      <c r="DV402" s="5">
        <f>Model!DV9</f>
        <v>33290.238599673678</v>
      </c>
      <c r="DW402" s="5">
        <f ca="1">Model!DW9</f>
        <v>34360.8961025096</v>
      </c>
      <c r="DX402" s="5">
        <f ca="1">Model!DX9</f>
        <v>34363.933544856904</v>
      </c>
      <c r="DY402" s="5">
        <f>Model!DY9</f>
        <v>33802.297253989949</v>
      </c>
      <c r="DZ402" s="5">
        <f ca="1">Model!DZ9</f>
        <v>135817.36550103012</v>
      </c>
      <c r="EA402" s="5">
        <f>Model!EA9</f>
        <v>33888.349850143466</v>
      </c>
      <c r="EB402" s="5">
        <f ca="1">Model!EB9</f>
        <v>34959.600922786703</v>
      </c>
      <c r="EC402" s="5">
        <f ca="1">Model!EC9</f>
        <v>34993.838013079541</v>
      </c>
      <c r="ED402" s="5">
        <f>Model!ED9</f>
        <v>34455.105501630089</v>
      </c>
      <c r="EE402" s="5">
        <f ca="1">Model!EE9</f>
        <v>138296.89428763979</v>
      </c>
    </row>
    <row r="403" spans="2:135" outlineLevel="1">
      <c r="B403" s="2" t="s">
        <v>288</v>
      </c>
      <c r="F403" s="5">
        <f>Model!F10</f>
        <v>4788.8980000000001</v>
      </c>
      <c r="G403" s="5">
        <f>Model!G10</f>
        <v>5342.8250000000007</v>
      </c>
      <c r="H403" s="5">
        <f>Model!H10</f>
        <v>5930.8810000000003</v>
      </c>
      <c r="I403" s="5">
        <f>Model!I10</f>
        <v>6609.3410000000003</v>
      </c>
      <c r="J403" s="5">
        <f>Model!J10</f>
        <v>7460.8649999999998</v>
      </c>
      <c r="K403" s="5"/>
      <c r="L403" s="5"/>
      <c r="M403" s="5"/>
      <c r="N403" s="5"/>
      <c r="O403" s="5">
        <f>Model!O10</f>
        <v>8510.6310000000012</v>
      </c>
      <c r="P403" s="5"/>
      <c r="Q403" s="5"/>
      <c r="R403" s="5"/>
      <c r="S403" s="5"/>
      <c r="T403" s="5">
        <f>Model!T10</f>
        <v>9665.3040000000001</v>
      </c>
      <c r="U403" s="5"/>
      <c r="V403" s="5"/>
      <c r="W403" s="5"/>
      <c r="X403" s="5"/>
      <c r="Y403" s="5">
        <f>Model!Y10</f>
        <v>11092.911</v>
      </c>
      <c r="Z403" s="5"/>
      <c r="AA403" s="5"/>
      <c r="AB403" s="5"/>
      <c r="AC403" s="5"/>
      <c r="AD403" s="5">
        <f>Model!AD10</f>
        <v>12978.6</v>
      </c>
      <c r="AE403" s="5"/>
      <c r="AF403" s="5"/>
      <c r="AG403" s="5"/>
      <c r="AH403" s="5"/>
      <c r="AI403" s="5">
        <f>Model!AI10</f>
        <v>15448.300000000001</v>
      </c>
      <c r="AJ403" s="5"/>
      <c r="AK403" s="5"/>
      <c r="AL403" s="5"/>
      <c r="AM403" s="5"/>
      <c r="AN403" s="5">
        <f>Model!AN10</f>
        <v>18048.900000000001</v>
      </c>
      <c r="AO403" s="5"/>
      <c r="AP403" s="5"/>
      <c r="AQ403" s="5"/>
      <c r="AR403" s="5"/>
      <c r="AS403" s="5">
        <f>Model!AS10</f>
        <v>21076.1</v>
      </c>
      <c r="AT403" s="5"/>
      <c r="AU403" s="5"/>
      <c r="AV403" s="5"/>
      <c r="AW403" s="5"/>
      <c r="AX403" s="5">
        <f>Model!AX10</f>
        <v>23706.2</v>
      </c>
      <c r="AY403" s="5"/>
      <c r="AZ403" s="5"/>
      <c r="BA403" s="5"/>
      <c r="BB403" s="5"/>
      <c r="BC403" s="5">
        <f>Model!BC10</f>
        <v>27310.400000000001</v>
      </c>
      <c r="BD403" s="5"/>
      <c r="BE403" s="5"/>
      <c r="BF403" s="5"/>
      <c r="BG403" s="5"/>
      <c r="BH403" s="5">
        <f>Model!BH10</f>
        <v>30413.8</v>
      </c>
      <c r="BI403" s="5"/>
      <c r="BJ403" s="5"/>
      <c r="BK403" s="5"/>
      <c r="BL403" s="5"/>
      <c r="BM403" s="5">
        <f>Model!BM10</f>
        <v>34240.399999999994</v>
      </c>
      <c r="BN403" s="5"/>
      <c r="BO403" s="5"/>
      <c r="BP403" s="5"/>
      <c r="BQ403" s="5"/>
      <c r="BR403" s="5">
        <f>Model!BR10</f>
        <v>38518.100000000006</v>
      </c>
      <c r="BS403" s="5">
        <f>Model!BS10</f>
        <v>10107</v>
      </c>
      <c r="BT403" s="5">
        <f>Model!BT10</f>
        <v>10952</v>
      </c>
      <c r="BU403" s="5">
        <f>Model!BU10</f>
        <v>10770</v>
      </c>
      <c r="BV403" s="5">
        <f>Model!BV10</f>
        <v>10562.5</v>
      </c>
      <c r="BW403" s="5">
        <f>Model!BW10</f>
        <v>42391.5</v>
      </c>
      <c r="BX403" s="5">
        <f>Model!BX10</f>
        <v>10796</v>
      </c>
      <c r="BY403" s="5">
        <f>Model!BY10</f>
        <v>11818</v>
      </c>
      <c r="BZ403" s="5">
        <f>Model!BZ10</f>
        <v>11751</v>
      </c>
      <c r="CA403" s="5">
        <f>Model!CA10</f>
        <v>11357</v>
      </c>
      <c r="CB403" s="5">
        <f>Model!CB10</f>
        <v>45722</v>
      </c>
      <c r="CC403" s="5">
        <f>Model!CC10</f>
        <v>11826</v>
      </c>
      <c r="CD403" s="5">
        <f>Model!CD10</f>
        <v>12090</v>
      </c>
      <c r="CE403" s="5">
        <f>Model!CE10</f>
        <v>12450</v>
      </c>
      <c r="CF403" s="5">
        <f>Model!CF10</f>
        <v>12078</v>
      </c>
      <c r="CG403" s="5">
        <f>Model!CG10</f>
        <v>48444</v>
      </c>
      <c r="CH403" s="5">
        <f>Model!CH10</f>
        <v>12399</v>
      </c>
      <c r="CI403" s="5">
        <f>Model!CI10</f>
        <v>13178</v>
      </c>
      <c r="CJ403" s="5">
        <f>Model!CJ10</f>
        <v>13217</v>
      </c>
      <c r="CK403" s="5">
        <f>Model!CK10</f>
        <v>12898</v>
      </c>
      <c r="CL403" s="5">
        <f>Model!CL10</f>
        <v>51692</v>
      </c>
      <c r="CM403" s="5">
        <f>Model!CM10</f>
        <v>13053</v>
      </c>
      <c r="CN403" s="5">
        <f>Model!CN10</f>
        <v>13262</v>
      </c>
      <c r="CO403" s="5">
        <f>Model!CO10</f>
        <v>12738</v>
      </c>
      <c r="CP403" s="5">
        <f>Model!CP10</f>
        <v>12238</v>
      </c>
      <c r="CQ403" s="5">
        <f>Model!CQ10</f>
        <v>51291</v>
      </c>
      <c r="CR403" s="5">
        <f>Model!CR10</f>
        <v>12217</v>
      </c>
      <c r="CS403" s="5">
        <f>Model!CS10</f>
        <v>13040</v>
      </c>
      <c r="CT403" s="5">
        <f>Model!CT10</f>
        <v>13091</v>
      </c>
      <c r="CU403" s="5">
        <f>Model!CU10</f>
        <v>12750</v>
      </c>
      <c r="CV403" s="5">
        <f>Model!CV10</f>
        <v>51098</v>
      </c>
      <c r="CW403" s="5">
        <f>Model!CW10</f>
        <v>13177</v>
      </c>
      <c r="CX403" s="5">
        <f>Model!CX10</f>
        <v>13955</v>
      </c>
      <c r="CY403" s="5">
        <f>Model!CY10</f>
        <v>13961</v>
      </c>
      <c r="CZ403" s="5">
        <f>Model!CZ10</f>
        <v>13730</v>
      </c>
      <c r="DA403" s="5">
        <f>Model!DA10</f>
        <v>54823</v>
      </c>
      <c r="DB403" s="5">
        <f>Model!DB10</f>
        <v>14258</v>
      </c>
      <c r="DC403" s="5">
        <f>Model!DC10</f>
        <v>19691</v>
      </c>
      <c r="DD403" s="5">
        <f>Model!DD10</f>
        <v>21314</v>
      </c>
      <c r="DE403" s="5">
        <f>Model!DE10</f>
        <v>21257</v>
      </c>
      <c r="DF403" s="5">
        <f>Model!DF10</f>
        <v>76520</v>
      </c>
      <c r="DG403" s="5">
        <f>Model!DG10</f>
        <v>21531</v>
      </c>
      <c r="DH403" s="5">
        <f>Model!DH10</f>
        <v>22240</v>
      </c>
      <c r="DI403" s="5">
        <f>Model!DI10</f>
        <v>22001</v>
      </c>
      <c r="DJ403" s="5">
        <f>Model!DJ10</f>
        <v>21481</v>
      </c>
      <c r="DK403" s="5">
        <f>Model!DK10</f>
        <v>87253</v>
      </c>
      <c r="DL403" s="5">
        <f>Model!DL10</f>
        <v>21385</v>
      </c>
      <c r="DM403" s="5">
        <f>Model!DM10</f>
        <v>21885</v>
      </c>
      <c r="DN403" s="5">
        <f>Model!DN10</f>
        <v>22973</v>
      </c>
      <c r="DO403" s="5">
        <f>Model!DO10</f>
        <v>22809</v>
      </c>
      <c r="DP403" s="5">
        <f>Model!DP10</f>
        <v>89052</v>
      </c>
      <c r="DQ403" s="5">
        <f>Model!DQ10</f>
        <v>23399</v>
      </c>
      <c r="DR403" s="5">
        <f ca="1">Model!DR10</f>
        <v>25269.022671413077</v>
      </c>
      <c r="DS403" s="5">
        <f ca="1">Model!DS10</f>
        <v>25714.466305895756</v>
      </c>
      <c r="DT403" s="5">
        <f>Model!DT10</f>
        <v>25267.499039941198</v>
      </c>
      <c r="DU403" s="5">
        <f ca="1">Model!DU10</f>
        <v>99649.988017250027</v>
      </c>
      <c r="DV403" s="5">
        <f>Model!DV10</f>
        <v>25363.660878881798</v>
      </c>
      <c r="DW403" s="5">
        <f ca="1">Model!DW10</f>
        <v>25841.78988039614</v>
      </c>
      <c r="DX403" s="5">
        <f ca="1">Model!DX10</f>
        <v>26031.157132571167</v>
      </c>
      <c r="DY403" s="5">
        <f>Model!DY10</f>
        <v>25564.688810527663</v>
      </c>
      <c r="DZ403" s="5">
        <f ca="1">Model!DZ10</f>
        <v>102801.29670237677</v>
      </c>
      <c r="EA403" s="5">
        <f>Model!EA10</f>
        <v>25771.575866843636</v>
      </c>
      <c r="EB403" s="5">
        <f ca="1">Model!EB10</f>
        <v>26265.623565869319</v>
      </c>
      <c r="EC403" s="5">
        <f ca="1">Model!EC10</f>
        <v>26473.706978976763</v>
      </c>
      <c r="ED403" s="5">
        <f>Model!ED10</f>
        <v>26030.003035587175</v>
      </c>
      <c r="EE403" s="5">
        <f ca="1">Model!EE10</f>
        <v>104540.90944727688</v>
      </c>
    </row>
    <row r="404" spans="2:135" outlineLevel="1">
      <c r="B404" s="2" t="s">
        <v>233</v>
      </c>
      <c r="F404" s="6">
        <f>Model!F13</f>
        <v>0</v>
      </c>
      <c r="G404" s="6">
        <f>Model!G13</f>
        <v>0</v>
      </c>
      <c r="H404" s="6">
        <f>Model!H13</f>
        <v>0</v>
      </c>
      <c r="I404" s="6">
        <f>Model!I13</f>
        <v>0</v>
      </c>
      <c r="J404" s="6">
        <f>Model!J13</f>
        <v>0</v>
      </c>
      <c r="K404" s="6"/>
      <c r="L404" s="6"/>
      <c r="M404" s="6"/>
      <c r="N404" s="6"/>
      <c r="O404" s="6">
        <f>Model!O13</f>
        <v>0</v>
      </c>
      <c r="P404" s="6"/>
      <c r="Q404" s="6"/>
      <c r="R404" s="6"/>
      <c r="S404" s="6"/>
      <c r="T404" s="6">
        <f>Model!T13</f>
        <v>0</v>
      </c>
      <c r="U404" s="6"/>
      <c r="V404" s="6"/>
      <c r="W404" s="6"/>
      <c r="X404" s="6"/>
      <c r="Y404" s="6">
        <f>Model!Y13</f>
        <v>0</v>
      </c>
      <c r="Z404" s="6"/>
      <c r="AA404" s="6"/>
      <c r="AB404" s="6"/>
      <c r="AC404" s="6"/>
      <c r="AD404" s="6">
        <f>Model!AD13</f>
        <v>0</v>
      </c>
      <c r="AE404" s="6"/>
      <c r="AF404" s="6"/>
      <c r="AG404" s="6"/>
      <c r="AH404" s="6"/>
      <c r="AI404" s="6">
        <f>Model!AI13</f>
        <v>0</v>
      </c>
      <c r="AJ404" s="6"/>
      <c r="AK404" s="6"/>
      <c r="AL404" s="6"/>
      <c r="AM404" s="6"/>
      <c r="AN404" s="6">
        <f>Model!AN13</f>
        <v>0</v>
      </c>
      <c r="AO404" s="6"/>
      <c r="AP404" s="6"/>
      <c r="AQ404" s="6"/>
      <c r="AR404" s="6"/>
      <c r="AS404" s="6">
        <f>Model!AS13</f>
        <v>0</v>
      </c>
      <c r="AT404" s="6"/>
      <c r="AU404" s="6"/>
      <c r="AV404" s="6"/>
      <c r="AW404" s="6"/>
      <c r="AX404" s="6">
        <f>Model!AX13</f>
        <v>0</v>
      </c>
      <c r="AY404" s="6"/>
      <c r="AZ404" s="6"/>
      <c r="BA404" s="6"/>
      <c r="BB404" s="6"/>
      <c r="BC404" s="6">
        <f>Model!BC13</f>
        <v>0</v>
      </c>
      <c r="BD404" s="6"/>
      <c r="BE404" s="6"/>
      <c r="BF404" s="6"/>
      <c r="BG404" s="6"/>
      <c r="BH404" s="6">
        <f>Model!BH13</f>
        <v>0</v>
      </c>
      <c r="BI404" s="6"/>
      <c r="BJ404" s="6"/>
      <c r="BK404" s="6"/>
      <c r="BL404" s="6"/>
      <c r="BM404" s="6">
        <f>Model!BM13</f>
        <v>0</v>
      </c>
      <c r="BN404" s="6"/>
      <c r="BO404" s="6"/>
      <c r="BP404" s="6"/>
      <c r="BQ404" s="6"/>
      <c r="BR404" s="6">
        <f>Model!BR18</f>
        <v>12093.2</v>
      </c>
      <c r="BS404" s="6">
        <f>Model!BS18</f>
        <v>3193</v>
      </c>
      <c r="BT404" s="6">
        <f>Model!BT18</f>
        <v>3354</v>
      </c>
      <c r="BU404" s="6">
        <f>Model!BU18</f>
        <v>3331</v>
      </c>
      <c r="BV404" s="6">
        <f>Model!BV18</f>
        <v>3402.7</v>
      </c>
      <c r="BW404" s="6">
        <f>Model!BW18</f>
        <v>13280.7</v>
      </c>
      <c r="BX404" s="6">
        <f>Model!BX18</f>
        <v>3482</v>
      </c>
      <c r="BY404" s="6">
        <f>Model!BY18</f>
        <v>3627</v>
      </c>
      <c r="BZ404" s="6">
        <f>Model!BZ18</f>
        <v>3613</v>
      </c>
      <c r="CA404" s="6">
        <f>Model!CA18</f>
        <v>3644</v>
      </c>
      <c r="CB404" s="6">
        <f>Model!CB18</f>
        <v>14366</v>
      </c>
      <c r="CC404" s="6">
        <f>Model!CC18</f>
        <v>3741</v>
      </c>
      <c r="CD404" s="6">
        <f>Model!CD18</f>
        <v>3811</v>
      </c>
      <c r="CE404" s="6">
        <f>Model!CE18</f>
        <v>3920</v>
      </c>
      <c r="CF404" s="6">
        <f>Model!CF18</f>
        <v>4046</v>
      </c>
      <c r="CG404" s="6">
        <f>Model!CG18</f>
        <v>15518</v>
      </c>
      <c r="CH404" s="6">
        <f>Model!CH18</f>
        <v>4004</v>
      </c>
      <c r="CI404" s="6">
        <f>Model!CI18</f>
        <v>4117</v>
      </c>
      <c r="CJ404" s="6">
        <f>Model!CJ18</f>
        <v>4203</v>
      </c>
      <c r="CK404" s="6">
        <f>Model!CK18</f>
        <v>4237</v>
      </c>
      <c r="CL404" s="6">
        <f>Model!CL18</f>
        <v>16561</v>
      </c>
      <c r="CM404" s="6">
        <f>Model!CM18</f>
        <v>4204</v>
      </c>
      <c r="CN404" s="6">
        <f>Model!CN18</f>
        <v>4284</v>
      </c>
      <c r="CO404" s="6">
        <f>Model!CO18</f>
        <v>4141</v>
      </c>
      <c r="CP404" s="6">
        <f>Model!CP18</f>
        <v>4249</v>
      </c>
      <c r="CQ404" s="6">
        <f>Model!CQ18</f>
        <v>16878</v>
      </c>
      <c r="CR404" s="6">
        <f>Model!CR18</f>
        <v>4398</v>
      </c>
      <c r="CS404" s="6">
        <f>Model!CS18</f>
        <v>4497</v>
      </c>
      <c r="CT404" s="6">
        <f>Model!CT18</f>
        <v>4362</v>
      </c>
      <c r="CU404" s="6">
        <f>Model!CU18</f>
        <v>4286</v>
      </c>
      <c r="CV404" s="6">
        <f>Model!CV18</f>
        <v>17543</v>
      </c>
      <c r="CW404" s="6">
        <f>Model!CW18</f>
        <v>4379</v>
      </c>
      <c r="CX404" s="6">
        <f>Model!CX18</f>
        <v>4569</v>
      </c>
      <c r="CY404" s="6">
        <f>Model!CY18</f>
        <v>4551</v>
      </c>
      <c r="CZ404" s="6">
        <f>Model!CZ18</f>
        <v>4493</v>
      </c>
      <c r="DA404" s="6">
        <f>Model!DA18</f>
        <v>17992</v>
      </c>
      <c r="DB404" s="6">
        <f>Model!DB18</f>
        <v>4456</v>
      </c>
      <c r="DC404" s="6">
        <f>Model!DC18</f>
        <v>5606</v>
      </c>
      <c r="DD404" s="6">
        <f>Model!DD18</f>
        <v>6080</v>
      </c>
      <c r="DE404" s="6">
        <f>Model!DE18</f>
        <v>6429</v>
      </c>
      <c r="DF404" s="6">
        <f>Model!DF18</f>
        <v>22571</v>
      </c>
      <c r="DG404" s="6">
        <f>Model!DG18</f>
        <v>6034</v>
      </c>
      <c r="DH404" s="6">
        <f>Model!DH18</f>
        <v>6084</v>
      </c>
      <c r="DI404" s="6">
        <f>Model!DI18</f>
        <v>5967</v>
      </c>
      <c r="DJ404" s="6">
        <f>Model!DJ18</f>
        <v>6049</v>
      </c>
      <c r="DK404" s="6">
        <f>Model!DK18</f>
        <v>24134</v>
      </c>
      <c r="DL404" s="6">
        <f>Model!DL18</f>
        <v>5686</v>
      </c>
      <c r="DM404" s="6">
        <f>Model!DM18</f>
        <v>6124</v>
      </c>
      <c r="DN404" s="6">
        <f>Model!DN18</f>
        <v>5712</v>
      </c>
      <c r="DO404" s="6">
        <f>Model!DO18</f>
        <v>6218</v>
      </c>
      <c r="DP404" s="6">
        <f>Model!DP18</f>
        <v>23740</v>
      </c>
      <c r="DQ404" s="6">
        <f>Model!DQ18</f>
        <v>5907</v>
      </c>
      <c r="DR404" s="6">
        <f>Model!DR18</f>
        <v>6415.4821041039313</v>
      </c>
      <c r="DS404" s="6">
        <f>Model!DS18</f>
        <v>6405.027361458473</v>
      </c>
      <c r="DT404" s="6">
        <f>Model!DT18</f>
        <v>6299.1350444760055</v>
      </c>
      <c r="DU404" s="6">
        <f>Model!DU18</f>
        <v>25026.644510038412</v>
      </c>
      <c r="DV404" s="6">
        <f>Model!DV18</f>
        <v>6316.7288629040859</v>
      </c>
      <c r="DW404" s="6">
        <f>Model!DW18</f>
        <v>6597.9346812630383</v>
      </c>
      <c r="DX404" s="6">
        <f>Model!DX18</f>
        <v>6407.2405828947849</v>
      </c>
      <c r="DY404" s="6">
        <f>Model!DY18</f>
        <v>6267.3689953158409</v>
      </c>
      <c r="DZ404" s="6">
        <f>Model!DZ18</f>
        <v>25589.273122377752</v>
      </c>
      <c r="EA404" s="6">
        <f>Model!EA18</f>
        <v>6458.78755302022</v>
      </c>
      <c r="EB404" s="6">
        <f>Model!EB18</f>
        <v>6747.5875373052104</v>
      </c>
      <c r="EC404" s="6">
        <f>Model!EC18</f>
        <v>6552.1793694937269</v>
      </c>
      <c r="ED404" s="6">
        <f>Model!ED18</f>
        <v>6408.9214540731164</v>
      </c>
      <c r="EE404" s="6">
        <f>Model!EE18</f>
        <v>26167.475913892271</v>
      </c>
    </row>
    <row r="405" spans="2:135" outlineLevel="1">
      <c r="B405" s="2" t="s">
        <v>227</v>
      </c>
      <c r="F405" s="1631">
        <f>F103</f>
        <v>0.37500000000000017</v>
      </c>
      <c r="G405" s="1631">
        <f t="shared" ref="G405:BR405" si="970">G103</f>
        <v>0.37500035410263366</v>
      </c>
      <c r="H405" s="1631">
        <f t="shared" si="970"/>
        <v>0.38628038711356227</v>
      </c>
      <c r="I405" s="1631">
        <f t="shared" si="970"/>
        <v>0.38499981458092125</v>
      </c>
      <c r="J405" s="1631">
        <f t="shared" si="970"/>
        <v>0.38750069213599858</v>
      </c>
      <c r="K405" s="1631"/>
      <c r="L405" s="1631"/>
      <c r="M405" s="1631"/>
      <c r="N405" s="1631"/>
      <c r="O405" s="1631">
        <f t="shared" si="970"/>
        <v>0.38490039866718306</v>
      </c>
      <c r="P405" s="1631">
        <f t="shared" si="970"/>
        <v>0.36961956310112565</v>
      </c>
      <c r="Q405" s="1631">
        <f t="shared" si="970"/>
        <v>0.37317272225378301</v>
      </c>
      <c r="R405" s="1631">
        <f t="shared" si="970"/>
        <v>0.37822487432322566</v>
      </c>
      <c r="S405" s="1631">
        <f t="shared" si="970"/>
        <v>0.39422646927295446</v>
      </c>
      <c r="T405" s="1631">
        <f t="shared" si="970"/>
        <v>0.37870712733975537</v>
      </c>
      <c r="U405" s="1631">
        <f t="shared" si="970"/>
        <v>0.3715765801943624</v>
      </c>
      <c r="V405" s="1631">
        <f t="shared" si="970"/>
        <v>0.3742075322094226</v>
      </c>
      <c r="W405" s="1631">
        <f t="shared" si="970"/>
        <v>0.35895495495495455</v>
      </c>
      <c r="X405" s="1631">
        <f t="shared" si="970"/>
        <v>0.3667456502092305</v>
      </c>
      <c r="Y405" s="1631">
        <f t="shared" si="970"/>
        <v>0.36796842857452228</v>
      </c>
      <c r="Z405" s="1631">
        <f t="shared" si="970"/>
        <v>0.3581927054980949</v>
      </c>
      <c r="AA405" s="1631">
        <f t="shared" si="970"/>
        <v>0.37672811059907818</v>
      </c>
      <c r="AB405" s="1631">
        <f t="shared" si="970"/>
        <v>0.37014388489208694</v>
      </c>
      <c r="AC405" s="1631">
        <f t="shared" si="970"/>
        <v>0.39339908952959024</v>
      </c>
      <c r="AD405" s="1631">
        <f t="shared" si="970"/>
        <v>0.39248515526136518</v>
      </c>
      <c r="AE405" s="1631">
        <f t="shared" si="970"/>
        <v>0.36478811708169551</v>
      </c>
      <c r="AF405" s="1631">
        <f t="shared" si="970"/>
        <v>0.39102727504460866</v>
      </c>
      <c r="AG405" s="1631">
        <f t="shared" si="970"/>
        <v>0.38520165131787815</v>
      </c>
      <c r="AH405" s="1631">
        <f t="shared" si="970"/>
        <v>0.37180974477958229</v>
      </c>
      <c r="AI405" s="1631">
        <f t="shared" si="970"/>
        <v>0.37973300023421008</v>
      </c>
      <c r="AJ405" s="1631">
        <f t="shared" si="970"/>
        <v>0.38509316770186419</v>
      </c>
      <c r="AK405" s="1631">
        <f t="shared" si="970"/>
        <v>0.38120050020842011</v>
      </c>
      <c r="AL405" s="1631">
        <f t="shared" si="970"/>
        <v>0.38234442836468935</v>
      </c>
      <c r="AM405" s="1631">
        <f t="shared" si="970"/>
        <v>0.36168334314302492</v>
      </c>
      <c r="AN405" s="1631">
        <f t="shared" si="970"/>
        <v>0.37752161383285349</v>
      </c>
      <c r="AO405" s="1631">
        <f t="shared" si="970"/>
        <v>0.37763642450619406</v>
      </c>
      <c r="AP405" s="1631">
        <f t="shared" si="970"/>
        <v>0.3774304231795656</v>
      </c>
      <c r="AQ405" s="1631">
        <f t="shared" si="970"/>
        <v>0.37740384615384626</v>
      </c>
      <c r="AR405" s="1631">
        <f t="shared" si="970"/>
        <v>0.37763819095477386</v>
      </c>
      <c r="AS405" s="1631">
        <f t="shared" si="970"/>
        <v>0.37748548845251323</v>
      </c>
      <c r="AT405" s="1631">
        <f t="shared" si="970"/>
        <v>0.39515902054601765</v>
      </c>
      <c r="AU405" s="1631">
        <f t="shared" si="970"/>
        <v>0.37747566297415225</v>
      </c>
      <c r="AV405" s="1631">
        <f t="shared" si="970"/>
        <v>0.38731938753504414</v>
      </c>
      <c r="AW405" s="1631">
        <f t="shared" si="970"/>
        <v>0.37834796308800389</v>
      </c>
      <c r="AX405" s="1631">
        <f t="shared" si="970"/>
        <v>0.37962108463167021</v>
      </c>
      <c r="AY405" s="1631">
        <f t="shared" si="970"/>
        <v>0.37493869543894109</v>
      </c>
      <c r="AZ405" s="1631">
        <f t="shared" si="970"/>
        <v>0.37509009595512227</v>
      </c>
      <c r="BA405" s="1631">
        <f t="shared" si="970"/>
        <v>0.37493197895882435</v>
      </c>
      <c r="BB405" s="1631">
        <f t="shared" si="970"/>
        <v>0.37502465969619181</v>
      </c>
      <c r="BC405" s="1631">
        <f t="shared" si="970"/>
        <v>0.37500514649622146</v>
      </c>
      <c r="BD405" s="1631">
        <f t="shared" si="970"/>
        <v>0.35719874804381818</v>
      </c>
      <c r="BE405" s="1631">
        <f t="shared" si="970"/>
        <v>0.37249137159657397</v>
      </c>
      <c r="BF405" s="1631">
        <f t="shared" si="970"/>
        <v>0.3725190839694652</v>
      </c>
      <c r="BG405" s="1631">
        <f t="shared" si="970"/>
        <v>0.3512127785446662</v>
      </c>
      <c r="BH405" s="1631">
        <f t="shared" si="970"/>
        <v>0.36492099690503343</v>
      </c>
      <c r="BI405" s="1631">
        <f t="shared" si="970"/>
        <v>0.37003281079110456</v>
      </c>
      <c r="BJ405" s="1631">
        <f t="shared" si="970"/>
        <v>0.36996028402936526</v>
      </c>
      <c r="BK405" s="1631">
        <f t="shared" si="970"/>
        <v>0.35121681415929162</v>
      </c>
      <c r="BL405" s="1631">
        <f t="shared" si="970"/>
        <v>0.36705557261283472</v>
      </c>
      <c r="BM405" s="1631">
        <f t="shared" si="970"/>
        <v>0.36436585454413351</v>
      </c>
      <c r="BN405" s="1631">
        <f t="shared" si="970"/>
        <v>0.36747252747252718</v>
      </c>
      <c r="BO405" s="1631">
        <f t="shared" si="970"/>
        <v>0.3675172213059083</v>
      </c>
      <c r="BP405" s="1631">
        <f t="shared" si="970"/>
        <v>0.35196304849884574</v>
      </c>
      <c r="BQ405" s="1631">
        <f t="shared" si="970"/>
        <v>0.34989342515166477</v>
      </c>
      <c r="BR405" s="1631">
        <f t="shared" si="970"/>
        <v>0.35997616882506112</v>
      </c>
      <c r="BS405" s="1631">
        <f t="shared" ref="BS405:DF405" si="971">BS103</f>
        <v>0.37443361252231244</v>
      </c>
      <c r="BT405" s="1631">
        <f t="shared" si="971"/>
        <v>0.3684453045802229</v>
      </c>
      <c r="BU405" s="1631">
        <f t="shared" si="971"/>
        <v>0.37231712658782273</v>
      </c>
      <c r="BV405" s="1631">
        <f t="shared" si="971"/>
        <v>0.37</v>
      </c>
      <c r="BW405" s="1631">
        <f t="shared" si="971"/>
        <v>0.37985259451556175</v>
      </c>
      <c r="BX405" s="1631">
        <f t="shared" si="971"/>
        <v>0.37614678899082571</v>
      </c>
      <c r="BY405" s="1631">
        <f t="shared" si="971"/>
        <v>0.36633663366336633</v>
      </c>
      <c r="BZ405" s="1631">
        <f t="shared" si="971"/>
        <v>0.36419001218026797</v>
      </c>
      <c r="CA405" s="1631">
        <f t="shared" si="971"/>
        <v>0.35787923416789397</v>
      </c>
      <c r="CB405" s="1631">
        <f t="shared" si="971"/>
        <v>0.36599241466498106</v>
      </c>
      <c r="CC405" s="1631">
        <f t="shared" si="971"/>
        <v>0.36984536082474229</v>
      </c>
      <c r="CD405" s="1631">
        <f t="shared" si="971"/>
        <v>0.37124060150375937</v>
      </c>
      <c r="CE405" s="1631">
        <f t="shared" si="971"/>
        <v>0.42484472049689442</v>
      </c>
      <c r="CF405" s="1631">
        <f t="shared" si="971"/>
        <v>0.35439560439560441</v>
      </c>
      <c r="CG405" s="1631">
        <f t="shared" si="971"/>
        <v>0.38007708271568336</v>
      </c>
      <c r="CH405" s="1631">
        <f t="shared" si="971"/>
        <v>0.37024972855591748</v>
      </c>
      <c r="CI405" s="1631">
        <f t="shared" si="971"/>
        <v>0.37846930193439865</v>
      </c>
      <c r="CJ405" s="1631">
        <f t="shared" si="971"/>
        <v>0.3536977491961415</v>
      </c>
      <c r="CK405" s="1631">
        <f t="shared" si="971"/>
        <v>0.36690647482014388</v>
      </c>
      <c r="CL405" s="1631">
        <f t="shared" si="971"/>
        <v>0.36795528644620401</v>
      </c>
      <c r="CM405" s="1631">
        <f t="shared" si="971"/>
        <v>0.37259343148357871</v>
      </c>
      <c r="CN405" s="1631">
        <f t="shared" si="971"/>
        <v>0.37224264705882354</v>
      </c>
      <c r="CO405" s="1631">
        <f t="shared" si="971"/>
        <v>0.37266355140186919</v>
      </c>
      <c r="CP405" s="1631">
        <f t="shared" si="971"/>
        <v>0.3570127504553734</v>
      </c>
      <c r="CQ405" s="1631">
        <f t="shared" si="971"/>
        <v>0.36996445497630331</v>
      </c>
      <c r="CR405" s="1631">
        <f t="shared" si="971"/>
        <v>0.38173652694610777</v>
      </c>
      <c r="CS405" s="1631">
        <f t="shared" si="971"/>
        <v>0.36577181208053694</v>
      </c>
      <c r="CT405" s="1631">
        <f t="shared" si="971"/>
        <v>0.38703339882121807</v>
      </c>
      <c r="CU405" s="1631">
        <f t="shared" si="971"/>
        <v>0.35398230088495575</v>
      </c>
      <c r="CV405" s="1631">
        <f t="shared" si="971"/>
        <v>0.37098844672657255</v>
      </c>
      <c r="CW405" s="1631">
        <f t="shared" si="971"/>
        <v>0.36462093862815886</v>
      </c>
      <c r="CX405" s="1631">
        <f t="shared" si="971"/>
        <v>0.34860050890585242</v>
      </c>
      <c r="CY405" s="1631">
        <f t="shared" si="971"/>
        <v>0.3147982062780269</v>
      </c>
      <c r="CZ405" s="1631">
        <v>0.315</v>
      </c>
      <c r="DA405" s="1631">
        <f t="shared" si="971"/>
        <v>0.42901321338206355</v>
      </c>
      <c r="DB405" s="1631">
        <f>DB103</f>
        <v>0.27400000000000002</v>
      </c>
      <c r="DC405" s="1631">
        <f>DC103</f>
        <v>0.27700000000000002</v>
      </c>
      <c r="DD405" s="1631">
        <f t="shared" si="971"/>
        <v>0.3</v>
      </c>
      <c r="DE405" s="1631">
        <f t="shared" si="971"/>
        <v>0.3</v>
      </c>
      <c r="DF405" s="1631">
        <f t="shared" si="971"/>
        <v>0.19883261156091131</v>
      </c>
      <c r="DG405" s="1631">
        <f t="shared" ref="DG405:DU405" si="972">DG103</f>
        <v>0.28399999999999997</v>
      </c>
      <c r="DH405" s="1631">
        <f t="shared" si="972"/>
        <v>0.28100000000000003</v>
      </c>
      <c r="DI405" s="1631">
        <f t="shared" si="972"/>
        <v>0.24399999999999999</v>
      </c>
      <c r="DJ405" s="1631">
        <f t="shared" si="972"/>
        <v>0.182328190743338</v>
      </c>
      <c r="DK405" s="1631">
        <f t="shared" si="972"/>
        <v>0.19381804043545878</v>
      </c>
      <c r="DL405" s="1631">
        <f t="shared" si="972"/>
        <v>0.182328190743338</v>
      </c>
      <c r="DM405" s="1631">
        <f t="shared" si="972"/>
        <v>0.182328190743338</v>
      </c>
      <c r="DN405" s="1631">
        <f t="shared" si="972"/>
        <v>0.182328190743338</v>
      </c>
      <c r="DO405" s="1631">
        <f t="shared" si="972"/>
        <v>0.182328190743338</v>
      </c>
      <c r="DP405" s="1631">
        <f t="shared" si="972"/>
        <v>0.15660416237378941</v>
      </c>
      <c r="DQ405" s="1631">
        <f t="shared" ref="DQ405" si="973">DQ103</f>
        <v>0.182328190743338</v>
      </c>
      <c r="DR405" s="1631">
        <f t="shared" ca="1" si="972"/>
        <v>0.20961597924474015</v>
      </c>
      <c r="DS405" s="1631">
        <f t="shared" ca="1" si="972"/>
        <v>0.16371057174038409</v>
      </c>
      <c r="DT405" s="1631">
        <f t="shared" ca="1" si="972"/>
        <v>0.16513975423897267</v>
      </c>
      <c r="DU405" s="1631">
        <f t="shared" ca="1" si="972"/>
        <v>0.18711535220810332</v>
      </c>
      <c r="DV405" s="1631">
        <f t="shared" ref="DV405:DZ405" ca="1" si="974">DV103</f>
        <v>0.16486211161924999</v>
      </c>
      <c r="DW405" s="1631">
        <f t="shared" ca="1" si="974"/>
        <v>0.16696229669396148</v>
      </c>
      <c r="DX405" s="1631">
        <f t="shared" ca="1" si="974"/>
        <v>0.16546229355458414</v>
      </c>
      <c r="DY405" s="1631">
        <f t="shared" ca="1" si="974"/>
        <v>0.16631398793980176</v>
      </c>
      <c r="DZ405" s="1631">
        <f t="shared" ca="1" si="974"/>
        <v>0.16595336105072611</v>
      </c>
      <c r="EA405" s="1631">
        <f t="shared" ref="EA405:EE405" ca="1" si="975">EA103</f>
        <v>0.16653945488875341</v>
      </c>
      <c r="EB405" s="1631">
        <f t="shared" ca="1" si="975"/>
        <v>0.16798003606830028</v>
      </c>
      <c r="EC405" s="1631">
        <f t="shared" ca="1" si="975"/>
        <v>0.16673210842666294</v>
      </c>
      <c r="ED405" s="1631">
        <f t="shared" ca="1" si="975"/>
        <v>0.16746116110019543</v>
      </c>
      <c r="EE405" s="1631">
        <f t="shared" ca="1" si="975"/>
        <v>0.16720364366890642</v>
      </c>
    </row>
    <row r="406" spans="2:135" outlineLevel="1">
      <c r="B406" s="2" t="s">
        <v>236</v>
      </c>
      <c r="F406" s="5">
        <f>Model!F33</f>
        <v>194.965</v>
      </c>
      <c r="G406" s="5">
        <f>Model!G33</f>
        <v>220.62799999999947</v>
      </c>
      <c r="H406" s="5">
        <f>Model!H33</f>
        <v>221.66599999999971</v>
      </c>
      <c r="I406" s="5">
        <f>Model!I33</f>
        <v>281.92899999999969</v>
      </c>
      <c r="J406" s="5">
        <f>Model!J33</f>
        <v>320.79099999999971</v>
      </c>
      <c r="K406" s="5"/>
      <c r="L406" s="5"/>
      <c r="M406" s="5"/>
      <c r="N406" s="5"/>
      <c r="O406" s="5">
        <f>Model!O33</f>
        <v>375.84799999999916</v>
      </c>
      <c r="P406" s="5"/>
      <c r="Q406" s="5"/>
      <c r="R406" s="5"/>
      <c r="S406" s="5"/>
      <c r="T406" s="5">
        <f>Model!T33</f>
        <v>453.00699999999949</v>
      </c>
      <c r="U406" s="5"/>
      <c r="V406" s="5"/>
      <c r="W406" s="5"/>
      <c r="X406" s="5"/>
      <c r="Y406" s="5">
        <f>Model!Y33</f>
        <v>557.29300000000012</v>
      </c>
      <c r="Z406" s="5"/>
      <c r="AA406" s="5"/>
      <c r="AB406" s="5"/>
      <c r="AC406" s="5"/>
      <c r="AD406" s="5">
        <f>Model!AD33</f>
        <v>624.09999999999877</v>
      </c>
      <c r="AE406" s="5"/>
      <c r="AF406" s="5"/>
      <c r="AG406" s="5"/>
      <c r="AH406" s="5"/>
      <c r="AI406" s="5">
        <f>Model!AI33</f>
        <v>794.50000000000023</v>
      </c>
      <c r="AJ406" s="5"/>
      <c r="AK406" s="5"/>
      <c r="AL406" s="5"/>
      <c r="AM406" s="5"/>
      <c r="AN406" s="5">
        <f>Model!AN33</f>
        <v>885.5999999999982</v>
      </c>
      <c r="AO406" s="5"/>
      <c r="AP406" s="5"/>
      <c r="AQ406" s="5"/>
      <c r="AR406" s="5"/>
      <c r="AS406" s="5">
        <f>Model!AS33</f>
        <v>1008.1000000000001</v>
      </c>
      <c r="AT406" s="5"/>
      <c r="AU406" s="5"/>
      <c r="AV406" s="5"/>
      <c r="AW406" s="5"/>
      <c r="AX406" s="5">
        <f>Model!AX33</f>
        <v>1165.100000000001</v>
      </c>
      <c r="AY406" s="5"/>
      <c r="AZ406" s="5"/>
      <c r="BA406" s="5"/>
      <c r="BB406" s="5"/>
      <c r="BC406" s="5">
        <f>Model!BC33</f>
        <v>1349.8000004359283</v>
      </c>
      <c r="BD406" s="5"/>
      <c r="BE406" s="5"/>
      <c r="BF406" s="5"/>
      <c r="BG406" s="5"/>
      <c r="BH406" s="5">
        <f>Model!BH33</f>
        <v>1559.5</v>
      </c>
      <c r="BI406" s="5"/>
      <c r="BJ406" s="5"/>
      <c r="BK406" s="5"/>
      <c r="BL406" s="5"/>
      <c r="BM406" s="5">
        <f>Model!BM33</f>
        <v>1750.6000000000054</v>
      </c>
      <c r="BN406" s="5"/>
      <c r="BO406" s="5"/>
      <c r="BP406" s="5"/>
      <c r="BQ406" s="5"/>
      <c r="BR406" s="5">
        <f>Model!BR33</f>
        <v>2041.0999999999935</v>
      </c>
      <c r="BS406" s="5">
        <f>Model!BS33</f>
        <v>455.59999999999962</v>
      </c>
      <c r="BT406" s="5">
        <f>Model!BT33</f>
        <v>685.30000000000041</v>
      </c>
      <c r="BU406" s="5">
        <f>Model!BU33</f>
        <v>573.20000000000073</v>
      </c>
      <c r="BV406" s="5">
        <f>Model!BV33</f>
        <v>443.3310000000003</v>
      </c>
      <c r="BW406" s="5">
        <f>Model!BW33</f>
        <v>2028.5299999999947</v>
      </c>
      <c r="BX406" s="5">
        <f>Model!BX33</f>
        <v>408</v>
      </c>
      <c r="BY406" s="5">
        <f>Model!BY33</f>
        <v>640</v>
      </c>
      <c r="BZ406" s="5">
        <f>Model!BZ33</f>
        <v>522</v>
      </c>
      <c r="CA406" s="5">
        <f>Model!CA33</f>
        <v>436</v>
      </c>
      <c r="CB406" s="5">
        <f>Model!CB33</f>
        <v>2006</v>
      </c>
      <c r="CC406" s="5">
        <f>Model!CC33</f>
        <v>489</v>
      </c>
      <c r="CD406" s="5">
        <f>Model!CD33</f>
        <v>669</v>
      </c>
      <c r="CE406" s="5">
        <f>Model!CE33</f>
        <v>463</v>
      </c>
      <c r="CF406" s="5">
        <f>Model!CF33</f>
        <v>470</v>
      </c>
      <c r="CG406" s="5">
        <f>Model!CG33</f>
        <v>2091</v>
      </c>
      <c r="CH406" s="5">
        <f>Model!CH33</f>
        <v>580</v>
      </c>
      <c r="CI406" s="5">
        <f>Model!CI33</f>
        <v>739</v>
      </c>
      <c r="CJ406" s="5">
        <f>Model!CJ33</f>
        <v>603</v>
      </c>
      <c r="CK406" s="5">
        <f>Model!CK33</f>
        <v>792</v>
      </c>
      <c r="CL406" s="5">
        <f>Model!CL33</f>
        <v>2714</v>
      </c>
      <c r="CM406" s="5">
        <f>Model!CM33</f>
        <v>554</v>
      </c>
      <c r="CN406" s="5">
        <f>Model!CN33</f>
        <v>683</v>
      </c>
      <c r="CO406" s="5">
        <f>Model!CO33</f>
        <v>537</v>
      </c>
      <c r="CP406" s="5">
        <f>Model!CP33</f>
        <v>353</v>
      </c>
      <c r="CQ406" s="5">
        <f>Model!CQ33</f>
        <v>2127</v>
      </c>
      <c r="CR406" s="5">
        <f>Model!CR33</f>
        <v>413</v>
      </c>
      <c r="CS406" s="5">
        <f>Model!CS33</f>
        <v>756</v>
      </c>
      <c r="CT406" s="5">
        <f>Model!CT33</f>
        <v>624</v>
      </c>
      <c r="CU406" s="5">
        <f>Model!CU33</f>
        <v>657</v>
      </c>
      <c r="CV406" s="5">
        <f>Model!CV33</f>
        <v>2450</v>
      </c>
      <c r="CW406" s="5">
        <f>Model!CW33</f>
        <v>695</v>
      </c>
      <c r="CX406" s="5">
        <f>Model!CX33</f>
        <v>754</v>
      </c>
      <c r="CY406" s="5">
        <f>Model!CY33</f>
        <v>722</v>
      </c>
      <c r="CZ406" s="5">
        <f>Model!CZ33</f>
        <v>-239</v>
      </c>
      <c r="DA406" s="5">
        <f>Model!DA33</f>
        <v>1932</v>
      </c>
      <c r="DB406" s="5">
        <f>Model!DB33</f>
        <v>850</v>
      </c>
      <c r="DC406" s="5">
        <f>Model!DC33</f>
        <v>2042</v>
      </c>
      <c r="DD406" s="5">
        <f>Model!DD33</f>
        <v>1302</v>
      </c>
      <c r="DE406" s="5">
        <f>Model!DE33</f>
        <v>26</v>
      </c>
      <c r="DF406" s="5">
        <f>Model!DF33</f>
        <v>4220</v>
      </c>
      <c r="DG406" s="5">
        <f>Model!DG33</f>
        <v>1110</v>
      </c>
      <c r="DH406" s="5">
        <f>Model!DH33</f>
        <v>930</v>
      </c>
      <c r="DI406" s="5">
        <f>Model!DI33</f>
        <v>1103</v>
      </c>
      <c r="DJ406" s="5">
        <f>Model!DJ33</f>
        <v>1030</v>
      </c>
      <c r="DK406" s="5">
        <f>Model!DK33</f>
        <v>4173</v>
      </c>
      <c r="DL406" s="5">
        <f>Model!DL33</f>
        <v>1054</v>
      </c>
      <c r="DM406" s="5">
        <f>Model!DM33</f>
        <v>1060</v>
      </c>
      <c r="DN406" s="5">
        <f>Model!DN33</f>
        <v>1162</v>
      </c>
      <c r="DO406" s="5">
        <f>Model!DO33</f>
        <v>802</v>
      </c>
      <c r="DP406" s="5">
        <f>Model!DP33</f>
        <v>4078</v>
      </c>
      <c r="DQ406" s="5">
        <f>Model!DQ33</f>
        <v>821</v>
      </c>
      <c r="DR406" s="5">
        <f ca="1">Model!DR33</f>
        <v>1263.5332926178476</v>
      </c>
      <c r="DS406" s="5">
        <f ca="1">Model!DS33</f>
        <v>1219.6660997368494</v>
      </c>
      <c r="DT406" s="5">
        <f ca="1">Model!DT33</f>
        <v>1214.0770615493066</v>
      </c>
      <c r="DU406" s="5">
        <f ca="1">Model!DU33</f>
        <v>4518.2764539040145</v>
      </c>
      <c r="DV406" s="5">
        <f ca="1">Model!DV33</f>
        <v>1111.2215331997111</v>
      </c>
      <c r="DW406" s="5">
        <f ca="1">Model!DW33</f>
        <v>1370.1539374137217</v>
      </c>
      <c r="DX406" s="5">
        <f ca="1">Model!DX33</f>
        <v>1388.9720796763213</v>
      </c>
      <c r="DY406" s="5">
        <f ca="1">Model!DY33</f>
        <v>1419.997229414048</v>
      </c>
      <c r="DZ406" s="5">
        <f ca="1">Model!DZ33</f>
        <v>5290.3447797037807</v>
      </c>
      <c r="EA406" s="5">
        <f ca="1">Model!EA33</f>
        <v>1332.2795027976138</v>
      </c>
      <c r="EB406" s="5">
        <f ca="1">Model!EB33</f>
        <v>1569.3919307136096</v>
      </c>
      <c r="EC406" s="5">
        <f ca="1">Model!EC33</f>
        <v>1602.5147830979533</v>
      </c>
      <c r="ED406" s="5">
        <f ca="1">Model!ED33</f>
        <v>1636.4598763867712</v>
      </c>
      <c r="EE406" s="5">
        <f ca="1">Model!EE33</f>
        <v>6140.6460929959612</v>
      </c>
    </row>
    <row r="407" spans="2:135" outlineLevel="1">
      <c r="B407" s="2" t="s">
        <v>400</v>
      </c>
      <c r="F407" s="5">
        <f>Model!F23</f>
        <v>18.157</v>
      </c>
      <c r="G407" s="5">
        <f>Model!G23</f>
        <v>15.67</v>
      </c>
      <c r="H407" s="5">
        <f>Model!H23</f>
        <v>6.4539999999999997</v>
      </c>
      <c r="I407" s="5">
        <f>Model!I23</f>
        <v>2.5860000000000003</v>
      </c>
      <c r="J407" s="5">
        <f>Model!J23</f>
        <v>1.19</v>
      </c>
      <c r="K407" s="5"/>
      <c r="L407" s="5"/>
      <c r="M407" s="5"/>
      <c r="N407" s="5"/>
      <c r="O407" s="5">
        <f>Model!O23</f>
        <v>2.3150000000000004</v>
      </c>
      <c r="P407" s="5"/>
      <c r="Q407" s="5"/>
      <c r="R407" s="5"/>
      <c r="S407" s="5"/>
      <c r="T407" s="5">
        <f>Model!T23</f>
        <v>1.6270000000000002</v>
      </c>
      <c r="U407" s="5"/>
      <c r="V407" s="5"/>
      <c r="W407" s="5"/>
      <c r="X407" s="5"/>
      <c r="Y407" s="5">
        <f>Model!Y23</f>
        <v>1</v>
      </c>
      <c r="Z407" s="5"/>
      <c r="AA407" s="5"/>
      <c r="AB407" s="5"/>
      <c r="AC407" s="5"/>
      <c r="AD407" s="5">
        <f>Model!AD23</f>
        <v>0.4</v>
      </c>
      <c r="AE407" s="5"/>
      <c r="AF407" s="5"/>
      <c r="AG407" s="5"/>
      <c r="AH407" s="5"/>
      <c r="AI407" s="5">
        <f>Model!AI23</f>
        <v>0.4</v>
      </c>
      <c r="AJ407" s="5"/>
      <c r="AK407" s="5"/>
      <c r="AL407" s="5"/>
      <c r="AM407" s="5"/>
      <c r="AN407" s="5">
        <f>Model!AN23</f>
        <v>3.1</v>
      </c>
      <c r="AO407" s="5"/>
      <c r="AP407" s="5"/>
      <c r="AQ407" s="5"/>
      <c r="AR407" s="5"/>
      <c r="AS407" s="5">
        <f>Model!AS23</f>
        <v>0</v>
      </c>
      <c r="AT407" s="5"/>
      <c r="AU407" s="5"/>
      <c r="AV407" s="5"/>
      <c r="AW407" s="5"/>
      <c r="AX407" s="5">
        <f>Model!AX23</f>
        <v>0</v>
      </c>
      <c r="AY407" s="5"/>
      <c r="AZ407" s="5"/>
      <c r="BA407" s="5"/>
      <c r="BB407" s="5"/>
      <c r="BC407" s="5">
        <f>Model!BC23</f>
        <v>0</v>
      </c>
      <c r="BD407" s="5"/>
      <c r="BE407" s="5"/>
      <c r="BF407" s="5"/>
      <c r="BG407" s="5"/>
      <c r="BH407" s="5">
        <f>Model!BH23</f>
        <v>0</v>
      </c>
      <c r="BI407" s="5"/>
      <c r="BJ407" s="5"/>
      <c r="BK407" s="5"/>
      <c r="BL407" s="5"/>
      <c r="BM407" s="5">
        <f>Model!BM23</f>
        <v>0</v>
      </c>
      <c r="BN407" s="5"/>
      <c r="BO407" s="5"/>
      <c r="BP407" s="5"/>
      <c r="BQ407" s="5"/>
      <c r="BR407" s="5">
        <f>Model!BR23</f>
        <v>0</v>
      </c>
      <c r="BS407" s="5">
        <f>Model!BS23</f>
        <v>-0.4</v>
      </c>
      <c r="BT407" s="5">
        <f>Model!BT23</f>
        <v>2.5</v>
      </c>
      <c r="BU407" s="5">
        <f>Model!BU23</f>
        <v>1.5</v>
      </c>
      <c r="BV407" s="5">
        <f>Model!BV23</f>
        <v>7.2</v>
      </c>
      <c r="BW407" s="5">
        <f>Model!BW23</f>
        <v>10.8</v>
      </c>
      <c r="BX407" s="5">
        <f>Model!BX23</f>
        <v>15</v>
      </c>
      <c r="BY407" s="5">
        <f>Model!BY23</f>
        <v>20</v>
      </c>
      <c r="BZ407" s="5">
        <f>Model!BZ23</f>
        <v>25</v>
      </c>
      <c r="CA407" s="5">
        <f>Model!CA23</f>
        <v>23</v>
      </c>
      <c r="CB407" s="5">
        <f>Model!CB23</f>
        <v>83</v>
      </c>
      <c r="CC407" s="5">
        <f>Model!CC23</f>
        <v>29.2</v>
      </c>
      <c r="CD407" s="5">
        <f>Model!CD23</f>
        <v>29.2</v>
      </c>
      <c r="CE407" s="5">
        <f>Model!CE23</f>
        <v>31.5</v>
      </c>
      <c r="CF407" s="5">
        <f>Model!CF23</f>
        <v>25.5</v>
      </c>
      <c r="CG407" s="5">
        <f>Model!CG23</f>
        <v>115.4</v>
      </c>
      <c r="CH407" s="5">
        <f>Model!CH23</f>
        <v>29.2</v>
      </c>
      <c r="CI407" s="5">
        <f>Model!CI23</f>
        <v>29.2</v>
      </c>
      <c r="CJ407" s="5">
        <f>Model!CJ23</f>
        <v>31.5</v>
      </c>
      <c r="CK407" s="5">
        <f>Model!CK23</f>
        <v>25.5</v>
      </c>
      <c r="CL407" s="5">
        <f>Model!CL23</f>
        <v>115.4</v>
      </c>
      <c r="CM407" s="5">
        <f>Model!CM23</f>
        <v>26</v>
      </c>
      <c r="CN407" s="5">
        <f>Model!CN23</f>
        <v>26</v>
      </c>
      <c r="CO407" s="5">
        <f>Model!CO23</f>
        <v>26</v>
      </c>
      <c r="CP407" s="5">
        <f>Model!CP23</f>
        <v>39</v>
      </c>
      <c r="CQ407" s="5">
        <f>Model!CQ23</f>
        <v>117</v>
      </c>
      <c r="CR407" s="5">
        <f>Model!CR23</f>
        <v>39</v>
      </c>
      <c r="CS407" s="5">
        <f>Model!CS23</f>
        <v>25</v>
      </c>
      <c r="CT407" s="5">
        <f>Model!CT23</f>
        <v>52</v>
      </c>
      <c r="CU407" s="5">
        <f>Model!CU23</f>
        <v>58.74212500054491</v>
      </c>
      <c r="CV407" s="5">
        <f>Model!CV23</f>
        <v>174.74212500054492</v>
      </c>
      <c r="CW407" s="5">
        <f>Model!CW23</f>
        <v>43.6325</v>
      </c>
      <c r="CX407" s="5">
        <f>Model!CX23</f>
        <v>38.21125</v>
      </c>
      <c r="CY407" s="5">
        <f>Model!CY23</f>
        <v>37.221249999999998</v>
      </c>
      <c r="CZ407" s="5">
        <f>Model!CZ23</f>
        <v>45.657499999999999</v>
      </c>
      <c r="DA407" s="5">
        <f>Model!DA23</f>
        <v>164.7225</v>
      </c>
      <c r="DB407" s="5">
        <f>Model!DB23</f>
        <v>56.653750000000002</v>
      </c>
      <c r="DC407" s="5">
        <f>Model!DC23</f>
        <v>150.36891574873817</v>
      </c>
      <c r="DD407" s="5">
        <f>Model!DD23</f>
        <v>151</v>
      </c>
      <c r="DE407" s="5">
        <f>Model!DE23</f>
        <v>255</v>
      </c>
      <c r="DF407" s="5">
        <f>Model!DF23</f>
        <v>613.02266574873818</v>
      </c>
      <c r="DG407" s="5">
        <f>Model!DG23</f>
        <v>138</v>
      </c>
      <c r="DH407" s="5">
        <f>Model!DH23</f>
        <v>140</v>
      </c>
      <c r="DI407" s="5">
        <f>Model!DI23</f>
        <v>147</v>
      </c>
      <c r="DJ407" s="5">
        <f>Model!DJ23</f>
        <v>171</v>
      </c>
      <c r="DK407" s="5">
        <f>Model!DK23</f>
        <v>596</v>
      </c>
      <c r="DL407" s="5">
        <f>Model!DL23</f>
        <v>173</v>
      </c>
      <c r="DM407" s="5">
        <f>Model!DM23</f>
        <v>173</v>
      </c>
      <c r="DN407" s="5">
        <f>Model!DN23</f>
        <v>156</v>
      </c>
      <c r="DO407" s="5">
        <f>Model!DO23</f>
        <v>194</v>
      </c>
      <c r="DP407" s="5">
        <f>Model!DP23</f>
        <v>696</v>
      </c>
      <c r="DQ407" s="5">
        <f>Model!DQ23</f>
        <v>150</v>
      </c>
      <c r="DR407" s="5">
        <f>Model!DR23</f>
        <v>132.72174999999999</v>
      </c>
      <c r="DS407" s="5">
        <f>Model!DS23</f>
        <v>132.72174999999999</v>
      </c>
      <c r="DT407" s="5">
        <f>Model!DT23</f>
        <v>132.72174999999999</v>
      </c>
      <c r="DU407" s="5">
        <f>Model!DU23</f>
        <v>548.16525000000001</v>
      </c>
      <c r="DV407" s="5">
        <f>Model!DV23</f>
        <v>126.889375</v>
      </c>
      <c r="DW407" s="5">
        <f>Model!DW23</f>
        <v>121.057</v>
      </c>
      <c r="DX407" s="5">
        <f>Model!DX23</f>
        <v>121.057</v>
      </c>
      <c r="DY407" s="5">
        <f>Model!DY23</f>
        <v>121.057</v>
      </c>
      <c r="DZ407" s="5">
        <f>Model!DZ23</f>
        <v>490.06037500000002</v>
      </c>
      <c r="EA407" s="5">
        <f>Model!EA23</f>
        <v>119.416375</v>
      </c>
      <c r="EB407" s="5">
        <f>Model!EB23</f>
        <v>117.77575</v>
      </c>
      <c r="EC407" s="5">
        <f>Model!EC23</f>
        <v>117.77575</v>
      </c>
      <c r="ED407" s="5">
        <f>Model!ED23</f>
        <v>117.77575</v>
      </c>
      <c r="EE407" s="5">
        <f>Model!EE23</f>
        <v>472.74362500000001</v>
      </c>
    </row>
    <row r="408" spans="2:13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c r="CB408" s="5"/>
      <c r="CC408" s="5"/>
      <c r="CD408" s="5"/>
      <c r="CE408" s="5"/>
      <c r="CF408" s="5"/>
      <c r="CG408" s="5"/>
      <c r="CH408" s="5"/>
      <c r="CI408" s="5"/>
      <c r="CJ408" s="5"/>
      <c r="CK408" s="5"/>
      <c r="CL408" s="5"/>
      <c r="CM408" s="27"/>
      <c r="CN408" s="27"/>
      <c r="CO408" s="27"/>
      <c r="CP408" s="27"/>
      <c r="CQ408" s="5"/>
      <c r="CR408" s="27"/>
      <c r="CS408" s="27"/>
      <c r="CT408" s="27"/>
      <c r="CU408" s="27"/>
      <c r="CV408" s="5"/>
      <c r="CW408" s="27"/>
      <c r="CX408" s="27"/>
      <c r="CY408" s="27"/>
      <c r="CZ408" s="27"/>
      <c r="DA408" s="11"/>
      <c r="DB408" s="27"/>
      <c r="DC408" s="27"/>
      <c r="DD408" s="27"/>
      <c r="DE408" s="27"/>
      <c r="DF408" s="5"/>
      <c r="DG408" s="5"/>
      <c r="DH408" s="5"/>
      <c r="DI408" s="5"/>
      <c r="DJ408" s="5"/>
      <c r="DK408" s="5"/>
      <c r="DL408" s="5"/>
      <c r="DM408" s="5"/>
      <c r="DN408" s="5"/>
      <c r="DO408" s="5"/>
      <c r="DP408" s="5"/>
      <c r="DQ408" s="5"/>
      <c r="DR408" s="5"/>
      <c r="DS408" s="5"/>
      <c r="DT408" s="5"/>
      <c r="DU408" s="5"/>
      <c r="DV408" s="5"/>
      <c r="DW408" s="5"/>
      <c r="DX408" s="5"/>
      <c r="DY408" s="5"/>
      <c r="DZ408" s="5"/>
      <c r="EA408" s="5"/>
      <c r="EB408" s="5"/>
      <c r="EC408" s="5"/>
      <c r="ED408" s="5"/>
      <c r="EE408" s="5"/>
    </row>
    <row r="409" spans="2:13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5"/>
      <c r="CE409" s="5"/>
      <c r="CF409" s="5"/>
      <c r="CG409" s="5"/>
      <c r="CH409" s="5"/>
      <c r="CI409" s="5"/>
      <c r="CJ409" s="5"/>
      <c r="CK409" s="5"/>
      <c r="CL409" s="5"/>
      <c r="CM409" s="27"/>
      <c r="CN409" s="27"/>
      <c r="CO409" s="27"/>
      <c r="CP409" s="27"/>
      <c r="CQ409" s="5"/>
      <c r="CR409" s="27"/>
      <c r="CS409" s="27"/>
      <c r="CT409" s="27"/>
      <c r="CU409" s="27"/>
      <c r="CV409" s="5"/>
      <c r="CW409" s="27"/>
      <c r="CX409" s="27"/>
      <c r="CY409" s="27"/>
      <c r="CZ409" s="27"/>
      <c r="DA409" s="11"/>
      <c r="DB409" s="27"/>
      <c r="DC409" s="27"/>
      <c r="DD409" s="27"/>
      <c r="DE409" s="27"/>
      <c r="DF409" s="5"/>
      <c r="DG409" s="5"/>
      <c r="DH409" s="5"/>
      <c r="DI409" s="5"/>
      <c r="DJ409" s="5"/>
      <c r="DK409" s="5"/>
      <c r="DL409" s="5"/>
      <c r="DM409" s="5"/>
      <c r="DN409" s="5"/>
      <c r="DO409" s="5"/>
      <c r="DP409" s="5"/>
      <c r="DQ409" s="5"/>
      <c r="DR409" s="5"/>
      <c r="DS409" s="5"/>
      <c r="DT409" s="5"/>
      <c r="DU409" s="5"/>
      <c r="DV409" s="5"/>
      <c r="DW409" s="5"/>
      <c r="DX409" s="5"/>
      <c r="DY409" s="5"/>
      <c r="DZ409" s="5"/>
      <c r="EA409" s="5"/>
      <c r="EB409" s="5"/>
      <c r="EC409" s="5"/>
      <c r="ED409" s="5"/>
      <c r="EE409" s="5"/>
    </row>
    <row r="410" spans="2:13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c r="CB410" s="5"/>
      <c r="CC410" s="5"/>
      <c r="CD410" s="5"/>
      <c r="CE410" s="5"/>
      <c r="CF410" s="5"/>
      <c r="CG410" s="5"/>
      <c r="CH410" s="5"/>
      <c r="CI410" s="5"/>
      <c r="CJ410" s="5"/>
      <c r="CK410" s="5"/>
      <c r="CL410" s="5"/>
      <c r="CM410" s="27"/>
      <c r="CN410" s="27"/>
      <c r="CO410" s="27"/>
      <c r="CP410" s="27"/>
      <c r="CQ410" s="5"/>
      <c r="CR410" s="27"/>
      <c r="CS410" s="27"/>
      <c r="CT410" s="27"/>
      <c r="CU410" s="27"/>
      <c r="CV410" s="5"/>
      <c r="CW410" s="27"/>
      <c r="CX410" s="27"/>
      <c r="CY410" s="27"/>
      <c r="CZ410" s="27"/>
      <c r="DA410" s="11"/>
      <c r="DB410" s="27"/>
      <c r="DC410" s="27"/>
      <c r="DD410" s="27"/>
      <c r="DE410" s="27"/>
      <c r="DF410" s="5"/>
      <c r="DG410" s="5"/>
      <c r="DH410" s="5"/>
      <c r="DI410" s="5"/>
      <c r="DJ410" s="5"/>
      <c r="DK410" s="5"/>
      <c r="DL410" s="5"/>
      <c r="DM410" s="5"/>
      <c r="DN410" s="5"/>
      <c r="DO410" s="5"/>
      <c r="DP410" s="5"/>
      <c r="DQ410" s="5"/>
      <c r="DR410" s="5"/>
      <c r="DS410" s="5"/>
      <c r="DT410" s="5"/>
      <c r="DU410" s="5"/>
      <c r="DV410" s="5"/>
      <c r="DW410" s="5"/>
      <c r="DX410" s="5"/>
      <c r="DY410" s="5"/>
      <c r="DZ410" s="5"/>
      <c r="EA410" s="5"/>
      <c r="EB410" s="5"/>
      <c r="EC410" s="5"/>
      <c r="ED410" s="5"/>
      <c r="EE410" s="5"/>
    </row>
    <row r="411" spans="2:13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c r="CB411" s="5"/>
      <c r="CC411" s="5"/>
      <c r="CD411" s="5"/>
      <c r="CE411" s="5"/>
      <c r="CF411" s="5"/>
      <c r="CG411" s="5"/>
      <c r="CH411" s="5"/>
      <c r="CI411" s="5"/>
      <c r="CJ411" s="5"/>
      <c r="CK411" s="5"/>
      <c r="CL411" s="5"/>
      <c r="CM411" s="27"/>
      <c r="CN411" s="27"/>
      <c r="CO411" s="27"/>
      <c r="CP411" s="27"/>
      <c r="CQ411" s="5"/>
      <c r="CR411" s="27"/>
      <c r="CS411" s="27"/>
      <c r="CT411" s="27"/>
      <c r="CU411" s="27"/>
      <c r="CV411" s="5"/>
      <c r="CW411" s="27"/>
      <c r="CX411" s="27"/>
      <c r="CY411" s="27"/>
      <c r="CZ411" s="27"/>
      <c r="DA411" s="11"/>
      <c r="DB411" s="27"/>
      <c r="DC411" s="27"/>
      <c r="DD411" s="27"/>
      <c r="DE411" s="27"/>
      <c r="DF411" s="5"/>
      <c r="DG411" s="5"/>
      <c r="DH411" s="5"/>
      <c r="DI411" s="5"/>
      <c r="DJ411" s="5"/>
      <c r="DK411" s="5"/>
      <c r="DL411" s="5"/>
      <c r="DM411" s="5"/>
      <c r="DN411" s="5"/>
      <c r="DO411" s="5"/>
      <c r="DP411" s="5"/>
      <c r="DQ411" s="5"/>
      <c r="DR411" s="5"/>
      <c r="DS411" s="5"/>
      <c r="DT411" s="5"/>
      <c r="DU411" s="5"/>
      <c r="DV411" s="5"/>
      <c r="DW411" s="5"/>
      <c r="DX411" s="5"/>
      <c r="DY411" s="5"/>
      <c r="DZ411" s="5"/>
      <c r="EA411" s="5"/>
      <c r="EB411" s="5"/>
      <c r="EC411" s="5"/>
      <c r="ED411" s="5"/>
      <c r="EE411" s="5"/>
    </row>
    <row r="412" spans="2:135" customFormat="1"/>
    <row r="413" spans="2:135">
      <c r="K413" s="2"/>
      <c r="L413" s="2"/>
      <c r="M413" s="2"/>
      <c r="N413" s="2"/>
      <c r="O413" s="9"/>
      <c r="T413" s="9"/>
      <c r="Y413" s="9"/>
      <c r="AD413" s="9"/>
      <c r="AJ413" s="2"/>
      <c r="AK413" s="2"/>
      <c r="AL413" s="2"/>
      <c r="AM413" s="2"/>
      <c r="AN413" s="9"/>
      <c r="AS413" s="9"/>
      <c r="AX413" s="9"/>
      <c r="BC413" s="9"/>
      <c r="BI413" s="2"/>
      <c r="BJ413" s="2"/>
      <c r="BK413" s="2"/>
      <c r="BL413" s="2"/>
      <c r="BM413" s="9"/>
      <c r="BR413" s="9"/>
      <c r="BU413" s="2"/>
      <c r="BW413" s="9"/>
      <c r="BX413" s="9"/>
      <c r="BZ413" s="2"/>
      <c r="CB413" s="9"/>
      <c r="CC413" s="9"/>
      <c r="CE413" s="2"/>
      <c r="CG413" s="9"/>
      <c r="CJ413" s="2"/>
      <c r="CK413" s="9"/>
      <c r="CL413" s="9"/>
      <c r="CO413" s="2"/>
      <c r="CP413" s="9"/>
      <c r="CQ413" s="9"/>
      <c r="CR413" s="9"/>
      <c r="CS413" s="9"/>
      <c r="CT413" s="2"/>
      <c r="CU413" s="9"/>
      <c r="CV413" s="9"/>
      <c r="CW413" s="9"/>
      <c r="CX413" s="9"/>
      <c r="CY413" s="2"/>
      <c r="CZ413" s="9"/>
      <c r="DA413" s="9"/>
      <c r="DB413" s="9"/>
      <c r="DC413" s="9"/>
      <c r="DD413" s="2"/>
      <c r="DE413" s="9"/>
      <c r="DF413" s="9"/>
      <c r="DG413" s="9"/>
      <c r="DH413" s="9"/>
      <c r="DI413" s="9"/>
      <c r="DJ413" s="9"/>
    </row>
    <row r="414" spans="2:135">
      <c r="K414" s="2"/>
      <c r="L414" s="2"/>
      <c r="M414" s="2"/>
      <c r="N414" s="2"/>
      <c r="O414" s="9"/>
      <c r="T414" s="9"/>
      <c r="Y414" s="9"/>
      <c r="AD414" s="9"/>
      <c r="AJ414" s="2"/>
      <c r="AK414" s="2"/>
      <c r="AL414" s="2"/>
      <c r="AM414" s="2"/>
      <c r="AN414" s="9"/>
      <c r="AS414" s="9"/>
      <c r="AX414" s="9"/>
      <c r="BC414" s="9"/>
      <c r="BI414" s="2"/>
      <c r="BJ414" s="2"/>
      <c r="BK414" s="2"/>
      <c r="BL414" s="2"/>
      <c r="BM414" s="9"/>
      <c r="BR414" s="9"/>
      <c r="BU414" s="2"/>
      <c r="BW414" s="9"/>
      <c r="BX414" s="9"/>
      <c r="BZ414" s="2"/>
      <c r="CB414" s="9"/>
      <c r="CC414" s="9"/>
      <c r="CE414" s="2"/>
      <c r="CG414" s="9"/>
      <c r="CJ414" s="2"/>
      <c r="CK414" s="9"/>
      <c r="CL414" s="9"/>
      <c r="CO414" s="2"/>
      <c r="CP414" s="9"/>
      <c r="CQ414" s="9"/>
      <c r="CR414" s="9"/>
      <c r="CS414" s="9"/>
      <c r="CT414" s="2"/>
      <c r="CU414" s="9"/>
      <c r="CV414" s="9"/>
      <c r="CW414" s="9"/>
      <c r="CX414" s="9"/>
      <c r="CY414" s="2"/>
      <c r="CZ414" s="9"/>
      <c r="DA414" s="9"/>
      <c r="DB414" s="9"/>
      <c r="DC414" s="9"/>
      <c r="DD414" s="2"/>
      <c r="DE414" s="9"/>
      <c r="DF414" s="9"/>
      <c r="DG414" s="9"/>
      <c r="DH414" s="9"/>
      <c r="DI414" s="9"/>
      <c r="DJ414" s="9"/>
    </row>
    <row r="415" spans="2:135">
      <c r="K415" s="2"/>
      <c r="L415" s="2"/>
      <c r="M415" s="2"/>
      <c r="N415" s="2"/>
      <c r="O415" s="9"/>
      <c r="T415" s="9"/>
      <c r="Y415" s="9"/>
      <c r="AD415" s="9"/>
      <c r="AJ415" s="2"/>
      <c r="AK415" s="2"/>
      <c r="AL415" s="2"/>
      <c r="AM415" s="2"/>
      <c r="AN415" s="9"/>
      <c r="AS415" s="9"/>
      <c r="AX415" s="9"/>
      <c r="BC415" s="9"/>
      <c r="BI415" s="2"/>
      <c r="BJ415" s="2"/>
      <c r="BK415" s="2"/>
      <c r="BL415" s="2"/>
      <c r="BM415" s="9"/>
      <c r="BR415" s="9"/>
      <c r="BU415" s="2"/>
      <c r="BW415" s="9"/>
      <c r="BX415" s="9"/>
      <c r="BZ415" s="2"/>
      <c r="CB415" s="9"/>
      <c r="CC415" s="9"/>
      <c r="CE415" s="2"/>
      <c r="CG415" s="9"/>
      <c r="CJ415" s="2"/>
      <c r="CK415" s="9"/>
      <c r="CL415" s="9"/>
      <c r="CO415" s="2"/>
      <c r="CP415" s="9"/>
      <c r="CQ415" s="9"/>
      <c r="CR415" s="9"/>
      <c r="CS415" s="9"/>
      <c r="CT415" s="2"/>
      <c r="CU415" s="9"/>
      <c r="CV415" s="9"/>
      <c r="CW415" s="9"/>
      <c r="CX415" s="9"/>
      <c r="CY415" s="2"/>
      <c r="CZ415" s="9"/>
      <c r="DA415" s="9"/>
      <c r="DB415" s="9"/>
      <c r="DC415" s="9"/>
      <c r="DD415" s="2"/>
      <c r="DE415" s="9"/>
      <c r="DF415" s="9"/>
      <c r="DG415" s="9"/>
      <c r="DH415" s="9"/>
      <c r="DI415" s="9"/>
      <c r="DJ415" s="9"/>
    </row>
    <row r="416" spans="2:135">
      <c r="K416" s="2"/>
      <c r="L416" s="2"/>
      <c r="M416" s="2"/>
      <c r="N416" s="2"/>
      <c r="O416" s="9"/>
      <c r="T416" s="9"/>
      <c r="Y416" s="9"/>
      <c r="AD416" s="9"/>
      <c r="AJ416" s="2"/>
      <c r="AK416" s="2"/>
      <c r="AL416" s="2"/>
      <c r="AM416" s="2"/>
      <c r="AN416" s="9"/>
      <c r="AS416" s="9"/>
      <c r="AX416" s="9"/>
      <c r="BC416" s="9"/>
      <c r="BI416" s="2"/>
      <c r="BJ416" s="2"/>
      <c r="BK416" s="2"/>
      <c r="BL416" s="2"/>
      <c r="BM416" s="9"/>
      <c r="BR416" s="9"/>
      <c r="BU416" s="2"/>
      <c r="BW416" s="9"/>
      <c r="BX416" s="9"/>
      <c r="BZ416" s="2"/>
      <c r="CB416" s="9"/>
      <c r="CC416" s="9"/>
      <c r="CE416" s="2"/>
      <c r="CG416" s="9"/>
      <c r="CJ416" s="2"/>
      <c r="CK416" s="9"/>
      <c r="CL416" s="9"/>
      <c r="CO416" s="2"/>
      <c r="CP416" s="9"/>
      <c r="CQ416" s="9"/>
      <c r="CR416" s="9"/>
      <c r="CS416" s="9"/>
      <c r="CT416" s="2"/>
      <c r="CU416" s="9"/>
      <c r="CV416" s="9"/>
      <c r="CW416" s="9"/>
      <c r="CX416" s="9"/>
      <c r="CY416" s="2"/>
      <c r="CZ416" s="9"/>
      <c r="DA416" s="9"/>
      <c r="DB416" s="9"/>
      <c r="DC416" s="9"/>
      <c r="DD416" s="2"/>
      <c r="DE416" s="9"/>
      <c r="DF416" s="9"/>
      <c r="DG416" s="9"/>
      <c r="DH416" s="9"/>
      <c r="DI416" s="9"/>
      <c r="DJ416" s="9"/>
    </row>
    <row r="417" spans="11:114">
      <c r="K417" s="2"/>
      <c r="L417" s="2"/>
      <c r="M417" s="2"/>
      <c r="N417" s="2"/>
      <c r="O417" s="9"/>
      <c r="T417" s="9"/>
      <c r="Y417" s="9"/>
      <c r="AD417" s="9"/>
      <c r="AJ417" s="2"/>
      <c r="AK417" s="2"/>
      <c r="AL417" s="2"/>
      <c r="AM417" s="2"/>
      <c r="AN417" s="9"/>
      <c r="AS417" s="9"/>
      <c r="AX417" s="9"/>
      <c r="BC417" s="9"/>
      <c r="BI417" s="2"/>
      <c r="BJ417" s="2"/>
      <c r="BK417" s="2"/>
      <c r="BL417" s="2"/>
      <c r="BM417" s="9"/>
      <c r="BR417" s="9"/>
      <c r="BU417" s="2"/>
      <c r="BW417" s="9"/>
      <c r="BX417" s="9"/>
      <c r="BZ417" s="2"/>
      <c r="CB417" s="9"/>
      <c r="CC417" s="9"/>
      <c r="CE417" s="2"/>
      <c r="CG417" s="9"/>
      <c r="CJ417" s="2"/>
      <c r="CK417" s="9"/>
      <c r="CL417" s="9"/>
      <c r="CO417" s="2"/>
      <c r="CP417" s="9"/>
      <c r="CQ417" s="9"/>
      <c r="CR417" s="9"/>
      <c r="CS417" s="9"/>
      <c r="CT417" s="2"/>
      <c r="CU417" s="9"/>
      <c r="CV417" s="9"/>
      <c r="CW417" s="9"/>
      <c r="CX417" s="9"/>
      <c r="CY417" s="2"/>
      <c r="CZ417" s="9"/>
      <c r="DA417" s="9"/>
      <c r="DB417" s="9"/>
      <c r="DC417" s="9"/>
      <c r="DD417" s="2"/>
      <c r="DE417" s="9"/>
      <c r="DF417" s="9"/>
      <c r="DG417" s="9"/>
      <c r="DH417" s="9"/>
      <c r="DI417" s="9"/>
      <c r="DJ417" s="9"/>
    </row>
    <row r="418" spans="11:114">
      <c r="K418" s="2"/>
      <c r="L418" s="2"/>
      <c r="M418" s="2"/>
      <c r="N418" s="2"/>
      <c r="O418" s="9"/>
      <c r="T418" s="9"/>
      <c r="Y418" s="9"/>
      <c r="AD418" s="9"/>
      <c r="AJ418" s="2"/>
      <c r="AK418" s="2"/>
      <c r="AL418" s="2"/>
      <c r="AM418" s="2"/>
      <c r="AN418" s="9"/>
      <c r="AS418" s="9"/>
      <c r="AX418" s="9"/>
      <c r="BC418" s="9"/>
      <c r="BI418" s="2"/>
      <c r="BJ418" s="2"/>
      <c r="BK418" s="2"/>
      <c r="BL418" s="2"/>
      <c r="BM418" s="9"/>
      <c r="BR418" s="9"/>
      <c r="BU418" s="2"/>
      <c r="BW418" s="9"/>
      <c r="BX418" s="9"/>
      <c r="BZ418" s="2"/>
      <c r="CB418" s="9"/>
      <c r="CC418" s="9"/>
      <c r="CE418" s="2"/>
      <c r="CG418" s="9"/>
      <c r="CJ418" s="2"/>
      <c r="CK418" s="9"/>
      <c r="CL418" s="9"/>
      <c r="CO418" s="2"/>
      <c r="CP418" s="9"/>
      <c r="CQ418" s="9"/>
      <c r="CR418" s="9"/>
      <c r="CS418" s="9"/>
      <c r="CT418" s="2"/>
      <c r="CU418" s="9"/>
      <c r="CV418" s="9"/>
      <c r="CW418" s="9"/>
      <c r="CX418" s="9"/>
      <c r="CY418" s="2"/>
      <c r="CZ418" s="9"/>
      <c r="DA418" s="9"/>
      <c r="DB418" s="9"/>
      <c r="DC418" s="9"/>
      <c r="DD418" s="2"/>
      <c r="DE418" s="9"/>
      <c r="DF418" s="9"/>
      <c r="DG418" s="9"/>
      <c r="DH418" s="9"/>
      <c r="DI418" s="9"/>
      <c r="DJ418" s="9"/>
    </row>
    <row r="419" spans="11:114">
      <c r="K419" s="2"/>
      <c r="L419" s="2"/>
      <c r="M419" s="2"/>
      <c r="N419" s="2"/>
      <c r="O419" s="9"/>
      <c r="T419" s="9"/>
      <c r="Y419" s="9"/>
      <c r="AD419" s="9"/>
      <c r="AJ419" s="2"/>
      <c r="AK419" s="2"/>
      <c r="AL419" s="2"/>
      <c r="AM419" s="2"/>
      <c r="AN419" s="9"/>
      <c r="AS419" s="9"/>
      <c r="AX419" s="9"/>
      <c r="BC419" s="9"/>
      <c r="BI419" s="2"/>
      <c r="BJ419" s="2"/>
      <c r="BK419" s="2"/>
      <c r="BL419" s="2"/>
      <c r="BM419" s="9"/>
      <c r="BR419" s="9"/>
      <c r="BU419" s="2"/>
      <c r="BW419" s="9"/>
      <c r="BX419" s="9"/>
      <c r="BZ419" s="2"/>
      <c r="CB419" s="9"/>
      <c r="CC419" s="9"/>
      <c r="CE419" s="2"/>
      <c r="CG419" s="9"/>
      <c r="CJ419" s="2"/>
      <c r="CK419" s="9"/>
      <c r="CL419" s="9"/>
      <c r="CO419" s="2"/>
      <c r="CP419" s="9"/>
      <c r="CQ419" s="9"/>
      <c r="CR419" s="9"/>
      <c r="CS419" s="9"/>
      <c r="CT419" s="2"/>
      <c r="CU419" s="9"/>
      <c r="CV419" s="9"/>
      <c r="CW419" s="9"/>
      <c r="CX419" s="9"/>
      <c r="CY419" s="2"/>
      <c r="CZ419" s="9"/>
      <c r="DA419" s="9"/>
      <c r="DB419" s="9"/>
      <c r="DC419" s="9"/>
      <c r="DD419" s="2"/>
      <c r="DE419" s="9"/>
      <c r="DF419" s="9"/>
      <c r="DG419" s="9"/>
      <c r="DH419" s="9"/>
      <c r="DI419" s="9"/>
      <c r="DJ419" s="9"/>
    </row>
  </sheetData>
  <customSheetViews>
    <customSheetView guid="{E6F209F9-D7E2-11D3-BDA1-0010A4F3BFB8}" scale="125" fitToPage="1" hiddenRows="1" hiddenColumns="1" showRuler="0">
      <pane xSplit="4" ySplit="3" topLeftCell="AX49" activePane="bottomRight"/>
      <selection pane="bottomRight" activeCell="T1" sqref="T1:AD69"/>
      <pageMargins left="0" right="0.245" top="7.0000000000000001E-3" bottom="0.29099999999999998" header="0" footer="0"/>
      <pageSetup scale="95" orientation="portrait" horizontalDpi="300" verticalDpi="4294967292" r:id="rId1"/>
      <headerFooter alignWithMargins="0"/>
    </customSheetView>
    <customSheetView guid="{E6F209F7-D7E2-11D3-BDA1-0010A4F3BFB8}" scale="125" fitToPage="1" hiddenRows="1" hiddenColumns="1" showRuler="0">
      <pane xSplit="4" ySplit="3" topLeftCell="J49" activePane="bottomRight"/>
      <selection pane="bottomRight" sqref="A1:R69"/>
      <pageMargins left="0" right="0.245" top="7.0000000000000001E-3" bottom="0.29099999999999998" header="0" footer="0"/>
      <pageSetup scale="95" orientation="landscape" horizontalDpi="300" verticalDpi="4294967292" r:id="rId2"/>
      <headerFooter alignWithMargins="0"/>
    </customSheetView>
  </customSheetViews>
  <phoneticPr fontId="16" type="noConversion"/>
  <hyperlinks>
    <hyperlink ref="B1" location="Cover!A1" tooltip="Go to Cover Page" display="Cover Page"/>
  </hyperlinks>
  <printOptions horizontalCentered="1"/>
  <pageMargins left="0" right="0" top="0" bottom="0" header="0" footer="0"/>
  <pageSetup scale="68" orientation="landscape" r:id="rId3"/>
  <headerFooter alignWithMargins="0">
    <oddFooter>&amp;R&amp;8&amp;D &amp;T</oddFooter>
  </headerFooter>
  <cellWatches>
    <cellWatch r="BH380"/>
  </cellWatches>
  <drawing r:id="rId4"/>
  <legacy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T2"/>
  <sheetViews>
    <sheetView workbookViewId="0"/>
  </sheetViews>
  <sheetFormatPr defaultRowHeight="11.25"/>
  <sheetData>
    <row r="1" spans="1:46">
      <c r="A1" t="s">
        <v>58</v>
      </c>
    </row>
    <row r="2" spans="1:46">
      <c r="A2" s="34" t="s">
        <v>45</v>
      </c>
      <c r="B2" s="34" t="s">
        <v>229</v>
      </c>
      <c r="C2" s="34" t="s">
        <v>131</v>
      </c>
      <c r="D2" s="34" t="s">
        <v>47</v>
      </c>
      <c r="E2" s="34" t="s">
        <v>373</v>
      </c>
      <c r="F2" s="34" t="s">
        <v>424</v>
      </c>
      <c r="G2" s="34" t="s">
        <v>56</v>
      </c>
      <c r="H2" s="34" t="s">
        <v>616</v>
      </c>
      <c r="I2" s="34" t="s">
        <v>436</v>
      </c>
      <c r="J2" s="34" t="s">
        <v>424</v>
      </c>
      <c r="K2" s="34" t="s">
        <v>422</v>
      </c>
      <c r="L2" s="34" t="s">
        <v>424</v>
      </c>
      <c r="M2" s="34" t="s">
        <v>91</v>
      </c>
      <c r="N2" s="34" t="s">
        <v>46</v>
      </c>
      <c r="O2" s="34" t="s">
        <v>423</v>
      </c>
      <c r="P2" s="34" t="s">
        <v>424</v>
      </c>
      <c r="Q2" s="34" t="s">
        <v>59</v>
      </c>
      <c r="R2" s="34" t="s">
        <v>424</v>
      </c>
      <c r="S2" s="34" t="s">
        <v>4</v>
      </c>
      <c r="T2" s="34" t="s">
        <v>48</v>
      </c>
      <c r="U2" s="34" t="s">
        <v>62</v>
      </c>
      <c r="V2" s="34" t="s">
        <v>424</v>
      </c>
      <c r="W2" s="34" t="s">
        <v>63</v>
      </c>
      <c r="X2" s="34" t="s">
        <v>424</v>
      </c>
      <c r="Y2" s="34" t="s">
        <v>5</v>
      </c>
      <c r="Z2" s="34" t="s">
        <v>135</v>
      </c>
      <c r="AA2" s="34" t="s">
        <v>188</v>
      </c>
      <c r="AB2" s="34" t="s">
        <v>46</v>
      </c>
      <c r="AC2" s="34" t="s">
        <v>60</v>
      </c>
      <c r="AD2" s="34" t="s">
        <v>424</v>
      </c>
      <c r="AE2" s="34" t="s">
        <v>437</v>
      </c>
      <c r="AF2" s="34" t="s">
        <v>424</v>
      </c>
      <c r="AG2" s="34" t="s">
        <v>55</v>
      </c>
      <c r="AH2" s="34" t="s">
        <v>0</v>
      </c>
      <c r="AI2" s="34" t="s">
        <v>124</v>
      </c>
      <c r="AJ2" s="34" t="s">
        <v>424</v>
      </c>
      <c r="AK2" s="34" t="s">
        <v>66</v>
      </c>
      <c r="AL2" s="34" t="s">
        <v>67</v>
      </c>
      <c r="AM2" s="34" t="s">
        <v>123</v>
      </c>
      <c r="AN2" s="34" t="s">
        <v>424</v>
      </c>
      <c r="AO2" s="1655" t="s">
        <v>57</v>
      </c>
      <c r="AP2" s="1655" t="s">
        <v>135</v>
      </c>
      <c r="AQ2" s="1655" t="s">
        <v>61</v>
      </c>
      <c r="AR2" s="1655" t="s">
        <v>424</v>
      </c>
      <c r="AS2" s="1655" t="s">
        <v>92</v>
      </c>
      <c r="AT2" s="1655" t="s">
        <v>424</v>
      </c>
    </row>
  </sheetData>
  <phoneticPr fontId="16"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3:HY140"/>
  <sheetViews>
    <sheetView showGridLines="0" view="pageBreakPreview" zoomScale="115" zoomScaleNormal="100" zoomScaleSheetLayoutView="115" workbookViewId="0">
      <pane xSplit="2" ySplit="7" topLeftCell="CQ8" activePane="bottomRight" state="frozen"/>
      <selection pane="topRight" activeCell="C1" sqref="C1"/>
      <selection pane="bottomLeft" activeCell="A8" sqref="A8"/>
      <selection pane="bottomRight" activeCell="DJ8" sqref="DJ8"/>
    </sheetView>
  </sheetViews>
  <sheetFormatPr defaultRowHeight="11.25" outlineLevelRow="2" outlineLevelCol="1"/>
  <cols>
    <col min="2" max="2" width="38.33203125" customWidth="1"/>
    <col min="3" max="3" width="2.33203125" hidden="1" customWidth="1"/>
    <col min="4" max="79" width="9.33203125" hidden="1" customWidth="1" outlineLevel="1"/>
    <col min="80" max="80" width="9.33203125" hidden="1" customWidth="1" collapsed="1"/>
    <col min="81" max="84" width="9.33203125" hidden="1" customWidth="1" outlineLevel="1"/>
    <col min="85" max="85" width="9.33203125" hidden="1" customWidth="1" collapsed="1"/>
    <col min="86" max="89" width="9.33203125" hidden="1" customWidth="1" outlineLevel="1"/>
    <col min="90" max="90" width="9.33203125" hidden="1" customWidth="1" collapsed="1"/>
    <col min="91" max="94" width="9.33203125" hidden="1" customWidth="1" outlineLevel="1"/>
    <col min="95" max="95" width="9.33203125" customWidth="1" collapsed="1"/>
    <col min="96" max="99" width="9.33203125" hidden="1" customWidth="1" outlineLevel="1"/>
    <col min="100" max="100" width="9.33203125" customWidth="1" collapsed="1"/>
    <col min="101" max="104" width="9.33203125" hidden="1" customWidth="1" outlineLevel="1"/>
    <col min="105" max="105" width="9.33203125" customWidth="1" collapsed="1"/>
    <col min="106" max="109" width="9.33203125" hidden="1" customWidth="1" outlineLevel="1"/>
    <col min="110" max="110" width="9.33203125" customWidth="1" collapsed="1"/>
    <col min="111" max="114" width="9.33203125" customWidth="1" outlineLevel="1"/>
    <col min="115" max="115" width="9.33203125" customWidth="1"/>
    <col min="116" max="119" width="9.33203125" customWidth="1" outlineLevel="1"/>
    <col min="120" max="120" width="9.33203125" customWidth="1"/>
    <col min="121" max="124" width="9.33203125" customWidth="1" outlineLevel="1"/>
    <col min="125" max="125" width="9.33203125" customWidth="1"/>
    <col min="126" max="129" width="9.33203125" style="2161" customWidth="1" outlineLevel="1"/>
    <col min="130" max="130" width="9.33203125" style="2161" customWidth="1"/>
    <col min="131" max="134" width="9.33203125" style="2248" customWidth="1" outlineLevel="1"/>
    <col min="135" max="135" width="9.33203125" style="2248" customWidth="1"/>
  </cols>
  <sheetData>
    <row r="3" spans="1:233" ht="12" thickBot="1"/>
    <row r="4" spans="1:233" s="54" customFormat="1" ht="18.75">
      <c r="B4" s="508" t="s">
        <v>52</v>
      </c>
      <c r="C4" s="509"/>
      <c r="D4" s="509"/>
      <c r="E4" s="509"/>
      <c r="F4" s="509"/>
      <c r="G4" s="509"/>
      <c r="H4" s="509"/>
      <c r="I4" s="509"/>
      <c r="J4" s="509"/>
      <c r="K4" s="509"/>
      <c r="L4" s="509"/>
      <c r="M4" s="509"/>
      <c r="N4" s="509"/>
      <c r="O4" s="509"/>
      <c r="P4" s="509"/>
      <c r="Q4" s="509"/>
      <c r="R4" s="509"/>
      <c r="S4" s="509"/>
      <c r="T4" s="509"/>
      <c r="U4" s="509"/>
      <c r="V4" s="509"/>
      <c r="W4" s="509"/>
      <c r="X4" s="509"/>
      <c r="Y4" s="509"/>
      <c r="Z4" s="509"/>
      <c r="AA4" s="509"/>
      <c r="AB4" s="509"/>
      <c r="AC4" s="509"/>
      <c r="AD4" s="509"/>
      <c r="AE4" s="509"/>
      <c r="AF4" s="509"/>
      <c r="AG4" s="509"/>
      <c r="AH4" s="509"/>
      <c r="AI4" s="509"/>
      <c r="AJ4" s="509"/>
      <c r="AK4" s="509"/>
      <c r="AL4" s="509"/>
      <c r="AM4" s="509"/>
      <c r="AN4" s="509"/>
      <c r="AO4" s="509"/>
      <c r="AP4" s="509"/>
      <c r="AQ4" s="509"/>
      <c r="AR4" s="509"/>
      <c r="AS4" s="509"/>
      <c r="AT4" s="509"/>
      <c r="AU4" s="509"/>
      <c r="AV4" s="509"/>
      <c r="AW4" s="509"/>
      <c r="AX4" s="509"/>
      <c r="AY4" s="509"/>
      <c r="AZ4" s="509"/>
      <c r="BA4" s="509"/>
      <c r="BB4" s="509"/>
      <c r="BC4" s="509"/>
      <c r="BD4" s="509"/>
      <c r="BE4" s="509"/>
      <c r="BF4" s="509"/>
      <c r="BG4" s="509"/>
      <c r="BH4" s="509"/>
      <c r="BI4" s="509"/>
      <c r="BJ4" s="509"/>
      <c r="BK4" s="509"/>
      <c r="BL4" s="509"/>
      <c r="BM4" s="509"/>
      <c r="BN4" s="509"/>
      <c r="BO4" s="509"/>
      <c r="BP4" s="509"/>
      <c r="BQ4" s="509"/>
      <c r="BR4" s="509"/>
      <c r="BS4" s="509"/>
      <c r="BT4" s="509"/>
      <c r="BU4" s="509"/>
      <c r="BV4" s="509"/>
      <c r="BW4" s="509"/>
      <c r="BX4" s="509"/>
      <c r="BY4" s="509"/>
      <c r="BZ4" s="509"/>
      <c r="CA4" s="509"/>
      <c r="CB4" s="509"/>
      <c r="CC4" s="509"/>
      <c r="CD4" s="509"/>
      <c r="CE4" s="510"/>
      <c r="CF4" s="511"/>
      <c r="CG4" s="512"/>
      <c r="CH4" s="513"/>
      <c r="CI4" s="513"/>
      <c r="CJ4" s="513"/>
      <c r="CK4" s="513"/>
      <c r="CL4" s="514"/>
      <c r="CM4" s="514"/>
      <c r="CN4" s="514"/>
      <c r="CO4" s="514"/>
      <c r="CP4" s="514"/>
      <c r="CQ4" s="515"/>
      <c r="CR4" s="516"/>
      <c r="CS4" s="509"/>
      <c r="CT4" s="517"/>
      <c r="CU4" s="518"/>
      <c r="CV4" s="509"/>
      <c r="CW4" s="517"/>
      <c r="CX4" s="517"/>
      <c r="CY4" s="519"/>
      <c r="CZ4" s="517"/>
      <c r="DA4" s="509"/>
      <c r="DB4" s="517"/>
      <c r="DC4" s="517"/>
      <c r="DD4" s="517"/>
      <c r="DE4" s="517"/>
      <c r="DF4" s="509"/>
      <c r="DG4" s="517"/>
      <c r="DH4" s="509"/>
      <c r="DI4" s="509"/>
      <c r="DJ4" s="509"/>
      <c r="DK4" s="509"/>
      <c r="DL4" s="509"/>
      <c r="DM4" s="509"/>
      <c r="DN4" s="509"/>
      <c r="DO4" s="509"/>
      <c r="DP4" s="509"/>
      <c r="DQ4" s="509"/>
      <c r="DR4" s="509"/>
      <c r="DS4" s="509"/>
      <c r="DT4" s="509"/>
      <c r="DU4" s="509"/>
      <c r="DV4" s="509"/>
      <c r="DW4" s="509"/>
      <c r="DX4" s="509"/>
      <c r="DY4" s="509"/>
      <c r="DZ4" s="509"/>
      <c r="EA4" s="509"/>
      <c r="EB4" s="509"/>
      <c r="EC4" s="509"/>
      <c r="ED4" s="509"/>
      <c r="EE4" s="509"/>
      <c r="EF4" s="2132"/>
      <c r="EG4" s="2132"/>
      <c r="EH4" s="2132"/>
      <c r="EI4" s="2132"/>
      <c r="EJ4" s="2132"/>
      <c r="EK4" s="2132"/>
      <c r="EL4" s="2132"/>
      <c r="EM4" s="2132"/>
      <c r="EN4" s="2132"/>
      <c r="EO4" s="2132"/>
      <c r="EP4" s="2132"/>
      <c r="EQ4" s="2132"/>
      <c r="ER4" s="2132"/>
      <c r="ES4" s="2132"/>
      <c r="ET4" s="2132"/>
      <c r="EU4" s="2132"/>
      <c r="EV4" s="2132"/>
      <c r="EW4" s="2132"/>
      <c r="EX4" s="2132"/>
      <c r="EY4" s="2132"/>
      <c r="EZ4" s="2132"/>
      <c r="FA4" s="2132"/>
      <c r="FB4" s="2132"/>
      <c r="FC4" s="2132"/>
      <c r="FD4" s="2132"/>
      <c r="FE4" s="2132"/>
      <c r="FF4" s="2132"/>
      <c r="FG4" s="2132"/>
      <c r="FH4" s="2132"/>
      <c r="FI4" s="2132"/>
      <c r="FJ4" s="2132"/>
      <c r="FK4" s="2132"/>
      <c r="FL4" s="2132"/>
      <c r="FM4" s="2132"/>
      <c r="FN4" s="2132"/>
      <c r="FO4" s="2132"/>
      <c r="FP4" s="2132"/>
      <c r="FQ4" s="2132"/>
      <c r="FR4" s="2132"/>
      <c r="FS4" s="2132"/>
      <c r="FT4" s="2132"/>
      <c r="FU4" s="2132"/>
      <c r="FV4" s="2132"/>
      <c r="FW4" s="2132"/>
      <c r="FX4" s="2132"/>
      <c r="FY4" s="2132"/>
      <c r="FZ4" s="2132"/>
      <c r="GA4" s="2132"/>
      <c r="GB4" s="2132"/>
      <c r="GC4" s="2132"/>
      <c r="GD4" s="2132"/>
      <c r="GE4" s="2132"/>
      <c r="GF4" s="2132"/>
      <c r="GG4" s="2132"/>
      <c r="GH4" s="2132"/>
      <c r="GI4" s="2132"/>
      <c r="GJ4" s="2132"/>
      <c r="GK4" s="2132"/>
      <c r="GL4" s="2132"/>
      <c r="GM4" s="2132"/>
      <c r="GN4" s="2132"/>
      <c r="GO4" s="2132"/>
      <c r="GP4" s="2132"/>
      <c r="GQ4" s="2132"/>
      <c r="GR4" s="2132"/>
      <c r="GS4" s="2132"/>
      <c r="GT4" s="2132"/>
      <c r="GU4" s="2132"/>
      <c r="GV4" s="2132"/>
      <c r="GW4" s="2132"/>
      <c r="GX4" s="2132"/>
      <c r="GY4" s="2132"/>
      <c r="GZ4" s="2132"/>
      <c r="HA4" s="2132"/>
      <c r="HB4" s="2132"/>
      <c r="HC4" s="2132"/>
      <c r="HD4" s="2132"/>
      <c r="HE4" s="2132"/>
      <c r="HF4" s="2132"/>
      <c r="HG4" s="2132"/>
      <c r="HH4" s="2132"/>
      <c r="HI4" s="2132"/>
      <c r="HJ4" s="2132"/>
      <c r="HK4" s="2132"/>
      <c r="HL4" s="2132"/>
      <c r="HM4" s="2132"/>
      <c r="HN4" s="2132"/>
      <c r="HO4" s="2132"/>
      <c r="HP4" s="2132"/>
      <c r="HQ4" s="2132"/>
      <c r="HR4" s="2132"/>
      <c r="HS4" s="2132"/>
      <c r="HT4" s="2132"/>
      <c r="HU4" s="2132"/>
      <c r="HV4" s="2132"/>
      <c r="HW4" s="2132"/>
      <c r="HX4" s="2132"/>
      <c r="HY4" s="2132"/>
    </row>
    <row r="5" spans="1:233" s="54" customFormat="1" ht="12.75" customHeight="1" thickBot="1">
      <c r="B5" s="65" t="s">
        <v>439</v>
      </c>
      <c r="C5" s="66"/>
      <c r="D5" s="66"/>
      <c r="E5" s="66"/>
      <c r="F5" s="66"/>
      <c r="G5" s="66"/>
      <c r="H5" s="66"/>
      <c r="I5" s="66"/>
      <c r="J5" s="66"/>
      <c r="K5" s="66"/>
      <c r="L5" s="66"/>
      <c r="M5" s="66"/>
      <c r="N5" s="66"/>
      <c r="O5" s="66"/>
      <c r="P5" s="66"/>
      <c r="Q5" s="66"/>
      <c r="R5" s="66"/>
      <c r="S5" s="66"/>
      <c r="T5" s="66"/>
      <c r="U5" s="66"/>
      <c r="V5" s="66"/>
      <c r="W5" s="66"/>
      <c r="X5" s="66"/>
      <c r="Y5" s="66"/>
      <c r="Z5" s="66"/>
      <c r="AA5" s="66"/>
      <c r="AB5" s="66"/>
      <c r="AC5" s="66"/>
      <c r="AD5" s="66"/>
      <c r="AE5" s="66"/>
      <c r="AF5" s="66"/>
      <c r="AG5" s="66"/>
      <c r="AH5" s="66"/>
      <c r="AI5" s="66"/>
      <c r="AJ5" s="66"/>
      <c r="AK5" s="66"/>
      <c r="AL5" s="66"/>
      <c r="AM5" s="66"/>
      <c r="AN5" s="66"/>
      <c r="AO5" s="66"/>
      <c r="AP5" s="66"/>
      <c r="AQ5" s="66"/>
      <c r="AR5" s="66"/>
      <c r="AS5" s="66"/>
      <c r="AT5" s="66"/>
      <c r="AU5" s="66"/>
      <c r="AV5" s="66"/>
      <c r="AW5" s="66"/>
      <c r="AX5" s="66"/>
      <c r="AY5" s="66"/>
      <c r="AZ5" s="66"/>
      <c r="BA5" s="66"/>
      <c r="BB5" s="66"/>
      <c r="BC5" s="66"/>
      <c r="BD5" s="66"/>
      <c r="BE5" s="66"/>
      <c r="BF5" s="66"/>
      <c r="BG5" s="66"/>
      <c r="BH5" s="66"/>
      <c r="BI5" s="66"/>
      <c r="BJ5" s="66"/>
      <c r="BK5" s="66"/>
      <c r="BL5" s="66"/>
      <c r="BM5" s="66"/>
      <c r="BN5" s="66"/>
      <c r="BO5" s="66"/>
      <c r="BP5" s="66"/>
      <c r="BQ5" s="66"/>
      <c r="BR5" s="66"/>
      <c r="BS5" s="66"/>
      <c r="BT5" s="66"/>
      <c r="BU5" s="66"/>
      <c r="BV5" s="66"/>
      <c r="BW5" s="66"/>
      <c r="BX5" s="66"/>
      <c r="BY5" s="66"/>
      <c r="BZ5" s="66"/>
      <c r="CA5" s="66"/>
      <c r="CB5" s="66"/>
      <c r="CC5" s="66"/>
      <c r="CD5" s="66"/>
      <c r="CE5" s="66"/>
      <c r="CF5" s="66"/>
      <c r="CG5" s="66"/>
      <c r="CH5" s="66"/>
      <c r="CI5" s="66"/>
      <c r="CJ5" s="66"/>
      <c r="CK5" s="66"/>
      <c r="CL5" s="66"/>
      <c r="CM5" s="66"/>
      <c r="CN5" s="66"/>
      <c r="CO5" s="66"/>
      <c r="CP5" s="66"/>
      <c r="CQ5" s="66"/>
      <c r="CR5" s="66"/>
      <c r="CS5" s="66"/>
      <c r="CT5" s="66"/>
      <c r="CU5" s="66"/>
      <c r="CV5" s="66"/>
      <c r="CW5" s="67"/>
      <c r="CX5" s="67"/>
      <c r="CY5" s="67"/>
      <c r="CZ5" s="67"/>
      <c r="DA5" s="66"/>
      <c r="DB5" s="67"/>
      <c r="DC5" s="66"/>
      <c r="DD5" s="66"/>
      <c r="DE5" s="67"/>
      <c r="DF5" s="66"/>
      <c r="DG5" s="67"/>
      <c r="DH5" s="66"/>
      <c r="DI5" s="66"/>
      <c r="DJ5" s="66"/>
      <c r="DK5" s="66"/>
      <c r="DL5" s="66"/>
      <c r="DM5" s="66"/>
      <c r="DN5" s="66"/>
      <c r="DO5" s="66"/>
      <c r="DP5" s="66"/>
      <c r="DQ5" s="66"/>
      <c r="DR5" s="66"/>
      <c r="DS5" s="66"/>
      <c r="DT5" s="66"/>
      <c r="DU5" s="66"/>
      <c r="DV5" s="66"/>
      <c r="DW5" s="66"/>
      <c r="DX5" s="66"/>
      <c r="DY5" s="66"/>
      <c r="DZ5" s="66"/>
      <c r="EA5" s="66"/>
      <c r="EB5" s="66"/>
      <c r="EC5" s="66"/>
      <c r="ED5" s="66"/>
      <c r="EE5" s="66"/>
      <c r="EF5" s="2132"/>
      <c r="EG5" s="2132"/>
      <c r="EH5" s="2132"/>
      <c r="EI5" s="2132"/>
      <c r="EJ5" s="2132"/>
      <c r="EK5" s="2132"/>
      <c r="EL5" s="2132"/>
      <c r="EM5" s="2132"/>
      <c r="EN5" s="2132"/>
      <c r="EO5" s="2132"/>
      <c r="EP5" s="2132"/>
      <c r="EQ5" s="2132"/>
      <c r="ER5" s="2132"/>
      <c r="ES5" s="2132"/>
      <c r="ET5" s="2132"/>
      <c r="EU5" s="2132"/>
      <c r="EV5" s="2132"/>
      <c r="EW5" s="2132"/>
      <c r="EX5" s="2132"/>
      <c r="EY5" s="2132"/>
      <c r="EZ5" s="2132"/>
      <c r="FA5" s="2132"/>
      <c r="FB5" s="2132"/>
      <c r="FC5" s="2132"/>
      <c r="FD5" s="2132"/>
      <c r="FE5" s="2132"/>
      <c r="FF5" s="2132"/>
      <c r="FG5" s="2132"/>
      <c r="FH5" s="2132"/>
      <c r="FI5" s="2132"/>
      <c r="FJ5" s="2132"/>
      <c r="FK5" s="2132"/>
      <c r="FL5" s="2132"/>
      <c r="FM5" s="2132"/>
      <c r="FN5" s="2132"/>
      <c r="FO5" s="2132"/>
      <c r="FP5" s="2132"/>
      <c r="FQ5" s="2132"/>
      <c r="FR5" s="2132"/>
      <c r="FS5" s="2132"/>
      <c r="FT5" s="2132"/>
      <c r="FU5" s="2132"/>
      <c r="FV5" s="2132"/>
      <c r="FW5" s="2132"/>
      <c r="FX5" s="2132"/>
      <c r="FY5" s="2132"/>
      <c r="FZ5" s="2132"/>
      <c r="GA5" s="2132"/>
      <c r="GB5" s="2132"/>
      <c r="GC5" s="2132"/>
      <c r="GD5" s="2132"/>
      <c r="GE5" s="2132"/>
      <c r="GF5" s="2132"/>
      <c r="GG5" s="2132"/>
      <c r="GH5" s="2132"/>
      <c r="GI5" s="2132"/>
      <c r="GJ5" s="2132"/>
      <c r="GK5" s="2132"/>
      <c r="GL5" s="2132"/>
      <c r="GM5" s="2132"/>
      <c r="GN5" s="2132"/>
      <c r="GO5" s="2132"/>
      <c r="GP5" s="2132"/>
      <c r="GQ5" s="2132"/>
      <c r="GR5" s="2132"/>
      <c r="GS5" s="2132"/>
      <c r="GT5" s="2132"/>
      <c r="GU5" s="2132"/>
      <c r="GV5" s="2132"/>
      <c r="GW5" s="2132"/>
      <c r="GX5" s="2132"/>
      <c r="GY5" s="2132"/>
      <c r="GZ5" s="2132"/>
      <c r="HA5" s="2132"/>
      <c r="HB5" s="2132"/>
      <c r="HC5" s="2132"/>
      <c r="HD5" s="2132"/>
      <c r="HE5" s="2132"/>
      <c r="HF5" s="2132"/>
      <c r="HG5" s="2132"/>
      <c r="HH5" s="2132"/>
      <c r="HI5" s="2132"/>
      <c r="HJ5" s="2132"/>
      <c r="HK5" s="2132"/>
      <c r="HL5" s="2132"/>
      <c r="HM5" s="2132"/>
      <c r="HN5" s="2132"/>
      <c r="HO5" s="2132"/>
      <c r="HP5" s="2132"/>
      <c r="HQ5" s="2132"/>
      <c r="HR5" s="2132"/>
      <c r="HS5" s="2132"/>
      <c r="HT5" s="2132"/>
      <c r="HU5" s="2132"/>
      <c r="HV5" s="2132"/>
      <c r="HW5" s="2132"/>
      <c r="HX5" s="2132"/>
      <c r="HY5" s="2132"/>
    </row>
    <row r="6" spans="1:233" s="69" customFormat="1" ht="12.75" customHeight="1" thickBot="1">
      <c r="A6" s="68"/>
      <c r="B6" s="520" t="s">
        <v>588</v>
      </c>
      <c r="C6" s="521"/>
      <c r="D6" s="522"/>
      <c r="E6" s="522"/>
      <c r="F6" s="522"/>
      <c r="G6" s="522"/>
      <c r="H6" s="522"/>
      <c r="I6" s="522"/>
      <c r="J6" s="522"/>
      <c r="K6" s="527" t="s">
        <v>143</v>
      </c>
      <c r="L6" s="528"/>
      <c r="M6" s="528"/>
      <c r="N6" s="528"/>
      <c r="O6" s="529"/>
      <c r="P6" s="527" t="s">
        <v>143</v>
      </c>
      <c r="Q6" s="528"/>
      <c r="R6" s="528"/>
      <c r="S6" s="528"/>
      <c r="T6" s="529"/>
      <c r="U6" s="527" t="s">
        <v>143</v>
      </c>
      <c r="V6" s="528"/>
      <c r="W6" s="528"/>
      <c r="X6" s="528"/>
      <c r="Y6" s="529"/>
      <c r="Z6" s="527" t="s">
        <v>143</v>
      </c>
      <c r="AA6" s="528"/>
      <c r="AB6" s="528"/>
      <c r="AC6" s="528"/>
      <c r="AD6" s="529"/>
      <c r="AE6" s="527" t="s">
        <v>143</v>
      </c>
      <c r="AF6" s="528"/>
      <c r="AG6" s="528"/>
      <c r="AH6" s="528"/>
      <c r="AI6" s="529"/>
      <c r="AJ6" s="527" t="s">
        <v>143</v>
      </c>
      <c r="AK6" s="528"/>
      <c r="AL6" s="528"/>
      <c r="AM6" s="528"/>
      <c r="AN6" s="529"/>
      <c r="AO6" s="527" t="s">
        <v>143</v>
      </c>
      <c r="AP6" s="528"/>
      <c r="AQ6" s="528"/>
      <c r="AR6" s="528"/>
      <c r="AS6" s="529"/>
      <c r="AT6" s="527" t="s">
        <v>143</v>
      </c>
      <c r="AU6" s="528"/>
      <c r="AV6" s="528"/>
      <c r="AW6" s="528"/>
      <c r="AX6" s="529"/>
      <c r="AY6" s="527" t="s">
        <v>143</v>
      </c>
      <c r="AZ6" s="528"/>
      <c r="BA6" s="528"/>
      <c r="BB6" s="528"/>
      <c r="BC6" s="529"/>
      <c r="BD6" s="527" t="s">
        <v>143</v>
      </c>
      <c r="BE6" s="528"/>
      <c r="BF6" s="528"/>
      <c r="BG6" s="528"/>
      <c r="BH6" s="529"/>
      <c r="BI6" s="527" t="s">
        <v>143</v>
      </c>
      <c r="BJ6" s="528"/>
      <c r="BK6" s="528"/>
      <c r="BL6" s="528"/>
      <c r="BM6" s="529"/>
      <c r="BN6" s="527" t="s">
        <v>143</v>
      </c>
      <c r="BO6" s="528"/>
      <c r="BP6" s="528"/>
      <c r="BQ6" s="528"/>
      <c r="BR6" s="529"/>
      <c r="BS6" s="527" t="s">
        <v>143</v>
      </c>
      <c r="BT6" s="528"/>
      <c r="BU6" s="528"/>
      <c r="BV6" s="528"/>
      <c r="BW6" s="529"/>
      <c r="BX6" s="527" t="s">
        <v>143</v>
      </c>
      <c r="BY6" s="528"/>
      <c r="BZ6" s="528"/>
      <c r="CA6" s="528"/>
      <c r="CB6" s="529"/>
      <c r="CC6" s="527" t="s">
        <v>143</v>
      </c>
      <c r="CD6" s="528"/>
      <c r="CE6" s="528"/>
      <c r="CF6" s="528"/>
      <c r="CG6" s="529"/>
      <c r="CH6" s="528" t="s">
        <v>143</v>
      </c>
      <c r="CI6" s="528"/>
      <c r="CJ6" s="528"/>
      <c r="CK6" s="528"/>
      <c r="CL6" s="529"/>
      <c r="CM6" s="528" t="s">
        <v>143</v>
      </c>
      <c r="CN6" s="528"/>
      <c r="CO6" s="528"/>
      <c r="CP6" s="528"/>
      <c r="CQ6" s="529"/>
      <c r="CR6" s="528" t="s">
        <v>143</v>
      </c>
      <c r="CS6" s="528"/>
      <c r="CT6" s="528"/>
      <c r="CU6" s="528"/>
      <c r="CV6" s="529"/>
      <c r="CW6" s="528" t="s">
        <v>143</v>
      </c>
      <c r="CX6" s="528"/>
      <c r="CY6" s="528"/>
      <c r="CZ6" s="528"/>
      <c r="DA6" s="529"/>
      <c r="DB6" s="528" t="s">
        <v>143</v>
      </c>
      <c r="DC6" s="528"/>
      <c r="DD6" s="528"/>
      <c r="DE6" s="528"/>
      <c r="DF6" s="529"/>
      <c r="DG6" s="528"/>
      <c r="DH6" s="528"/>
      <c r="DI6" s="528"/>
      <c r="DJ6" s="528"/>
      <c r="DK6" s="529"/>
      <c r="DL6" s="528" t="s">
        <v>143</v>
      </c>
      <c r="DM6" s="528"/>
      <c r="DN6" s="528"/>
      <c r="DO6" s="528"/>
      <c r="DP6" s="529"/>
      <c r="DQ6" s="528" t="s">
        <v>143</v>
      </c>
      <c r="DR6" s="528"/>
      <c r="DS6" s="528"/>
      <c r="DT6" s="528"/>
      <c r="DU6" s="529"/>
      <c r="DV6" s="528" t="s">
        <v>143</v>
      </c>
      <c r="DW6" s="528"/>
      <c r="DX6" s="528"/>
      <c r="DY6" s="528"/>
      <c r="DZ6" s="529"/>
      <c r="EA6" s="528" t="s">
        <v>143</v>
      </c>
      <c r="EB6" s="528"/>
      <c r="EC6" s="528"/>
      <c r="ED6" s="528"/>
      <c r="EE6" s="529"/>
      <c r="EF6" s="2132"/>
      <c r="EG6" s="2132"/>
      <c r="EH6" s="2132"/>
      <c r="EI6" s="2132"/>
      <c r="EJ6" s="2132"/>
      <c r="EK6" s="2132"/>
      <c r="EL6" s="2132"/>
      <c r="EM6" s="2132"/>
      <c r="EN6" s="2132"/>
      <c r="EO6" s="2132"/>
      <c r="EP6" s="2132"/>
      <c r="EQ6" s="2132"/>
      <c r="ER6" s="2132"/>
      <c r="ES6" s="2132"/>
      <c r="ET6" s="2132"/>
      <c r="EU6" s="2132"/>
      <c r="EV6" s="2132"/>
      <c r="EW6" s="2132"/>
      <c r="EX6" s="2132"/>
      <c r="EY6" s="2132"/>
      <c r="EZ6" s="2132"/>
      <c r="FA6" s="2132"/>
      <c r="FB6" s="2132"/>
      <c r="FC6" s="2132"/>
      <c r="FD6" s="2132"/>
      <c r="FE6" s="2132"/>
      <c r="FF6" s="2132"/>
      <c r="FG6" s="2132"/>
      <c r="FH6" s="2132"/>
      <c r="FI6" s="2132"/>
      <c r="FJ6" s="2132"/>
      <c r="FK6" s="2132"/>
      <c r="FL6" s="2132"/>
      <c r="FM6" s="2132"/>
      <c r="FN6" s="2132"/>
      <c r="FO6" s="2132"/>
      <c r="FP6" s="2132"/>
      <c r="FQ6" s="2132"/>
      <c r="FR6" s="2132"/>
      <c r="FS6" s="2132"/>
      <c r="FT6" s="2132"/>
      <c r="FU6" s="2132"/>
      <c r="FV6" s="2132"/>
      <c r="FW6" s="2132"/>
      <c r="FX6" s="2132"/>
      <c r="FY6" s="2132"/>
      <c r="FZ6" s="2132"/>
      <c r="GA6" s="2132"/>
      <c r="GB6" s="2132"/>
      <c r="GC6" s="2132"/>
      <c r="GD6" s="2132"/>
      <c r="GE6" s="2132"/>
      <c r="GF6" s="2132"/>
      <c r="GG6" s="2132"/>
      <c r="GH6" s="2132"/>
      <c r="GI6" s="2132"/>
      <c r="GJ6" s="2132"/>
      <c r="GK6" s="2132"/>
      <c r="GL6" s="2132"/>
      <c r="GM6" s="2132"/>
      <c r="GN6" s="2132"/>
      <c r="GO6" s="2132"/>
      <c r="GP6" s="2132"/>
      <c r="GQ6" s="2132"/>
      <c r="GR6" s="2132"/>
      <c r="GS6" s="2132"/>
      <c r="GT6" s="2132"/>
      <c r="GU6" s="2132"/>
      <c r="GV6" s="2132"/>
      <c r="GW6" s="2132"/>
      <c r="GX6" s="2132"/>
      <c r="GY6" s="2132"/>
      <c r="GZ6" s="2132"/>
      <c r="HA6" s="2132"/>
      <c r="HB6" s="2132"/>
      <c r="HC6" s="2132"/>
      <c r="HD6" s="2132"/>
      <c r="HE6" s="2132"/>
      <c r="HF6" s="2132"/>
      <c r="HG6" s="2132"/>
      <c r="HH6" s="2132"/>
      <c r="HI6" s="2132"/>
      <c r="HJ6" s="2132"/>
      <c r="HK6" s="2132"/>
      <c r="HL6" s="2132"/>
      <c r="HM6" s="2132"/>
      <c r="HN6" s="2132"/>
      <c r="HO6" s="2132"/>
      <c r="HP6" s="2132"/>
      <c r="HQ6" s="2132"/>
      <c r="HR6" s="2132"/>
      <c r="HS6" s="2132"/>
      <c r="HT6" s="2132"/>
      <c r="HU6" s="2132"/>
      <c r="HV6" s="2132"/>
      <c r="HW6" s="2132"/>
      <c r="HX6" s="2132"/>
      <c r="HY6" s="2132"/>
    </row>
    <row r="7" spans="1:233" s="69" customFormat="1" ht="12.75" customHeight="1" thickBot="1">
      <c r="A7" s="68"/>
      <c r="B7" s="523" t="s">
        <v>406</v>
      </c>
      <c r="C7" s="524"/>
      <c r="D7" s="525">
        <v>1989</v>
      </c>
      <c r="E7" s="525">
        <f t="shared" ref="E7:J7" si="0">D7+1</f>
        <v>1990</v>
      </c>
      <c r="F7" s="525">
        <f t="shared" si="0"/>
        <v>1991</v>
      </c>
      <c r="G7" s="525">
        <f t="shared" si="0"/>
        <v>1992</v>
      </c>
      <c r="H7" s="525">
        <f t="shared" si="0"/>
        <v>1993</v>
      </c>
      <c r="I7" s="525">
        <f t="shared" si="0"/>
        <v>1994</v>
      </c>
      <c r="J7" s="526">
        <f t="shared" si="0"/>
        <v>1995</v>
      </c>
      <c r="K7" s="531" t="s">
        <v>144</v>
      </c>
      <c r="L7" s="532" t="s">
        <v>145</v>
      </c>
      <c r="M7" s="532" t="s">
        <v>146</v>
      </c>
      <c r="N7" s="533" t="s">
        <v>147</v>
      </c>
      <c r="O7" s="534">
        <f>J7+1</f>
        <v>1996</v>
      </c>
      <c r="P7" s="531" t="s">
        <v>144</v>
      </c>
      <c r="Q7" s="532" t="s">
        <v>145</v>
      </c>
      <c r="R7" s="532" t="s">
        <v>146</v>
      </c>
      <c r="S7" s="533" t="s">
        <v>147</v>
      </c>
      <c r="T7" s="534">
        <f>O7+1</f>
        <v>1997</v>
      </c>
      <c r="U7" s="531" t="s">
        <v>144</v>
      </c>
      <c r="V7" s="532" t="s">
        <v>145</v>
      </c>
      <c r="W7" s="532" t="s">
        <v>146</v>
      </c>
      <c r="X7" s="533" t="s">
        <v>147</v>
      </c>
      <c r="Y7" s="534">
        <f>T7+1</f>
        <v>1998</v>
      </c>
      <c r="Z7" s="531" t="s">
        <v>144</v>
      </c>
      <c r="AA7" s="532" t="s">
        <v>145</v>
      </c>
      <c r="AB7" s="532" t="s">
        <v>146</v>
      </c>
      <c r="AC7" s="533" t="s">
        <v>147</v>
      </c>
      <c r="AD7" s="534">
        <f>Y7+1</f>
        <v>1999</v>
      </c>
      <c r="AE7" s="531" t="s">
        <v>144</v>
      </c>
      <c r="AF7" s="532" t="s">
        <v>145</v>
      </c>
      <c r="AG7" s="532" t="s">
        <v>146</v>
      </c>
      <c r="AH7" s="533" t="s">
        <v>147</v>
      </c>
      <c r="AI7" s="534">
        <f>AD7+1</f>
        <v>2000</v>
      </c>
      <c r="AJ7" s="531" t="s">
        <v>144</v>
      </c>
      <c r="AK7" s="532" t="s">
        <v>145</v>
      </c>
      <c r="AL7" s="532" t="s">
        <v>146</v>
      </c>
      <c r="AM7" s="533" t="s">
        <v>147</v>
      </c>
      <c r="AN7" s="534">
        <f>AI7+1</f>
        <v>2001</v>
      </c>
      <c r="AO7" s="531" t="s">
        <v>144</v>
      </c>
      <c r="AP7" s="532" t="s">
        <v>145</v>
      </c>
      <c r="AQ7" s="532" t="s">
        <v>146</v>
      </c>
      <c r="AR7" s="533" t="s">
        <v>147</v>
      </c>
      <c r="AS7" s="534">
        <f>AN7+1</f>
        <v>2002</v>
      </c>
      <c r="AT7" s="531" t="s">
        <v>144</v>
      </c>
      <c r="AU7" s="532" t="s">
        <v>145</v>
      </c>
      <c r="AV7" s="532" t="s">
        <v>146</v>
      </c>
      <c r="AW7" s="533" t="s">
        <v>147</v>
      </c>
      <c r="AX7" s="534">
        <f>AS7+1</f>
        <v>2003</v>
      </c>
      <c r="AY7" s="531" t="s">
        <v>144</v>
      </c>
      <c r="AZ7" s="532" t="s">
        <v>145</v>
      </c>
      <c r="BA7" s="532" t="s">
        <v>146</v>
      </c>
      <c r="BB7" s="533" t="s">
        <v>147</v>
      </c>
      <c r="BC7" s="534">
        <f>AX7+1</f>
        <v>2004</v>
      </c>
      <c r="BD7" s="531" t="s">
        <v>144</v>
      </c>
      <c r="BE7" s="532" t="s">
        <v>145</v>
      </c>
      <c r="BF7" s="532" t="s">
        <v>146</v>
      </c>
      <c r="BG7" s="533" t="s">
        <v>147</v>
      </c>
      <c r="BH7" s="534">
        <f>BC7+1</f>
        <v>2005</v>
      </c>
      <c r="BI7" s="531" t="s">
        <v>144</v>
      </c>
      <c r="BJ7" s="532" t="s">
        <v>145</v>
      </c>
      <c r="BK7" s="532" t="s">
        <v>146</v>
      </c>
      <c r="BL7" s="533" t="s">
        <v>147</v>
      </c>
      <c r="BM7" s="534">
        <f>BH7+1</f>
        <v>2006</v>
      </c>
      <c r="BN7" s="531" t="s">
        <v>144</v>
      </c>
      <c r="BO7" s="532" t="s">
        <v>145</v>
      </c>
      <c r="BP7" s="532" t="s">
        <v>146</v>
      </c>
      <c r="BQ7" s="533" t="s">
        <v>147</v>
      </c>
      <c r="BR7" s="534">
        <f>BM7+1</f>
        <v>2007</v>
      </c>
      <c r="BS7" s="531" t="s">
        <v>144</v>
      </c>
      <c r="BT7" s="532" t="s">
        <v>145</v>
      </c>
      <c r="BU7" s="532" t="s">
        <v>146</v>
      </c>
      <c r="BV7" s="533" t="s">
        <v>147</v>
      </c>
      <c r="BW7" s="534">
        <f>BR7+1</f>
        <v>2008</v>
      </c>
      <c r="BX7" s="531" t="s">
        <v>144</v>
      </c>
      <c r="BY7" s="532" t="s">
        <v>145</v>
      </c>
      <c r="BZ7" s="532" t="s">
        <v>146</v>
      </c>
      <c r="CA7" s="533" t="s">
        <v>147</v>
      </c>
      <c r="CB7" s="534">
        <f>BW7+1</f>
        <v>2009</v>
      </c>
      <c r="CC7" s="531" t="s">
        <v>144</v>
      </c>
      <c r="CD7" s="532" t="s">
        <v>145</v>
      </c>
      <c r="CE7" s="532" t="s">
        <v>146</v>
      </c>
      <c r="CF7" s="532" t="s">
        <v>147</v>
      </c>
      <c r="CG7" s="534">
        <f>CB7+1</f>
        <v>2010</v>
      </c>
      <c r="CH7" s="532" t="s">
        <v>144</v>
      </c>
      <c r="CI7" s="532" t="s">
        <v>145</v>
      </c>
      <c r="CJ7" s="532" t="s">
        <v>146</v>
      </c>
      <c r="CK7" s="532" t="s">
        <v>147</v>
      </c>
      <c r="CL7" s="534">
        <f>CG7+1</f>
        <v>2011</v>
      </c>
      <c r="CM7" s="532" t="s">
        <v>144</v>
      </c>
      <c r="CN7" s="532" t="s">
        <v>145</v>
      </c>
      <c r="CO7" s="532" t="s">
        <v>146</v>
      </c>
      <c r="CP7" s="532" t="s">
        <v>147</v>
      </c>
      <c r="CQ7" s="534">
        <f>CL7+1</f>
        <v>2012</v>
      </c>
      <c r="CR7" s="915" t="s">
        <v>144</v>
      </c>
      <c r="CS7" s="915" t="s">
        <v>145</v>
      </c>
      <c r="CT7" s="915" t="s">
        <v>146</v>
      </c>
      <c r="CU7" s="915" t="s">
        <v>147</v>
      </c>
      <c r="CV7" s="534">
        <f>CQ7+1</f>
        <v>2013</v>
      </c>
      <c r="CW7" s="915" t="s">
        <v>144</v>
      </c>
      <c r="CX7" s="915" t="s">
        <v>145</v>
      </c>
      <c r="CY7" s="915" t="s">
        <v>146</v>
      </c>
      <c r="CZ7" s="915" t="s">
        <v>147</v>
      </c>
      <c r="DA7" s="534">
        <f>CV7+1</f>
        <v>2014</v>
      </c>
      <c r="DB7" s="915" t="s">
        <v>144</v>
      </c>
      <c r="DC7" s="915" t="s">
        <v>145</v>
      </c>
      <c r="DD7" s="915" t="s">
        <v>146</v>
      </c>
      <c r="DE7" s="915" t="s">
        <v>147</v>
      </c>
      <c r="DF7" s="534">
        <f>DA7+1</f>
        <v>2015</v>
      </c>
      <c r="DG7" s="915" t="s">
        <v>144</v>
      </c>
      <c r="DH7" s="915" t="s">
        <v>145</v>
      </c>
      <c r="DI7" s="915" t="s">
        <v>146</v>
      </c>
      <c r="DJ7" s="915" t="s">
        <v>147</v>
      </c>
      <c r="DK7" s="534">
        <f>DF7+1</f>
        <v>2016</v>
      </c>
      <c r="DL7" s="915" t="s">
        <v>144</v>
      </c>
      <c r="DM7" s="915" t="s">
        <v>145</v>
      </c>
      <c r="DN7" s="915" t="s">
        <v>146</v>
      </c>
      <c r="DO7" s="915" t="s">
        <v>147</v>
      </c>
      <c r="DP7" s="534">
        <f>DK7+1</f>
        <v>2017</v>
      </c>
      <c r="DQ7" s="915" t="s">
        <v>482</v>
      </c>
      <c r="DR7" s="915" t="s">
        <v>148</v>
      </c>
      <c r="DS7" s="915" t="s">
        <v>149</v>
      </c>
      <c r="DT7" s="915" t="s">
        <v>150</v>
      </c>
      <c r="DU7" s="682">
        <f>DP7+1</f>
        <v>2018</v>
      </c>
      <c r="DV7" s="915" t="s">
        <v>482</v>
      </c>
      <c r="DW7" s="915" t="s">
        <v>148</v>
      </c>
      <c r="DX7" s="915" t="s">
        <v>149</v>
      </c>
      <c r="DY7" s="915" t="s">
        <v>150</v>
      </c>
      <c r="DZ7" s="682">
        <f>DU7+1</f>
        <v>2019</v>
      </c>
      <c r="EA7" s="915" t="s">
        <v>482</v>
      </c>
      <c r="EB7" s="915" t="s">
        <v>148</v>
      </c>
      <c r="EC7" s="915" t="s">
        <v>149</v>
      </c>
      <c r="ED7" s="915" t="s">
        <v>150</v>
      </c>
      <c r="EE7" s="682">
        <f>DZ7+1</f>
        <v>2020</v>
      </c>
      <c r="EF7" s="2132"/>
      <c r="EG7" s="2132"/>
      <c r="EH7" s="2132"/>
      <c r="EI7" s="2132"/>
      <c r="EJ7" s="2132"/>
      <c r="EK7" s="2132"/>
      <c r="EL7" s="2132"/>
      <c r="EM7" s="2132"/>
      <c r="EN7" s="2132"/>
      <c r="EO7" s="2132"/>
      <c r="EP7" s="2132"/>
      <c r="EQ7" s="2132"/>
      <c r="ER7" s="2132"/>
      <c r="ES7" s="2132"/>
      <c r="ET7" s="2132"/>
      <c r="EU7" s="2132"/>
      <c r="EV7" s="2132"/>
      <c r="EW7" s="2132"/>
      <c r="EX7" s="2132"/>
      <c r="EY7" s="2132"/>
      <c r="EZ7" s="2132"/>
      <c r="FA7" s="2132"/>
      <c r="FB7" s="2132"/>
      <c r="FC7" s="2132"/>
      <c r="FD7" s="2132"/>
      <c r="FE7" s="2132"/>
      <c r="FF7" s="2132"/>
      <c r="FG7" s="2132"/>
      <c r="FH7" s="2132"/>
      <c r="FI7" s="2132"/>
      <c r="FJ7" s="2132"/>
      <c r="FK7" s="2132"/>
      <c r="FL7" s="2132"/>
      <c r="FM7" s="2132"/>
      <c r="FN7" s="2132"/>
      <c r="FO7" s="2132"/>
      <c r="FP7" s="2132"/>
      <c r="FQ7" s="2132"/>
      <c r="FR7" s="2132"/>
      <c r="FS7" s="2132"/>
      <c r="FT7" s="2132"/>
      <c r="FU7" s="2132"/>
      <c r="FV7" s="2132"/>
      <c r="FW7" s="2132"/>
      <c r="FX7" s="2132"/>
      <c r="FY7" s="2132"/>
      <c r="FZ7" s="2132"/>
      <c r="GA7" s="2132"/>
      <c r="GB7" s="2132"/>
      <c r="GC7" s="2132"/>
      <c r="GD7" s="2132"/>
      <c r="GE7" s="2132"/>
      <c r="GF7" s="2132"/>
      <c r="GG7" s="2132"/>
      <c r="GH7" s="2132"/>
      <c r="GI7" s="2132"/>
      <c r="GJ7" s="2132"/>
      <c r="GK7" s="2132"/>
      <c r="GL7" s="2132"/>
      <c r="GM7" s="2132"/>
      <c r="GN7" s="2132"/>
      <c r="GO7" s="2132"/>
      <c r="GP7" s="2132"/>
      <c r="GQ7" s="2132"/>
      <c r="GR7" s="2132"/>
      <c r="GS7" s="2132"/>
      <c r="GT7" s="2132"/>
      <c r="GU7" s="2132"/>
      <c r="GV7" s="2132"/>
      <c r="GW7" s="2132"/>
      <c r="GX7" s="2132"/>
      <c r="GY7" s="2132"/>
      <c r="GZ7" s="2132"/>
      <c r="HA7" s="2132"/>
      <c r="HB7" s="2132"/>
      <c r="HC7" s="2132"/>
      <c r="HD7" s="2132"/>
      <c r="HE7" s="2132"/>
      <c r="HF7" s="2132"/>
      <c r="HG7" s="2132"/>
      <c r="HH7" s="2132"/>
      <c r="HI7" s="2132"/>
      <c r="HJ7" s="2132"/>
      <c r="HK7" s="2132"/>
      <c r="HL7" s="2132"/>
      <c r="HM7" s="2132"/>
      <c r="HN7" s="2132"/>
      <c r="HO7" s="2132"/>
      <c r="HP7" s="2132"/>
      <c r="HQ7" s="2132"/>
      <c r="HR7" s="2132"/>
      <c r="HS7" s="2132"/>
      <c r="HT7" s="2132"/>
      <c r="HU7" s="2132"/>
      <c r="HV7" s="2132"/>
      <c r="HW7" s="2132"/>
      <c r="HX7" s="2132"/>
      <c r="HY7" s="2132"/>
    </row>
    <row r="8" spans="1:233" s="2132" customFormat="1" outlineLevel="1">
      <c r="B8" s="2137" t="s">
        <v>571</v>
      </c>
      <c r="C8" s="2138"/>
      <c r="D8" s="2138"/>
      <c r="E8" s="2138"/>
      <c r="F8" s="2138"/>
      <c r="G8" s="2138"/>
      <c r="H8" s="2138"/>
      <c r="I8" s="2138"/>
      <c r="J8" s="2138"/>
      <c r="K8" s="2138"/>
      <c r="L8" s="2138"/>
      <c r="M8" s="2138"/>
      <c r="N8" s="2138"/>
      <c r="O8" s="2138"/>
      <c r="P8" s="2138"/>
      <c r="Q8" s="2138"/>
      <c r="R8" s="2138"/>
      <c r="S8" s="2138"/>
      <c r="T8" s="2138"/>
      <c r="U8" s="2138"/>
      <c r="V8" s="2138"/>
      <c r="W8" s="2138"/>
      <c r="X8" s="2138"/>
      <c r="Y8" s="2138"/>
      <c r="Z8" s="2138"/>
      <c r="AA8" s="2138"/>
      <c r="AB8" s="2138"/>
      <c r="AC8" s="2138"/>
      <c r="AD8" s="2138"/>
      <c r="AE8" s="2138"/>
      <c r="AF8" s="2138"/>
      <c r="AG8" s="2138"/>
      <c r="AH8" s="2138"/>
      <c r="AI8" s="2138"/>
      <c r="AJ8" s="2138"/>
      <c r="AK8" s="2138"/>
      <c r="AL8" s="2138"/>
      <c r="AM8" s="2138"/>
      <c r="AN8" s="2138"/>
      <c r="AO8" s="2138"/>
      <c r="AP8" s="2138"/>
      <c r="AQ8" s="2138"/>
      <c r="AR8" s="2138"/>
      <c r="AS8" s="2138"/>
      <c r="AT8" s="2138"/>
      <c r="AU8" s="2138"/>
      <c r="AV8" s="2138"/>
      <c r="AW8" s="2138"/>
      <c r="AX8" s="2138"/>
      <c r="AY8" s="2138"/>
      <c r="AZ8" s="2138"/>
      <c r="BA8" s="2138"/>
      <c r="BB8" s="2138"/>
      <c r="BC8" s="2138"/>
      <c r="BD8" s="2138"/>
      <c r="BE8" s="2138"/>
      <c r="BF8" s="2138"/>
      <c r="BG8" s="2138"/>
      <c r="BH8" s="2138"/>
      <c r="BI8" s="2138"/>
      <c r="BJ8" s="2138"/>
      <c r="BK8" s="2138"/>
      <c r="BL8" s="2138"/>
      <c r="BM8" s="2138"/>
      <c r="BN8" s="2138"/>
      <c r="BO8" s="2138"/>
      <c r="BP8" s="2138"/>
      <c r="BQ8" s="2138"/>
      <c r="BR8" s="2138"/>
      <c r="BS8" s="2138"/>
      <c r="BT8" s="2138"/>
      <c r="BU8" s="2138"/>
      <c r="BV8" s="2138"/>
      <c r="BW8" s="2138"/>
      <c r="BX8" s="2138"/>
      <c r="BY8" s="2138"/>
      <c r="BZ8" s="2138"/>
      <c r="CA8" s="2138"/>
      <c r="CB8" s="2138"/>
      <c r="CC8" s="2138"/>
      <c r="CD8" s="2138"/>
      <c r="CE8" s="2138"/>
      <c r="CF8" s="2138"/>
      <c r="CG8" s="2138"/>
      <c r="CH8" s="2138"/>
      <c r="CI8" s="2138"/>
      <c r="CJ8" s="2138"/>
      <c r="CK8" s="2138"/>
      <c r="CL8" s="2138"/>
      <c r="CM8" s="2138"/>
      <c r="CN8" s="2138"/>
      <c r="CO8" s="2138"/>
      <c r="CP8" s="2138"/>
      <c r="CQ8" s="2138"/>
      <c r="CR8" s="2138"/>
      <c r="CS8" s="2138"/>
      <c r="CT8" s="2138"/>
      <c r="CU8" s="2138"/>
      <c r="CV8" s="2138"/>
      <c r="CW8" s="2138"/>
      <c r="CX8" s="2138"/>
      <c r="CY8" s="2138"/>
      <c r="CZ8" s="2138"/>
      <c r="DA8" s="2138"/>
      <c r="DB8" s="2138"/>
      <c r="DC8" s="2138"/>
      <c r="DD8" s="2138"/>
      <c r="DE8" s="2138"/>
      <c r="DF8" s="2138"/>
      <c r="DG8" s="2138"/>
      <c r="DH8" s="2138"/>
      <c r="DI8" s="2138"/>
      <c r="DJ8" s="2138"/>
      <c r="DK8" s="2138"/>
      <c r="DL8" s="2138"/>
      <c r="DM8" s="2138"/>
      <c r="DN8" s="2138"/>
      <c r="DO8" s="2138"/>
      <c r="DP8" s="2138"/>
      <c r="DQ8" s="2138"/>
      <c r="DR8" s="2138"/>
      <c r="DS8" s="2138"/>
      <c r="DT8" s="2138"/>
      <c r="DU8" s="2139"/>
      <c r="DV8" s="2138"/>
      <c r="DW8" s="2138"/>
      <c r="DX8" s="2138"/>
      <c r="DY8" s="2138"/>
      <c r="DZ8" s="2139"/>
      <c r="EA8" s="2138"/>
      <c r="EB8" s="2138"/>
      <c r="EC8" s="2138"/>
      <c r="ED8" s="2138"/>
      <c r="EE8" s="2139"/>
    </row>
    <row r="9" spans="1:233" s="2132" customFormat="1" outlineLevel="1">
      <c r="B9" s="2132" t="s">
        <v>25</v>
      </c>
      <c r="CC9" s="2132">
        <f>Model!CC9</f>
        <v>16364</v>
      </c>
      <c r="CD9" s="2132">
        <f>Model!CD9</f>
        <v>16987</v>
      </c>
      <c r="CE9" s="2132">
        <f>Model!CE9</f>
        <v>17199</v>
      </c>
      <c r="CF9" s="2132">
        <f>Model!CF9</f>
        <v>16870</v>
      </c>
      <c r="CG9" s="2132">
        <f>Model!CG9</f>
        <v>67420</v>
      </c>
      <c r="CH9" s="2132">
        <f>Model!CH9</f>
        <v>17344</v>
      </c>
      <c r="CI9" s="2132">
        <f>Model!CI9</f>
        <v>18502</v>
      </c>
      <c r="CJ9" s="2132">
        <f>Model!CJ9</f>
        <v>18371</v>
      </c>
      <c r="CK9" s="2132">
        <f>Model!CK9</f>
        <v>17967</v>
      </c>
      <c r="CL9" s="2132">
        <f>Model!CL9</f>
        <v>72184</v>
      </c>
      <c r="CM9" s="2132">
        <f>Model!CM9</f>
        <v>18157</v>
      </c>
      <c r="CN9" s="2132">
        <f>Model!CN9</f>
        <v>18651</v>
      </c>
      <c r="CO9" s="2132">
        <f>Model!CO9</f>
        <v>17752</v>
      </c>
      <c r="CP9" s="2132">
        <f>Model!CP9</f>
        <v>17073</v>
      </c>
      <c r="CQ9" s="2132">
        <f>Model!CQ9</f>
        <v>71633</v>
      </c>
      <c r="CR9" s="2132">
        <f>Model!CR9</f>
        <v>17316</v>
      </c>
      <c r="CS9" s="2132">
        <f>Model!CS9</f>
        <v>18647</v>
      </c>
      <c r="CT9" s="2132">
        <f>Model!CT9</f>
        <v>18313</v>
      </c>
      <c r="CU9" s="2132">
        <f>Model!CU9</f>
        <v>17941</v>
      </c>
      <c r="CV9" s="2132">
        <f>Model!CV9</f>
        <v>72217</v>
      </c>
      <c r="CW9" s="2132">
        <f>Model!CW9</f>
        <v>18329</v>
      </c>
      <c r="CX9" s="2132">
        <f>Model!CX9</f>
        <v>19605</v>
      </c>
      <c r="CY9" s="2132">
        <f>Model!CY9</f>
        <v>19401</v>
      </c>
      <c r="CZ9" s="2132">
        <f>Model!CZ9</f>
        <v>19057</v>
      </c>
      <c r="DA9" s="2132">
        <f>Model!DA9</f>
        <v>76392</v>
      </c>
      <c r="DB9" s="2132">
        <f>Model!DB9</f>
        <v>19554</v>
      </c>
      <c r="DC9" s="2132">
        <f>Model!DC9</f>
        <v>26573</v>
      </c>
      <c r="DD9" s="2132">
        <f>Model!DD9</f>
        <v>28795</v>
      </c>
      <c r="DE9" s="2132">
        <f>Model!DE9</f>
        <v>28522</v>
      </c>
      <c r="DF9" s="2132">
        <f>Model!DF9</f>
        <v>103444</v>
      </c>
      <c r="DG9" s="2132">
        <f>Model!DG9</f>
        <v>29033</v>
      </c>
      <c r="DH9" s="2147">
        <f>Model!DH9</f>
        <v>30184</v>
      </c>
      <c r="DI9" s="2132">
        <f>Model!DI9</f>
        <v>29498</v>
      </c>
      <c r="DJ9" s="2132">
        <f>Model!DJ9</f>
        <v>28636</v>
      </c>
      <c r="DK9" s="2132">
        <f>Model!DK9</f>
        <v>117351</v>
      </c>
      <c r="DL9" s="2132">
        <f>Model!DL9</f>
        <v>28501</v>
      </c>
      <c r="DM9" s="2132">
        <f>Model!DM9</f>
        <v>29446</v>
      </c>
      <c r="DN9" s="2132">
        <f>Model!DN9</f>
        <v>30118</v>
      </c>
      <c r="DO9" s="2132">
        <v>30149</v>
      </c>
      <c r="DP9" s="2132">
        <f>Model!DP9</f>
        <v>118214</v>
      </c>
      <c r="DQ9" s="2132">
        <f>Model!DQ9</f>
        <v>30740</v>
      </c>
      <c r="DR9" s="2132">
        <f ca="1">Model!DR9</f>
        <v>33566.861696755666</v>
      </c>
      <c r="DS9" s="2132">
        <f ca="1">Model!DS9</f>
        <v>33846.769999439988</v>
      </c>
      <c r="DT9" s="2132">
        <f>Model!DT9</f>
        <v>33300.983209543454</v>
      </c>
      <c r="DU9" s="2132">
        <f ca="1">Model!DU9</f>
        <v>131454.61490573912</v>
      </c>
      <c r="DV9" s="2161">
        <f>Model!DV9</f>
        <v>33290.238599673678</v>
      </c>
      <c r="DW9" s="2161">
        <f ca="1">Model!DW9</f>
        <v>34360.8961025096</v>
      </c>
      <c r="DX9" s="2161">
        <f ca="1">Model!DX9</f>
        <v>34363.933544856904</v>
      </c>
      <c r="DY9" s="2161">
        <f>Model!DY9</f>
        <v>33802.297253989949</v>
      </c>
      <c r="DZ9" s="2161">
        <f ca="1">Model!DZ9</f>
        <v>135817.36550103012</v>
      </c>
      <c r="EA9" s="2248">
        <f>Model!EA9</f>
        <v>33888.349850143466</v>
      </c>
      <c r="EB9" s="2248">
        <f ca="1">Model!EB9</f>
        <v>34959.600922786703</v>
      </c>
      <c r="EC9" s="2248">
        <f ca="1">Model!EC9</f>
        <v>34993.838013079541</v>
      </c>
      <c r="ED9" s="2248">
        <f>Model!ED9</f>
        <v>34455.105501630089</v>
      </c>
      <c r="EE9" s="2248">
        <f ca="1">Model!EE9</f>
        <v>138296.89428763979</v>
      </c>
    </row>
    <row r="10" spans="1:233" s="2132" customFormat="1" outlineLevel="1">
      <c r="B10" s="1568" t="s">
        <v>288</v>
      </c>
      <c r="CC10" s="2132">
        <f>CC9-CC11</f>
        <v>11792</v>
      </c>
      <c r="CD10" s="2132">
        <f t="shared" ref="CD10:CV10" si="1">CD9-CD11</f>
        <v>12063</v>
      </c>
      <c r="CE10" s="2132">
        <f t="shared" si="1"/>
        <v>12432</v>
      </c>
      <c r="CF10" s="2132">
        <f t="shared" si="1"/>
        <v>12017</v>
      </c>
      <c r="CG10" s="2132">
        <f t="shared" si="1"/>
        <v>48304</v>
      </c>
      <c r="CH10" s="2132">
        <f t="shared" si="1"/>
        <v>12357</v>
      </c>
      <c r="CI10" s="2132">
        <f t="shared" si="1"/>
        <v>13122</v>
      </c>
      <c r="CJ10" s="2132">
        <f t="shared" si="1"/>
        <v>13167</v>
      </c>
      <c r="CK10" s="2132">
        <f t="shared" si="1"/>
        <v>12838</v>
      </c>
      <c r="CL10" s="2132">
        <f t="shared" si="1"/>
        <v>51484</v>
      </c>
      <c r="CM10" s="2132">
        <f t="shared" si="1"/>
        <v>13008</v>
      </c>
      <c r="CN10" s="2132">
        <f t="shared" si="1"/>
        <v>13190</v>
      </c>
      <c r="CO10" s="2132">
        <f t="shared" si="1"/>
        <v>12678</v>
      </c>
      <c r="CP10" s="2132">
        <f t="shared" si="1"/>
        <v>12106</v>
      </c>
      <c r="CQ10" s="2132">
        <f t="shared" si="1"/>
        <v>50982</v>
      </c>
      <c r="CR10" s="2132">
        <f t="shared" si="1"/>
        <v>12162</v>
      </c>
      <c r="CS10" s="2132">
        <f t="shared" si="1"/>
        <v>12968</v>
      </c>
      <c r="CT10" s="2132">
        <f t="shared" si="1"/>
        <v>12971</v>
      </c>
      <c r="CU10" s="2132">
        <f t="shared" si="1"/>
        <v>12758</v>
      </c>
      <c r="CV10" s="2132">
        <f t="shared" si="1"/>
        <v>50859</v>
      </c>
      <c r="CW10" s="2132">
        <f>CW9-CW11</f>
        <v>13114</v>
      </c>
      <c r="CX10" s="2132">
        <f>CX9-CX11</f>
        <v>13904</v>
      </c>
      <c r="CY10" s="2132">
        <f t="shared" ref="CY10:DU10" si="2">CY9-CY11</f>
        <v>13920</v>
      </c>
      <c r="CZ10" s="2132">
        <f t="shared" si="2"/>
        <v>13741</v>
      </c>
      <c r="DA10" s="2132">
        <f t="shared" si="2"/>
        <v>54679</v>
      </c>
      <c r="DB10" s="2132">
        <f t="shared" si="2"/>
        <v>14206</v>
      </c>
      <c r="DC10" s="2132">
        <f t="shared" si="2"/>
        <v>19636</v>
      </c>
      <c r="DD10" s="2132">
        <f t="shared" si="2"/>
        <v>21245</v>
      </c>
      <c r="DE10" s="2132">
        <f t="shared" si="2"/>
        <v>21148</v>
      </c>
      <c r="DF10" s="2132">
        <f t="shared" si="2"/>
        <v>76235</v>
      </c>
      <c r="DG10" s="2132">
        <f t="shared" si="2"/>
        <v>21485</v>
      </c>
      <c r="DH10" s="2147">
        <f t="shared" ref="DH10" si="3">DH9-DH11</f>
        <v>22172</v>
      </c>
      <c r="DI10" s="2132">
        <f t="shared" si="2"/>
        <v>21909</v>
      </c>
      <c r="DJ10" s="2132">
        <f t="shared" si="2"/>
        <v>21473</v>
      </c>
      <c r="DK10" s="2132">
        <f t="shared" si="2"/>
        <v>87039</v>
      </c>
      <c r="DL10" s="2132">
        <f t="shared" si="2"/>
        <v>21327</v>
      </c>
      <c r="DM10" s="2132">
        <f t="shared" si="2"/>
        <v>21836</v>
      </c>
      <c r="DN10" s="2132">
        <f t="shared" si="2"/>
        <v>22924</v>
      </c>
      <c r="DO10" s="2132">
        <f t="shared" si="2"/>
        <v>22819</v>
      </c>
      <c r="DP10" s="2132">
        <f t="shared" si="2"/>
        <v>88906</v>
      </c>
      <c r="DQ10" s="2132">
        <f t="shared" si="2"/>
        <v>23302</v>
      </c>
      <c r="DR10" s="2132">
        <f t="shared" ca="1" si="2"/>
        <v>25220.022671413077</v>
      </c>
      <c r="DS10" s="2132">
        <f t="shared" ca="1" si="2"/>
        <v>25665.466305895756</v>
      </c>
      <c r="DT10" s="2132">
        <f t="shared" si="2"/>
        <v>25305.499039941198</v>
      </c>
      <c r="DU10" s="2132">
        <f t="shared" ca="1" si="2"/>
        <v>99492.988017250042</v>
      </c>
      <c r="DV10" s="2161">
        <f t="shared" ref="DV10:DZ10" si="4">DV9-DV11</f>
        <v>25309.660878881798</v>
      </c>
      <c r="DW10" s="2161">
        <f t="shared" ca="1" si="4"/>
        <v>25792.78988039614</v>
      </c>
      <c r="DX10" s="2161">
        <f t="shared" ca="1" si="4"/>
        <v>25982.157132571167</v>
      </c>
      <c r="DY10" s="2161">
        <f t="shared" si="4"/>
        <v>25602.688810527663</v>
      </c>
      <c r="DZ10" s="2161">
        <f t="shared" ca="1" si="4"/>
        <v>102687.29670237674</v>
      </c>
      <c r="EA10" s="2248">
        <f t="shared" ref="EA10:EE10" si="5">EA9-EA11</f>
        <v>25717.575866843636</v>
      </c>
      <c r="EB10" s="2248">
        <f t="shared" ca="1" si="5"/>
        <v>26216.623565869319</v>
      </c>
      <c r="EC10" s="2248">
        <f t="shared" ca="1" si="5"/>
        <v>26424.706978976763</v>
      </c>
      <c r="ED10" s="2248">
        <f t="shared" si="5"/>
        <v>26068.003035587175</v>
      </c>
      <c r="EE10" s="2248">
        <f t="shared" ca="1" si="5"/>
        <v>104426.90944727689</v>
      </c>
    </row>
    <row r="11" spans="1:233" s="2132" customFormat="1" outlineLevel="1">
      <c r="B11" s="2134" t="s">
        <v>272</v>
      </c>
      <c r="C11" s="2135"/>
      <c r="D11" s="2135"/>
      <c r="E11" s="2135"/>
      <c r="F11" s="2135"/>
      <c r="G11" s="2135"/>
      <c r="H11" s="2135"/>
      <c r="I11" s="2135"/>
      <c r="J11" s="2135"/>
      <c r="K11" s="2135"/>
      <c r="L11" s="2135"/>
      <c r="M11" s="2135"/>
      <c r="N11" s="2135"/>
      <c r="O11" s="2135"/>
      <c r="P11" s="2135"/>
      <c r="Q11" s="2135"/>
      <c r="R11" s="2135"/>
      <c r="S11" s="2135"/>
      <c r="T11" s="2135"/>
      <c r="U11" s="2135"/>
      <c r="V11" s="2135"/>
      <c r="W11" s="2135"/>
      <c r="X11" s="2135"/>
      <c r="Y11" s="2135"/>
      <c r="Z11" s="2135"/>
      <c r="AA11" s="2135"/>
      <c r="AB11" s="2135"/>
      <c r="AC11" s="2135"/>
      <c r="AD11" s="2135"/>
      <c r="AE11" s="2135"/>
      <c r="AF11" s="2135"/>
      <c r="AG11" s="2135"/>
      <c r="AH11" s="2135"/>
      <c r="AI11" s="2135"/>
      <c r="AJ11" s="2135"/>
      <c r="AK11" s="2135"/>
      <c r="AL11" s="2135"/>
      <c r="AM11" s="2135"/>
      <c r="AN11" s="2135"/>
      <c r="AO11" s="2135"/>
      <c r="AP11" s="2135"/>
      <c r="AQ11" s="2135"/>
      <c r="AR11" s="2135"/>
      <c r="AS11" s="2135"/>
      <c r="AT11" s="2135"/>
      <c r="AU11" s="2135"/>
      <c r="AV11" s="2135"/>
      <c r="AW11" s="2135"/>
      <c r="AX11" s="2135"/>
      <c r="AY11" s="2135"/>
      <c r="AZ11" s="2135"/>
      <c r="BA11" s="2135"/>
      <c r="BB11" s="2135"/>
      <c r="BC11" s="2135"/>
      <c r="BD11" s="2135"/>
      <c r="BE11" s="2135"/>
      <c r="BF11" s="2135"/>
      <c r="BG11" s="2135"/>
      <c r="BH11" s="2135"/>
      <c r="BI11" s="2135"/>
      <c r="BJ11" s="2135"/>
      <c r="BK11" s="2135"/>
      <c r="BL11" s="2135"/>
      <c r="BM11" s="2135"/>
      <c r="BN11" s="2135"/>
      <c r="BO11" s="2135"/>
      <c r="BP11" s="2135"/>
      <c r="BQ11" s="2135"/>
      <c r="BR11" s="2135"/>
      <c r="BS11" s="2135"/>
      <c r="BT11" s="2135"/>
      <c r="BU11" s="2135"/>
      <c r="BV11" s="2135"/>
      <c r="BW11" s="2135"/>
      <c r="BX11" s="2135"/>
      <c r="BY11" s="2135"/>
      <c r="BZ11" s="2135"/>
      <c r="CA11" s="2135"/>
      <c r="CB11" s="2135"/>
      <c r="CC11" s="2135">
        <f>Model!CC60</f>
        <v>4572</v>
      </c>
      <c r="CD11" s="2135">
        <f>Model!CD60</f>
        <v>4924</v>
      </c>
      <c r="CE11" s="2135">
        <f>Model!CE60</f>
        <v>4767</v>
      </c>
      <c r="CF11" s="2135">
        <f>Model!CF60</f>
        <v>4853</v>
      </c>
      <c r="CG11" s="2135">
        <f>Model!CG60</f>
        <v>19116</v>
      </c>
      <c r="CH11" s="2135">
        <f>Model!CH60</f>
        <v>4987</v>
      </c>
      <c r="CI11" s="2135">
        <f>Model!CI60</f>
        <v>5380</v>
      </c>
      <c r="CJ11" s="2135">
        <f>Model!CJ60</f>
        <v>5204</v>
      </c>
      <c r="CK11" s="2135">
        <f>Model!CK60</f>
        <v>5129</v>
      </c>
      <c r="CL11" s="2135">
        <f>Model!CL60</f>
        <v>20700</v>
      </c>
      <c r="CM11" s="2135">
        <f>Model!CM60</f>
        <v>5149</v>
      </c>
      <c r="CN11" s="2135">
        <f>Model!CN60</f>
        <v>5461</v>
      </c>
      <c r="CO11" s="2135">
        <f>Model!CO60</f>
        <v>5074</v>
      </c>
      <c r="CP11" s="2135">
        <f>Model!CP60</f>
        <v>4967</v>
      </c>
      <c r="CQ11" s="2135">
        <f>Model!CQ60</f>
        <v>20651</v>
      </c>
      <c r="CR11" s="2135">
        <f>Model!CR60</f>
        <v>5154</v>
      </c>
      <c r="CS11" s="2135">
        <f>Model!CS60</f>
        <v>5679</v>
      </c>
      <c r="CT11" s="2135">
        <f>Model!CT60</f>
        <v>5342</v>
      </c>
      <c r="CU11" s="2135">
        <f>Model!CU60</f>
        <v>5183</v>
      </c>
      <c r="CV11" s="2135">
        <f>Model!CV60</f>
        <v>21358</v>
      </c>
      <c r="CW11" s="2135">
        <f>Model!CW60</f>
        <v>5215</v>
      </c>
      <c r="CX11" s="2135">
        <f>Model!CX60</f>
        <v>5701</v>
      </c>
      <c r="CY11" s="2135">
        <f>Model!CY60</f>
        <v>5481</v>
      </c>
      <c r="CZ11" s="2135">
        <f>Model!CZ60</f>
        <v>5316</v>
      </c>
      <c r="DA11" s="2135">
        <f>Model!DA60</f>
        <v>21713</v>
      </c>
      <c r="DB11" s="2135">
        <f>Model!DB60</f>
        <v>5348</v>
      </c>
      <c r="DC11" s="2135">
        <f>Model!DC60</f>
        <v>6937</v>
      </c>
      <c r="DD11" s="2135">
        <f>Model!DD60</f>
        <v>7550</v>
      </c>
      <c r="DE11" s="2135">
        <f>Model!DE60</f>
        <v>7374</v>
      </c>
      <c r="DF11" s="2135">
        <f>Model!DF60</f>
        <v>27209</v>
      </c>
      <c r="DG11" s="2135">
        <f>Model!DG60</f>
        <v>7548</v>
      </c>
      <c r="DH11" s="2135">
        <f>Model!DH60</f>
        <v>8012</v>
      </c>
      <c r="DI11" s="2135">
        <f>Model!DI60</f>
        <v>7589</v>
      </c>
      <c r="DJ11" s="2135">
        <f>Model!DJ60</f>
        <v>7163</v>
      </c>
      <c r="DK11" s="2135">
        <f>Model!DK60</f>
        <v>30312</v>
      </c>
      <c r="DL11" s="2135">
        <f>Model!DL60</f>
        <v>7174</v>
      </c>
      <c r="DM11" s="2135">
        <f>Model!DM60</f>
        <v>7610</v>
      </c>
      <c r="DN11" s="2135">
        <f>Model!DN60</f>
        <v>7194</v>
      </c>
      <c r="DO11" s="2135">
        <v>7330</v>
      </c>
      <c r="DP11" s="2135">
        <f>Model!DP60</f>
        <v>29308</v>
      </c>
      <c r="DQ11" s="2135">
        <f>Model!DQ60</f>
        <v>7438</v>
      </c>
      <c r="DR11" s="2135">
        <f ca="1">Model!DR60</f>
        <v>8346.8390253425878</v>
      </c>
      <c r="DS11" s="2135">
        <f ca="1">Model!DS60</f>
        <v>8181.3036935442333</v>
      </c>
      <c r="DT11" s="2135">
        <f>Model!DT60</f>
        <v>7995.4841696022559</v>
      </c>
      <c r="DU11" s="2135">
        <f ca="1">Model!DU60</f>
        <v>31961.626888489078</v>
      </c>
      <c r="DV11" s="2135">
        <f>Model!DV60</f>
        <v>7980.5777207918818</v>
      </c>
      <c r="DW11" s="2135">
        <f ca="1">Model!DW60</f>
        <v>8568.1062221134598</v>
      </c>
      <c r="DX11" s="2135">
        <f ca="1">Model!DX60</f>
        <v>8381.776412285737</v>
      </c>
      <c r="DY11" s="2135">
        <f>Model!DY60</f>
        <v>8199.6084434622862</v>
      </c>
      <c r="DZ11" s="2135">
        <f ca="1">Model!DZ60</f>
        <v>33130.068798653367</v>
      </c>
      <c r="EA11" s="2135">
        <f>Model!EA60</f>
        <v>8170.7739832998295</v>
      </c>
      <c r="EB11" s="2135">
        <f ca="1">Model!EB60</f>
        <v>8742.9773569173849</v>
      </c>
      <c r="EC11" s="2135">
        <f ca="1">Model!EC60</f>
        <v>8569.1310341027765</v>
      </c>
      <c r="ED11" s="2135">
        <f>Model!ED60</f>
        <v>8387.1024660429139</v>
      </c>
      <c r="EE11" s="2135">
        <f ca="1">Model!EE60</f>
        <v>33869.9848403629</v>
      </c>
    </row>
    <row r="12" spans="1:233" s="2132" customFormat="1" outlineLevel="1">
      <c r="B12" s="1568"/>
      <c r="DH12" s="2147"/>
      <c r="DN12" s="1689"/>
      <c r="DV12" s="2161"/>
      <c r="DW12" s="2161"/>
      <c r="DX12" s="2161"/>
      <c r="DY12" s="2161"/>
      <c r="DZ12" s="2161"/>
      <c r="EA12" s="2248"/>
      <c r="EB12" s="2248"/>
      <c r="EC12" s="2248"/>
      <c r="ED12" s="2248"/>
      <c r="EE12" s="2248"/>
    </row>
    <row r="13" spans="1:233" s="2132" customFormat="1" outlineLevel="1">
      <c r="B13" s="1568" t="s">
        <v>445</v>
      </c>
      <c r="CC13" s="2132">
        <f>Model!CC66</f>
        <v>3702</v>
      </c>
      <c r="CD13" s="2132">
        <f>Model!CD66</f>
        <v>3773</v>
      </c>
      <c r="CE13" s="2132">
        <f>Model!CE66</f>
        <v>3868</v>
      </c>
      <c r="CF13" s="2132">
        <f>Model!CF66</f>
        <v>3993</v>
      </c>
      <c r="CG13" s="2132">
        <f>Model!CG66</f>
        <v>15336</v>
      </c>
      <c r="CH13" s="2132">
        <f>Model!CH66</f>
        <v>3952</v>
      </c>
      <c r="CI13" s="2132">
        <f>Model!CI66</f>
        <v>4071</v>
      </c>
      <c r="CJ13" s="2132">
        <f>Model!CJ66</f>
        <v>4149</v>
      </c>
      <c r="CK13" s="2132">
        <f>Model!CK66</f>
        <v>4170</v>
      </c>
      <c r="CL13" s="2132">
        <f>Model!CL66</f>
        <v>16342</v>
      </c>
      <c r="CM13" s="2132">
        <f>Model!CM66</f>
        <v>4144</v>
      </c>
      <c r="CN13" s="2132">
        <f>Model!CN66</f>
        <v>4223</v>
      </c>
      <c r="CO13" s="2132">
        <f>Model!CO66</f>
        <v>4058</v>
      </c>
      <c r="CP13" s="2132">
        <f>Model!CP66</f>
        <v>4129</v>
      </c>
      <c r="CQ13" s="2132">
        <f>Model!CQ66</f>
        <v>16554</v>
      </c>
      <c r="CR13" s="2132">
        <f>Model!CR66</f>
        <v>4248</v>
      </c>
      <c r="CS13" s="2132">
        <f>Model!CS66</f>
        <v>4401</v>
      </c>
      <c r="CT13" s="2132">
        <f>Model!CT66</f>
        <v>4240</v>
      </c>
      <c r="CU13" s="2132">
        <f>Model!CU66</f>
        <v>4189</v>
      </c>
      <c r="CV13" s="2132">
        <f>Model!CV66</f>
        <v>17078</v>
      </c>
      <c r="CW13" s="2132">
        <f>Model!CW66</f>
        <v>4265</v>
      </c>
      <c r="CX13" s="2132">
        <f>Model!CX66</f>
        <v>4477</v>
      </c>
      <c r="CY13" s="2132">
        <f>Model!CY66</f>
        <v>4361</v>
      </c>
      <c r="CZ13" s="2132">
        <f>Model!CZ66</f>
        <v>4275</v>
      </c>
      <c r="DA13" s="2132">
        <f>Model!DA66</f>
        <v>17378</v>
      </c>
      <c r="DB13" s="2132">
        <f>Model!DB66</f>
        <v>4337</v>
      </c>
      <c r="DC13" s="2132">
        <f>Model!DC66</f>
        <v>5198</v>
      </c>
      <c r="DD13" s="2132">
        <f>Model!DD66</f>
        <v>5801</v>
      </c>
      <c r="DE13" s="2132">
        <f>Model!DE66</f>
        <v>5924</v>
      </c>
      <c r="DF13" s="2132">
        <f>Model!DF66</f>
        <v>21260</v>
      </c>
      <c r="DG13" s="2132">
        <f>Model!DG66</f>
        <v>5829</v>
      </c>
      <c r="DH13" s="2147">
        <f>Model!DH66</f>
        <v>5892</v>
      </c>
      <c r="DI13" s="2132">
        <f>Model!DI66</f>
        <v>5783</v>
      </c>
      <c r="DJ13" s="2132">
        <f>Model!DJ66</f>
        <v>5658</v>
      </c>
      <c r="DK13" s="2132">
        <f>Model!DK66</f>
        <v>23162</v>
      </c>
      <c r="DL13" s="2132">
        <f>Model!DL66</f>
        <v>5506</v>
      </c>
      <c r="DM13" s="2132">
        <f>Model!DM66</f>
        <v>5673</v>
      </c>
      <c r="DN13" s="2132">
        <f>Model!DN66</f>
        <v>5261</v>
      </c>
      <c r="DO13" s="2132">
        <v>5530</v>
      </c>
      <c r="DP13" s="2132">
        <f>Model!DP66</f>
        <v>21970</v>
      </c>
      <c r="DQ13" s="2132">
        <f>Model!DQ66</f>
        <v>5706</v>
      </c>
      <c r="DR13" s="2132">
        <f>Model!DR66</f>
        <v>6330.4821041039313</v>
      </c>
      <c r="DS13" s="2132">
        <f>Model!DS66</f>
        <v>6320.027361458473</v>
      </c>
      <c r="DT13" s="2132">
        <f>Model!DT66</f>
        <v>6214.1350444760055</v>
      </c>
      <c r="DU13" s="2132">
        <f>Model!DU66</f>
        <v>24570.644510038412</v>
      </c>
      <c r="DV13" s="2161">
        <f>Model!DV66</f>
        <v>6231.7288629040859</v>
      </c>
      <c r="DW13" s="2161">
        <f>Model!DW66</f>
        <v>6512.9346812630383</v>
      </c>
      <c r="DX13" s="2161">
        <f>Model!DX66</f>
        <v>6322.2405828947849</v>
      </c>
      <c r="DY13" s="2161">
        <f>Model!DY66</f>
        <v>6182.3689953158409</v>
      </c>
      <c r="DZ13" s="2161">
        <f>Model!DZ66</f>
        <v>25249.273122377752</v>
      </c>
      <c r="EA13" s="2248">
        <f>Model!EA66</f>
        <v>6373.78755302022</v>
      </c>
      <c r="EB13" s="2248">
        <f>Model!EB66</f>
        <v>6662.5875373052104</v>
      </c>
      <c r="EC13" s="2248">
        <f>Model!EC66</f>
        <v>6467.1793694937269</v>
      </c>
      <c r="ED13" s="2248">
        <f>Model!ED66</f>
        <v>6323.9214540731164</v>
      </c>
      <c r="EE13" s="2248">
        <f>Model!EE66</f>
        <v>25827.475913892271</v>
      </c>
    </row>
    <row r="14" spans="1:233" s="2132" customFormat="1" outlineLevel="1">
      <c r="B14" s="1568" t="s">
        <v>474</v>
      </c>
      <c r="CC14" s="2132">
        <f>Model!CC74</f>
        <v>0</v>
      </c>
      <c r="CD14" s="2132">
        <f>Model!CD74</f>
        <v>0</v>
      </c>
      <c r="CE14" s="2132">
        <f>Model!CE74</f>
        <v>0</v>
      </c>
      <c r="CF14" s="2132">
        <f>Model!CF74</f>
        <v>0</v>
      </c>
      <c r="CG14" s="2132">
        <f>Model!CG74</f>
        <v>0</v>
      </c>
      <c r="CH14" s="2132">
        <f>Model!CH74</f>
        <v>0</v>
      </c>
      <c r="CI14" s="2132">
        <f>Model!CI74</f>
        <v>0</v>
      </c>
      <c r="CJ14" s="2132">
        <f>Model!CJ74</f>
        <v>0</v>
      </c>
      <c r="CK14" s="2132">
        <f>Model!CK74</f>
        <v>0</v>
      </c>
      <c r="CL14" s="2132">
        <f>Model!CL74</f>
        <v>0</v>
      </c>
      <c r="CM14" s="2132">
        <f>Model!CM74</f>
        <v>0</v>
      </c>
      <c r="CN14" s="2132">
        <f>Model!CN74</f>
        <v>0</v>
      </c>
      <c r="CO14" s="2132">
        <f>Model!CO74</f>
        <v>0</v>
      </c>
      <c r="CP14" s="2132">
        <f>Model!CP74</f>
        <v>0</v>
      </c>
      <c r="CQ14" s="2132">
        <f>Model!CQ74</f>
        <v>0</v>
      </c>
      <c r="CR14" s="2132">
        <f>Model!CR74</f>
        <v>18</v>
      </c>
      <c r="CS14" s="2132">
        <f>Model!CS74</f>
        <v>120</v>
      </c>
      <c r="CT14" s="2132">
        <f>Model!CT74</f>
        <v>147</v>
      </c>
      <c r="CU14" s="2132">
        <f>Model!CU74</f>
        <v>109</v>
      </c>
      <c r="CV14" s="2132">
        <f>Model!CV74</f>
        <v>394</v>
      </c>
      <c r="CW14" s="2132">
        <f>Model!CW74</f>
        <v>153</v>
      </c>
      <c r="CX14" s="2132">
        <f>Model!CX74</f>
        <v>114</v>
      </c>
      <c r="CY14" s="2132">
        <f>Model!CY74</f>
        <v>185</v>
      </c>
      <c r="CZ14" s="2132">
        <f>Model!CZ74</f>
        <v>101</v>
      </c>
      <c r="DA14" s="2132">
        <f>Model!DA74</f>
        <v>553</v>
      </c>
      <c r="DB14" s="2132">
        <f>Model!DB74</f>
        <v>194</v>
      </c>
      <c r="DC14" s="2132">
        <f>Model!DC74</f>
        <v>101</v>
      </c>
      <c r="DD14" s="2132">
        <f>Model!DD74</f>
        <v>0</v>
      </c>
      <c r="DE14" s="2132">
        <f>Model!DE74</f>
        <v>0</v>
      </c>
      <c r="DF14" s="2132">
        <f>Model!DF74</f>
        <v>295</v>
      </c>
      <c r="DG14" s="2132">
        <f>Model!DG74</f>
        <v>0</v>
      </c>
      <c r="DH14" s="2147">
        <f>Model!DH74</f>
        <v>0</v>
      </c>
      <c r="DI14" s="2132">
        <f>Model!DI74</f>
        <v>8</v>
      </c>
      <c r="DJ14" s="2132">
        <f>Model!DJ74</f>
        <v>50</v>
      </c>
      <c r="DK14" s="2132">
        <f>Model!DK74</f>
        <v>58</v>
      </c>
      <c r="DL14" s="2132">
        <f>Model!DL74</f>
        <v>58</v>
      </c>
      <c r="DM14" s="2132">
        <f>Model!DM74</f>
        <v>79</v>
      </c>
      <c r="DN14" s="2132">
        <f>Model!DN74</f>
        <v>121</v>
      </c>
      <c r="DO14" s="2132">
        <v>84</v>
      </c>
      <c r="DP14" s="2132">
        <f>Model!DP74</f>
        <v>342</v>
      </c>
      <c r="DQ14" s="2132">
        <f>Model!DQ74</f>
        <v>77</v>
      </c>
      <c r="DR14" s="2132">
        <f>Model!DR74</f>
        <v>76.202061546813894</v>
      </c>
      <c r="DS14" s="2132">
        <f>Model!DS74</f>
        <v>95.434478312297003</v>
      </c>
      <c r="DT14" s="2132">
        <f>Model!DT74</f>
        <v>83.118462467590902</v>
      </c>
      <c r="DU14" s="2132">
        <f>Model!DU74</f>
        <v>331.7550023267018</v>
      </c>
      <c r="DV14" s="2161">
        <f>Model!DV74</f>
        <v>78.295730395332797</v>
      </c>
      <c r="DW14" s="2161">
        <f>Model!DW74</f>
        <v>76.508632004276507</v>
      </c>
      <c r="DX14" s="2161">
        <f>Model!DX74</f>
        <v>91.852515409062804</v>
      </c>
      <c r="DY14" s="2161">
        <f>Model!DY74</f>
        <v>85.582876804705506</v>
      </c>
      <c r="DZ14" s="2161">
        <f>Model!DZ74</f>
        <v>332.23975461337761</v>
      </c>
      <c r="EA14" s="2248">
        <f>Model!EA74</f>
        <v>78.295730395332797</v>
      </c>
      <c r="EB14" s="2248">
        <f>Model!EB74</f>
        <v>76.508632004276507</v>
      </c>
      <c r="EC14" s="2248">
        <f>Model!EC74</f>
        <v>91.852515409062804</v>
      </c>
      <c r="ED14" s="2248">
        <f>Model!ED74</f>
        <v>85.582876804705506</v>
      </c>
      <c r="EE14" s="2248">
        <f>Model!EE74</f>
        <v>332.23975461337761</v>
      </c>
    </row>
    <row r="15" spans="1:233" s="2132" customFormat="1" outlineLevel="1">
      <c r="B15" s="2134" t="s">
        <v>211</v>
      </c>
      <c r="C15" s="2135"/>
      <c r="D15" s="2135"/>
      <c r="E15" s="2135"/>
      <c r="F15" s="2135"/>
      <c r="G15" s="2135"/>
      <c r="H15" s="2135"/>
      <c r="I15" s="2135"/>
      <c r="J15" s="2135"/>
      <c r="K15" s="2135"/>
      <c r="L15" s="2135"/>
      <c r="M15" s="2135"/>
      <c r="N15" s="2135"/>
      <c r="O15" s="2135"/>
      <c r="P15" s="2135"/>
      <c r="Q15" s="2135"/>
      <c r="R15" s="2135"/>
      <c r="S15" s="2135"/>
      <c r="T15" s="2135"/>
      <c r="U15" s="2135"/>
      <c r="V15" s="2135"/>
      <c r="W15" s="2135"/>
      <c r="X15" s="2135"/>
      <c r="Y15" s="2135"/>
      <c r="Z15" s="2135"/>
      <c r="AA15" s="2135"/>
      <c r="AB15" s="2135"/>
      <c r="AC15" s="2135"/>
      <c r="AD15" s="2135"/>
      <c r="AE15" s="2135"/>
      <c r="AF15" s="2135"/>
      <c r="AG15" s="2135"/>
      <c r="AH15" s="2135"/>
      <c r="AI15" s="2135"/>
      <c r="AJ15" s="2135"/>
      <c r="AK15" s="2135"/>
      <c r="AL15" s="2135"/>
      <c r="AM15" s="2135"/>
      <c r="AN15" s="2135"/>
      <c r="AO15" s="2135"/>
      <c r="AP15" s="2135"/>
      <c r="AQ15" s="2135"/>
      <c r="AR15" s="2135"/>
      <c r="AS15" s="2135"/>
      <c r="AT15" s="2135"/>
      <c r="AU15" s="2135"/>
      <c r="AV15" s="2135"/>
      <c r="AW15" s="2135"/>
      <c r="AX15" s="2135"/>
      <c r="AY15" s="2135"/>
      <c r="AZ15" s="2135"/>
      <c r="BA15" s="2135"/>
      <c r="BB15" s="2135"/>
      <c r="BC15" s="2135"/>
      <c r="BD15" s="2135"/>
      <c r="BE15" s="2135"/>
      <c r="BF15" s="2135"/>
      <c r="BG15" s="2135"/>
      <c r="BH15" s="2135"/>
      <c r="BI15" s="2135"/>
      <c r="BJ15" s="2135"/>
      <c r="BK15" s="2135"/>
      <c r="BL15" s="2135"/>
      <c r="BM15" s="2135"/>
      <c r="BN15" s="2135"/>
      <c r="BO15" s="2135"/>
      <c r="BP15" s="2135"/>
      <c r="BQ15" s="2135"/>
      <c r="BR15" s="2135"/>
      <c r="BS15" s="2135"/>
      <c r="BT15" s="2135"/>
      <c r="BU15" s="2135"/>
      <c r="BV15" s="2135"/>
      <c r="BW15" s="2135"/>
      <c r="BX15" s="2135"/>
      <c r="BY15" s="2135"/>
      <c r="BZ15" s="2135"/>
      <c r="CA15" s="2135"/>
      <c r="CB15" s="2135"/>
      <c r="CC15" s="2135">
        <f>CC11-CC13+CC14</f>
        <v>870</v>
      </c>
      <c r="CD15" s="2135">
        <f t="shared" ref="CD15:CV15" si="6">CD11-CD13+CD14</f>
        <v>1151</v>
      </c>
      <c r="CE15" s="2135">
        <f t="shared" si="6"/>
        <v>899</v>
      </c>
      <c r="CF15" s="2135">
        <f t="shared" si="6"/>
        <v>860</v>
      </c>
      <c r="CG15" s="2135">
        <f t="shared" si="6"/>
        <v>3780</v>
      </c>
      <c r="CH15" s="2135">
        <f t="shared" si="6"/>
        <v>1035</v>
      </c>
      <c r="CI15" s="2135">
        <f t="shared" si="6"/>
        <v>1309</v>
      </c>
      <c r="CJ15" s="2135">
        <f t="shared" si="6"/>
        <v>1055</v>
      </c>
      <c r="CK15" s="2135">
        <f t="shared" si="6"/>
        <v>959</v>
      </c>
      <c r="CL15" s="2135">
        <f t="shared" si="6"/>
        <v>4358</v>
      </c>
      <c r="CM15" s="2135">
        <f t="shared" si="6"/>
        <v>1005</v>
      </c>
      <c r="CN15" s="2135">
        <f t="shared" si="6"/>
        <v>1238</v>
      </c>
      <c r="CO15" s="2135">
        <f t="shared" si="6"/>
        <v>1016</v>
      </c>
      <c r="CP15" s="2135">
        <f t="shared" si="6"/>
        <v>838</v>
      </c>
      <c r="CQ15" s="2135">
        <f t="shared" si="6"/>
        <v>4097</v>
      </c>
      <c r="CR15" s="2135">
        <f t="shared" si="6"/>
        <v>924</v>
      </c>
      <c r="CS15" s="2135">
        <f t="shared" si="6"/>
        <v>1398</v>
      </c>
      <c r="CT15" s="2135">
        <f t="shared" si="6"/>
        <v>1249</v>
      </c>
      <c r="CU15" s="2135">
        <f t="shared" si="6"/>
        <v>1103</v>
      </c>
      <c r="CV15" s="2135">
        <f t="shared" si="6"/>
        <v>4674</v>
      </c>
      <c r="CW15" s="2135">
        <f>CW11-CW13+CW14</f>
        <v>1103</v>
      </c>
      <c r="CX15" s="2135">
        <f t="shared" ref="CX15:DU15" si="7">CX11-CX13+CX14</f>
        <v>1338</v>
      </c>
      <c r="CY15" s="2135">
        <f t="shared" si="7"/>
        <v>1305</v>
      </c>
      <c r="CZ15" s="2135">
        <f t="shared" si="7"/>
        <v>1142</v>
      </c>
      <c r="DA15" s="2135">
        <f t="shared" si="7"/>
        <v>4888</v>
      </c>
      <c r="DB15" s="2135">
        <f t="shared" si="7"/>
        <v>1205</v>
      </c>
      <c r="DC15" s="2135">
        <f t="shared" si="7"/>
        <v>1840</v>
      </c>
      <c r="DD15" s="2135">
        <f t="shared" si="7"/>
        <v>1749</v>
      </c>
      <c r="DE15" s="2135">
        <f t="shared" si="7"/>
        <v>1450</v>
      </c>
      <c r="DF15" s="2135">
        <f t="shared" si="7"/>
        <v>6244</v>
      </c>
      <c r="DG15" s="2135">
        <f t="shared" si="7"/>
        <v>1719</v>
      </c>
      <c r="DH15" s="2135">
        <f t="shared" ref="DH15" si="8">DH11-DH13+DH14</f>
        <v>2120</v>
      </c>
      <c r="DI15" s="2135">
        <f t="shared" si="7"/>
        <v>1814</v>
      </c>
      <c r="DJ15" s="2135">
        <f t="shared" si="7"/>
        <v>1555</v>
      </c>
      <c r="DK15" s="2135">
        <f t="shared" si="7"/>
        <v>7208</v>
      </c>
      <c r="DL15" s="2135">
        <f t="shared" si="7"/>
        <v>1726</v>
      </c>
      <c r="DM15" s="2135">
        <f t="shared" si="7"/>
        <v>2016</v>
      </c>
      <c r="DN15" s="2135">
        <f t="shared" si="7"/>
        <v>2054</v>
      </c>
      <c r="DO15" s="2135">
        <f t="shared" si="7"/>
        <v>1884</v>
      </c>
      <c r="DP15" s="2135">
        <f t="shared" si="7"/>
        <v>7680</v>
      </c>
      <c r="DQ15" s="2135">
        <f t="shared" si="7"/>
        <v>1809</v>
      </c>
      <c r="DR15" s="2135">
        <f t="shared" ca="1" si="7"/>
        <v>2092.5589827854706</v>
      </c>
      <c r="DS15" s="2135">
        <f t="shared" ca="1" si="7"/>
        <v>1956.7108103980572</v>
      </c>
      <c r="DT15" s="2135">
        <f t="shared" si="7"/>
        <v>1864.4675875938412</v>
      </c>
      <c r="DU15" s="2135">
        <f t="shared" ca="1" si="7"/>
        <v>7722.7373807773683</v>
      </c>
      <c r="DV15" s="2135">
        <f t="shared" ref="DV15:DZ15" si="9">DV11-DV13+DV14</f>
        <v>1827.1445882831288</v>
      </c>
      <c r="DW15" s="2135">
        <f t="shared" ca="1" si="9"/>
        <v>2131.680172854698</v>
      </c>
      <c r="DX15" s="2135">
        <f t="shared" ca="1" si="9"/>
        <v>2151.3883448000151</v>
      </c>
      <c r="DY15" s="2135">
        <f t="shared" si="9"/>
        <v>2102.8223249511507</v>
      </c>
      <c r="DZ15" s="2135">
        <f t="shared" ca="1" si="9"/>
        <v>8213.0354308889928</v>
      </c>
      <c r="EA15" s="2135">
        <f t="shared" ref="EA15:EE15" si="10">EA11-EA13+EA14</f>
        <v>1875.2821606749424</v>
      </c>
      <c r="EB15" s="2135">
        <f t="shared" ca="1" si="10"/>
        <v>2156.898451616451</v>
      </c>
      <c r="EC15" s="2135">
        <f t="shared" ca="1" si="10"/>
        <v>2193.8041800181127</v>
      </c>
      <c r="ED15" s="2135">
        <f t="shared" si="10"/>
        <v>2148.7638887745029</v>
      </c>
      <c r="EE15" s="2135">
        <f t="shared" ca="1" si="10"/>
        <v>8374.7486810840073</v>
      </c>
    </row>
    <row r="16" spans="1:233" s="2132" customFormat="1" outlineLevel="1">
      <c r="B16" s="1568"/>
      <c r="DH16" s="2147"/>
      <c r="DN16" s="1689"/>
      <c r="DV16" s="2161"/>
      <c r="DW16" s="2161"/>
      <c r="DX16" s="2161"/>
      <c r="DY16" s="2161"/>
      <c r="DZ16" s="2161"/>
      <c r="EA16" s="2248"/>
      <c r="EB16" s="2248"/>
      <c r="EC16" s="2248"/>
      <c r="ED16" s="2248"/>
      <c r="EE16" s="2248"/>
    </row>
    <row r="17" spans="2:135" s="2132" customFormat="1" outlineLevel="2">
      <c r="B17" s="1568" t="s">
        <v>572</v>
      </c>
      <c r="CC17" s="2132">
        <f>Model!CC25</f>
        <v>21</v>
      </c>
      <c r="CD17" s="2132">
        <f>Model!CD25</f>
        <v>22</v>
      </c>
      <c r="CE17" s="2132">
        <f>Model!CE25</f>
        <v>24</v>
      </c>
      <c r="CF17" s="2132">
        <f>Model!CF25</f>
        <v>18</v>
      </c>
      <c r="CG17" s="2132">
        <f>Model!CG25</f>
        <v>85</v>
      </c>
      <c r="CH17" s="2132">
        <f>Model!CH25</f>
        <v>20</v>
      </c>
      <c r="CI17" s="2132">
        <f>Model!CI25</f>
        <v>18</v>
      </c>
      <c r="CJ17" s="2132">
        <f>Model!CJ25</f>
        <v>18</v>
      </c>
      <c r="CK17" s="2132">
        <f>Model!CK25</f>
        <v>15</v>
      </c>
      <c r="CL17" s="2132">
        <f>Model!CL25</f>
        <v>71</v>
      </c>
      <c r="CM17" s="2132">
        <f>Model!CM25</f>
        <v>17</v>
      </c>
      <c r="CN17" s="2132">
        <f>Model!CN25</f>
        <v>17</v>
      </c>
      <c r="CO17" s="2132">
        <f>Model!CO25</f>
        <v>17</v>
      </c>
      <c r="CP17" s="2132">
        <f>Model!CP25</f>
        <v>37</v>
      </c>
      <c r="CQ17" s="2132">
        <f>Model!CQ25</f>
        <v>88</v>
      </c>
      <c r="CR17" s="2132">
        <f>Model!CR25</f>
        <v>37</v>
      </c>
      <c r="CS17" s="2132">
        <f>Model!CS25</f>
        <v>23</v>
      </c>
      <c r="CT17" s="2132">
        <f>Model!CT25</f>
        <v>50</v>
      </c>
      <c r="CU17" s="2132">
        <f>Model!CU25</f>
        <v>55</v>
      </c>
      <c r="CV17" s="2132">
        <f>Model!CV25</f>
        <v>165</v>
      </c>
      <c r="CW17" s="2132">
        <f>Model!CW25</f>
        <v>41</v>
      </c>
      <c r="CX17" s="2132">
        <f>Model!CX25</f>
        <v>37</v>
      </c>
      <c r="CY17" s="2132">
        <f>Model!CY25</f>
        <v>35</v>
      </c>
      <c r="CZ17" s="2132">
        <f>Model!CZ25</f>
        <v>43</v>
      </c>
      <c r="DA17" s="2132">
        <f>Model!DA25</f>
        <v>156</v>
      </c>
      <c r="DB17" s="2132">
        <f>Model!DB25</f>
        <v>55</v>
      </c>
      <c r="DC17" s="2132">
        <f>Model!DC25</f>
        <v>144</v>
      </c>
      <c r="DD17" s="2132">
        <f>Model!DD25</f>
        <v>151</v>
      </c>
      <c r="DE17" s="2132">
        <f>Model!DE25</f>
        <v>255</v>
      </c>
      <c r="DF17" s="2132">
        <f>Model!DF25</f>
        <v>605</v>
      </c>
      <c r="DG17" s="2132">
        <f>Model!DG25</f>
        <v>138</v>
      </c>
      <c r="DH17" s="2147">
        <f>Model!DH25</f>
        <v>140</v>
      </c>
      <c r="DI17" s="2132">
        <f>Model!DI25</f>
        <v>147</v>
      </c>
      <c r="DJ17" s="2132">
        <f>Model!DJ25</f>
        <v>171</v>
      </c>
      <c r="DK17" s="2132">
        <f>Model!DK25</f>
        <v>596</v>
      </c>
      <c r="DL17" s="2132">
        <f>Model!DL25</f>
        <v>172</v>
      </c>
      <c r="DM17" s="2132">
        <f>Model!DM25</f>
        <v>172</v>
      </c>
      <c r="DN17" s="2132">
        <f>Model!DN25</f>
        <v>155</v>
      </c>
      <c r="DO17" s="2132">
        <f>193+11</f>
        <v>204</v>
      </c>
      <c r="DP17" s="2132">
        <f>Model!DP25</f>
        <v>692</v>
      </c>
      <c r="DQ17" s="2132">
        <f>Model!DQ25</f>
        <v>149</v>
      </c>
      <c r="DR17" s="2132">
        <f ca="1">Model!DR25</f>
        <v>131.11175319886951</v>
      </c>
      <c r="DS17" s="2132">
        <f ca="1">Model!DS25</f>
        <v>130.35921520751492</v>
      </c>
      <c r="DT17" s="2132">
        <f ca="1">Model!DT25</f>
        <v>129.278095936292</v>
      </c>
      <c r="DU17" s="2132">
        <f ca="1">Model!DU25</f>
        <v>539.74906434267643</v>
      </c>
      <c r="DV17" s="2161">
        <f ca="1">Model!DV25</f>
        <v>123.60546054915559</v>
      </c>
      <c r="DW17" s="2161">
        <f ca="1">Model!DW25</f>
        <v>118.90450399048784</v>
      </c>
      <c r="DX17" s="2161">
        <f ca="1">Model!DX25</f>
        <v>119.05756967306317</v>
      </c>
      <c r="DY17" s="2161">
        <f ca="1">Model!DY25</f>
        <v>118.55538437754522</v>
      </c>
      <c r="DZ17" s="2161">
        <f ca="1">Model!DZ25</f>
        <v>480.12291859025186</v>
      </c>
      <c r="EA17" s="2248">
        <f ca="1">Model!EA25</f>
        <v>116.7939788829042</v>
      </c>
      <c r="EB17" s="2248">
        <f ca="1">Model!EB25</f>
        <v>115.62218481298153</v>
      </c>
      <c r="EC17" s="2248">
        <f ca="1">Model!EC25</f>
        <v>115.6337643800902</v>
      </c>
      <c r="ED17" s="2248">
        <f ca="1">Model!ED25</f>
        <v>115.11798217335254</v>
      </c>
      <c r="EE17" s="2248">
        <f ca="1">Model!EE25</f>
        <v>463.16791024932843</v>
      </c>
    </row>
    <row r="18" spans="2:135" s="2132" customFormat="1" outlineLevel="2">
      <c r="B18" s="2134" t="s">
        <v>582</v>
      </c>
      <c r="C18" s="2135"/>
      <c r="D18" s="2135"/>
      <c r="E18" s="2135"/>
      <c r="F18" s="2135"/>
      <c r="G18" s="2135"/>
      <c r="H18" s="2135"/>
      <c r="I18" s="2135"/>
      <c r="J18" s="2135"/>
      <c r="K18" s="2135"/>
      <c r="L18" s="2135"/>
      <c r="M18" s="2135"/>
      <c r="N18" s="2135"/>
      <c r="O18" s="2135"/>
      <c r="P18" s="2135"/>
      <c r="Q18" s="2135"/>
      <c r="R18" s="2135"/>
      <c r="S18" s="2135"/>
      <c r="T18" s="2135"/>
      <c r="U18" s="2135"/>
      <c r="V18" s="2135"/>
      <c r="W18" s="2135"/>
      <c r="X18" s="2135"/>
      <c r="Y18" s="2135"/>
      <c r="Z18" s="2135"/>
      <c r="AA18" s="2135"/>
      <c r="AB18" s="2135"/>
      <c r="AC18" s="2135"/>
      <c r="AD18" s="2135"/>
      <c r="AE18" s="2135"/>
      <c r="AF18" s="2135"/>
      <c r="AG18" s="2135"/>
      <c r="AH18" s="2135"/>
      <c r="AI18" s="2135"/>
      <c r="AJ18" s="2135"/>
      <c r="AK18" s="2135"/>
      <c r="AL18" s="2135"/>
      <c r="AM18" s="2135"/>
      <c r="AN18" s="2135"/>
      <c r="AO18" s="2135"/>
      <c r="AP18" s="2135"/>
      <c r="AQ18" s="2135"/>
      <c r="AR18" s="2135"/>
      <c r="AS18" s="2135"/>
      <c r="AT18" s="2135"/>
      <c r="AU18" s="2135"/>
      <c r="AV18" s="2135"/>
      <c r="AW18" s="2135"/>
      <c r="AX18" s="2135"/>
      <c r="AY18" s="2135"/>
      <c r="AZ18" s="2135"/>
      <c r="BA18" s="2135"/>
      <c r="BB18" s="2135"/>
      <c r="BC18" s="2135"/>
      <c r="BD18" s="2135"/>
      <c r="BE18" s="2135"/>
      <c r="BF18" s="2135"/>
      <c r="BG18" s="2135"/>
      <c r="BH18" s="2135"/>
      <c r="BI18" s="2135"/>
      <c r="BJ18" s="2135"/>
      <c r="BK18" s="2135"/>
      <c r="BL18" s="2135"/>
      <c r="BM18" s="2135"/>
      <c r="BN18" s="2135"/>
      <c r="BO18" s="2135"/>
      <c r="BP18" s="2135"/>
      <c r="BQ18" s="2135"/>
      <c r="BR18" s="2135"/>
      <c r="BS18" s="2135"/>
      <c r="BT18" s="2135"/>
      <c r="BU18" s="2135"/>
      <c r="BV18" s="2135"/>
      <c r="BW18" s="2135"/>
      <c r="BX18" s="2135"/>
      <c r="BY18" s="2135"/>
      <c r="BZ18" s="2135"/>
      <c r="CA18" s="2135"/>
      <c r="CB18" s="2135"/>
      <c r="CC18" s="2135">
        <f>CC15-CC17</f>
        <v>849</v>
      </c>
      <c r="CD18" s="2135">
        <f t="shared" ref="CD18:CV18" si="11">CD15-CD17</f>
        <v>1129</v>
      </c>
      <c r="CE18" s="2135">
        <f t="shared" si="11"/>
        <v>875</v>
      </c>
      <c r="CF18" s="2135">
        <f t="shared" si="11"/>
        <v>842</v>
      </c>
      <c r="CG18" s="2135">
        <f t="shared" si="11"/>
        <v>3695</v>
      </c>
      <c r="CH18" s="2135">
        <f t="shared" si="11"/>
        <v>1015</v>
      </c>
      <c r="CI18" s="2135">
        <f t="shared" si="11"/>
        <v>1291</v>
      </c>
      <c r="CJ18" s="2135">
        <f t="shared" si="11"/>
        <v>1037</v>
      </c>
      <c r="CK18" s="2135">
        <f t="shared" si="11"/>
        <v>944</v>
      </c>
      <c r="CL18" s="2135">
        <f t="shared" si="11"/>
        <v>4287</v>
      </c>
      <c r="CM18" s="2135">
        <f t="shared" si="11"/>
        <v>988</v>
      </c>
      <c r="CN18" s="2135">
        <f t="shared" si="11"/>
        <v>1221</v>
      </c>
      <c r="CO18" s="2135">
        <f t="shared" si="11"/>
        <v>999</v>
      </c>
      <c r="CP18" s="2135">
        <f t="shared" si="11"/>
        <v>801</v>
      </c>
      <c r="CQ18" s="2135">
        <f t="shared" si="11"/>
        <v>4009</v>
      </c>
      <c r="CR18" s="2135">
        <f t="shared" si="11"/>
        <v>887</v>
      </c>
      <c r="CS18" s="2135">
        <f t="shared" si="11"/>
        <v>1375</v>
      </c>
      <c r="CT18" s="2135">
        <f t="shared" si="11"/>
        <v>1199</v>
      </c>
      <c r="CU18" s="2135">
        <f t="shared" si="11"/>
        <v>1048</v>
      </c>
      <c r="CV18" s="2135">
        <f t="shared" si="11"/>
        <v>4509</v>
      </c>
      <c r="CW18" s="2135">
        <f>CW15-CW17</f>
        <v>1062</v>
      </c>
      <c r="CX18" s="2135">
        <f t="shared" ref="CX18:DU18" si="12">CX15-CX17</f>
        <v>1301</v>
      </c>
      <c r="CY18" s="2135">
        <f t="shared" si="12"/>
        <v>1270</v>
      </c>
      <c r="CZ18" s="2135">
        <f t="shared" si="12"/>
        <v>1099</v>
      </c>
      <c r="DA18" s="2135">
        <f t="shared" si="12"/>
        <v>4732</v>
      </c>
      <c r="DB18" s="2135">
        <f t="shared" si="12"/>
        <v>1150</v>
      </c>
      <c r="DC18" s="2135">
        <f t="shared" si="12"/>
        <v>1696</v>
      </c>
      <c r="DD18" s="2135">
        <f t="shared" si="12"/>
        <v>1598</v>
      </c>
      <c r="DE18" s="2135">
        <f t="shared" si="12"/>
        <v>1195</v>
      </c>
      <c r="DF18" s="2135">
        <f t="shared" si="12"/>
        <v>5639</v>
      </c>
      <c r="DG18" s="2135">
        <f t="shared" si="12"/>
        <v>1581</v>
      </c>
      <c r="DH18" s="2135">
        <f t="shared" ref="DH18" si="13">DH15-DH17</f>
        <v>1980</v>
      </c>
      <c r="DI18" s="2135">
        <f>DI15-DI17</f>
        <v>1667</v>
      </c>
      <c r="DJ18" s="2135">
        <f>DJ15-DJ17</f>
        <v>1384</v>
      </c>
      <c r="DK18" s="2135">
        <f t="shared" si="12"/>
        <v>6612</v>
      </c>
      <c r="DL18" s="2135">
        <f t="shared" si="12"/>
        <v>1554</v>
      </c>
      <c r="DM18" s="2135">
        <f t="shared" si="12"/>
        <v>1844</v>
      </c>
      <c r="DN18" s="2135">
        <f t="shared" si="12"/>
        <v>1899</v>
      </c>
      <c r="DO18" s="2135">
        <f t="shared" si="12"/>
        <v>1680</v>
      </c>
      <c r="DP18" s="2135">
        <f t="shared" si="12"/>
        <v>6988</v>
      </c>
      <c r="DQ18" s="2135">
        <f t="shared" si="12"/>
        <v>1660</v>
      </c>
      <c r="DR18" s="2135">
        <f t="shared" ca="1" si="12"/>
        <v>1961.447229586601</v>
      </c>
      <c r="DS18" s="2135">
        <f t="shared" ca="1" si="12"/>
        <v>1826.3515951905424</v>
      </c>
      <c r="DT18" s="2135">
        <f t="shared" ca="1" si="12"/>
        <v>1735.1894916575493</v>
      </c>
      <c r="DU18" s="2135">
        <f t="shared" ca="1" si="12"/>
        <v>7182.988316434692</v>
      </c>
      <c r="DV18" s="2135">
        <f t="shared" ref="DV18:DZ18" ca="1" si="14">DV15-DV17</f>
        <v>1703.5391277339731</v>
      </c>
      <c r="DW18" s="2135">
        <f t="shared" ca="1" si="14"/>
        <v>2012.77566886421</v>
      </c>
      <c r="DX18" s="2135">
        <f t="shared" ca="1" si="14"/>
        <v>2032.3307751269519</v>
      </c>
      <c r="DY18" s="2135">
        <f t="shared" ca="1" si="14"/>
        <v>1984.2669405736056</v>
      </c>
      <c r="DZ18" s="2135">
        <f t="shared" ca="1" si="14"/>
        <v>7732.9125122987407</v>
      </c>
      <c r="EA18" s="2135">
        <f t="shared" ref="EA18:EE18" ca="1" si="15">EA15-EA17</f>
        <v>1758.4881817920382</v>
      </c>
      <c r="EB18" s="2135">
        <f t="shared" ca="1" si="15"/>
        <v>2041.2762668034695</v>
      </c>
      <c r="EC18" s="2135">
        <f t="shared" ca="1" si="15"/>
        <v>2078.1704156380224</v>
      </c>
      <c r="ED18" s="2135">
        <f t="shared" ca="1" si="15"/>
        <v>2033.6459066011503</v>
      </c>
      <c r="EE18" s="2135">
        <f t="shared" ca="1" si="15"/>
        <v>7911.5807708346792</v>
      </c>
    </row>
    <row r="19" spans="2:135" s="2132" customFormat="1" outlineLevel="2">
      <c r="B19" s="1568"/>
      <c r="DH19" s="2147"/>
      <c r="DV19" s="2161"/>
      <c r="DW19" s="2161"/>
      <c r="DX19" s="2161"/>
      <c r="DY19" s="2161"/>
      <c r="DZ19" s="2161"/>
      <c r="EA19" s="2248"/>
      <c r="EB19" s="2248"/>
      <c r="EC19" s="2248"/>
      <c r="ED19" s="2248"/>
      <c r="EE19" s="2248"/>
    </row>
    <row r="20" spans="2:135" s="2132" customFormat="1" outlineLevel="2">
      <c r="B20" s="1568" t="s">
        <v>388</v>
      </c>
      <c r="CC20" s="2132">
        <f>CC18-CC22</f>
        <v>315</v>
      </c>
      <c r="CD20" s="2132">
        <f t="shared" ref="CD20:CV20" si="16">CD18-CD22</f>
        <v>419</v>
      </c>
      <c r="CE20" s="2132">
        <f t="shared" si="16"/>
        <v>325</v>
      </c>
      <c r="CF20" s="2132">
        <f t="shared" si="16"/>
        <v>299</v>
      </c>
      <c r="CG20" s="2132">
        <f t="shared" si="16"/>
        <v>1358</v>
      </c>
      <c r="CH20" s="2132">
        <f t="shared" si="16"/>
        <v>376</v>
      </c>
      <c r="CI20" s="2132">
        <f t="shared" si="16"/>
        <v>489</v>
      </c>
      <c r="CJ20" s="2132">
        <f t="shared" si="16"/>
        <v>367</v>
      </c>
      <c r="CK20" s="2132">
        <f t="shared" si="16"/>
        <v>345</v>
      </c>
      <c r="CL20" s="2132">
        <f t="shared" si="16"/>
        <v>1577</v>
      </c>
      <c r="CM20" s="2132">
        <f t="shared" si="16"/>
        <v>369</v>
      </c>
      <c r="CN20" s="2132">
        <f t="shared" si="16"/>
        <v>454</v>
      </c>
      <c r="CO20" s="2132">
        <f t="shared" si="16"/>
        <v>371</v>
      </c>
      <c r="CP20" s="2132">
        <f t="shared" si="16"/>
        <v>248</v>
      </c>
      <c r="CQ20" s="2132">
        <f t="shared" si="16"/>
        <v>1442</v>
      </c>
      <c r="CR20" s="2132">
        <f t="shared" si="16"/>
        <v>334</v>
      </c>
      <c r="CS20" s="2132">
        <f t="shared" si="16"/>
        <v>460</v>
      </c>
      <c r="CT20" s="2132">
        <f t="shared" si="16"/>
        <v>387</v>
      </c>
      <c r="CU20" s="2132">
        <f t="shared" si="16"/>
        <v>346</v>
      </c>
      <c r="CV20" s="2132">
        <f t="shared" si="16"/>
        <v>1527</v>
      </c>
      <c r="CW20" s="2132">
        <f>CW18-CW22</f>
        <v>374</v>
      </c>
      <c r="CX20" s="2132">
        <f t="shared" ref="CX20:DU20" si="17">CX18-CX22</f>
        <v>421</v>
      </c>
      <c r="CY20" s="2132">
        <f t="shared" si="17"/>
        <v>387</v>
      </c>
      <c r="CZ20" s="2132">
        <f t="shared" si="17"/>
        <v>385</v>
      </c>
      <c r="DA20" s="2132">
        <f t="shared" si="17"/>
        <v>1567</v>
      </c>
      <c r="DB20" s="2132">
        <f t="shared" si="17"/>
        <v>401</v>
      </c>
      <c r="DC20" s="2132">
        <f t="shared" si="17"/>
        <v>452</v>
      </c>
      <c r="DD20" s="2132">
        <f t="shared" si="17"/>
        <v>475</v>
      </c>
      <c r="DE20" s="2132">
        <f t="shared" si="17"/>
        <v>226</v>
      </c>
      <c r="DF20" s="2132">
        <f t="shared" si="17"/>
        <v>1554</v>
      </c>
      <c r="DG20" s="2132">
        <f t="shared" si="17"/>
        <v>449</v>
      </c>
      <c r="DH20" s="2147">
        <f t="shared" ref="DH20:DI20" si="18">DH18-DH22</f>
        <v>557</v>
      </c>
      <c r="DI20" s="2155">
        <f t="shared" si="18"/>
        <v>379</v>
      </c>
      <c r="DJ20" s="2132">
        <f t="shared" si="17"/>
        <v>218</v>
      </c>
      <c r="DK20" s="2132">
        <f>SUM(DG20:DJ20)</f>
        <v>1603</v>
      </c>
      <c r="DL20" s="2132">
        <f t="shared" si="17"/>
        <v>353</v>
      </c>
      <c r="DM20" s="2132">
        <f t="shared" si="17"/>
        <v>368</v>
      </c>
      <c r="DN20" s="2132">
        <f t="shared" si="17"/>
        <v>458</v>
      </c>
      <c r="DO20" s="2132">
        <f t="shared" si="17"/>
        <v>295</v>
      </c>
      <c r="DP20" s="2132">
        <f t="shared" si="17"/>
        <v>1485</v>
      </c>
      <c r="DQ20" s="2132">
        <f t="shared" si="17"/>
        <v>365</v>
      </c>
      <c r="DR20" s="2132">
        <f t="shared" ca="1" si="17"/>
        <v>427.25393696875358</v>
      </c>
      <c r="DS20" s="2132">
        <f t="shared" ca="1" si="17"/>
        <v>320.41049545369287</v>
      </c>
      <c r="DT20" s="2132">
        <f t="shared" ca="1" si="17"/>
        <v>306.61243010824273</v>
      </c>
      <c r="DU20" s="2132">
        <f t="shared" ca="1" si="17"/>
        <v>1419.276862530678</v>
      </c>
      <c r="DV20" s="2161">
        <f t="shared" ref="DV20:DZ20" ca="1" si="19">DV18-DV22</f>
        <v>301.91759453426221</v>
      </c>
      <c r="DW20" s="2161">
        <f t="shared" ca="1" si="19"/>
        <v>356.34673145048851</v>
      </c>
      <c r="DX20" s="2161">
        <f t="shared" ca="1" si="19"/>
        <v>357.08369545063056</v>
      </c>
      <c r="DY20" s="2161">
        <f t="shared" ca="1" si="19"/>
        <v>349.76971115955757</v>
      </c>
      <c r="DZ20" s="2161">
        <f t="shared" ca="1" si="19"/>
        <v>1365.1177325949602</v>
      </c>
      <c r="EA20" s="2248">
        <f t="shared" ref="EA20:EE20" ca="1" si="20">EA18-EA22</f>
        <v>311.53367899442446</v>
      </c>
      <c r="EB20" s="2248">
        <f t="shared" ca="1" si="20"/>
        <v>361.33433608986002</v>
      </c>
      <c r="EC20" s="2248">
        <f t="shared" ca="1" si="20"/>
        <v>365.10563254006911</v>
      </c>
      <c r="ED20" s="2248">
        <f t="shared" ca="1" si="20"/>
        <v>358.41103021437925</v>
      </c>
      <c r="EE20" s="2248">
        <f t="shared" ca="1" si="20"/>
        <v>1396.3846778387187</v>
      </c>
    </row>
    <row r="21" spans="2:135" s="2132" customFormat="1" outlineLevel="2">
      <c r="B21" s="1568"/>
      <c r="DH21" s="2147"/>
      <c r="DV21" s="2161"/>
      <c r="DW21" s="2161"/>
      <c r="DX21" s="2161"/>
      <c r="DY21" s="2161"/>
      <c r="DZ21" s="2161"/>
      <c r="EA21" s="2248"/>
      <c r="EB21" s="2248"/>
      <c r="EC21" s="2248"/>
      <c r="ED21" s="2248"/>
      <c r="EE21" s="2248"/>
    </row>
    <row r="22" spans="2:135" s="2132" customFormat="1" outlineLevel="2">
      <c r="B22" s="17" t="s">
        <v>213</v>
      </c>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f>Model!CC41</f>
        <v>534</v>
      </c>
      <c r="CD22" s="1">
        <f>Model!CD41</f>
        <v>710</v>
      </c>
      <c r="CE22" s="1">
        <f>Model!CE41</f>
        <v>550</v>
      </c>
      <c r="CF22" s="1">
        <f>Model!CF41</f>
        <v>543</v>
      </c>
      <c r="CG22" s="1">
        <f>Model!CG41</f>
        <v>2337</v>
      </c>
      <c r="CH22" s="1">
        <f>Model!CH41</f>
        <v>639</v>
      </c>
      <c r="CI22" s="1">
        <f>Model!CI41</f>
        <v>802</v>
      </c>
      <c r="CJ22" s="1">
        <f>Model!CJ41</f>
        <v>670</v>
      </c>
      <c r="CK22" s="1">
        <f>Model!CK41</f>
        <v>599</v>
      </c>
      <c r="CL22" s="1">
        <f>Model!CL41</f>
        <v>2710</v>
      </c>
      <c r="CM22" s="1">
        <f>Model!CM41</f>
        <v>619</v>
      </c>
      <c r="CN22" s="1">
        <f>Model!CN41</f>
        <v>767</v>
      </c>
      <c r="CO22" s="1">
        <f>Model!CO41</f>
        <v>628</v>
      </c>
      <c r="CP22" s="1">
        <f>Model!CP41</f>
        <v>553</v>
      </c>
      <c r="CQ22" s="1">
        <f>Model!CQ41</f>
        <v>2567</v>
      </c>
      <c r="CR22" s="1">
        <f>Model!CR41</f>
        <v>553</v>
      </c>
      <c r="CS22" s="1">
        <f>Model!CS41</f>
        <v>915</v>
      </c>
      <c r="CT22" s="1">
        <f>Model!CT41</f>
        <v>812</v>
      </c>
      <c r="CU22" s="1">
        <f>Model!CU41</f>
        <v>702</v>
      </c>
      <c r="CV22" s="1">
        <f>Model!CV41</f>
        <v>2982</v>
      </c>
      <c r="CW22" s="1">
        <f>Model!CW41</f>
        <v>688</v>
      </c>
      <c r="CX22" s="1">
        <f>Model!CX41</f>
        <v>880</v>
      </c>
      <c r="CY22" s="1">
        <f>Model!CY41</f>
        <v>883</v>
      </c>
      <c r="CZ22" s="1">
        <f>Model!CZ41</f>
        <v>714</v>
      </c>
      <c r="DA22" s="1">
        <f>Model!DA41</f>
        <v>3165</v>
      </c>
      <c r="DB22" s="1">
        <f>Model!DB41</f>
        <v>749</v>
      </c>
      <c r="DC22" s="1">
        <f>Model!DC41</f>
        <v>1244</v>
      </c>
      <c r="DD22" s="1">
        <f>Model!DD41</f>
        <v>1123</v>
      </c>
      <c r="DE22" s="1">
        <f>Model!DE41</f>
        <v>969</v>
      </c>
      <c r="DF22" s="1">
        <f>Model!DF41</f>
        <v>4085</v>
      </c>
      <c r="DG22" s="1">
        <f>Model!DG41</f>
        <v>1132</v>
      </c>
      <c r="DH22" s="1">
        <f>Model!DH41</f>
        <v>1423</v>
      </c>
      <c r="DI22" s="1">
        <f>Model!DI41</f>
        <v>1288</v>
      </c>
      <c r="DJ22" s="1">
        <f>Model!DJ41</f>
        <v>1166</v>
      </c>
      <c r="DK22" s="1">
        <f>Model!DK41</f>
        <v>5009</v>
      </c>
      <c r="DL22" s="1">
        <f>Model!DL41</f>
        <v>1201</v>
      </c>
      <c r="DM22" s="1">
        <f>Model!DM41</f>
        <v>1476</v>
      </c>
      <c r="DN22" s="1">
        <f>Model!DN41</f>
        <v>1441</v>
      </c>
      <c r="DO22" s="1">
        <f>Model!DO41</f>
        <v>1385</v>
      </c>
      <c r="DP22" s="1">
        <f>Model!DP41</f>
        <v>5503</v>
      </c>
      <c r="DQ22" s="1">
        <f>Model!DQ41</f>
        <v>1295</v>
      </c>
      <c r="DR22" s="1">
        <f ca="1">Model!DR41</f>
        <v>1534.1932926178474</v>
      </c>
      <c r="DS22" s="1">
        <f ca="1">Model!DS41</f>
        <v>1505.9410997368495</v>
      </c>
      <c r="DT22" s="1">
        <f ca="1">Model!DT41</f>
        <v>1428.5770615493066</v>
      </c>
      <c r="DU22" s="1">
        <f ca="1">Model!DU41</f>
        <v>5763.711453904014</v>
      </c>
      <c r="DV22" s="1">
        <f ca="1">Model!DV41</f>
        <v>1401.6215331997109</v>
      </c>
      <c r="DW22" s="1">
        <f ca="1">Model!DW41</f>
        <v>1656.4289374137215</v>
      </c>
      <c r="DX22" s="1">
        <f ca="1">Model!DX41</f>
        <v>1675.2470796763214</v>
      </c>
      <c r="DY22" s="1">
        <f ca="1">Model!DY41</f>
        <v>1634.497229414048</v>
      </c>
      <c r="DZ22" s="1">
        <f ca="1">Model!DZ41</f>
        <v>6367.7947797037805</v>
      </c>
      <c r="EA22" s="1">
        <f ca="1">Model!EA41</f>
        <v>1446.9545027976137</v>
      </c>
      <c r="EB22" s="1">
        <f ca="1">Model!EB41</f>
        <v>1679.9419307136095</v>
      </c>
      <c r="EC22" s="1">
        <f ca="1">Model!EC41</f>
        <v>1713.0647830979533</v>
      </c>
      <c r="ED22" s="1">
        <f ca="1">Model!ED41</f>
        <v>1675.234876386771</v>
      </c>
      <c r="EE22" s="1">
        <f ca="1">Model!EE41</f>
        <v>6515.1960929959605</v>
      </c>
    </row>
    <row r="23" spans="2:135" s="2132" customFormat="1" outlineLevel="2">
      <c r="B23" s="1568"/>
      <c r="DH23" s="2147"/>
      <c r="DV23" s="2161"/>
      <c r="DW23" s="2161"/>
      <c r="DX23" s="2161"/>
      <c r="DY23" s="2161"/>
      <c r="DZ23" s="2161"/>
      <c r="EA23" s="2248"/>
      <c r="EB23" s="2248"/>
      <c r="EC23" s="2248"/>
      <c r="ED23" s="2248"/>
      <c r="EE23" s="2248"/>
    </row>
    <row r="24" spans="2:135" s="2132" customFormat="1" outlineLevel="2">
      <c r="B24" s="1568" t="s">
        <v>425</v>
      </c>
      <c r="CC24" s="2132">
        <f>Model!CC52</f>
        <v>993.4</v>
      </c>
      <c r="CD24" s="2132">
        <f>Model!CD52</f>
        <v>989.8</v>
      </c>
      <c r="CE24" s="2132">
        <f>Model!CE52</f>
        <v>982</v>
      </c>
      <c r="CF24" s="2132">
        <f>Model!CF52</f>
        <v>965</v>
      </c>
      <c r="CG24" s="2132">
        <f>Model!CG52</f>
        <v>987.90000000000009</v>
      </c>
      <c r="CH24" s="2132">
        <f>Model!CH52</f>
        <v>934.3</v>
      </c>
      <c r="CI24" s="2132">
        <f>Model!CI52</f>
        <v>928</v>
      </c>
      <c r="CJ24" s="2132">
        <f>Model!CJ52</f>
        <v>922.2</v>
      </c>
      <c r="CK24" s="2132">
        <f>Model!CK52</f>
        <v>910.7</v>
      </c>
      <c r="CL24" s="2132">
        <f>Model!CL52</f>
        <v>924.15202241711791</v>
      </c>
      <c r="CM24" s="2132">
        <f>Model!CM52</f>
        <v>885.15</v>
      </c>
      <c r="CN24" s="2132">
        <f>Model!CN52</f>
        <v>874.7</v>
      </c>
      <c r="CO24" s="2132">
        <f>Model!CO52</f>
        <v>865.2</v>
      </c>
      <c r="CP24" s="2132">
        <f>Model!CP52</f>
        <v>895.3</v>
      </c>
      <c r="CQ24" s="2132">
        <f>Model!CQ52</f>
        <v>876.1092150170648</v>
      </c>
      <c r="CR24" s="2132">
        <f>Model!CR52</f>
        <v>951.19999999999993</v>
      </c>
      <c r="CS24" s="2132">
        <f>Model!CS52</f>
        <v>953.4</v>
      </c>
      <c r="CT24" s="2132">
        <f>Model!CT52</f>
        <v>959</v>
      </c>
      <c r="CU24" s="2132">
        <f>Model!CU52</f>
        <v>957.30000000000007</v>
      </c>
      <c r="CV24" s="2132">
        <f>Model!CV52</f>
        <v>955.42571666683943</v>
      </c>
      <c r="CW24" s="2132">
        <f>Model!CW52</f>
        <v>961.5</v>
      </c>
      <c r="CX24" s="2132">
        <f>Model!CX52</f>
        <v>963.69999999999993</v>
      </c>
      <c r="CY24" s="2132">
        <f>Model!CY52</f>
        <v>967.59999999999991</v>
      </c>
      <c r="CZ24" s="2132">
        <f>Model!CZ52</f>
        <v>967.9</v>
      </c>
      <c r="DA24" s="2132">
        <f>Model!DA52</f>
        <v>965.25021287671041</v>
      </c>
      <c r="DB24" s="2132">
        <f>Model!DB52</f>
        <v>956</v>
      </c>
      <c r="DC24" s="2132">
        <f>Model!DC52</f>
        <v>1054.6999999999998</v>
      </c>
      <c r="DD24" s="2132">
        <f>Model!DD52</f>
        <v>1102.4000000000001</v>
      </c>
      <c r="DE24" s="2132">
        <f>Model!DE52</f>
        <v>1102.5</v>
      </c>
      <c r="DF24" s="2132">
        <f>Model!DF52</f>
        <v>1053.9000000000001</v>
      </c>
      <c r="DG24" s="2132">
        <f>Model!DG52</f>
        <v>1098.5999999999999</v>
      </c>
      <c r="DH24" s="2147">
        <f>Model!DH52</f>
        <v>1088.4000000000001</v>
      </c>
      <c r="DI24" s="2132">
        <f>Model!DI52</f>
        <v>1088.2</v>
      </c>
      <c r="DJ24" s="2132">
        <f>Model!DJ52</f>
        <v>1089</v>
      </c>
      <c r="DK24" s="2132">
        <f>Model!DK52</f>
        <v>1090.7770636274975</v>
      </c>
      <c r="DL24" s="2132">
        <f>Model!DL52</f>
        <v>1088.3</v>
      </c>
      <c r="DM24" s="2132">
        <f>Model!DM52</f>
        <v>1085.5</v>
      </c>
      <c r="DN24" s="2132">
        <f>Model!DN52</f>
        <v>1082.5999999999999</v>
      </c>
      <c r="DO24" s="2132">
        <f>Model!DO52</f>
        <v>1059.5</v>
      </c>
      <c r="DP24" s="2132">
        <f>Model!DP52</f>
        <v>1078.6868405635935</v>
      </c>
      <c r="DQ24" s="2132">
        <f>Model!DQ52</f>
        <v>1011.1</v>
      </c>
      <c r="DR24" s="2132">
        <f>Model!DR52</f>
        <v>995.66883700000005</v>
      </c>
      <c r="DS24" s="2132">
        <f>Model!DS52</f>
        <v>995.66883700000005</v>
      </c>
      <c r="DT24" s="2132">
        <f>Model!DT52</f>
        <v>995.66883700000005</v>
      </c>
      <c r="DU24" s="2132">
        <f ca="1">Model!DU52</f>
        <v>999.09476925758122</v>
      </c>
      <c r="DV24" s="2161">
        <f>Model!DV52</f>
        <v>989.57127602439027</v>
      </c>
      <c r="DW24" s="2161">
        <f>Model!DW52</f>
        <v>977.37615407317071</v>
      </c>
      <c r="DX24" s="2161">
        <f>Model!DX52</f>
        <v>965.18103212195115</v>
      </c>
      <c r="DY24" s="2161">
        <f>Model!DY52</f>
        <v>952.98591017073159</v>
      </c>
      <c r="DZ24" s="2161">
        <f ca="1">Model!DZ52</f>
        <v>970.40778720465494</v>
      </c>
      <c r="EA24" s="2248">
        <f>Model!EA52</f>
        <v>940.79078821951202</v>
      </c>
      <c r="EB24" s="2248">
        <f>Model!EB52</f>
        <v>928.59566626829246</v>
      </c>
      <c r="EC24" s="2248">
        <f>Model!EC52</f>
        <v>916.4005443170729</v>
      </c>
      <c r="ED24" s="2248">
        <f>Model!ED52</f>
        <v>904.20542236585334</v>
      </c>
      <c r="EE24" s="2248">
        <f ca="1">Model!EE52</f>
        <v>921.63183735082009</v>
      </c>
    </row>
    <row r="25" spans="2:135" s="2132" customFormat="1" outlineLevel="2">
      <c r="B25" s="17" t="s">
        <v>185</v>
      </c>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2141">
        <f>CC22/CC24</f>
        <v>0.53754781558284681</v>
      </c>
      <c r="CD25" s="2141">
        <f t="shared" ref="CD25:CV25" si="21">CD22/CD24</f>
        <v>0.71731662962214593</v>
      </c>
      <c r="CE25" s="2141">
        <f t="shared" si="21"/>
        <v>0.56008146639511203</v>
      </c>
      <c r="CF25" s="2141">
        <f t="shared" si="21"/>
        <v>0.56269430051813474</v>
      </c>
      <c r="CG25" s="2141">
        <f t="shared" si="21"/>
        <v>2.3656240510173094</v>
      </c>
      <c r="CH25" s="2141">
        <f t="shared" si="21"/>
        <v>0.68393449641442794</v>
      </c>
      <c r="CI25" s="2141">
        <f t="shared" si="21"/>
        <v>0.86422413793103448</v>
      </c>
      <c r="CJ25" s="2141">
        <f t="shared" si="21"/>
        <v>0.72652353068748643</v>
      </c>
      <c r="CK25" s="2141">
        <f t="shared" si="21"/>
        <v>0.65773580762051165</v>
      </c>
      <c r="CL25" s="2141">
        <f t="shared" si="21"/>
        <v>2.93241797265346</v>
      </c>
      <c r="CM25" s="2141">
        <f t="shared" si="21"/>
        <v>0.69931650002824386</v>
      </c>
      <c r="CN25" s="2141">
        <f t="shared" si="21"/>
        <v>0.87687207042414539</v>
      </c>
      <c r="CO25" s="2141">
        <f t="shared" si="21"/>
        <v>0.72584373555247339</v>
      </c>
      <c r="CP25" s="2141">
        <f t="shared" si="21"/>
        <v>0.61767005473025804</v>
      </c>
      <c r="CQ25" s="2141">
        <f t="shared" si="21"/>
        <v>2.93</v>
      </c>
      <c r="CR25" s="2141">
        <f t="shared" si="21"/>
        <v>0.58137089991589574</v>
      </c>
      <c r="CS25" s="2141">
        <f t="shared" si="21"/>
        <v>0.95972309628697294</v>
      </c>
      <c r="CT25" s="2141">
        <f t="shared" si="21"/>
        <v>0.84671532846715325</v>
      </c>
      <c r="CU25" s="2141">
        <f t="shared" si="21"/>
        <v>0.73331244124099026</v>
      </c>
      <c r="CV25" s="2141">
        <f t="shared" si="21"/>
        <v>3.121121765911012</v>
      </c>
      <c r="CW25" s="2141">
        <f>CW22/CW24</f>
        <v>0.71554862194487778</v>
      </c>
      <c r="CX25" s="2141">
        <f t="shared" ref="CX25:DU25" si="22">CX22/CX24</f>
        <v>0.91314724499325528</v>
      </c>
      <c r="CY25" s="2141">
        <f t="shared" si="22"/>
        <v>0.91256717651922292</v>
      </c>
      <c r="CZ25" s="2141">
        <f t="shared" si="22"/>
        <v>0.73767951234631679</v>
      </c>
      <c r="DA25" s="2141">
        <f t="shared" si="22"/>
        <v>3.2789425558036727</v>
      </c>
      <c r="DB25" s="2141">
        <f t="shared" si="22"/>
        <v>0.78347280334728031</v>
      </c>
      <c r="DC25" s="2141">
        <f t="shared" si="22"/>
        <v>1.1794823172466107</v>
      </c>
      <c r="DD25" s="2141">
        <f t="shared" si="22"/>
        <v>1.0186865021770681</v>
      </c>
      <c r="DE25" s="2141">
        <f t="shared" si="22"/>
        <v>0.87891156462585029</v>
      </c>
      <c r="DF25" s="2141">
        <f t="shared" si="22"/>
        <v>3.8760793244140808</v>
      </c>
      <c r="DG25" s="2141">
        <f t="shared" si="22"/>
        <v>1.0304023302384855</v>
      </c>
      <c r="DH25" s="2141">
        <f t="shared" ref="DH25" si="23">DH22/DH24</f>
        <v>1.3074237412715912</v>
      </c>
      <c r="DI25" s="2141">
        <f t="shared" si="22"/>
        <v>1.1836059547877229</v>
      </c>
      <c r="DJ25" s="2141">
        <f t="shared" si="22"/>
        <v>1.0707070707070707</v>
      </c>
      <c r="DK25" s="2141">
        <f t="shared" si="22"/>
        <v>4.5921390970048703</v>
      </c>
      <c r="DL25" s="2141">
        <f t="shared" si="22"/>
        <v>1.1035560047780943</v>
      </c>
      <c r="DM25" s="2141">
        <f t="shared" si="22"/>
        <v>1.3597420543528327</v>
      </c>
      <c r="DN25" s="2141">
        <f t="shared" si="22"/>
        <v>1.3310548679105858</v>
      </c>
      <c r="DO25" s="2141">
        <f t="shared" si="22"/>
        <v>1.3072203869749881</v>
      </c>
      <c r="DP25" s="2141">
        <f>DP22/DP24</f>
        <v>5.1015733140165</v>
      </c>
      <c r="DQ25" s="2141">
        <f t="shared" si="22"/>
        <v>1.2807833053110473</v>
      </c>
      <c r="DR25" s="2141">
        <f t="shared" ca="1" si="22"/>
        <v>1.5408670389247578</v>
      </c>
      <c r="DS25" s="2141">
        <f t="shared" ca="1" si="22"/>
        <v>1.5124919489037392</v>
      </c>
      <c r="DT25" s="2141">
        <f t="shared" ca="1" si="22"/>
        <v>1.4347913768735403</v>
      </c>
      <c r="DU25" s="2141">
        <f t="shared" ca="1" si="22"/>
        <v>5.7689336700130847</v>
      </c>
      <c r="DV25" s="2141">
        <f t="shared" ref="DV25:DZ25" ca="1" si="24">DV22/DV24</f>
        <v>1.416392701727091</v>
      </c>
      <c r="DW25" s="2141">
        <f t="shared" ca="1" si="24"/>
        <v>1.6947711794590334</v>
      </c>
      <c r="DX25" s="2141">
        <f t="shared" ca="1" si="24"/>
        <v>1.7356817259382828</v>
      </c>
      <c r="DY25" s="2141">
        <f t="shared" ca="1" si="24"/>
        <v>1.7151326288981761</v>
      </c>
      <c r="DZ25" s="2141">
        <f t="shared" ca="1" si="24"/>
        <v>6.5619782360225836</v>
      </c>
      <c r="EA25" s="2141">
        <f t="shared" ref="EA25:EE25" ca="1" si="25">EA22/EA24</f>
        <v>1.5380194203814843</v>
      </c>
      <c r="EB25" s="2141">
        <f t="shared" ca="1" si="25"/>
        <v>1.8091210111551781</v>
      </c>
      <c r="EC25" s="2141">
        <f t="shared" ca="1" si="25"/>
        <v>1.8693406433696269</v>
      </c>
      <c r="ED25" s="2141">
        <f t="shared" ca="1" si="25"/>
        <v>1.8527149195848873</v>
      </c>
      <c r="EE25" s="2141">
        <f t="shared" ca="1" si="25"/>
        <v>7.0691959944911762</v>
      </c>
    </row>
    <row r="26" spans="2:135" s="2132" customFormat="1" outlineLevel="2">
      <c r="B26" s="17"/>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2141"/>
      <c r="CD26" s="2141"/>
      <c r="CE26" s="2141"/>
      <c r="CF26" s="2141"/>
      <c r="CG26" s="2141"/>
      <c r="CH26" s="2141"/>
      <c r="CI26" s="2141"/>
      <c r="CJ26" s="2141"/>
      <c r="CK26" s="2141"/>
      <c r="CL26" s="2141"/>
      <c r="CM26" s="2141"/>
      <c r="CN26" s="2141"/>
      <c r="CO26" s="2141"/>
      <c r="CP26" s="2141"/>
      <c r="CQ26" s="2141"/>
      <c r="CR26" s="2141"/>
      <c r="CS26" s="2141"/>
      <c r="CT26" s="2141"/>
      <c r="CU26" s="2141"/>
      <c r="CV26" s="2141"/>
      <c r="CW26" s="2141"/>
      <c r="CX26" s="2141"/>
      <c r="CY26" s="2141"/>
      <c r="CZ26" s="2141"/>
      <c r="DA26" s="2141"/>
      <c r="DB26" s="2141"/>
      <c r="DC26" s="2141"/>
      <c r="DD26" s="2141"/>
      <c r="DE26" s="2141"/>
      <c r="DF26" s="2141"/>
      <c r="DG26" s="2141"/>
      <c r="DH26" s="2141"/>
      <c r="DI26" s="2141"/>
      <c r="DJ26" s="2141"/>
      <c r="DK26" s="2141"/>
      <c r="DL26" s="2141"/>
      <c r="DM26" s="2141"/>
      <c r="DN26" s="2141"/>
      <c r="DO26" s="2141"/>
      <c r="DP26" s="2141"/>
      <c r="DQ26" s="2141"/>
      <c r="DR26" s="2141"/>
      <c r="DS26" s="2141"/>
      <c r="DT26" s="2141"/>
      <c r="DU26" s="2141"/>
      <c r="DV26" s="2141"/>
      <c r="DW26" s="2141"/>
      <c r="DX26" s="2141"/>
      <c r="DY26" s="2141"/>
      <c r="DZ26" s="2141"/>
      <c r="EA26" s="2141"/>
      <c r="EB26" s="2141"/>
      <c r="EC26" s="2141"/>
      <c r="ED26" s="2141"/>
      <c r="EE26" s="2141"/>
    </row>
    <row r="27" spans="2:135" s="2132" customFormat="1" outlineLevel="1">
      <c r="B27" s="17" t="s">
        <v>441</v>
      </c>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2141"/>
      <c r="CD27" s="2141"/>
      <c r="CE27" s="2141"/>
      <c r="CF27" s="2141"/>
      <c r="CG27" s="2141"/>
      <c r="CH27" s="2141"/>
      <c r="CI27" s="2141"/>
      <c r="CJ27" s="2141"/>
      <c r="CK27" s="2141"/>
      <c r="CL27" s="2141"/>
      <c r="CM27" s="2141"/>
      <c r="CN27" s="2141"/>
      <c r="CO27" s="2141"/>
      <c r="CP27" s="2141"/>
      <c r="CQ27" s="2141"/>
      <c r="CR27" s="2141"/>
      <c r="CS27" s="2141"/>
      <c r="CT27" s="2141"/>
      <c r="CU27" s="2141"/>
      <c r="CV27" s="2141"/>
      <c r="CW27" s="2141"/>
      <c r="CX27" s="2141"/>
      <c r="CY27" s="2141"/>
      <c r="CZ27" s="2141"/>
      <c r="DA27" s="2141"/>
      <c r="DB27" s="2141"/>
      <c r="DC27" s="2141"/>
      <c r="DD27" s="2141"/>
      <c r="DE27" s="2141"/>
      <c r="DF27" s="2141"/>
      <c r="DG27" s="2141"/>
      <c r="DH27" s="2141"/>
      <c r="DI27" s="2141"/>
      <c r="DJ27" s="2141"/>
      <c r="DK27" s="2141"/>
      <c r="DL27" s="2141"/>
      <c r="DM27" s="2141"/>
      <c r="DN27" s="2141"/>
      <c r="DO27" s="2141"/>
      <c r="DP27" s="2141"/>
      <c r="DQ27" s="2141"/>
      <c r="DR27" s="2141"/>
      <c r="DS27" s="2141"/>
      <c r="DT27" s="2141"/>
      <c r="DU27" s="2141"/>
      <c r="DV27" s="2141"/>
      <c r="DW27" s="2141"/>
      <c r="DX27" s="2141"/>
      <c r="DY27" s="2141"/>
      <c r="DZ27" s="2141"/>
      <c r="EA27" s="2141"/>
      <c r="EB27" s="2141"/>
      <c r="EC27" s="2141"/>
      <c r="ED27" s="2141"/>
      <c r="EE27" s="2141"/>
    </row>
    <row r="28" spans="2:135" s="2132" customFormat="1" outlineLevel="1">
      <c r="B28" s="2143" t="s">
        <v>25</v>
      </c>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2141"/>
      <c r="CD28" s="2141"/>
      <c r="CE28" s="2141"/>
      <c r="CF28" s="2141"/>
      <c r="CG28" s="2141"/>
      <c r="CH28" s="42">
        <f>CH9/CC9-1</f>
        <v>5.9887558054265488E-2</v>
      </c>
      <c r="CI28" s="42">
        <f t="shared" ref="CI28:DU28" si="26">CI9/CD9-1</f>
        <v>8.9185848001412937E-2</v>
      </c>
      <c r="CJ28" s="42">
        <f t="shared" si="26"/>
        <v>6.8143496714925256E-2</v>
      </c>
      <c r="CK28" s="42">
        <f t="shared" si="26"/>
        <v>6.5026674570243026E-2</v>
      </c>
      <c r="CL28" s="42">
        <f t="shared" si="26"/>
        <v>7.0661524770097905E-2</v>
      </c>
      <c r="CM28" s="42">
        <f t="shared" si="26"/>
        <v>4.6875E-2</v>
      </c>
      <c r="CN28" s="42">
        <f t="shared" si="26"/>
        <v>8.053183439628242E-3</v>
      </c>
      <c r="CO28" s="42">
        <f t="shared" si="26"/>
        <v>-3.3694409667410552E-2</v>
      </c>
      <c r="CP28" s="42">
        <f t="shared" si="26"/>
        <v>-4.975788946401738E-2</v>
      </c>
      <c r="CQ28" s="42">
        <f t="shared" si="26"/>
        <v>-7.633270530865599E-3</v>
      </c>
      <c r="CR28" s="42">
        <f t="shared" si="26"/>
        <v>-4.6318224376273642E-2</v>
      </c>
      <c r="CS28" s="42">
        <f t="shared" si="26"/>
        <v>-2.1446571229422062E-4</v>
      </c>
      <c r="CT28" s="42">
        <f t="shared" si="26"/>
        <v>3.16020730058586E-2</v>
      </c>
      <c r="CU28" s="42">
        <f t="shared" si="26"/>
        <v>5.0840508405084028E-2</v>
      </c>
      <c r="CV28" s="42">
        <f t="shared" si="26"/>
        <v>8.1526670668545798E-3</v>
      </c>
      <c r="CW28" s="42">
        <f t="shared" si="26"/>
        <v>5.8500808500808521E-2</v>
      </c>
      <c r="CX28" s="42">
        <f t="shared" si="26"/>
        <v>5.1375556389767763E-2</v>
      </c>
      <c r="CY28" s="42">
        <f t="shared" si="26"/>
        <v>5.9411347130453818E-2</v>
      </c>
      <c r="CZ28" s="42">
        <f t="shared" si="26"/>
        <v>6.2203890530070804E-2</v>
      </c>
      <c r="DA28" s="42">
        <f t="shared" si="26"/>
        <v>5.7811872550784349E-2</v>
      </c>
      <c r="DB28" s="42">
        <f t="shared" si="26"/>
        <v>6.6833978940476824E-2</v>
      </c>
      <c r="DC28" s="42">
        <f t="shared" si="26"/>
        <v>0.3554195358326957</v>
      </c>
      <c r="DD28" s="42">
        <f t="shared" si="26"/>
        <v>0.48420184526570798</v>
      </c>
      <c r="DE28" s="42">
        <f t="shared" si="26"/>
        <v>0.49666789106365106</v>
      </c>
      <c r="DF28" s="42">
        <f t="shared" si="26"/>
        <v>0.35412085035082197</v>
      </c>
      <c r="DG28" s="42">
        <f t="shared" si="26"/>
        <v>0.48476015137567763</v>
      </c>
      <c r="DH28" s="42">
        <f t="shared" si="26"/>
        <v>0.13588981296805036</v>
      </c>
      <c r="DI28" s="42">
        <f t="shared" si="26"/>
        <v>2.4413960757075914E-2</v>
      </c>
      <c r="DJ28" s="42">
        <f t="shared" si="26"/>
        <v>3.9969146623659579E-3</v>
      </c>
      <c r="DK28" s="42">
        <f t="shared" si="26"/>
        <v>0.13443989018212754</v>
      </c>
      <c r="DL28" s="42">
        <f t="shared" si="26"/>
        <v>-1.8323976165053546E-2</v>
      </c>
      <c r="DM28" s="42">
        <f t="shared" si="26"/>
        <v>-2.4450039756162223E-2</v>
      </c>
      <c r="DN28" s="42">
        <f t="shared" si="26"/>
        <v>2.1018374127059536E-2</v>
      </c>
      <c r="DO28" s="42">
        <f t="shared" si="26"/>
        <v>5.2835591563067386E-2</v>
      </c>
      <c r="DP28" s="42">
        <f t="shared" si="26"/>
        <v>7.3540063569974556E-3</v>
      </c>
      <c r="DQ28" s="42">
        <f t="shared" si="26"/>
        <v>7.8558647065015252E-2</v>
      </c>
      <c r="DR28" s="42">
        <f t="shared" ca="1" si="26"/>
        <v>0.13994640007999948</v>
      </c>
      <c r="DS28" s="42">
        <f t="shared" ca="1" si="26"/>
        <v>0.1238053655435285</v>
      </c>
      <c r="DT28" s="42">
        <f t="shared" si="26"/>
        <v>0.10454685759207449</v>
      </c>
      <c r="DU28" s="42">
        <f t="shared" ca="1" si="26"/>
        <v>0.11200547232763558</v>
      </c>
      <c r="DV28" s="42">
        <f t="shared" ref="DV28" si="27">DV9/DQ9-1</f>
        <v>8.2961567978974582E-2</v>
      </c>
      <c r="DW28" s="42">
        <f t="shared" ref="DW28" ca="1" si="28">DW9/DR9-1</f>
        <v>2.365530662137183E-2</v>
      </c>
      <c r="DX28" s="42">
        <f t="shared" ref="DX28" ca="1" si="29">DX9/DS9-1</f>
        <v>1.5279553866601514E-2</v>
      </c>
      <c r="DY28" s="42">
        <f t="shared" ref="DY28" si="30">DY9/DT9-1</f>
        <v>1.5054031326703576E-2</v>
      </c>
      <c r="DZ28" s="42">
        <f t="shared" ref="DZ28" ca="1" si="31">DZ9/DU9-1</f>
        <v>3.3188265002482842E-2</v>
      </c>
      <c r="EA28" s="42">
        <f t="shared" ref="EA28" si="32">EA9/DV9-1</f>
        <v>1.7966565444672122E-2</v>
      </c>
      <c r="EB28" s="42">
        <f t="shared" ref="EB28" ca="1" si="33">EB9/DW9-1</f>
        <v>1.7424016489295813E-2</v>
      </c>
      <c r="EC28" s="42">
        <f t="shared" ref="EC28" ca="1" si="34">EC9/DX9-1</f>
        <v>1.8330394784415338E-2</v>
      </c>
      <c r="ED28" s="42">
        <f t="shared" ref="ED28" si="35">ED9/DY9-1</f>
        <v>1.9312540882501228E-2</v>
      </c>
      <c r="EE28" s="42">
        <f t="shared" ref="EE28" ca="1" si="36">EE9/DZ9-1</f>
        <v>1.8256345773330906E-2</v>
      </c>
    </row>
    <row r="29" spans="2:135" s="2132" customFormat="1" outlineLevel="1">
      <c r="B29" s="2143" t="s">
        <v>291</v>
      </c>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2141"/>
      <c r="CD29" s="2141"/>
      <c r="CE29" s="2141"/>
      <c r="CF29" s="2141"/>
      <c r="CG29" s="2141"/>
      <c r="CH29" s="42">
        <f>CH11/CC11-1</f>
        <v>9.0769903762029758E-2</v>
      </c>
      <c r="CI29" s="42">
        <f t="shared" ref="CI29:DU29" si="37">CI11/CD11-1</f>
        <v>9.2607636068237298E-2</v>
      </c>
      <c r="CJ29" s="42">
        <f t="shared" si="37"/>
        <v>9.1671911055170918E-2</v>
      </c>
      <c r="CK29" s="42">
        <f t="shared" si="37"/>
        <v>5.6872037914691864E-2</v>
      </c>
      <c r="CL29" s="42">
        <f t="shared" si="37"/>
        <v>8.2862523540489619E-2</v>
      </c>
      <c r="CM29" s="42">
        <f t="shared" si="37"/>
        <v>3.2484459594946946E-2</v>
      </c>
      <c r="CN29" s="42">
        <f t="shared" si="37"/>
        <v>1.5055762081784385E-2</v>
      </c>
      <c r="CO29" s="42">
        <f t="shared" si="37"/>
        <v>-2.4980784012298196E-2</v>
      </c>
      <c r="CP29" s="42">
        <f t="shared" si="37"/>
        <v>-3.1585104308832102E-2</v>
      </c>
      <c r="CQ29" s="42">
        <f t="shared" si="37"/>
        <v>-2.3671497584540901E-3</v>
      </c>
      <c r="CR29" s="42">
        <f t="shared" si="37"/>
        <v>9.7106234220234455E-4</v>
      </c>
      <c r="CS29" s="42">
        <f t="shared" si="37"/>
        <v>3.9919428676066682E-2</v>
      </c>
      <c r="CT29" s="42">
        <f t="shared" si="37"/>
        <v>5.2818289318092182E-2</v>
      </c>
      <c r="CU29" s="42">
        <f t="shared" si="37"/>
        <v>4.3487014294342652E-2</v>
      </c>
      <c r="CV29" s="42">
        <f t="shared" si="37"/>
        <v>3.4235630235823988E-2</v>
      </c>
      <c r="CW29" s="42">
        <f t="shared" si="37"/>
        <v>1.1835467597982152E-2</v>
      </c>
      <c r="CX29" s="42">
        <f t="shared" si="37"/>
        <v>3.8739214650467257E-3</v>
      </c>
      <c r="CY29" s="42">
        <f t="shared" si="37"/>
        <v>2.6020217147135982E-2</v>
      </c>
      <c r="CZ29" s="42">
        <f t="shared" si="37"/>
        <v>2.566081420027011E-2</v>
      </c>
      <c r="DA29" s="42">
        <f t="shared" si="37"/>
        <v>1.662140649873578E-2</v>
      </c>
      <c r="DB29" s="42">
        <f t="shared" si="37"/>
        <v>2.5503355704697972E-2</v>
      </c>
      <c r="DC29" s="42">
        <f t="shared" si="37"/>
        <v>0.21680406946149788</v>
      </c>
      <c r="DD29" s="42">
        <f t="shared" si="37"/>
        <v>0.37748586024448083</v>
      </c>
      <c r="DE29" s="42">
        <f t="shared" si="37"/>
        <v>0.3871331828442437</v>
      </c>
      <c r="DF29" s="42">
        <f t="shared" si="37"/>
        <v>0.2531202505411505</v>
      </c>
      <c r="DG29" s="42">
        <f t="shared" si="37"/>
        <v>0.41136873597606582</v>
      </c>
      <c r="DH29" s="42">
        <f t="shared" si="37"/>
        <v>0.15496612368458984</v>
      </c>
      <c r="DI29" s="42">
        <f t="shared" si="37"/>
        <v>5.1655629139073511E-3</v>
      </c>
      <c r="DJ29" s="42">
        <f t="shared" si="37"/>
        <v>-2.861404936262546E-2</v>
      </c>
      <c r="DK29" s="42">
        <f t="shared" si="37"/>
        <v>0.11404314748796351</v>
      </c>
      <c r="DL29" s="42">
        <f t="shared" si="37"/>
        <v>-4.9549549549549599E-2</v>
      </c>
      <c r="DM29" s="42">
        <f t="shared" si="37"/>
        <v>-5.0174737893160293E-2</v>
      </c>
      <c r="DN29" s="42">
        <f t="shared" si="37"/>
        <v>-5.2049018315983631E-2</v>
      </c>
      <c r="DO29" s="42">
        <f t="shared" si="37"/>
        <v>2.3314253804271878E-2</v>
      </c>
      <c r="DP29" s="42">
        <f t="shared" si="37"/>
        <v>-3.3122195830034284E-2</v>
      </c>
      <c r="DQ29" s="42">
        <f t="shared" si="37"/>
        <v>3.6799553944800723E-2</v>
      </c>
      <c r="DR29" s="42">
        <f t="shared" ca="1" si="37"/>
        <v>9.6825101884702836E-2</v>
      </c>
      <c r="DS29" s="42">
        <f t="shared" ca="1" si="37"/>
        <v>0.13723987955855343</v>
      </c>
      <c r="DT29" s="42">
        <f t="shared" si="37"/>
        <v>9.0789109086255815E-2</v>
      </c>
      <c r="DU29" s="42">
        <f t="shared" ca="1" si="37"/>
        <v>9.0542749027196612E-2</v>
      </c>
      <c r="DV29" s="42">
        <f t="shared" ref="DV29" si="38">DV11/DQ11-1</f>
        <v>7.294672234362487E-2</v>
      </c>
      <c r="DW29" s="42">
        <f t="shared" ref="DW29" ca="1" si="39">DW11/DR11-1</f>
        <v>2.6509100762463822E-2</v>
      </c>
      <c r="DX29" s="42">
        <f t="shared" ref="DX29" ca="1" si="40">DX11/DS11-1</f>
        <v>2.4503762022633824E-2</v>
      </c>
      <c r="DY29" s="42">
        <f t="shared" ref="DY29" si="41">DY11/DT11-1</f>
        <v>2.55299453454092E-2</v>
      </c>
      <c r="DZ29" s="42">
        <f t="shared" ref="DZ29" ca="1" si="42">DZ11/DU11-1</f>
        <v>3.6557648152294231E-2</v>
      </c>
      <c r="EA29" s="42">
        <f t="shared" ref="EA29" si="43">EA11/DV11-1</f>
        <v>2.3832392736734764E-2</v>
      </c>
      <c r="EB29" s="42">
        <f t="shared" ref="EB29" ca="1" si="44">EB11/DW11-1</f>
        <v>2.0409543284209075E-2</v>
      </c>
      <c r="EC29" s="42">
        <f t="shared" ref="EC29" ca="1" si="45">EC11/DX11-1</f>
        <v>2.2352615078400362E-2</v>
      </c>
      <c r="ED29" s="42">
        <f t="shared" ref="ED29" si="46">ED11/DY11-1</f>
        <v>2.2866216585027299E-2</v>
      </c>
      <c r="EE29" s="42">
        <f t="shared" ref="EE29" ca="1" si="47">EE11/DZ11-1</f>
        <v>2.2333670545821693E-2</v>
      </c>
    </row>
    <row r="30" spans="2:135" s="2132" customFormat="1" outlineLevel="1">
      <c r="B30" s="2143" t="s">
        <v>99</v>
      </c>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2141"/>
      <c r="CD30" s="2141"/>
      <c r="CE30" s="2141"/>
      <c r="CF30" s="2141"/>
      <c r="CG30" s="2141"/>
      <c r="CH30" s="42">
        <f>CH13/CC13-1</f>
        <v>6.7531064289573228E-2</v>
      </c>
      <c r="CI30" s="42">
        <f t="shared" ref="CI30:DU30" si="48">CI13/CD13-1</f>
        <v>7.8982242247548351E-2</v>
      </c>
      <c r="CJ30" s="42">
        <f t="shared" si="48"/>
        <v>7.2647362978283336E-2</v>
      </c>
      <c r="CK30" s="42">
        <f t="shared" si="48"/>
        <v>4.4327573253193142E-2</v>
      </c>
      <c r="CL30" s="42">
        <f t="shared" si="48"/>
        <v>6.559728742827331E-2</v>
      </c>
      <c r="CM30" s="42">
        <f t="shared" si="48"/>
        <v>4.8582995951417018E-2</v>
      </c>
      <c r="CN30" s="42">
        <f t="shared" si="48"/>
        <v>3.7337263571604051E-2</v>
      </c>
      <c r="CO30" s="42">
        <f t="shared" si="48"/>
        <v>-2.1932995902627095E-2</v>
      </c>
      <c r="CP30" s="42">
        <f t="shared" si="48"/>
        <v>-9.8321342925659083E-3</v>
      </c>
      <c r="CQ30" s="42">
        <f t="shared" si="48"/>
        <v>1.2972708358830021E-2</v>
      </c>
      <c r="CR30" s="42">
        <f t="shared" si="48"/>
        <v>2.5096525096525157E-2</v>
      </c>
      <c r="CS30" s="42">
        <f t="shared" si="48"/>
        <v>4.2150130239166472E-2</v>
      </c>
      <c r="CT30" s="42">
        <f t="shared" si="48"/>
        <v>4.4849679645145413E-2</v>
      </c>
      <c r="CU30" s="42">
        <f t="shared" si="48"/>
        <v>1.4531363526277596E-2</v>
      </c>
      <c r="CV30" s="42">
        <f t="shared" si="48"/>
        <v>3.1653980910958168E-2</v>
      </c>
      <c r="CW30" s="42">
        <f t="shared" si="48"/>
        <v>4.0018832391712778E-3</v>
      </c>
      <c r="CX30" s="42">
        <f t="shared" si="48"/>
        <v>1.7268802544876172E-2</v>
      </c>
      <c r="CY30" s="42">
        <f t="shared" si="48"/>
        <v>2.8537735849056611E-2</v>
      </c>
      <c r="CZ30" s="42">
        <f t="shared" si="48"/>
        <v>2.0529959417522115E-2</v>
      </c>
      <c r="DA30" s="42">
        <f t="shared" si="48"/>
        <v>1.756645977280713E-2</v>
      </c>
      <c r="DB30" s="42">
        <f t="shared" si="48"/>
        <v>1.6881594372801789E-2</v>
      </c>
      <c r="DC30" s="42">
        <f t="shared" si="48"/>
        <v>0.16104534286352479</v>
      </c>
      <c r="DD30" s="42">
        <f t="shared" si="48"/>
        <v>0.33019949552854855</v>
      </c>
      <c r="DE30" s="42">
        <f t="shared" si="48"/>
        <v>0.38573099415204681</v>
      </c>
      <c r="DF30" s="42">
        <f t="shared" si="48"/>
        <v>0.22338589020600752</v>
      </c>
      <c r="DG30" s="42">
        <f t="shared" si="48"/>
        <v>0.34401660133733003</v>
      </c>
      <c r="DH30" s="42">
        <f t="shared" si="48"/>
        <v>0.13351288957291274</v>
      </c>
      <c r="DI30" s="42">
        <f t="shared" si="48"/>
        <v>-3.102913290811915E-3</v>
      </c>
      <c r="DJ30" s="42">
        <f t="shared" si="48"/>
        <v>-4.4902093180283598E-2</v>
      </c>
      <c r="DK30" s="42">
        <f t="shared" si="48"/>
        <v>8.946378174976477E-2</v>
      </c>
      <c r="DL30" s="42">
        <f t="shared" si="48"/>
        <v>-5.541259221135697E-2</v>
      </c>
      <c r="DM30" s="42">
        <f t="shared" si="48"/>
        <v>-3.7169042769857441E-2</v>
      </c>
      <c r="DN30" s="42">
        <f t="shared" si="48"/>
        <v>-9.0264568563029557E-2</v>
      </c>
      <c r="DO30" s="42">
        <f t="shared" si="48"/>
        <v>-2.2622834924001411E-2</v>
      </c>
      <c r="DP30" s="42">
        <f t="shared" si="48"/>
        <v>-5.1463604179259104E-2</v>
      </c>
      <c r="DQ30" s="42">
        <f t="shared" si="48"/>
        <v>3.6324010170722953E-2</v>
      </c>
      <c r="DR30" s="42">
        <f t="shared" si="48"/>
        <v>0.1158967220348901</v>
      </c>
      <c r="DS30" s="42">
        <f t="shared" si="48"/>
        <v>0.20129773074671609</v>
      </c>
      <c r="DT30" s="42">
        <f t="shared" si="48"/>
        <v>0.12371338959783107</v>
      </c>
      <c r="DU30" s="42">
        <f t="shared" si="48"/>
        <v>0.11837253118062874</v>
      </c>
      <c r="DV30" s="42">
        <f t="shared" ref="DV30" si="49">DV13/DQ13-1</f>
        <v>9.2136148423429098E-2</v>
      </c>
      <c r="DW30" s="42">
        <f t="shared" ref="DW30" si="50">DW13/DR13-1</f>
        <v>2.8821276825161002E-2</v>
      </c>
      <c r="DX30" s="42">
        <f t="shared" ref="DX30" si="51">DX13/DS13-1</f>
        <v>3.5019174913841766E-4</v>
      </c>
      <c r="DY30" s="42">
        <f t="shared" ref="DY30" si="52">DY13/DT13-1</f>
        <v>-5.1119019674995547E-3</v>
      </c>
      <c r="DZ30" s="42">
        <f t="shared" ref="DZ30" si="53">DZ13/DU13-1</f>
        <v>2.7619487639491291E-2</v>
      </c>
      <c r="EA30" s="42">
        <f t="shared" ref="EA30" si="54">EA13/DV13-1</f>
        <v>2.2796031926513027E-2</v>
      </c>
      <c r="EB30" s="42">
        <f t="shared" ref="EB30" si="55">EB13/DW13-1</f>
        <v>2.2977791635574896E-2</v>
      </c>
      <c r="EC30" s="42">
        <f t="shared" ref="EC30" si="56">EC13/DX13-1</f>
        <v>2.2925224799430044E-2</v>
      </c>
      <c r="ED30" s="42">
        <f t="shared" ref="ED30" si="57">ED13/DY13-1</f>
        <v>2.2896151760680272E-2</v>
      </c>
      <c r="EE30" s="42">
        <f t="shared" ref="EE30" si="58">EE13/DZ13-1</f>
        <v>2.2899779677303833E-2</v>
      </c>
    </row>
    <row r="31" spans="2:135" s="2132" customFormat="1" outlineLevel="1">
      <c r="B31" s="2143" t="s">
        <v>584</v>
      </c>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2141"/>
      <c r="CD31" s="2141"/>
      <c r="CE31" s="2141"/>
      <c r="CF31" s="2141"/>
      <c r="CG31" s="2141"/>
      <c r="CH31" s="42">
        <f>CH15/CC15-1</f>
        <v>0.18965517241379315</v>
      </c>
      <c r="CI31" s="42">
        <f t="shared" ref="CI31:DU31" si="59">CI15/CD15-1</f>
        <v>0.13727193744569943</v>
      </c>
      <c r="CJ31" s="42">
        <f t="shared" si="59"/>
        <v>0.17352614015572865</v>
      </c>
      <c r="CK31" s="42">
        <f t="shared" si="59"/>
        <v>0.11511627906976751</v>
      </c>
      <c r="CL31" s="42">
        <f t="shared" si="59"/>
        <v>0.15291005291005288</v>
      </c>
      <c r="CM31" s="42">
        <f t="shared" si="59"/>
        <v>-2.8985507246376829E-2</v>
      </c>
      <c r="CN31" s="42">
        <f t="shared" si="59"/>
        <v>-5.4239877769289513E-2</v>
      </c>
      <c r="CO31" s="42">
        <f t="shared" si="59"/>
        <v>-3.6966824644549812E-2</v>
      </c>
      <c r="CP31" s="42">
        <f t="shared" si="59"/>
        <v>-0.12617309697601664</v>
      </c>
      <c r="CQ31" s="42">
        <f t="shared" si="59"/>
        <v>-5.9889857732905005E-2</v>
      </c>
      <c r="CR31" s="42">
        <f t="shared" si="59"/>
        <v>-8.0597014925373189E-2</v>
      </c>
      <c r="CS31" s="42">
        <f t="shared" si="59"/>
        <v>0.12924071082390953</v>
      </c>
      <c r="CT31" s="42">
        <f t="shared" si="59"/>
        <v>0.22933070866141736</v>
      </c>
      <c r="CU31" s="42">
        <f t="shared" si="59"/>
        <v>0.31622911694510747</v>
      </c>
      <c r="CV31" s="42">
        <f t="shared" si="59"/>
        <v>0.14083475713937021</v>
      </c>
      <c r="CW31" s="42">
        <f t="shared" si="59"/>
        <v>0.19372294372294374</v>
      </c>
      <c r="CX31" s="42">
        <f t="shared" si="59"/>
        <v>-4.2918454935622297E-2</v>
      </c>
      <c r="CY31" s="42">
        <f t="shared" si="59"/>
        <v>4.4835868694955927E-2</v>
      </c>
      <c r="CZ31" s="42">
        <f t="shared" si="59"/>
        <v>3.5358114233907445E-2</v>
      </c>
      <c r="DA31" s="42">
        <f t="shared" si="59"/>
        <v>4.5785194694052178E-2</v>
      </c>
      <c r="DB31" s="42">
        <f t="shared" si="59"/>
        <v>9.2475067996373506E-2</v>
      </c>
      <c r="DC31" s="42">
        <f t="shared" si="59"/>
        <v>0.37518684603886387</v>
      </c>
      <c r="DD31" s="42">
        <f t="shared" si="59"/>
        <v>0.3402298850574712</v>
      </c>
      <c r="DE31" s="42">
        <f t="shared" si="59"/>
        <v>0.26970227670753055</v>
      </c>
      <c r="DF31" s="42">
        <f t="shared" si="59"/>
        <v>0.27741407528641582</v>
      </c>
      <c r="DG31" s="42">
        <f t="shared" si="59"/>
        <v>0.42655601659751041</v>
      </c>
      <c r="DH31" s="42">
        <f t="shared" si="59"/>
        <v>0.15217391304347827</v>
      </c>
      <c r="DI31" s="42">
        <f t="shared" si="59"/>
        <v>3.7164093767867445E-2</v>
      </c>
      <c r="DJ31" s="42">
        <f t="shared" si="59"/>
        <v>7.241379310344831E-2</v>
      </c>
      <c r="DK31" s="42">
        <f t="shared" si="59"/>
        <v>0.15438821268417691</v>
      </c>
      <c r="DL31" s="42">
        <f t="shared" si="59"/>
        <v>4.0721349621872793E-3</v>
      </c>
      <c r="DM31" s="42">
        <f t="shared" si="59"/>
        <v>-4.9056603773584895E-2</v>
      </c>
      <c r="DN31" s="42">
        <f t="shared" si="59"/>
        <v>0.13230429988974635</v>
      </c>
      <c r="DO31" s="42">
        <f t="shared" si="59"/>
        <v>0.21157556270096456</v>
      </c>
      <c r="DP31" s="42">
        <f t="shared" si="59"/>
        <v>6.5482796892341932E-2</v>
      </c>
      <c r="DQ31" s="42">
        <f t="shared" si="59"/>
        <v>4.8088064889918902E-2</v>
      </c>
      <c r="DR31" s="42">
        <f t="shared" ca="1" si="59"/>
        <v>3.7975685905491385E-2</v>
      </c>
      <c r="DS31" s="42">
        <f t="shared" ca="1" si="59"/>
        <v>-4.7365720351481344E-2</v>
      </c>
      <c r="DT31" s="42">
        <f t="shared" si="59"/>
        <v>-1.0367522508576865E-2</v>
      </c>
      <c r="DU31" s="42">
        <f t="shared" ca="1" si="59"/>
        <v>5.564763122053229E-3</v>
      </c>
      <c r="DV31" s="42">
        <f t="shared" ref="DV31" si="60">DV15/DQ15-1</f>
        <v>1.0030175944239161E-2</v>
      </c>
      <c r="DW31" s="42">
        <f t="shared" ref="DW31" ca="1" si="61">DW15/DR15-1</f>
        <v>1.8695382252571946E-2</v>
      </c>
      <c r="DX31" s="42">
        <f t="shared" ref="DX31" ca="1" si="62">DX15/DS15-1</f>
        <v>9.9492236342453966E-2</v>
      </c>
      <c r="DY31" s="42">
        <f t="shared" ref="DY31" si="63">DY15/DT15-1</f>
        <v>0.12784064412989582</v>
      </c>
      <c r="DZ31" s="42">
        <f t="shared" ref="DZ31" ca="1" si="64">DZ15/DU15-1</f>
        <v>6.348759849480623E-2</v>
      </c>
      <c r="EA31" s="42">
        <f t="shared" ref="EA31" si="65">EA15/DV15-1</f>
        <v>2.6345792610231289E-2</v>
      </c>
      <c r="EB31" s="42">
        <f t="shared" ref="EB31" ca="1" si="66">EB15/DW15-1</f>
        <v>1.183023564364305E-2</v>
      </c>
      <c r="EC31" s="42">
        <f t="shared" ref="EC31" ca="1" si="67">EC15/DX15-1</f>
        <v>1.9715564286949094E-2</v>
      </c>
      <c r="ED31" s="42">
        <f t="shared" ref="ED31" si="68">ED15/DY15-1</f>
        <v>2.1847572796916959E-2</v>
      </c>
      <c r="EE31" s="42">
        <f t="shared" ref="EE31" ca="1" si="69">EE15/DZ15-1</f>
        <v>1.9689827415916961E-2</v>
      </c>
    </row>
    <row r="32" spans="2:135" s="2132" customFormat="1" outlineLevel="2">
      <c r="B32" s="2143" t="s">
        <v>282</v>
      </c>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2141"/>
      <c r="CD32" s="2141"/>
      <c r="CE32" s="2141"/>
      <c r="CF32" s="2141"/>
      <c r="CG32" s="2141"/>
      <c r="CH32" s="42">
        <f>CH22/CC22-1</f>
        <v>0.19662921348314599</v>
      </c>
      <c r="CI32" s="42">
        <f t="shared" ref="CI32:DU32" si="70">CI22/CD22-1</f>
        <v>0.12957746478873244</v>
      </c>
      <c r="CJ32" s="42">
        <f t="shared" si="70"/>
        <v>0.21818181818181825</v>
      </c>
      <c r="CK32" s="42">
        <f t="shared" si="70"/>
        <v>0.10313075506445668</v>
      </c>
      <c r="CL32" s="42">
        <f t="shared" si="70"/>
        <v>0.15960633290543425</v>
      </c>
      <c r="CM32" s="42">
        <f t="shared" si="70"/>
        <v>-3.1298904538341166E-2</v>
      </c>
      <c r="CN32" s="42">
        <f t="shared" si="70"/>
        <v>-4.3640897755610975E-2</v>
      </c>
      <c r="CO32" s="42">
        <f t="shared" si="70"/>
        <v>-6.2686567164179086E-2</v>
      </c>
      <c r="CP32" s="42">
        <f t="shared" si="70"/>
        <v>-7.6794657762938257E-2</v>
      </c>
      <c r="CQ32" s="42">
        <f t="shared" si="70"/>
        <v>-5.2767527675276704E-2</v>
      </c>
      <c r="CR32" s="42">
        <f t="shared" si="70"/>
        <v>-0.10662358642972536</v>
      </c>
      <c r="CS32" s="42">
        <f t="shared" si="70"/>
        <v>0.19295958279009118</v>
      </c>
      <c r="CT32" s="42">
        <f t="shared" si="70"/>
        <v>0.29299363057324834</v>
      </c>
      <c r="CU32" s="42">
        <f t="shared" si="70"/>
        <v>0.26943942133815546</v>
      </c>
      <c r="CV32" s="42">
        <f t="shared" si="70"/>
        <v>0.16166731593299577</v>
      </c>
      <c r="CW32" s="42">
        <f t="shared" si="70"/>
        <v>0.24412296564195302</v>
      </c>
      <c r="CX32" s="42">
        <f t="shared" si="70"/>
        <v>-3.8251366120218622E-2</v>
      </c>
      <c r="CY32" s="42">
        <f t="shared" si="70"/>
        <v>8.7438423645320285E-2</v>
      </c>
      <c r="CZ32" s="42">
        <f t="shared" si="70"/>
        <v>1.7094017094017033E-2</v>
      </c>
      <c r="DA32" s="42">
        <f t="shared" si="70"/>
        <v>6.1368209255533213E-2</v>
      </c>
      <c r="DB32" s="42">
        <f t="shared" si="70"/>
        <v>8.8662790697674465E-2</v>
      </c>
      <c r="DC32" s="42">
        <f t="shared" si="70"/>
        <v>0.41363636363636358</v>
      </c>
      <c r="DD32" s="42">
        <f t="shared" si="70"/>
        <v>0.27180067950169873</v>
      </c>
      <c r="DE32" s="42">
        <f t="shared" si="70"/>
        <v>0.35714285714285721</v>
      </c>
      <c r="DF32" s="42">
        <f t="shared" si="70"/>
        <v>0.29067930489731442</v>
      </c>
      <c r="DG32" s="42">
        <f t="shared" si="70"/>
        <v>0.51134846461949257</v>
      </c>
      <c r="DH32" s="42">
        <f t="shared" si="70"/>
        <v>0.14389067524115751</v>
      </c>
      <c r="DI32" s="42">
        <f t="shared" si="70"/>
        <v>0.14692787177203925</v>
      </c>
      <c r="DJ32" s="42">
        <f t="shared" si="70"/>
        <v>0.20330237358101133</v>
      </c>
      <c r="DK32" s="42">
        <f t="shared" si="70"/>
        <v>0.22619339045287634</v>
      </c>
      <c r="DL32" s="42">
        <f t="shared" si="70"/>
        <v>6.0954063604240272E-2</v>
      </c>
      <c r="DM32" s="42">
        <f t="shared" si="70"/>
        <v>3.7245256500351376E-2</v>
      </c>
      <c r="DN32" s="42">
        <f t="shared" si="70"/>
        <v>0.1187888198757765</v>
      </c>
      <c r="DO32" s="42">
        <f t="shared" si="70"/>
        <v>0.18782161234991435</v>
      </c>
      <c r="DP32" s="42">
        <f t="shared" si="70"/>
        <v>9.8622479536833785E-2</v>
      </c>
      <c r="DQ32" s="42">
        <f t="shared" si="70"/>
        <v>7.8268109908409711E-2</v>
      </c>
      <c r="DR32" s="42">
        <f t="shared" ca="1" si="70"/>
        <v>3.9426350012091715E-2</v>
      </c>
      <c r="DS32" s="42">
        <f t="shared" ca="1" si="70"/>
        <v>4.5066689616134248E-2</v>
      </c>
      <c r="DT32" s="42">
        <f t="shared" ca="1" si="70"/>
        <v>3.1463582346069829E-2</v>
      </c>
      <c r="DU32" s="42">
        <f t="shared" ca="1" si="70"/>
        <v>4.7376240942034187E-2</v>
      </c>
      <c r="DV32" s="42">
        <f t="shared" ref="DV32" ca="1" si="71">DV22/DQ22-1</f>
        <v>8.233323027004702E-2</v>
      </c>
      <c r="DW32" s="42">
        <f t="shared" ref="DW32" ca="1" si="72">DW22/DR22-1</f>
        <v>7.9674214053758075E-2</v>
      </c>
      <c r="DX32" s="42">
        <f t="shared" ref="DX32" ca="1" si="73">DX22/DS22-1</f>
        <v>0.11242536641642675</v>
      </c>
      <c r="DY32" s="42">
        <f t="shared" ref="DY32" ca="1" si="74">DY22/DT22-1</f>
        <v>0.14414354913512262</v>
      </c>
      <c r="DZ32" s="42">
        <f t="shared" ref="DZ32" ca="1" si="75">DZ22/DU22-1</f>
        <v>0.10480804437054081</v>
      </c>
      <c r="EA32" s="42">
        <f t="shared" ref="EA32" ca="1" si="76">EA22/DV22-1</f>
        <v>3.2343231410274953E-2</v>
      </c>
      <c r="EB32" s="42">
        <f t="shared" ref="EB32" ca="1" si="77">EB22/DW22-1</f>
        <v>1.4194990662623974E-2</v>
      </c>
      <c r="EC32" s="42">
        <f t="shared" ref="EC32" ca="1" si="78">EC22/DX22-1</f>
        <v>2.2574403430053236E-2</v>
      </c>
      <c r="ED32" s="42">
        <f t="shared" ref="ED32" ca="1" si="79">ED22/DY22-1</f>
        <v>2.4923656179782538E-2</v>
      </c>
      <c r="EE32" s="42">
        <f t="shared" ref="EE32" ca="1" si="80">EE22/DZ22-1</f>
        <v>2.3147937141755115E-2</v>
      </c>
    </row>
    <row r="33" spans="2:135" s="2132" customFormat="1" outlineLevel="2">
      <c r="B33" s="2143" t="s">
        <v>585</v>
      </c>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2141"/>
      <c r="CD33" s="2141"/>
      <c r="CE33" s="2141"/>
      <c r="CF33" s="2141"/>
      <c r="CG33" s="2141"/>
      <c r="CH33" s="42">
        <f>CH25/CC25-1</f>
        <v>0.27232308752451817</v>
      </c>
      <c r="CI33" s="42">
        <f t="shared" ref="CI33:DU33" si="81">CI25/CD25-1</f>
        <v>0.20480148130160258</v>
      </c>
      <c r="CJ33" s="42">
        <f t="shared" si="81"/>
        <v>0.29717474024565749</v>
      </c>
      <c r="CK33" s="42">
        <f t="shared" si="81"/>
        <v>0.16890433582650766</v>
      </c>
      <c r="CL33" s="42">
        <f t="shared" si="81"/>
        <v>0.23959594145671947</v>
      </c>
      <c r="CM33" s="42">
        <f t="shared" si="81"/>
        <v>2.2490463186836118E-2</v>
      </c>
      <c r="CN33" s="42">
        <f t="shared" si="81"/>
        <v>1.4635014156617165E-2</v>
      </c>
      <c r="CO33" s="42">
        <f t="shared" si="81"/>
        <v>-9.3568219926720708E-4</v>
      </c>
      <c r="CP33" s="42">
        <f t="shared" si="81"/>
        <v>-6.0914659694747852E-2</v>
      </c>
      <c r="CQ33" s="42">
        <f t="shared" si="81"/>
        <v>-8.2456616894621693E-4</v>
      </c>
      <c r="CR33" s="42">
        <f t="shared" si="81"/>
        <v>-0.16865839731735854</v>
      </c>
      <c r="CS33" s="42">
        <f t="shared" si="81"/>
        <v>9.4484735752562221E-2</v>
      </c>
      <c r="CT33" s="42">
        <f t="shared" si="81"/>
        <v>0.16652564042958762</v>
      </c>
      <c r="CU33" s="42">
        <f t="shared" si="81"/>
        <v>0.18722355993319817</v>
      </c>
      <c r="CV33" s="42">
        <f t="shared" si="81"/>
        <v>6.5229271641983555E-2</v>
      </c>
      <c r="CW33" s="42">
        <f t="shared" si="81"/>
        <v>0.23079538733086391</v>
      </c>
      <c r="CX33" s="42">
        <f t="shared" si="81"/>
        <v>-4.8530509970962199E-2</v>
      </c>
      <c r="CY33" s="42">
        <f t="shared" si="81"/>
        <v>7.7773303302875352E-2</v>
      </c>
      <c r="CZ33" s="42">
        <f t="shared" si="81"/>
        <v>5.955266622690969E-3</v>
      </c>
      <c r="DA33" s="42">
        <f t="shared" si="81"/>
        <v>5.0565406199906793E-2</v>
      </c>
      <c r="DB33" s="42">
        <f t="shared" si="81"/>
        <v>9.492601805001466E-2</v>
      </c>
      <c r="DC33" s="42">
        <f t="shared" si="81"/>
        <v>0.29166716946654381</v>
      </c>
      <c r="DD33" s="42">
        <f t="shared" si="81"/>
        <v>0.11628659060762292</v>
      </c>
      <c r="DE33" s="42">
        <f t="shared" si="81"/>
        <v>0.1914544865565273</v>
      </c>
      <c r="DF33" s="42">
        <f t="shared" si="81"/>
        <v>0.18211260442897559</v>
      </c>
      <c r="DG33" s="42">
        <f t="shared" si="81"/>
        <v>0.31517306770092413</v>
      </c>
      <c r="DH33" s="42">
        <f t="shared" si="81"/>
        <v>0.10847252405076113</v>
      </c>
      <c r="DI33" s="42">
        <f t="shared" si="81"/>
        <v>0.16189421599108256</v>
      </c>
      <c r="DJ33" s="42">
        <f t="shared" si="81"/>
        <v>0.21821934515432972</v>
      </c>
      <c r="DK33" s="42">
        <f t="shared" si="81"/>
        <v>0.18473816262752352</v>
      </c>
      <c r="DL33" s="42">
        <f t="shared" si="81"/>
        <v>7.0995253400365943E-2</v>
      </c>
      <c r="DM33" s="42">
        <f t="shared" si="81"/>
        <v>4.001634009671351E-2</v>
      </c>
      <c r="DN33" s="42">
        <f t="shared" si="81"/>
        <v>0.12457601495364856</v>
      </c>
      <c r="DO33" s="42">
        <f t="shared" si="81"/>
        <v>0.22089451236343227</v>
      </c>
      <c r="DP33" s="42">
        <f t="shared" si="81"/>
        <v>0.11093614680441588</v>
      </c>
      <c r="DQ33" s="42">
        <f t="shared" si="81"/>
        <v>0.16059656217319951</v>
      </c>
      <c r="DR33" s="42">
        <f t="shared" ca="1" si="81"/>
        <v>0.13320540023904126</v>
      </c>
      <c r="DS33" s="42">
        <f t="shared" ca="1" si="81"/>
        <v>0.13631074523468967</v>
      </c>
      <c r="DT33" s="42">
        <f t="shared" ca="1" si="81"/>
        <v>9.758950454694304E-2</v>
      </c>
      <c r="DU33" s="42">
        <f t="shared" ca="1" si="81"/>
        <v>0.13081461637785763</v>
      </c>
      <c r="DV33" s="42">
        <f t="shared" ref="DV33" ca="1" si="82">DV25/DQ25-1</f>
        <v>0.10588004688514419</v>
      </c>
      <c r="DW33" s="42">
        <f t="shared" ref="DW33" ca="1" si="83">DW25/DR25-1</f>
        <v>9.988151907102405E-2</v>
      </c>
      <c r="DX33" s="42">
        <f t="shared" ref="DX33" ca="1" si="84">DX25/DS25-1</f>
        <v>0.14756427443882436</v>
      </c>
      <c r="DY33" s="42">
        <f t="shared" ref="DY33" ca="1" si="85">DY25/DT25-1</f>
        <v>0.1953881634245036</v>
      </c>
      <c r="DZ33" s="42">
        <f t="shared" ref="DZ33" ca="1" si="86">DZ25/DU25-1</f>
        <v>0.13746813733216312</v>
      </c>
      <c r="EA33" s="42">
        <f t="shared" ref="EA33" ca="1" si="87">EA25/DV25-1</f>
        <v>8.5870760634453092E-2</v>
      </c>
      <c r="EB33" s="42">
        <f t="shared" ref="EB33" ca="1" si="88">EB25/DW25-1</f>
        <v>6.7472136110223957E-2</v>
      </c>
      <c r="EC33" s="42">
        <f t="shared" ref="EC33" ca="1" si="89">EC25/DX25-1</f>
        <v>7.7006582159577786E-2</v>
      </c>
      <c r="ED33" s="42">
        <f t="shared" ref="ED33" ca="1" si="90">ED25/DY25-1</f>
        <v>8.0216706491728296E-2</v>
      </c>
      <c r="EE33" s="42">
        <f t="shared" ref="EE33" ca="1" si="91">EE25/DZ25-1</f>
        <v>7.7296470702108433E-2</v>
      </c>
    </row>
    <row r="34" spans="2:135" s="2132" customFormat="1" outlineLevel="1">
      <c r="B34" s="39"/>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2141"/>
      <c r="CD34" s="2141"/>
      <c r="CE34" s="2141"/>
      <c r="CF34" s="2141"/>
      <c r="CG34" s="2141"/>
      <c r="CH34" s="15"/>
      <c r="CI34" s="15"/>
      <c r="CJ34" s="15"/>
      <c r="CK34" s="15"/>
      <c r="CL34" s="15"/>
      <c r="CM34" s="15"/>
      <c r="CN34" s="15"/>
      <c r="CO34" s="15"/>
      <c r="CP34" s="15"/>
      <c r="CQ34" s="15"/>
      <c r="CR34" s="15"/>
      <c r="CS34" s="15"/>
      <c r="CT34" s="15"/>
      <c r="CU34" s="15"/>
      <c r="CV34" s="15"/>
      <c r="CW34" s="15"/>
      <c r="CX34" s="15"/>
      <c r="CY34" s="15"/>
      <c r="CZ34" s="15"/>
      <c r="DA34" s="15"/>
      <c r="DB34" s="15"/>
      <c r="DC34" s="15"/>
      <c r="DD34" s="15"/>
      <c r="DE34" s="15"/>
      <c r="DF34" s="15"/>
      <c r="DG34" s="15"/>
      <c r="DH34" s="15"/>
      <c r="DI34" s="15"/>
      <c r="DJ34" s="15"/>
      <c r="DK34" s="15"/>
      <c r="DL34" s="15"/>
      <c r="DM34" s="15"/>
      <c r="DN34" s="15"/>
      <c r="DO34" s="15"/>
      <c r="DP34" s="15"/>
      <c r="DQ34" s="15"/>
      <c r="DR34" s="15"/>
      <c r="DS34" s="15"/>
      <c r="DT34" s="15"/>
      <c r="DU34" s="15"/>
      <c r="DV34" s="15"/>
      <c r="DW34" s="15"/>
      <c r="DX34" s="15"/>
      <c r="DY34" s="15"/>
      <c r="DZ34" s="15"/>
      <c r="EA34" s="15"/>
      <c r="EB34" s="15"/>
      <c r="EC34" s="15"/>
      <c r="ED34" s="15"/>
      <c r="EE34" s="15"/>
    </row>
    <row r="35" spans="2:135" s="2132" customFormat="1" outlineLevel="1">
      <c r="B35" s="17" t="s">
        <v>405</v>
      </c>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2141"/>
      <c r="CD35" s="2141"/>
      <c r="CE35" s="2141"/>
      <c r="CF35" s="2141"/>
      <c r="CG35" s="2141"/>
      <c r="CH35" s="15"/>
      <c r="CI35" s="15"/>
      <c r="CJ35" s="15"/>
      <c r="CK35" s="15"/>
      <c r="CL35" s="15"/>
      <c r="CM35" s="15"/>
      <c r="CN35" s="15"/>
      <c r="CO35" s="15"/>
      <c r="CP35" s="15"/>
      <c r="CQ35" s="15"/>
      <c r="CR35" s="15"/>
      <c r="CS35" s="15"/>
      <c r="CT35" s="15"/>
      <c r="CU35" s="15"/>
      <c r="CV35" s="15"/>
      <c r="CW35" s="15"/>
      <c r="CX35" s="15"/>
      <c r="CY35" s="15"/>
      <c r="CZ35" s="15"/>
      <c r="DA35" s="15"/>
      <c r="DB35" s="15"/>
      <c r="DC35" s="15"/>
      <c r="DD35" s="15"/>
      <c r="DE35" s="15"/>
      <c r="DF35" s="15"/>
      <c r="DG35" s="25"/>
      <c r="DH35" s="15"/>
      <c r="DI35" s="15"/>
      <c r="DJ35" s="15"/>
      <c r="DK35" s="15"/>
      <c r="DL35" s="15"/>
      <c r="DM35" s="15"/>
      <c r="DN35" s="15"/>
      <c r="DO35" s="15"/>
      <c r="DP35" s="15"/>
      <c r="DQ35" s="15"/>
      <c r="DR35" s="15"/>
      <c r="DS35" s="15"/>
      <c r="DT35" s="15"/>
      <c r="DU35" s="15"/>
      <c r="DV35" s="15"/>
      <c r="DW35" s="15"/>
      <c r="DX35" s="15"/>
      <c r="DY35" s="15"/>
      <c r="DZ35" s="15"/>
      <c r="EA35" s="15"/>
      <c r="EB35" s="15"/>
      <c r="EC35" s="15"/>
      <c r="ED35" s="15"/>
      <c r="EE35" s="15"/>
    </row>
    <row r="36" spans="2:135" s="2132" customFormat="1" outlineLevel="1">
      <c r="B36" s="2143" t="s">
        <v>291</v>
      </c>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2141"/>
      <c r="CD36" s="2141"/>
      <c r="CE36" s="2141"/>
      <c r="CF36" s="2141"/>
      <c r="CG36" s="2141"/>
      <c r="CH36" s="42">
        <f>CH11/CH9</f>
        <v>0.28753459409594095</v>
      </c>
      <c r="CI36" s="42">
        <f t="shared" ref="CI36:DU36" si="92">CI11/CI9</f>
        <v>0.29077937520268077</v>
      </c>
      <c r="CJ36" s="42">
        <f t="shared" si="92"/>
        <v>0.28327254912634042</v>
      </c>
      <c r="CK36" s="42">
        <f t="shared" si="92"/>
        <v>0.28546780208159406</v>
      </c>
      <c r="CL36" s="42">
        <f t="shared" si="92"/>
        <v>0.28676715061509478</v>
      </c>
      <c r="CM36" s="42">
        <f t="shared" si="92"/>
        <v>0.28358208955223879</v>
      </c>
      <c r="CN36" s="42">
        <f t="shared" si="92"/>
        <v>0.29279931370972068</v>
      </c>
      <c r="CO36" s="42">
        <f t="shared" si="92"/>
        <v>0.28582694907616041</v>
      </c>
      <c r="CP36" s="42">
        <f t="shared" si="92"/>
        <v>0.29092719498623559</v>
      </c>
      <c r="CQ36" s="42">
        <f t="shared" si="92"/>
        <v>0.28828891711920485</v>
      </c>
      <c r="CR36" s="42">
        <f t="shared" si="92"/>
        <v>0.29764379764379767</v>
      </c>
      <c r="CS36" s="42">
        <f t="shared" si="92"/>
        <v>0.30455301120823725</v>
      </c>
      <c r="CT36" s="42">
        <f t="shared" si="92"/>
        <v>0.2917053459291214</v>
      </c>
      <c r="CU36" s="42">
        <f t="shared" si="92"/>
        <v>0.28889136614458505</v>
      </c>
      <c r="CV36" s="42">
        <f t="shared" si="92"/>
        <v>0.2957475386681806</v>
      </c>
      <c r="CW36" s="42">
        <f t="shared" si="92"/>
        <v>0.28452179606088712</v>
      </c>
      <c r="CX36" s="42">
        <f t="shared" si="92"/>
        <v>0.29079316500892627</v>
      </c>
      <c r="CY36" s="42">
        <f t="shared" si="92"/>
        <v>0.28251121076233182</v>
      </c>
      <c r="CZ36" s="42">
        <f t="shared" si="92"/>
        <v>0.27895261583670045</v>
      </c>
      <c r="DA36" s="42">
        <f t="shared" si="92"/>
        <v>0.28423133312388732</v>
      </c>
      <c r="DB36" s="42">
        <f t="shared" si="92"/>
        <v>0.27349902833179912</v>
      </c>
      <c r="DC36" s="42">
        <f t="shared" si="92"/>
        <v>0.26105445376886316</v>
      </c>
      <c r="DD36" s="42">
        <f t="shared" si="92"/>
        <v>0.26219829831567981</v>
      </c>
      <c r="DE36" s="42">
        <f t="shared" si="92"/>
        <v>0.25853726947619382</v>
      </c>
      <c r="DF36" s="42">
        <f t="shared" si="92"/>
        <v>0.26303120528981866</v>
      </c>
      <c r="DG36" s="42">
        <f t="shared" si="92"/>
        <v>0.25998002273275239</v>
      </c>
      <c r="DH36" s="42">
        <f t="shared" ref="DH36" si="93">DH11/DH9</f>
        <v>0.26543864298966341</v>
      </c>
      <c r="DI36" s="42">
        <f t="shared" si="92"/>
        <v>0.25727167943589396</v>
      </c>
      <c r="DJ36" s="42">
        <f t="shared" si="92"/>
        <v>0.25013968431345163</v>
      </c>
      <c r="DK36" s="42">
        <f t="shared" si="92"/>
        <v>0.25830201702584554</v>
      </c>
      <c r="DL36" s="42">
        <f t="shared" si="92"/>
        <v>0.25171046629942812</v>
      </c>
      <c r="DM36" s="42">
        <f t="shared" si="92"/>
        <v>0.25843917679820688</v>
      </c>
      <c r="DN36" s="42">
        <f t="shared" si="92"/>
        <v>0.23886048210372535</v>
      </c>
      <c r="DO36" s="42">
        <f t="shared" si="92"/>
        <v>0.24312580848452686</v>
      </c>
      <c r="DP36" s="42">
        <f t="shared" si="92"/>
        <v>0.24792325782056271</v>
      </c>
      <c r="DQ36" s="42">
        <f t="shared" si="92"/>
        <v>0.24196486662329214</v>
      </c>
      <c r="DR36" s="42">
        <f t="shared" ca="1" si="92"/>
        <v>0.24866307433647672</v>
      </c>
      <c r="DS36" s="42">
        <f t="shared" ca="1" si="92"/>
        <v>0.24171593607542455</v>
      </c>
      <c r="DT36" s="42">
        <f t="shared" si="92"/>
        <v>0.240097540642911</v>
      </c>
      <c r="DU36" s="42">
        <f t="shared" ca="1" si="92"/>
        <v>0.24313811205036423</v>
      </c>
      <c r="DV36" s="42">
        <f t="shared" ref="DV36:DZ36" si="94">DV11/DV9</f>
        <v>0.23972726109779549</v>
      </c>
      <c r="DW36" s="42">
        <f t="shared" ca="1" si="94"/>
        <v>0.24935630888531091</v>
      </c>
      <c r="DX36" s="42">
        <f t="shared" ca="1" si="94"/>
        <v>0.24391201901681597</v>
      </c>
      <c r="DY36" s="42">
        <f t="shared" si="94"/>
        <v>0.24257547887501707</v>
      </c>
      <c r="DZ36" s="42">
        <f t="shared" ca="1" si="94"/>
        <v>0.24393102219614243</v>
      </c>
      <c r="EA36" s="42">
        <f t="shared" ref="EA36:EE36" si="95">EA11/EA9</f>
        <v>0.24110864115342101</v>
      </c>
      <c r="EB36" s="42">
        <f t="shared" ca="1" si="95"/>
        <v>0.25008801948933873</v>
      </c>
      <c r="EC36" s="42">
        <f t="shared" ca="1" si="95"/>
        <v>0.24487542723664429</v>
      </c>
      <c r="ED36" s="42">
        <f t="shared" si="95"/>
        <v>0.24342118080718447</v>
      </c>
      <c r="EE36" s="42">
        <f t="shared" ca="1" si="95"/>
        <v>0.24490777623623042</v>
      </c>
    </row>
    <row r="37" spans="2:135" s="2132" customFormat="1" outlineLevel="1">
      <c r="B37" s="2143" t="s">
        <v>99</v>
      </c>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2141"/>
      <c r="CD37" s="2141"/>
      <c r="CE37" s="2141"/>
      <c r="CF37" s="2141"/>
      <c r="CG37" s="2141"/>
      <c r="CH37" s="42">
        <f>CH13/CH9</f>
        <v>0.22785977859778597</v>
      </c>
      <c r="CI37" s="42">
        <f t="shared" ref="CI37:DU37" si="96">CI13/CI9</f>
        <v>0.22003026699816236</v>
      </c>
      <c r="CJ37" s="42">
        <f t="shared" si="96"/>
        <v>0.22584508192259539</v>
      </c>
      <c r="CK37" s="42">
        <f t="shared" si="96"/>
        <v>0.23209216897645685</v>
      </c>
      <c r="CL37" s="42">
        <f t="shared" si="96"/>
        <v>0.22639366064501829</v>
      </c>
      <c r="CM37" s="42">
        <f t="shared" si="96"/>
        <v>0.22823153604670374</v>
      </c>
      <c r="CN37" s="42">
        <f t="shared" si="96"/>
        <v>0.22642217575465123</v>
      </c>
      <c r="CO37" s="42">
        <f t="shared" si="96"/>
        <v>0.22859396124380352</v>
      </c>
      <c r="CP37" s="42">
        <f t="shared" si="96"/>
        <v>0.24184384700989867</v>
      </c>
      <c r="CQ37" s="42">
        <f t="shared" si="96"/>
        <v>0.23109460723409603</v>
      </c>
      <c r="CR37" s="42">
        <f t="shared" si="96"/>
        <v>0.24532224532224534</v>
      </c>
      <c r="CS37" s="42">
        <f t="shared" si="96"/>
        <v>0.23601651740226309</v>
      </c>
      <c r="CT37" s="42">
        <f t="shared" si="96"/>
        <v>0.23152951455250367</v>
      </c>
      <c r="CU37" s="42">
        <f t="shared" si="96"/>
        <v>0.23348754250041803</v>
      </c>
      <c r="CV37" s="42">
        <f t="shared" si="96"/>
        <v>0.23648171483168784</v>
      </c>
      <c r="CW37" s="42">
        <f t="shared" si="96"/>
        <v>0.2326913634131704</v>
      </c>
      <c r="CX37" s="42">
        <f t="shared" si="96"/>
        <v>0.22836011221627137</v>
      </c>
      <c r="CY37" s="42">
        <f t="shared" si="96"/>
        <v>0.22478222772022061</v>
      </c>
      <c r="CZ37" s="42">
        <f t="shared" si="96"/>
        <v>0.22432701894317048</v>
      </c>
      <c r="DA37" s="42">
        <f t="shared" si="96"/>
        <v>0.22748455335637238</v>
      </c>
      <c r="DB37" s="42">
        <f t="shared" si="96"/>
        <v>0.22179605195867852</v>
      </c>
      <c r="DC37" s="42">
        <f t="shared" si="96"/>
        <v>0.19561208745719338</v>
      </c>
      <c r="DD37" s="42">
        <f t="shared" si="96"/>
        <v>0.20145858656016669</v>
      </c>
      <c r="DE37" s="42">
        <f t="shared" si="96"/>
        <v>0.20769931982329429</v>
      </c>
      <c r="DF37" s="42">
        <f t="shared" si="96"/>
        <v>0.20552182823556708</v>
      </c>
      <c r="DG37" s="42">
        <f t="shared" si="96"/>
        <v>0.20077153583852858</v>
      </c>
      <c r="DH37" s="42">
        <f t="shared" ref="DH37" si="97">DH13/DH9</f>
        <v>0.19520275642724622</v>
      </c>
      <c r="DI37" s="42">
        <f t="shared" si="96"/>
        <v>0.19604718963997558</v>
      </c>
      <c r="DJ37" s="42">
        <f t="shared" si="96"/>
        <v>0.19758346137728733</v>
      </c>
      <c r="DK37" s="42">
        <f t="shared" si="96"/>
        <v>0.19737369089313256</v>
      </c>
      <c r="DL37" s="42">
        <f t="shared" si="96"/>
        <v>0.19318620399284236</v>
      </c>
      <c r="DM37" s="42">
        <f t="shared" si="96"/>
        <v>0.19265774638320995</v>
      </c>
      <c r="DN37" s="42">
        <f t="shared" si="96"/>
        <v>0.17467959359851251</v>
      </c>
      <c r="DO37" s="42">
        <f t="shared" si="96"/>
        <v>0.18342233573252845</v>
      </c>
      <c r="DP37" s="42">
        <f t="shared" si="96"/>
        <v>0.18584939178100732</v>
      </c>
      <c r="DQ37" s="42">
        <f t="shared" si="96"/>
        <v>0.18562134027325961</v>
      </c>
      <c r="DR37" s="42">
        <f t="shared" ca="1" si="96"/>
        <v>0.18859320723199424</v>
      </c>
      <c r="DS37" s="42">
        <f t="shared" ca="1" si="96"/>
        <v>0.18672468189913072</v>
      </c>
      <c r="DT37" s="42">
        <f t="shared" si="96"/>
        <v>0.18660515232760899</v>
      </c>
      <c r="DU37" s="42">
        <f t="shared" ca="1" si="96"/>
        <v>0.18691351785296428</v>
      </c>
      <c r="DV37" s="42">
        <f t="shared" ref="DV37:DZ37" si="98">DV13/DV9</f>
        <v>0.187193877996572</v>
      </c>
      <c r="DW37" s="42">
        <f t="shared" ca="1" si="98"/>
        <v>0.18954496011491842</v>
      </c>
      <c r="DX37" s="42">
        <f t="shared" ca="1" si="98"/>
        <v>0.18397895498901656</v>
      </c>
      <c r="DY37" s="42">
        <f t="shared" si="98"/>
        <v>0.18289789444964685</v>
      </c>
      <c r="DZ37" s="42">
        <f t="shared" ca="1" si="98"/>
        <v>0.18590607341876506</v>
      </c>
      <c r="EA37" s="42">
        <f t="shared" ref="EA37:EE37" si="99">EA13/EA9</f>
        <v>0.18808196861769699</v>
      </c>
      <c r="EB37" s="42">
        <f t="shared" ca="1" si="99"/>
        <v>0.19057962223368885</v>
      </c>
      <c r="EC37" s="42">
        <f t="shared" ca="1" si="99"/>
        <v>0.18480909030545631</v>
      </c>
      <c r="ED37" s="42">
        <f t="shared" si="99"/>
        <v>0.18354091104942136</v>
      </c>
      <c r="EE37" s="42">
        <f t="shared" ca="1" si="99"/>
        <v>0.186753838883572</v>
      </c>
    </row>
    <row r="38" spans="2:135" s="2132" customFormat="1" outlineLevel="1">
      <c r="B38" s="2143" t="s">
        <v>584</v>
      </c>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2141"/>
      <c r="CD38" s="2141"/>
      <c r="CE38" s="2141"/>
      <c r="CF38" s="2141"/>
      <c r="CG38" s="2141"/>
      <c r="CH38" s="42">
        <f>CH15/CH9</f>
        <v>5.9674815498154982E-2</v>
      </c>
      <c r="CI38" s="42">
        <f t="shared" ref="CI38:DU38" si="100">CI15/CI9</f>
        <v>7.0749108204518435E-2</v>
      </c>
      <c r="CJ38" s="42">
        <f t="shared" si="100"/>
        <v>5.7427467203745031E-2</v>
      </c>
      <c r="CK38" s="42">
        <f t="shared" si="100"/>
        <v>5.3375633105137196E-2</v>
      </c>
      <c r="CL38" s="42">
        <f t="shared" si="100"/>
        <v>6.0373489970076473E-2</v>
      </c>
      <c r="CM38" s="42">
        <f t="shared" si="100"/>
        <v>5.5350553505535055E-2</v>
      </c>
      <c r="CN38" s="42">
        <f t="shared" si="100"/>
        <v>6.6377137955069429E-2</v>
      </c>
      <c r="CO38" s="42">
        <f t="shared" si="100"/>
        <v>5.7232987832356919E-2</v>
      </c>
      <c r="CP38" s="42">
        <f t="shared" si="100"/>
        <v>4.9083347976336907E-2</v>
      </c>
      <c r="CQ38" s="42">
        <f t="shared" si="100"/>
        <v>5.7194309885108818E-2</v>
      </c>
      <c r="CR38" s="42">
        <f t="shared" si="100"/>
        <v>5.3361053361053359E-2</v>
      </c>
      <c r="CS38" s="42">
        <f t="shared" si="100"/>
        <v>7.4971845337051535E-2</v>
      </c>
      <c r="CT38" s="42">
        <f t="shared" si="100"/>
        <v>6.8202915961338942E-2</v>
      </c>
      <c r="CU38" s="42">
        <f t="shared" si="100"/>
        <v>6.1479293238949892E-2</v>
      </c>
      <c r="CV38" s="42">
        <f t="shared" si="100"/>
        <v>6.4721602946674603E-2</v>
      </c>
      <c r="CW38" s="42">
        <f t="shared" si="100"/>
        <v>6.0177860221506903E-2</v>
      </c>
      <c r="CX38" s="42">
        <f t="shared" si="100"/>
        <v>6.8247895944912013E-2</v>
      </c>
      <c r="CY38" s="42">
        <f t="shared" si="100"/>
        <v>6.726457399103139E-2</v>
      </c>
      <c r="CZ38" s="42">
        <f t="shared" si="100"/>
        <v>5.9925486697801331E-2</v>
      </c>
      <c r="DA38" s="42">
        <f t="shared" si="100"/>
        <v>6.3985757670960305E-2</v>
      </c>
      <c r="DB38" s="42">
        <f t="shared" si="100"/>
        <v>6.1624220108417713E-2</v>
      </c>
      <c r="DC38" s="42">
        <f t="shared" si="100"/>
        <v>6.924321679900651E-2</v>
      </c>
      <c r="DD38" s="42">
        <f t="shared" si="100"/>
        <v>6.0739711755513112E-2</v>
      </c>
      <c r="DE38" s="42">
        <f t="shared" si="100"/>
        <v>5.083794965289952E-2</v>
      </c>
      <c r="DF38" s="42">
        <f t="shared" si="100"/>
        <v>6.0361161594679247E-2</v>
      </c>
      <c r="DG38" s="42">
        <f t="shared" si="100"/>
        <v>5.9208486894223818E-2</v>
      </c>
      <c r="DH38" s="42">
        <f t="shared" ref="DH38" si="101">DH15/DH9</f>
        <v>7.023588656241718E-2</v>
      </c>
      <c r="DI38" s="42">
        <f t="shared" si="100"/>
        <v>6.1495694623364294E-2</v>
      </c>
      <c r="DJ38" s="42">
        <f t="shared" si="100"/>
        <v>5.4302276854309259E-2</v>
      </c>
      <c r="DK38" s="42">
        <f t="shared" si="100"/>
        <v>6.1422569897146166E-2</v>
      </c>
      <c r="DL38" s="42">
        <f t="shared" si="100"/>
        <v>6.0559278621802742E-2</v>
      </c>
      <c r="DM38" s="42">
        <f t="shared" si="100"/>
        <v>6.8464307546016442E-2</v>
      </c>
      <c r="DN38" s="42">
        <f t="shared" si="100"/>
        <v>6.8198419549770906E-2</v>
      </c>
      <c r="DO38" s="42">
        <f t="shared" si="100"/>
        <v>6.2489634813758334E-2</v>
      </c>
      <c r="DP38" s="42">
        <f t="shared" si="100"/>
        <v>6.4966924391358052E-2</v>
      </c>
      <c r="DQ38" s="42">
        <f t="shared" si="100"/>
        <v>5.88484059856864E-2</v>
      </c>
      <c r="DR38" s="42">
        <f t="shared" ca="1" si="100"/>
        <v>6.2340024566184642E-2</v>
      </c>
      <c r="DS38" s="42">
        <f t="shared" ca="1" si="100"/>
        <v>5.7810857887781668E-2</v>
      </c>
      <c r="DT38" s="42">
        <f t="shared" si="100"/>
        <v>5.598836454352852E-2</v>
      </c>
      <c r="DU38" s="42">
        <f t="shared" ca="1" si="100"/>
        <v>5.8748316948134809E-2</v>
      </c>
      <c r="DV38" s="42">
        <f t="shared" ref="DV38:DZ38" si="102">DV15/DV9</f>
        <v>5.4885295664448587E-2</v>
      </c>
      <c r="DW38" s="42">
        <f t="shared" ca="1" si="102"/>
        <v>6.2037967999880178E-2</v>
      </c>
      <c r="DX38" s="42">
        <f t="shared" ca="1" si="102"/>
        <v>6.2605997709537647E-2</v>
      </c>
      <c r="DY38" s="42">
        <f t="shared" si="102"/>
        <v>6.2209450119634642E-2</v>
      </c>
      <c r="DZ38" s="42">
        <f t="shared" ca="1" si="102"/>
        <v>6.0471173186073181E-2</v>
      </c>
      <c r="EA38" s="42">
        <f t="shared" ref="EA38:EE38" si="103">EA15/EA9</f>
        <v>5.5337075100073171E-2</v>
      </c>
      <c r="EB38" s="42">
        <f t="shared" ca="1" si="103"/>
        <v>6.169688425163293E-2</v>
      </c>
      <c r="EC38" s="42">
        <f t="shared" ca="1" si="103"/>
        <v>6.2691156631580133E-2</v>
      </c>
      <c r="ED38" s="42">
        <f t="shared" si="103"/>
        <v>6.2364165121271901E-2</v>
      </c>
      <c r="EE38" s="42">
        <f t="shared" ca="1" si="103"/>
        <v>6.0556303337265152E-2</v>
      </c>
    </row>
    <row r="39" spans="2:135" s="2132" customFormat="1" outlineLevel="2">
      <c r="B39" s="2143" t="s">
        <v>282</v>
      </c>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2141"/>
      <c r="CD39" s="2141"/>
      <c r="CE39" s="2141"/>
      <c r="CF39" s="2141"/>
      <c r="CG39" s="2141"/>
      <c r="CH39" s="42">
        <f>CH22/CH11</f>
        <v>0.12813314618006819</v>
      </c>
      <c r="CI39" s="42">
        <f t="shared" ref="CI39:DF39" si="104">CI22/CI11</f>
        <v>0.14907063197026021</v>
      </c>
      <c r="CJ39" s="42">
        <f t="shared" si="104"/>
        <v>0.12874711760184473</v>
      </c>
      <c r="CK39" s="42">
        <f t="shared" si="104"/>
        <v>0.11678689803080522</v>
      </c>
      <c r="CL39" s="42">
        <f t="shared" si="104"/>
        <v>0.13091787439613525</v>
      </c>
      <c r="CM39" s="42">
        <f t="shared" si="104"/>
        <v>0.12021751796465333</v>
      </c>
      <c r="CN39" s="42">
        <f t="shared" si="104"/>
        <v>0.14045046694744553</v>
      </c>
      <c r="CO39" s="42">
        <f t="shared" si="104"/>
        <v>0.12376823019314151</v>
      </c>
      <c r="CP39" s="42">
        <f t="shared" si="104"/>
        <v>0.11133480974431247</v>
      </c>
      <c r="CQ39" s="42">
        <f t="shared" si="104"/>
        <v>0.124303907801075</v>
      </c>
      <c r="CR39" s="42">
        <f t="shared" si="104"/>
        <v>0.1072953046177726</v>
      </c>
      <c r="CS39" s="42">
        <f t="shared" si="104"/>
        <v>0.16111991547807714</v>
      </c>
      <c r="CT39" s="42">
        <f t="shared" si="104"/>
        <v>0.15200299513290902</v>
      </c>
      <c r="CU39" s="42">
        <f t="shared" si="104"/>
        <v>0.13544279374879414</v>
      </c>
      <c r="CV39" s="42">
        <f t="shared" si="104"/>
        <v>0.13961981458938102</v>
      </c>
      <c r="CW39" s="42">
        <f t="shared" si="104"/>
        <v>0.13192713326941516</v>
      </c>
      <c r="CX39" s="42">
        <f t="shared" si="104"/>
        <v>0.15435888440624451</v>
      </c>
      <c r="CY39" s="42">
        <f t="shared" si="104"/>
        <v>0.16110198868819559</v>
      </c>
      <c r="CZ39" s="42">
        <f t="shared" si="104"/>
        <v>0.13431151241534989</v>
      </c>
      <c r="DA39" s="42">
        <f t="shared" si="104"/>
        <v>0.14576520978215815</v>
      </c>
      <c r="DB39" s="42">
        <f t="shared" si="104"/>
        <v>0.1400523560209424</v>
      </c>
      <c r="DC39" s="42">
        <f t="shared" si="104"/>
        <v>0.179328239873144</v>
      </c>
      <c r="DD39" s="42">
        <f t="shared" si="104"/>
        <v>0.14874172185430465</v>
      </c>
      <c r="DE39" s="42">
        <f t="shared" si="104"/>
        <v>0.13140764849471115</v>
      </c>
      <c r="DF39" s="42">
        <f t="shared" si="104"/>
        <v>0.15013414678966519</v>
      </c>
      <c r="DG39" s="42">
        <f>DG22/DG9</f>
        <v>3.8990114697068853E-2</v>
      </c>
      <c r="DH39" s="42">
        <f t="shared" ref="DH39:DZ39" si="105">DH22/DH9</f>
        <v>4.714418234826398E-2</v>
      </c>
      <c r="DI39" s="42">
        <f t="shared" si="105"/>
        <v>4.3663977218794496E-2</v>
      </c>
      <c r="DJ39" s="42">
        <f t="shared" si="105"/>
        <v>4.0717977371141217E-2</v>
      </c>
      <c r="DK39" s="42">
        <f t="shared" si="105"/>
        <v>4.2683914069756544E-2</v>
      </c>
      <c r="DL39" s="42">
        <f t="shared" si="105"/>
        <v>4.2138872320269465E-2</v>
      </c>
      <c r="DM39" s="42">
        <f t="shared" si="105"/>
        <v>5.0125653739047746E-2</v>
      </c>
      <c r="DN39" s="42">
        <f t="shared" si="105"/>
        <v>4.7845142439737032E-2</v>
      </c>
      <c r="DO39" s="42">
        <f t="shared" si="105"/>
        <v>4.5938505423065441E-2</v>
      </c>
      <c r="DP39" s="42">
        <f t="shared" si="105"/>
        <v>4.6551169912193144E-2</v>
      </c>
      <c r="DQ39" s="42">
        <f t="shared" si="105"/>
        <v>4.2127521145087832E-2</v>
      </c>
      <c r="DR39" s="42">
        <f t="shared" ca="1" si="105"/>
        <v>4.5705592214065449E-2</v>
      </c>
      <c r="DS39" s="42">
        <f t="shared" ca="1" si="105"/>
        <v>4.4492904338043662E-2</v>
      </c>
      <c r="DT39" s="42">
        <f t="shared" ca="1" si="105"/>
        <v>4.289894543233494E-2</v>
      </c>
      <c r="DU39" s="42">
        <f t="shared" ca="1" si="105"/>
        <v>4.3845637964379895E-2</v>
      </c>
      <c r="DV39" s="42">
        <f t="shared" ca="1" si="105"/>
        <v>4.2103078624778918E-2</v>
      </c>
      <c r="DW39" s="42">
        <f t="shared" ca="1" si="105"/>
        <v>4.8206802653576367E-2</v>
      </c>
      <c r="DX39" s="42">
        <f t="shared" ca="1" si="105"/>
        <v>4.8750154794984117E-2</v>
      </c>
      <c r="DY39" s="42">
        <f t="shared" ca="1" si="105"/>
        <v>4.8354619721034359E-2</v>
      </c>
      <c r="DZ39" s="42">
        <f t="shared" ca="1" si="105"/>
        <v>4.6884982315869496E-2</v>
      </c>
      <c r="EA39" s="42">
        <f t="shared" ref="EA39:EE39" ca="1" si="106">EA22/EA9</f>
        <v>4.2697697267531247E-2</v>
      </c>
      <c r="EB39" s="42">
        <f t="shared" ca="1" si="106"/>
        <v>4.8053807434015119E-2</v>
      </c>
      <c r="EC39" s="42">
        <f t="shared" ca="1" si="106"/>
        <v>4.8953326653042924E-2</v>
      </c>
      <c r="ED39" s="42">
        <f t="shared" ca="1" si="106"/>
        <v>4.8620802403507801E-2</v>
      </c>
      <c r="EE39" s="42">
        <f t="shared" ca="1" si="106"/>
        <v>4.7110212608572316E-2</v>
      </c>
    </row>
    <row r="40" spans="2:135" s="2132" customFormat="1" outlineLevel="1">
      <c r="B40" s="2143"/>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2141"/>
      <c r="CD40" s="2141"/>
      <c r="CE40" s="2141"/>
      <c r="CF40" s="2141"/>
      <c r="CG40" s="2141"/>
      <c r="CH40" s="42"/>
      <c r="CI40" s="42"/>
      <c r="CJ40" s="42"/>
      <c r="CK40" s="42"/>
      <c r="CL40" s="42"/>
      <c r="CM40" s="42"/>
      <c r="CN40" s="42"/>
      <c r="CO40" s="42"/>
      <c r="CP40" s="42"/>
      <c r="CQ40" s="42"/>
      <c r="CR40" s="42"/>
      <c r="CS40" s="42"/>
      <c r="CT40" s="42"/>
      <c r="CU40" s="42"/>
      <c r="CV40" s="42"/>
      <c r="CW40" s="42"/>
      <c r="CX40" s="42"/>
      <c r="CY40" s="42"/>
      <c r="CZ40" s="42"/>
      <c r="DA40" s="42"/>
      <c r="DB40" s="42"/>
      <c r="DC40" s="42"/>
      <c r="DD40" s="42"/>
      <c r="DE40" s="42"/>
      <c r="DF40" s="42"/>
      <c r="DG40" s="42"/>
      <c r="DH40" s="42"/>
      <c r="DI40" s="42"/>
      <c r="DJ40" s="42"/>
      <c r="DK40" s="42"/>
      <c r="DL40" s="42"/>
      <c r="DM40" s="42"/>
      <c r="DN40" s="44"/>
      <c r="DO40" s="42"/>
      <c r="DP40" s="42"/>
      <c r="DQ40" s="42"/>
      <c r="DR40" s="42"/>
      <c r="DS40" s="42"/>
      <c r="DT40" s="42"/>
      <c r="DU40" s="42"/>
      <c r="DV40" s="42"/>
      <c r="DW40" s="42"/>
      <c r="DX40" s="42"/>
      <c r="DY40" s="42"/>
      <c r="DZ40" s="42"/>
      <c r="EA40" s="42"/>
      <c r="EB40" s="42"/>
      <c r="EC40" s="42"/>
      <c r="ED40" s="42"/>
      <c r="EE40" s="42"/>
    </row>
    <row r="41" spans="2:135" s="2132" customFormat="1" outlineLevel="1">
      <c r="B41" s="2144" t="s">
        <v>39</v>
      </c>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2141"/>
      <c r="CD41" s="2141"/>
      <c r="CE41" s="2141"/>
      <c r="CF41" s="2141"/>
      <c r="CG41" s="2141"/>
      <c r="CH41" s="42"/>
      <c r="CI41" s="42"/>
      <c r="CJ41" s="42"/>
      <c r="CK41" s="42"/>
      <c r="CL41" s="42"/>
      <c r="CM41" s="42"/>
      <c r="CN41" s="42"/>
      <c r="CO41" s="42"/>
      <c r="CP41" s="42"/>
      <c r="CQ41" s="42"/>
      <c r="CR41" s="42"/>
      <c r="CS41" s="42"/>
      <c r="CT41" s="42"/>
      <c r="CU41" s="42"/>
      <c r="CV41" s="42"/>
      <c r="CW41" s="42"/>
      <c r="CX41" s="42"/>
      <c r="CY41" s="42"/>
      <c r="CZ41" s="42"/>
      <c r="DA41" s="42"/>
      <c r="DB41" s="42"/>
      <c r="DC41" s="42"/>
      <c r="DD41" s="42"/>
      <c r="DE41" s="42"/>
      <c r="DF41" s="42"/>
      <c r="DG41" s="42"/>
      <c r="DH41" s="42"/>
      <c r="DI41" s="42"/>
      <c r="DJ41" s="42"/>
      <c r="DK41" s="42"/>
      <c r="DL41" s="42"/>
      <c r="DM41" s="42"/>
      <c r="DN41" s="42"/>
      <c r="DO41" s="42"/>
      <c r="DP41" s="42"/>
      <c r="DQ41" s="42"/>
      <c r="DR41" s="42"/>
      <c r="DS41" s="42"/>
      <c r="DT41" s="42"/>
      <c r="DU41" s="42"/>
      <c r="DV41" s="42"/>
      <c r="DW41" s="42"/>
      <c r="DX41" s="42"/>
      <c r="DY41" s="42"/>
      <c r="DZ41" s="42"/>
      <c r="EA41" s="42"/>
      <c r="EB41" s="42"/>
      <c r="EC41" s="42"/>
      <c r="ED41" s="42"/>
      <c r="EE41" s="42"/>
    </row>
    <row r="42" spans="2:135" s="2132" customFormat="1" outlineLevel="1">
      <c r="B42" s="2143" t="s">
        <v>464</v>
      </c>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2141"/>
      <c r="CD42" s="2141"/>
      <c r="CE42" s="2141"/>
      <c r="CF42" s="2141"/>
      <c r="CG42" s="2141"/>
      <c r="CH42" s="42">
        <f t="shared" ref="CH42:DM42" si="107">CH20/CH18</f>
        <v>0.37044334975369458</v>
      </c>
      <c r="CI42" s="42">
        <f t="shared" si="107"/>
        <v>0.37877614252517428</v>
      </c>
      <c r="CJ42" s="42">
        <f t="shared" si="107"/>
        <v>0.35390549662487947</v>
      </c>
      <c r="CK42" s="42">
        <f t="shared" si="107"/>
        <v>0.36546610169491528</v>
      </c>
      <c r="CL42" s="42">
        <f t="shared" si="107"/>
        <v>0.36785630977373457</v>
      </c>
      <c r="CM42" s="42">
        <f t="shared" si="107"/>
        <v>0.37348178137651822</v>
      </c>
      <c r="CN42" s="42">
        <f t="shared" si="107"/>
        <v>0.37182637182637185</v>
      </c>
      <c r="CO42" s="42">
        <f t="shared" si="107"/>
        <v>0.37137137137137138</v>
      </c>
      <c r="CP42" s="42">
        <f t="shared" si="107"/>
        <v>0.30961298377028712</v>
      </c>
      <c r="CQ42" s="42">
        <f t="shared" si="107"/>
        <v>0.35969069593414815</v>
      </c>
      <c r="CR42" s="42">
        <f t="shared" si="107"/>
        <v>0.3765501691093574</v>
      </c>
      <c r="CS42" s="42">
        <f t="shared" si="107"/>
        <v>0.33454545454545453</v>
      </c>
      <c r="CT42" s="42">
        <f t="shared" si="107"/>
        <v>0.32276897414512096</v>
      </c>
      <c r="CU42" s="42">
        <f t="shared" si="107"/>
        <v>0.33015267175572521</v>
      </c>
      <c r="CV42" s="42">
        <f t="shared" si="107"/>
        <v>0.33865602129075184</v>
      </c>
      <c r="CW42" s="42">
        <f t="shared" si="107"/>
        <v>0.35216572504708099</v>
      </c>
      <c r="CX42" s="42">
        <f t="shared" si="107"/>
        <v>0.32359723289777093</v>
      </c>
      <c r="CY42" s="42">
        <f t="shared" si="107"/>
        <v>0.3047244094488189</v>
      </c>
      <c r="CZ42" s="42">
        <f t="shared" si="107"/>
        <v>0.3503184713375796</v>
      </c>
      <c r="DA42" s="42">
        <f t="shared" si="107"/>
        <v>0.33114961961115807</v>
      </c>
      <c r="DB42" s="42">
        <f t="shared" si="107"/>
        <v>0.34869565217391302</v>
      </c>
      <c r="DC42" s="42">
        <f t="shared" si="107"/>
        <v>0.26650943396226418</v>
      </c>
      <c r="DD42" s="42">
        <f t="shared" si="107"/>
        <v>0.2972465581977472</v>
      </c>
      <c r="DE42" s="42">
        <f t="shared" si="107"/>
        <v>0.1891213389121339</v>
      </c>
      <c r="DF42" s="42">
        <f t="shared" si="107"/>
        <v>0.27558077673346337</v>
      </c>
      <c r="DG42" s="42">
        <f t="shared" si="107"/>
        <v>0.28399746995572422</v>
      </c>
      <c r="DH42" s="42">
        <f t="shared" si="107"/>
        <v>0.28131313131313129</v>
      </c>
      <c r="DI42" s="42">
        <f t="shared" si="107"/>
        <v>0.22735452909418116</v>
      </c>
      <c r="DJ42" s="42">
        <f t="shared" si="107"/>
        <v>0.15751445086705201</v>
      </c>
      <c r="DK42" s="42">
        <f t="shared" si="107"/>
        <v>0.24243799153055051</v>
      </c>
      <c r="DL42" s="42">
        <f t="shared" si="107"/>
        <v>0.22715572715572716</v>
      </c>
      <c r="DM42" s="42">
        <f t="shared" si="107"/>
        <v>0.19956616052060738</v>
      </c>
      <c r="DN42" s="42">
        <f t="shared" ref="DN42:EE42" si="108">DN20/DN18</f>
        <v>0.24117956819378619</v>
      </c>
      <c r="DO42" s="42">
        <f t="shared" si="108"/>
        <v>0.17559523809523808</v>
      </c>
      <c r="DP42" s="42">
        <f t="shared" si="108"/>
        <v>0.21250715512306811</v>
      </c>
      <c r="DQ42" s="42">
        <f t="shared" si="108"/>
        <v>0.21987951807228914</v>
      </c>
      <c r="DR42" s="42">
        <f t="shared" ca="1" si="108"/>
        <v>0.21782586374184668</v>
      </c>
      <c r="DS42" s="42">
        <f t="shared" ca="1" si="108"/>
        <v>0.17543746576368532</v>
      </c>
      <c r="DT42" s="42">
        <f t="shared" ca="1" si="108"/>
        <v>0.17670256279350188</v>
      </c>
      <c r="DU42" s="42">
        <f t="shared" ca="1" si="108"/>
        <v>0.1975886358165681</v>
      </c>
      <c r="DV42" s="42">
        <f t="shared" ca="1" si="108"/>
        <v>0.17722962133301234</v>
      </c>
      <c r="DW42" s="42">
        <f t="shared" ca="1" si="108"/>
        <v>0.17704244788072759</v>
      </c>
      <c r="DX42" s="42">
        <f t="shared" ca="1" si="108"/>
        <v>0.1757015638501685</v>
      </c>
      <c r="DY42" s="42">
        <f t="shared" ca="1" si="108"/>
        <v>0.17627150057665492</v>
      </c>
      <c r="DZ42" s="42">
        <f t="shared" ca="1" si="108"/>
        <v>0.17653345106695842</v>
      </c>
      <c r="EA42" s="42">
        <f t="shared" ca="1" si="108"/>
        <v>0.17715995035971585</v>
      </c>
      <c r="EB42" s="42">
        <f t="shared" ca="1" si="108"/>
        <v>0.17701393092454382</v>
      </c>
      <c r="EC42" s="42">
        <f t="shared" ca="1" si="108"/>
        <v>0.17568608897166763</v>
      </c>
      <c r="ED42" s="42">
        <f t="shared" ca="1" si="108"/>
        <v>0.17624062726504569</v>
      </c>
      <c r="EE42" s="42">
        <f t="shared" ca="1" si="108"/>
        <v>0.17649882094187339</v>
      </c>
    </row>
    <row r="43" spans="2:135" s="2132" customFormat="1" outlineLevel="1">
      <c r="B43" s="17"/>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2141"/>
      <c r="CD43" s="2141"/>
      <c r="CE43" s="2141"/>
      <c r="CF43" s="2141"/>
      <c r="CG43" s="2141"/>
      <c r="CH43" s="2141"/>
      <c r="CI43" s="2141"/>
      <c r="CJ43" s="2141"/>
      <c r="CK43" s="2141"/>
      <c r="CL43" s="2141"/>
      <c r="CM43" s="2141"/>
      <c r="CN43" s="2141"/>
      <c r="CO43" s="2141"/>
      <c r="CP43" s="2141"/>
      <c r="CQ43" s="2141"/>
      <c r="CR43" s="2141"/>
      <c r="CS43" s="2141"/>
      <c r="CT43" s="2141"/>
      <c r="CU43" s="2141"/>
      <c r="CV43" s="2141"/>
      <c r="CW43" s="2141"/>
      <c r="CX43" s="2141"/>
      <c r="CY43" s="2141"/>
      <c r="CZ43" s="2141"/>
      <c r="DA43" s="2141"/>
      <c r="DB43" s="2141"/>
      <c r="DC43" s="2141"/>
      <c r="DD43" s="2141"/>
      <c r="DE43" s="2141"/>
      <c r="DF43" s="2141"/>
      <c r="DG43" s="2141"/>
      <c r="DH43" s="2141"/>
      <c r="DI43" s="2141"/>
      <c r="DJ43" s="2141"/>
      <c r="DK43" s="2141"/>
      <c r="DL43" s="2141"/>
      <c r="DM43" s="2141"/>
      <c r="DN43" s="2141"/>
      <c r="DO43" s="2141"/>
      <c r="DP43" s="2141"/>
      <c r="DQ43" s="2141"/>
      <c r="DR43" s="2141"/>
      <c r="DS43" s="2141"/>
      <c r="DT43" s="2141"/>
      <c r="DU43" s="2141"/>
      <c r="DV43" s="2141"/>
      <c r="DW43" s="2141"/>
      <c r="DX43" s="2141"/>
      <c r="DY43" s="2141"/>
      <c r="DZ43" s="2141"/>
      <c r="EA43" s="2141"/>
      <c r="EB43" s="2141"/>
      <c r="EC43" s="2141"/>
      <c r="ED43" s="2141"/>
      <c r="EE43" s="2141"/>
    </row>
    <row r="44" spans="2:135" s="1569" customFormat="1">
      <c r="B44" s="2137" t="s">
        <v>566</v>
      </c>
      <c r="C44" s="2138"/>
      <c r="D44" s="2138"/>
      <c r="E44" s="2138"/>
      <c r="F44" s="2138"/>
      <c r="G44" s="2138"/>
      <c r="H44" s="2138"/>
      <c r="I44" s="2138"/>
      <c r="J44" s="2138"/>
      <c r="K44" s="2138"/>
      <c r="L44" s="2138"/>
      <c r="M44" s="2138"/>
      <c r="N44" s="2138"/>
      <c r="O44" s="2138"/>
      <c r="P44" s="2138"/>
      <c r="Q44" s="2138"/>
      <c r="R44" s="2138"/>
      <c r="S44" s="2138"/>
      <c r="T44" s="2138"/>
      <c r="U44" s="2138"/>
      <c r="V44" s="2138"/>
      <c r="W44" s="2138"/>
      <c r="X44" s="2138"/>
      <c r="Y44" s="2138"/>
      <c r="Z44" s="2138"/>
      <c r="AA44" s="2138"/>
      <c r="AB44" s="2138"/>
      <c r="AC44" s="2138"/>
      <c r="AD44" s="2138"/>
      <c r="AE44" s="2138"/>
      <c r="AF44" s="2138"/>
      <c r="AG44" s="2138"/>
      <c r="AH44" s="2138"/>
      <c r="AI44" s="2138"/>
      <c r="AJ44" s="2138"/>
      <c r="AK44" s="2138"/>
      <c r="AL44" s="2138"/>
      <c r="AM44" s="2138"/>
      <c r="AN44" s="2138"/>
      <c r="AO44" s="2138"/>
      <c r="AP44" s="2138"/>
      <c r="AQ44" s="2138"/>
      <c r="AR44" s="2138"/>
      <c r="AS44" s="2138"/>
      <c r="AT44" s="2138"/>
      <c r="AU44" s="2138"/>
      <c r="AV44" s="2138"/>
      <c r="AW44" s="2138"/>
      <c r="AX44" s="2138"/>
      <c r="AY44" s="2138"/>
      <c r="AZ44" s="2138"/>
      <c r="BA44" s="2138"/>
      <c r="BB44" s="2138"/>
      <c r="BC44" s="2138"/>
      <c r="BD44" s="2138"/>
      <c r="BE44" s="2138"/>
      <c r="BF44" s="2138"/>
      <c r="BG44" s="2138"/>
      <c r="BH44" s="2138"/>
      <c r="BI44" s="2138"/>
      <c r="BJ44" s="2138"/>
      <c r="BK44" s="2138"/>
      <c r="BL44" s="2138"/>
      <c r="BM44" s="2138"/>
      <c r="BN44" s="2138"/>
      <c r="BO44" s="2138"/>
      <c r="BP44" s="2138"/>
      <c r="BQ44" s="2138"/>
      <c r="BR44" s="2138"/>
      <c r="BS44" s="2138"/>
      <c r="BT44" s="2138"/>
      <c r="BU44" s="2138"/>
      <c r="BV44" s="2138"/>
      <c r="BW44" s="2138"/>
      <c r="BX44" s="2138"/>
      <c r="BY44" s="2138"/>
      <c r="BZ44" s="2138"/>
      <c r="CA44" s="2138"/>
      <c r="CB44" s="2138"/>
      <c r="CC44" s="2138"/>
      <c r="CD44" s="2138"/>
      <c r="CE44" s="2138"/>
      <c r="CF44" s="2138"/>
      <c r="CG44" s="2138"/>
      <c r="CH44" s="2138"/>
      <c r="CI44" s="2138"/>
      <c r="CJ44" s="2138"/>
      <c r="CK44" s="2138"/>
      <c r="CL44" s="2138"/>
      <c r="CM44" s="2138"/>
      <c r="CN44" s="2138"/>
      <c r="CO44" s="2138"/>
      <c r="CP44" s="2138"/>
      <c r="CQ44" s="2138"/>
      <c r="CR44" s="2138"/>
      <c r="CS44" s="2138"/>
      <c r="CT44" s="2138"/>
      <c r="CU44" s="2138"/>
      <c r="CV44" s="2138"/>
      <c r="CW44" s="2138"/>
      <c r="CX44" s="2138"/>
      <c r="CY44" s="2138"/>
      <c r="CZ44" s="2138"/>
      <c r="DA44" s="2138"/>
      <c r="DB44" s="2138"/>
      <c r="DC44" s="2138"/>
      <c r="DD44" s="2138"/>
      <c r="DE44" s="2138"/>
      <c r="DF44" s="2138"/>
      <c r="DG44" s="2138"/>
      <c r="DH44" s="2138"/>
      <c r="DI44" s="2138"/>
      <c r="DJ44" s="2138"/>
      <c r="DK44" s="2138"/>
      <c r="DL44" s="2138"/>
      <c r="DM44" s="2138"/>
      <c r="DN44" s="2138"/>
      <c r="DO44" s="2138"/>
      <c r="DP44" s="2138"/>
      <c r="DQ44" s="2138"/>
      <c r="DR44" s="2138"/>
      <c r="DS44" s="2138"/>
      <c r="DT44" s="2138"/>
      <c r="DU44" s="2139"/>
      <c r="DV44" s="2138"/>
      <c r="DW44" s="2138"/>
      <c r="DX44" s="2138"/>
      <c r="DY44" s="2138"/>
      <c r="DZ44" s="2139"/>
      <c r="EA44" s="2138"/>
      <c r="EB44" s="2138"/>
      <c r="EC44" s="2138"/>
      <c r="ED44" s="2138"/>
      <c r="EE44" s="2139"/>
    </row>
    <row r="45" spans="2:135">
      <c r="B45" s="1" t="s">
        <v>567</v>
      </c>
      <c r="CC45" s="2132"/>
      <c r="CD45" s="2132"/>
      <c r="CE45" s="2132"/>
      <c r="CF45" s="2132"/>
      <c r="CG45" s="2132"/>
      <c r="CH45" s="2132"/>
      <c r="CI45" s="2132"/>
      <c r="CJ45" s="2132"/>
      <c r="CK45" s="2132"/>
      <c r="CL45" s="2132"/>
      <c r="CM45" s="2132"/>
      <c r="CN45" s="2132"/>
      <c r="CO45" s="2132"/>
      <c r="CP45" s="2132"/>
      <c r="CQ45" s="2132"/>
      <c r="CR45" s="2132"/>
      <c r="CS45" s="2132"/>
      <c r="CT45" s="2132"/>
      <c r="CU45" s="2132"/>
      <c r="CV45" s="2132"/>
      <c r="DH45" s="2147"/>
    </row>
    <row r="46" spans="2:135">
      <c r="B46" s="2133" t="s">
        <v>568</v>
      </c>
      <c r="CC46" s="1689">
        <f>'US Retail'!CC218</f>
        <v>4.9000000000000002E-2</v>
      </c>
      <c r="CD46" s="1689">
        <f>'US Retail'!CD218</f>
        <v>-2E-3</v>
      </c>
      <c r="CE46" s="1689">
        <f>'US Retail'!CE218</f>
        <v>7.1939999999999999E-3</v>
      </c>
      <c r="CF46" s="1689">
        <f>'US Retail'!CF218</f>
        <v>1.4977000000000001E-2</v>
      </c>
      <c r="CG46" s="1689">
        <f>'US Retail'!CG218</f>
        <v>1.6E-2</v>
      </c>
      <c r="CH46" s="1689">
        <f>'US Retail'!CH218</f>
        <v>7.6319999999999999E-3</v>
      </c>
      <c r="CI46" s="1689">
        <f>'US Retail'!CI218</f>
        <v>4.1000000000000002E-2</v>
      </c>
      <c r="CJ46" s="1689">
        <f>'US Retail'!CJ218</f>
        <v>4.0302000000000004E-2</v>
      </c>
      <c r="CK46" s="1689">
        <f>'US Retail'!CK218</f>
        <v>4.3999999999999997E-2</v>
      </c>
      <c r="CL46" s="1689">
        <f>'US Retail'!CL218</f>
        <v>3.3473615336695343E-2</v>
      </c>
      <c r="CM46" s="1689">
        <f>'US Retail'!CM218</f>
        <v>2.5309999999999999E-2</v>
      </c>
      <c r="CN46" s="1689">
        <f>'US Retail'!CN218</f>
        <v>-1.5479999999999999E-2</v>
      </c>
      <c r="CO46" s="1689">
        <f>'US Retail'!CO218</f>
        <v>-6.5610000000000002E-2</v>
      </c>
      <c r="CP46" s="1689">
        <f>'US Retail'!CP218</f>
        <v>-8.6140000000000008E-2</v>
      </c>
      <c r="CQ46" s="1689">
        <f>'US Retail'!CQ218</f>
        <v>-3.602506109387122E-2</v>
      </c>
      <c r="CR46" s="1689">
        <f>'US Retail'!CR218</f>
        <v>-7.9334000000000002E-2</v>
      </c>
      <c r="CS46" s="1689">
        <f>'US Retail'!CS218</f>
        <v>-2.6610999999999996E-2</v>
      </c>
      <c r="CT46" s="1689">
        <f>'US Retail'!CT218</f>
        <v>1.4096000000000001E-2</v>
      </c>
      <c r="CU46" s="1689">
        <f>'US Retail'!CU218</f>
        <v>4.6672000000000005E-2</v>
      </c>
      <c r="CV46" s="1689">
        <f>'US Retail'!CV218</f>
        <v>-1.2420615512403501E-2</v>
      </c>
      <c r="CW46" s="1689">
        <f>'US Retail'!CW218</f>
        <v>5.4350000000000002E-2</v>
      </c>
      <c r="CX46" s="1689">
        <f>'US Retail'!CX218</f>
        <v>4.3636000000000001E-2</v>
      </c>
      <c r="CY46" s="1689">
        <f>'US Retail'!CY218</f>
        <v>4.8404000000000003E-2</v>
      </c>
      <c r="CZ46" s="1689">
        <f>'US Retail'!CZ218</f>
        <v>5.8333000000000003E-2</v>
      </c>
      <c r="DA46" s="1689">
        <f>'US Retail'!DA218</f>
        <v>5.1039374662197434E-2</v>
      </c>
      <c r="DB46" s="1689">
        <f>'US Retail'!DB218</f>
        <v>6.0424000000000005E-2</v>
      </c>
      <c r="DC46" s="1689">
        <f>'US Retail'!DC218</f>
        <v>7.1368000000000001E-2</v>
      </c>
      <c r="DD46" s="1689">
        <f>'US Retail'!DD218</f>
        <v>6.5575000000000008E-2</v>
      </c>
      <c r="DE46" s="1689">
        <f>'US Retail'!DE218</f>
        <v>6.7456000000000002E-2</v>
      </c>
      <c r="DF46" s="1689">
        <f>'US Retail'!DF218</f>
        <v>6.6363119076406046E-2</v>
      </c>
      <c r="DG46" s="1689">
        <f>'US Retail'!DG218</f>
        <v>5.8000000000000003E-2</v>
      </c>
      <c r="DH46" s="1689">
        <f>'US Retail'!DH218</f>
        <v>2.1999999999999999E-2</v>
      </c>
      <c r="DI46" s="1689">
        <f>'US Retail'!DI218</f>
        <v>3.9E-2</v>
      </c>
      <c r="DJ46" s="1689">
        <f>'US Retail'!DJ218</f>
        <v>3.2000000000000001E-2</v>
      </c>
      <c r="DK46" s="1689">
        <f>'US Retail'!DK218</f>
        <v>3.6842759275180707E-2</v>
      </c>
      <c r="DL46" s="1689">
        <f>'US Retail'!DL218</f>
        <v>1.0999999999999999E-2</v>
      </c>
      <c r="DM46" s="1689">
        <f>'US Retail'!DM218</f>
        <v>2.4E-2</v>
      </c>
      <c r="DN46" s="1689">
        <f>'US Retail'!DN218</f>
        <v>3.6999999999999998E-2</v>
      </c>
      <c r="DO46" s="1689">
        <f>'US Retail'!DO218</f>
        <v>3.1E-2</v>
      </c>
      <c r="DP46" s="1689">
        <f>'US Retail'!DP218</f>
        <v>2.7804048379209363E-2</v>
      </c>
      <c r="DQ46" s="1689">
        <f>'US Retail'!DQ218</f>
        <v>4.7E-2</v>
      </c>
      <c r="DR46" s="1689">
        <f ca="1">'US Retail'!DR218</f>
        <v>1.7491821821581925E-2</v>
      </c>
      <c r="DS46" s="1689">
        <f ca="1">'US Retail'!DS218</f>
        <v>-6.1297282001846736E-3</v>
      </c>
      <c r="DT46" s="1689">
        <f>'US Retail'!DT218</f>
        <v>1.907042404489764E-2</v>
      </c>
      <c r="DU46" s="1689">
        <f ca="1">'US Retail'!DU218</f>
        <v>1.9570953757806021E-2</v>
      </c>
      <c r="DV46" s="1689">
        <f>'US Retail'!DV218</f>
        <v>1.1543788373612647E-2</v>
      </c>
      <c r="DW46" s="1689">
        <f ca="1">'US Retail'!DW218</f>
        <v>1.4289142988335096E-2</v>
      </c>
      <c r="DX46" s="1689">
        <f ca="1">'US Retail'!DX218</f>
        <v>5.9776471274769439E-3</v>
      </c>
      <c r="DY46" s="1689">
        <f>'US Retail'!DY218</f>
        <v>3.1406413282780848E-2</v>
      </c>
      <c r="DZ46" s="1689">
        <f ca="1">'US Retail'!DZ218</f>
        <v>1.5863117050903496E-2</v>
      </c>
      <c r="EA46" s="1689">
        <f>'US Retail'!EA218</f>
        <v>2.5659200942492938E-2</v>
      </c>
      <c r="EB46" s="1689">
        <f ca="1">'US Retail'!EB218</f>
        <v>1.6754272295386567E-2</v>
      </c>
      <c r="EC46" s="1689">
        <f ca="1">'US Retail'!EC218</f>
        <v>7.9784429407444169E-3</v>
      </c>
      <c r="ED46" s="1689">
        <f>'US Retail'!ED218</f>
        <v>3.3441673279952393E-2</v>
      </c>
      <c r="EE46" s="1689">
        <f ca="1">'US Retail'!EE218</f>
        <v>2.0857433042094437E-2</v>
      </c>
    </row>
    <row r="47" spans="2:135">
      <c r="B47" s="2133" t="s">
        <v>569</v>
      </c>
      <c r="CC47" s="1689">
        <f>'US Retail'!CC219</f>
        <v>6.0999999999999999E-2</v>
      </c>
      <c r="CD47" s="1689">
        <f>'US Retail'!CD219</f>
        <v>5.8999999999999999E-3</v>
      </c>
      <c r="CE47" s="1689">
        <f>'US Retail'!CE219</f>
        <v>1.0999999999999999E-2</v>
      </c>
      <c r="CF47" s="1689">
        <f>'US Retail'!CF219</f>
        <v>1.6E-2</v>
      </c>
      <c r="CG47" s="1689">
        <f>'US Retail'!CG219</f>
        <v>2.2655136562159672E-2</v>
      </c>
      <c r="CH47" s="1689">
        <f>'US Retail'!CH219</f>
        <v>8.9999999999999993E-3</v>
      </c>
      <c r="CI47" s="1689">
        <f>'US Retail'!CI219</f>
        <v>3.9E-2</v>
      </c>
      <c r="CJ47" s="1689">
        <f>'US Retail'!CJ219</f>
        <v>4.1000000000000002E-2</v>
      </c>
      <c r="CK47" s="1689">
        <f>'US Retail'!CK219</f>
        <v>4.3999999999999997E-2</v>
      </c>
      <c r="CL47" s="1689">
        <f>'US Retail'!CL219</f>
        <v>3.3383868177320863E-2</v>
      </c>
      <c r="CM47" s="1689">
        <f>'US Retail'!CM219</f>
        <v>2.5999999999999999E-2</v>
      </c>
      <c r="CN47" s="1689">
        <f>'US Retail'!CN219</f>
        <v>-3.9E-2</v>
      </c>
      <c r="CO47" s="1689">
        <f>'US Retail'!CO219</f>
        <v>-9.9000000000000005E-2</v>
      </c>
      <c r="CP47" s="1689">
        <f>'US Retail'!CP219</f>
        <v>-0.128</v>
      </c>
      <c r="CQ47" s="1689">
        <f>'US Retail'!CQ219</f>
        <v>-4.6710068933001114E-2</v>
      </c>
      <c r="CR47" s="1689">
        <f>'US Retail'!CR219</f>
        <v>-0.113</v>
      </c>
      <c r="CS47" s="1689">
        <f>'US Retail'!CS219</f>
        <v>-2.7E-2</v>
      </c>
      <c r="CT47" s="1689">
        <f>'US Retail'!CT219</f>
        <v>0.02</v>
      </c>
      <c r="CU47" s="1689">
        <f>'US Retail'!CU219</f>
        <v>6.4000000000000001E-2</v>
      </c>
      <c r="CV47" s="1689">
        <f>'US Retail'!CV219</f>
        <v>-1.6169970205103135E-2</v>
      </c>
      <c r="CW47" s="1689">
        <f>'US Retail'!CW219</f>
        <v>7.1999999999999995E-2</v>
      </c>
      <c r="CX47" s="1689">
        <f>'US Retail'!CX219</f>
        <v>5.8000000000000003E-2</v>
      </c>
      <c r="CY47" s="1689">
        <f>'US Retail'!CY219</f>
        <v>6.3E-2</v>
      </c>
      <c r="CZ47" s="1689">
        <f>'US Retail'!CZ219</f>
        <v>8.2000000000000003E-2</v>
      </c>
      <c r="DA47" s="1689">
        <f>'US Retail'!DA219</f>
        <v>6.8725459867810867E-2</v>
      </c>
      <c r="DB47" s="1689">
        <f>'US Retail'!DB219</f>
        <v>8.3000000000000004E-2</v>
      </c>
      <c r="DC47" s="1689">
        <f>'US Retail'!DC219</f>
        <v>9.7000000000000003E-2</v>
      </c>
      <c r="DD47" s="1689">
        <f>'US Retail'!DD219</f>
        <v>9.0999999999999998E-2</v>
      </c>
      <c r="DE47" s="1689">
        <f>'US Retail'!DE219</f>
        <v>0.1</v>
      </c>
      <c r="DF47" s="1689">
        <f>'US Retail'!DF219</f>
        <v>9.2854146194171205E-2</v>
      </c>
      <c r="DG47" s="1689">
        <f>'US Retail'!DG219</f>
        <v>9.2999999999999999E-2</v>
      </c>
      <c r="DH47" s="1689">
        <f>'US Retail'!DH219</f>
        <v>2.1999999999999999E-2</v>
      </c>
      <c r="DI47" s="1689">
        <f>'US Retail'!DI219</f>
        <v>0.06</v>
      </c>
      <c r="DJ47" s="1689">
        <f>'US Retail'!DJ219</f>
        <v>0.05</v>
      </c>
      <c r="DK47" s="1689">
        <f>'US Retail'!DK219</f>
        <v>5.5949787962660924E-2</v>
      </c>
      <c r="DL47" s="1689">
        <f>'US Retail'!DL219</f>
        <v>0.02</v>
      </c>
      <c r="DM47" s="1689">
        <f>'US Retail'!DM219</f>
        <v>4.2000000000000003E-2</v>
      </c>
      <c r="DN47" s="1689">
        <f>'US Retail'!DN219</f>
        <v>5.8000000000000003E-2</v>
      </c>
      <c r="DO47" s="1689">
        <f>'US Retail'!DO219</f>
        <v>5.6000000000000001E-2</v>
      </c>
      <c r="DP47" s="1689">
        <f>'US Retail'!DP219</f>
        <v>4.4165354623359798E-2</v>
      </c>
      <c r="DQ47" s="1689">
        <f>'US Retail'!DQ219</f>
        <v>7.3999999999999996E-2</v>
      </c>
      <c r="DR47" s="1689">
        <f>'US Retail'!DR219</f>
        <v>2.9108978292639254E-2</v>
      </c>
      <c r="DS47" s="1689">
        <f>'US Retail'!DS219</f>
        <v>-4.5810509971397906E-3</v>
      </c>
      <c r="DT47" s="1689">
        <f>'US Retail'!DT219</f>
        <v>2.9972537048190473E-2</v>
      </c>
      <c r="DU47" s="1689">
        <f>'US Retail'!DU219</f>
        <v>3.1158249500242263E-2</v>
      </c>
      <c r="DV47" s="1689">
        <f>'US Retail'!DV219</f>
        <v>1.8507827401141874E-2</v>
      </c>
      <c r="DW47" s="1689">
        <f ca="1">'US Retail'!DW219</f>
        <v>2.4017120405588788E-2</v>
      </c>
      <c r="DX47" s="1689">
        <f ca="1">'US Retail'!DX219</f>
        <v>1.2115192381281226E-2</v>
      </c>
      <c r="DY47" s="1689">
        <f>'US Retail'!DY219</f>
        <v>4.6285430256365112E-2</v>
      </c>
      <c r="DZ47" s="1689">
        <f ca="1">'US Retail'!DZ219</f>
        <v>2.5350044193463317E-2</v>
      </c>
      <c r="EA47" s="1689">
        <f>'US Retail'!EA219</f>
        <v>3.6683420895950558E-2</v>
      </c>
      <c r="EB47" s="1689">
        <f ca="1">'US Retail'!EB219</f>
        <v>2.7031420614511914E-2</v>
      </c>
      <c r="EC47" s="1689">
        <f ca="1">'US Retail'!EC219</f>
        <v>1.4605839746983262E-2</v>
      </c>
      <c r="ED47" s="1689">
        <f>'US Retail'!ED219</f>
        <v>4.8439605780938644E-2</v>
      </c>
      <c r="EE47" s="1689">
        <f ca="1">'US Retail'!EE219</f>
        <v>3.1713000969238792E-2</v>
      </c>
    </row>
    <row r="48" spans="2:135">
      <c r="B48" s="2133" t="s">
        <v>570</v>
      </c>
      <c r="CC48" s="1689">
        <f>'US Retail'!CC45</f>
        <v>9.1999999999999998E-2</v>
      </c>
      <c r="CD48" s="1689">
        <f>'US Retail'!CD45</f>
        <v>3.4000000000000002E-2</v>
      </c>
      <c r="CE48" s="1689">
        <f>'US Retail'!CE45</f>
        <v>2.5000000000000001E-2</v>
      </c>
      <c r="CF48" s="1689">
        <f>'US Retail'!CF45</f>
        <v>3.3000000000000002E-2</v>
      </c>
      <c r="CG48" s="1689">
        <f>'US Retail'!CG45</f>
        <v>4.3869986168741271E-2</v>
      </c>
      <c r="CH48" s="1689">
        <f>'US Retail'!CH45</f>
        <v>0.02</v>
      </c>
      <c r="CI48" s="1689">
        <f>'US Retail'!CI45</f>
        <v>4.4999999999999998E-2</v>
      </c>
      <c r="CJ48" s="1689">
        <f>'US Retail'!CJ45</f>
        <v>4.5999999999999999E-2</v>
      </c>
      <c r="CK48" s="1689">
        <f>'US Retail'!CK45</f>
        <v>3.4000000000000002E-2</v>
      </c>
      <c r="CL48" s="1689">
        <f>'US Retail'!CL45</f>
        <v>3.6277634961439542E-2</v>
      </c>
      <c r="CM48" s="1689">
        <f>'US Retail'!CM45</f>
        <v>1.7999999999999999E-2</v>
      </c>
      <c r="CN48" s="1689">
        <f>'US Retail'!CN45</f>
        <v>-4.9000000000000002E-2</v>
      </c>
      <c r="CO48" s="1689">
        <f>'US Retail'!CO45</f>
        <v>-9.0999999999999998E-2</v>
      </c>
      <c r="CP48" s="1689">
        <f>'US Retail'!CP45</f>
        <v>-0.08</v>
      </c>
      <c r="CQ48" s="1689">
        <f>'US Retail'!CQ45</f>
        <v>-5.0890109890109891E-2</v>
      </c>
      <c r="CR48" s="1689">
        <f>'US Retail'!CR45</f>
        <v>-4.8000000000000001E-2</v>
      </c>
      <c r="CS48" s="1689">
        <f>'US Retail'!CS45</f>
        <v>4.2999999999999997E-2</v>
      </c>
      <c r="CT48" s="1689">
        <f>'US Retail'!CT45</f>
        <v>7.0999999999999994E-2</v>
      </c>
      <c r="CU48" s="1689">
        <f>'US Retail'!CU45</f>
        <v>7.0999999999999994E-2</v>
      </c>
      <c r="CV48" s="1689">
        <f>'US Retail'!CV45</f>
        <v>3.2428571428571473E-2</v>
      </c>
      <c r="CW48" s="1689">
        <f>'US Retail'!CW45</f>
        <v>5.5E-2</v>
      </c>
      <c r="CX48" s="1689">
        <f>'US Retail'!CX45</f>
        <v>2.1999999999999999E-2</v>
      </c>
      <c r="CY48" s="1689">
        <f>'US Retail'!CY45</f>
        <v>4.1000000000000002E-2</v>
      </c>
      <c r="CZ48" s="1689">
        <f>'US Retail'!CZ45</f>
        <v>3.9E-2</v>
      </c>
      <c r="DA48" s="1689">
        <f>'US Retail'!DA45</f>
        <v>3.9119366626065633E-2</v>
      </c>
      <c r="DB48" s="1689">
        <f>'US Retail'!DB45</f>
        <v>4.1000000000000002E-2</v>
      </c>
      <c r="DC48" s="1689">
        <f>'US Retail'!DC45</f>
        <v>0.05</v>
      </c>
      <c r="DD48" s="1689">
        <f>'US Retail'!DD45</f>
        <v>4.1000000000000002E-2</v>
      </c>
      <c r="DE48" s="1689">
        <f>'US Retail'!DE45</f>
        <v>5.0999999999999997E-2</v>
      </c>
      <c r="DF48" s="1689">
        <f>'US Retail'!DF45</f>
        <v>4.5718007694148799E-2</v>
      </c>
      <c r="DG48" s="1689">
        <f>'US Retail'!DG45</f>
        <v>4.7E-2</v>
      </c>
      <c r="DH48" s="1689">
        <f>'US Retail'!DH45</f>
        <v>2.8000000000000001E-2</v>
      </c>
      <c r="DI48" s="1689">
        <f>'US Retail'!DI45</f>
        <v>4.4999999999999998E-2</v>
      </c>
      <c r="DJ48" s="1689">
        <f>'US Retail'!DJ45</f>
        <v>3.9E-2</v>
      </c>
      <c r="DK48" s="1689">
        <f>'US Retail'!DK45</f>
        <v>3.9748493276922758E-2</v>
      </c>
      <c r="DL48" s="1689">
        <f>'US Retail'!DL45</f>
        <v>3.5000000000000003E-2</v>
      </c>
      <c r="DM48" s="1689">
        <f>'US Retail'!DM45</f>
        <v>7.9000000000000001E-2</v>
      </c>
      <c r="DN48" s="1689">
        <f>'US Retail'!DN45</f>
        <v>8.3000000000000004E-2</v>
      </c>
      <c r="DO48" s="1689">
        <f>'US Retail'!DO45</f>
        <v>8.6999999999999994E-2</v>
      </c>
      <c r="DP48" s="1689">
        <f>'US Retail'!DP45</f>
        <v>7.1043080236941281E-2</v>
      </c>
      <c r="DQ48" s="1689">
        <f>'US Retail'!DQ45</f>
        <v>8.8999999999999996E-2</v>
      </c>
      <c r="DR48" s="1689">
        <f>'US Retail'!DR45</f>
        <v>0.04</v>
      </c>
      <c r="DS48" s="1689">
        <f>'US Retail'!DS45</f>
        <v>0.02</v>
      </c>
      <c r="DT48" s="1689">
        <f>'US Retail'!DT45</f>
        <v>0.02</v>
      </c>
      <c r="DU48" s="1689">
        <f>'US Retail'!DU45</f>
        <v>4.1550368798625836E-2</v>
      </c>
      <c r="DV48" s="1689">
        <f>'US Retail'!DV45</f>
        <v>0.02</v>
      </c>
      <c r="DW48" s="1689">
        <f>'US Retail'!DW45</f>
        <v>3.4000000000000002E-2</v>
      </c>
      <c r="DX48" s="1689">
        <f>'US Retail'!DX45</f>
        <v>3.5000000000000003E-2</v>
      </c>
      <c r="DY48" s="1689">
        <f>'US Retail'!DY45</f>
        <v>3.5000000000000003E-2</v>
      </c>
      <c r="DZ48" s="1689">
        <f ca="1">'US Retail'!DZ45</f>
        <v>3.1218224754987478E-2</v>
      </c>
      <c r="EA48" s="1689">
        <f>'US Retail'!EA45</f>
        <v>3.5000000000000003E-2</v>
      </c>
      <c r="EB48" s="1689">
        <f>'US Retail'!EB45</f>
        <v>3.5000000000000003E-2</v>
      </c>
      <c r="EC48" s="1689">
        <f>'US Retail'!EC45</f>
        <v>3.5000000000000003E-2</v>
      </c>
      <c r="ED48" s="1689">
        <f>'US Retail'!ED45</f>
        <v>3.5000000000000003E-2</v>
      </c>
      <c r="EE48" s="1689">
        <f ca="1">'US Retail'!EE45</f>
        <v>3.499999999999992E-2</v>
      </c>
    </row>
    <row r="49" spans="2:135">
      <c r="B49" s="2133" t="s">
        <v>527</v>
      </c>
      <c r="CC49" s="1689">
        <f>'US Retail'!CC220</f>
        <v>2.7E-2</v>
      </c>
      <c r="CD49" s="1689">
        <f>'US Retail'!CD220</f>
        <v>-1.6E-2</v>
      </c>
      <c r="CE49" s="1689">
        <f>'US Retail'!CE220</f>
        <v>0</v>
      </c>
      <c r="CF49" s="1689">
        <f>'US Retail'!CF220</f>
        <v>1.2999999999999999E-2</v>
      </c>
      <c r="CG49" s="1689">
        <f>'US Retail'!CG220</f>
        <v>4.9089530865487367E-3</v>
      </c>
      <c r="CH49" s="1689">
        <f>'US Retail'!CH220</f>
        <v>4.0000000000000001E-3</v>
      </c>
      <c r="CI49" s="1689">
        <f>'US Retail'!CI220</f>
        <v>4.2999999999999997E-2</v>
      </c>
      <c r="CJ49" s="1689">
        <f>'US Retail'!CJ220</f>
        <v>3.9E-2</v>
      </c>
      <c r="CK49" s="1689">
        <f>'US Retail'!CK220</f>
        <v>4.5999999999999999E-2</v>
      </c>
      <c r="CL49" s="1689">
        <f>'US Retail'!CL220</f>
        <v>3.352973326058422E-2</v>
      </c>
      <c r="CM49" s="1689">
        <f>'US Retail'!CM220</f>
        <v>2.4E-2</v>
      </c>
      <c r="CN49" s="1689">
        <f>'US Retail'!CN220</f>
        <v>2.1000000000000001E-2</v>
      </c>
      <c r="CO49" s="1689">
        <f>'US Retail'!CO220</f>
        <v>-8.9999999999999993E-3</v>
      </c>
      <c r="CP49" s="1689">
        <f>'US Retail'!CP220</f>
        <v>-1.2999999999999999E-2</v>
      </c>
      <c r="CQ49" s="1689">
        <f>'US Retail'!CQ220</f>
        <v>5.8539466912501332E-3</v>
      </c>
      <c r="CR49" s="1689">
        <f>'US Retail'!CR220</f>
        <v>-0.02</v>
      </c>
      <c r="CS49" s="1689">
        <f>'US Retail'!CS220</f>
        <v>-2.5999999999999999E-2</v>
      </c>
      <c r="CT49" s="1689">
        <f>'US Retail'!CT220</f>
        <v>4.0000000000000001E-3</v>
      </c>
      <c r="CU49" s="1689">
        <f>'US Retail'!CU220</f>
        <v>1.6E-2</v>
      </c>
      <c r="CV49" s="1689">
        <f>'US Retail'!CV220</f>
        <v>-7.1882673594601655E-3</v>
      </c>
      <c r="CW49" s="1689">
        <f>'US Retail'!CW220</f>
        <v>2.1999999999999999E-2</v>
      </c>
      <c r="CX49" s="1689">
        <f>'US Retail'!CX220</f>
        <v>0.02</v>
      </c>
      <c r="CY49" s="1689">
        <f>'US Retail'!CY220</f>
        <v>2.1999999999999999E-2</v>
      </c>
      <c r="CZ49" s="1689">
        <f>'US Retail'!CZ220</f>
        <v>1.2999999999999999E-2</v>
      </c>
      <c r="DA49" s="1689">
        <f>'US Retail'!DA220</f>
        <v>1.9279229622152526E-2</v>
      </c>
      <c r="DB49" s="1689">
        <f>'US Retail'!DB220</f>
        <v>1.4999999999999999E-2</v>
      </c>
      <c r="DC49" s="1689">
        <f>'US Retail'!DC220</f>
        <v>2.5000000000000001E-2</v>
      </c>
      <c r="DD49" s="1689">
        <f>'US Retail'!DD220</f>
        <v>1.6E-2</v>
      </c>
      <c r="DE49" s="1689">
        <f>'US Retail'!DE220</f>
        <v>4.0000000000000001E-3</v>
      </c>
      <c r="DF49" s="1689">
        <f>'US Retail'!DF220</f>
        <v>1.5333463267307943E-2</v>
      </c>
      <c r="DG49" s="1689">
        <f>'US Retail'!DG220</f>
        <v>-6.0000000000000001E-3</v>
      </c>
      <c r="DH49" s="1689">
        <f>'US Retail'!DH220</f>
        <v>-3.0000000000000001E-3</v>
      </c>
      <c r="DI49" s="1689">
        <f>'US Retail'!DI220</f>
        <v>1E-3</v>
      </c>
      <c r="DJ49" s="1689">
        <f>'US Retail'!DJ220</f>
        <v>-3.0000000000000001E-3</v>
      </c>
      <c r="DK49" s="1689">
        <f>'US Retail'!DK220</f>
        <v>-2.7029207776308618E-3</v>
      </c>
      <c r="DL49" s="1689">
        <f>'US Retail'!DL220</f>
        <v>-5.0000000000000001E-3</v>
      </c>
      <c r="DM49" s="1689">
        <f>'US Retail'!DM220</f>
        <v>-8.0000000000000002E-3</v>
      </c>
      <c r="DN49" s="1689">
        <f>'US Retail'!DN220</f>
        <v>-4.0000000000000001E-3</v>
      </c>
      <c r="DO49" s="1689">
        <f>'US Retail'!DO220</f>
        <v>-2.1000000000000001E-2</v>
      </c>
      <c r="DP49" s="1689">
        <f>'US Retail'!DP220</f>
        <v>-9.3433948234053019E-3</v>
      </c>
      <c r="DQ49" s="1689">
        <f>'US Retail'!DQ220</f>
        <v>-8.9999999999999993E-3</v>
      </c>
      <c r="DR49" s="1689">
        <f>'US Retail'!DR220</f>
        <v>-0.01</v>
      </c>
      <c r="DS49" s="1689">
        <f>'US Retail'!DS220</f>
        <v>-0.01</v>
      </c>
      <c r="DT49" s="1689">
        <f>'US Retail'!DT220</f>
        <v>-0.01</v>
      </c>
      <c r="DU49" s="1689">
        <f>'US Retail'!DU220</f>
        <v>-9.7608609996138497E-3</v>
      </c>
      <c r="DV49" s="1689">
        <f>'US Retail'!DV220</f>
        <v>-0.01</v>
      </c>
      <c r="DW49" s="1689">
        <f>'US Retail'!DW220</f>
        <v>-0.01</v>
      </c>
      <c r="DX49" s="1689">
        <f>'US Retail'!DX220</f>
        <v>-0.01</v>
      </c>
      <c r="DY49" s="1689">
        <f>'US Retail'!DY220</f>
        <v>-0.01</v>
      </c>
      <c r="DZ49" s="1689">
        <f>'US Retail'!DZ220</f>
        <v>-1.0000000000000004E-2</v>
      </c>
      <c r="EA49" s="1689">
        <f>'US Retail'!EA220</f>
        <v>-0.01</v>
      </c>
      <c r="EB49" s="1689">
        <f>'US Retail'!EB220</f>
        <v>-0.01</v>
      </c>
      <c r="EC49" s="1689">
        <f>'US Retail'!EC220</f>
        <v>-0.01</v>
      </c>
      <c r="ED49" s="1689">
        <f>'US Retail'!ED220</f>
        <v>-0.01</v>
      </c>
      <c r="EE49" s="1689">
        <f>'US Retail'!EE220</f>
        <v>-0.01</v>
      </c>
    </row>
    <row r="50" spans="2:135">
      <c r="CC50" s="2132"/>
      <c r="CD50" s="2132"/>
      <c r="CE50" s="2132"/>
      <c r="CF50" s="2132"/>
      <c r="CG50" s="2132"/>
      <c r="CH50" s="2132"/>
      <c r="CI50" s="2132"/>
      <c r="CJ50" s="2132"/>
      <c r="CK50" s="2132"/>
      <c r="CL50" s="2132"/>
      <c r="CM50" s="2132"/>
      <c r="CN50" s="2132"/>
      <c r="CO50" s="2132"/>
      <c r="CP50" s="2132"/>
      <c r="CQ50" s="2132"/>
      <c r="CR50" s="2132"/>
      <c r="CS50" s="2132"/>
      <c r="CT50" s="2132"/>
      <c r="CU50" s="2132"/>
      <c r="CV50" s="2132"/>
      <c r="DH50" s="2147"/>
      <c r="DM50" s="1689"/>
      <c r="DN50" s="1730"/>
    </row>
    <row r="51" spans="2:135">
      <c r="B51" s="2136" t="s">
        <v>569</v>
      </c>
      <c r="CC51" s="2132">
        <f>'US Retail'!CC67</f>
        <v>10701.718000000001</v>
      </c>
      <c r="CD51" s="2132">
        <f>'US Retail'!CD67</f>
        <v>10621.521000000001</v>
      </c>
      <c r="CE51" s="2132">
        <f>'US Retail'!CE67</f>
        <v>11116.896000000001</v>
      </c>
      <c r="CF51" s="2132">
        <f>'US Retail'!CF67</f>
        <v>10986.08</v>
      </c>
      <c r="CG51" s="2132">
        <f>'US Retail'!CG67</f>
        <v>43426.215000000004</v>
      </c>
      <c r="CH51" s="2132">
        <f>'US Retail'!CH67</f>
        <v>11281.102000000001</v>
      </c>
      <c r="CI51" s="2132">
        <f>'US Retail'!CI67</f>
        <v>11451.002</v>
      </c>
      <c r="CJ51" s="2132">
        <f>'US Retail'!CJ67</f>
        <v>11828.271000000001</v>
      </c>
      <c r="CK51" s="2132">
        <f>'US Retail'!CK67</f>
        <v>11750.418</v>
      </c>
      <c r="CL51" s="2132">
        <f>'US Retail'!CL67</f>
        <v>46310.793000000005</v>
      </c>
      <c r="CM51" s="2132">
        <f>'US Retail'!CM67</f>
        <v>11892.835000000001</v>
      </c>
      <c r="CN51" s="2132">
        <f>'US Retail'!CN67</f>
        <v>11339.807999999999</v>
      </c>
      <c r="CO51" s="2132">
        <f>'US Retail'!CO67</f>
        <v>11166.008</v>
      </c>
      <c r="CP51" s="2132">
        <f>'US Retail'!CP67</f>
        <v>10858.428</v>
      </c>
      <c r="CQ51" s="2132">
        <f>'US Retail'!CQ67</f>
        <v>45257.078999999998</v>
      </c>
      <c r="CR51" s="2132">
        <f>'US Retail'!CR67</f>
        <v>11047.608</v>
      </c>
      <c r="CS51" s="2132">
        <f>'US Retail'!CS67</f>
        <v>11393.316999999999</v>
      </c>
      <c r="CT51" s="2132">
        <f>'US Retail'!CT67</f>
        <v>11555.503000000001</v>
      </c>
      <c r="CU51" s="2132">
        <f>'US Retail'!CU67</f>
        <v>11464.299000000001</v>
      </c>
      <c r="CV51" s="2132">
        <f>'US Retail'!CV67</f>
        <v>45460.726999999999</v>
      </c>
      <c r="CW51">
        <f>'US Retail'!CW67</f>
        <v>11858.863000000001</v>
      </c>
      <c r="CX51" s="2132">
        <f>'US Retail'!CX67</f>
        <v>12194.31</v>
      </c>
      <c r="CY51" s="2132">
        <f>'US Retail'!CY67</f>
        <v>12494.244000000001</v>
      </c>
      <c r="CZ51" s="2132">
        <f>'US Retail'!CZ67</f>
        <v>12520.449000000001</v>
      </c>
      <c r="DA51" s="2132">
        <f>'US Retail'!DA67</f>
        <v>49067.866000000002</v>
      </c>
      <c r="DB51" s="2132">
        <f>'US Retail'!DB67</f>
        <v>13062.072</v>
      </c>
      <c r="DC51" s="2132">
        <f>'US Retail'!DC67</f>
        <v>13554.912</v>
      </c>
      <c r="DD51" s="2132">
        <f>'US Retail'!DD67</f>
        <v>13500.925000000001</v>
      </c>
      <c r="DE51" s="2132">
        <f>'US Retail'!DE67</f>
        <v>13184.967000000001</v>
      </c>
      <c r="DF51" s="2132">
        <f>'US Retail'!DF67</f>
        <v>53302.876000000004</v>
      </c>
      <c r="DG51" s="2132">
        <f>'US Retail'!DG67</f>
        <v>13933.080000000002</v>
      </c>
      <c r="DH51" s="2147">
        <f>'US Retail'!DH67</f>
        <v>13975</v>
      </c>
      <c r="DI51" s="2132">
        <f>'US Retail'!DI67</f>
        <v>14278.69</v>
      </c>
      <c r="DJ51" s="2132">
        <f>'US Retail'!DJ67</f>
        <v>14315.429999999998</v>
      </c>
      <c r="DK51" s="2132">
        <f>'US Retail'!DK67</f>
        <v>56502.200000000004</v>
      </c>
      <c r="DL51" s="2132">
        <f>'US Retail'!DL67</f>
        <v>14275.368999999999</v>
      </c>
      <c r="DM51" s="2132">
        <f>'US Retail'!DM67</f>
        <v>14506.310000000001</v>
      </c>
      <c r="DN51" s="2132">
        <f>'US Retail'!DN67</f>
        <v>15747.071999999998</v>
      </c>
      <c r="DO51" s="2132">
        <f>'US Retail'!DO67</f>
        <v>16079.020999999999</v>
      </c>
      <c r="DP51" s="2132">
        <f>'US Retail'!DP67</f>
        <v>60607.771999999997</v>
      </c>
      <c r="DQ51" s="2132">
        <f>'US Retail'!DQ67</f>
        <v>16145.923999999999</v>
      </c>
      <c r="DR51" s="2132">
        <f ca="1">'US Retail'!DR67</f>
        <v>17986.733810512542</v>
      </c>
      <c r="DS51" s="2132">
        <f ca="1">'US Retail'!DS67</f>
        <v>18487.674582417254</v>
      </c>
      <c r="DT51" s="2132">
        <f>'US Retail'!DT67</f>
        <v>18295.754261267481</v>
      </c>
      <c r="DU51" s="2132">
        <f ca="1">'US Retail'!DU67</f>
        <v>70916.086654197279</v>
      </c>
      <c r="DV51" s="2161">
        <f>'US Retail'!DV67</f>
        <v>18778.260666009501</v>
      </c>
      <c r="DW51" s="2161">
        <f ca="1">'US Retail'!DW67</f>
        <v>18696.899184332098</v>
      </c>
      <c r="DX51" s="2161">
        <f ca="1">'US Retail'!DX67</f>
        <v>18939.58150719367</v>
      </c>
      <c r="DY51" s="2161">
        <f>'US Retail'!DY67</f>
        <v>18734.665938741731</v>
      </c>
      <c r="DZ51" s="2161">
        <f ca="1">'US Retail'!DZ67</f>
        <v>75149.407296277001</v>
      </c>
      <c r="EA51" s="2248">
        <f>'US Retail'!EA67</f>
        <v>19286.999186155088</v>
      </c>
      <c r="EB51" s="2248">
        <f ca="1">'US Retail'!EB67</f>
        <v>19204.830848750153</v>
      </c>
      <c r="EC51" s="2248">
        <f ca="1">'US Retail'!EC67</f>
        <v>19473.41197332101</v>
      </c>
      <c r="ED51" s="2248">
        <f>'US Retail'!ED67</f>
        <v>19269.898165440012</v>
      </c>
      <c r="EE51" s="2248">
        <f ca="1">'US Retail'!EE67</f>
        <v>77235.140173666266</v>
      </c>
    </row>
    <row r="52" spans="2:135">
      <c r="B52" s="2136" t="s">
        <v>573</v>
      </c>
      <c r="CC52" s="2132">
        <f>'US Retail'!CC158</f>
        <v>5531.0319999999992</v>
      </c>
      <c r="CD52" s="2132">
        <f>'US Retail'!CD158</f>
        <v>6234.2290000000003</v>
      </c>
      <c r="CE52" s="2132">
        <f>'US Retail'!CE158</f>
        <v>5950.8539999999994</v>
      </c>
      <c r="CF52" s="2132">
        <f>'US Retail'!CF158</f>
        <v>5752.6699999999992</v>
      </c>
      <c r="CG52" s="2132">
        <f>'US Retail'!CG158</f>
        <v>23468.784999999996</v>
      </c>
      <c r="CH52" s="2132">
        <f>'US Retail'!CH158</f>
        <v>5931.6479999999992</v>
      </c>
      <c r="CI52" s="2132">
        <f>'US Retail'!CI158</f>
        <v>6919.7479999999996</v>
      </c>
      <c r="CJ52" s="2132">
        <f>'US Retail'!CJ158</f>
        <v>6411.4789999999994</v>
      </c>
      <c r="CK52" s="2132">
        <f>'US Retail'!CK158</f>
        <v>6216.5819999999994</v>
      </c>
      <c r="CL52" s="2132">
        <f>'US Retail'!CL158</f>
        <v>25479.456999999999</v>
      </c>
      <c r="CM52" s="2132">
        <f>'US Retail'!CM158</f>
        <v>6264.165</v>
      </c>
      <c r="CN52" s="2132">
        <f>'US Retail'!CN158</f>
        <v>7311.192</v>
      </c>
      <c r="CO52" s="2132">
        <f>'US Retail'!CO158</f>
        <v>6585.9920000000002</v>
      </c>
      <c r="CP52" s="2132">
        <f>'US Retail'!CP158</f>
        <v>6214.5720000000001</v>
      </c>
      <c r="CQ52" s="2132">
        <f>'US Retail'!CQ158</f>
        <v>26375.921000000002</v>
      </c>
      <c r="CR52" s="2132">
        <f>'US Retail'!CR158</f>
        <v>6268.3919999999998</v>
      </c>
      <c r="CS52" s="2132">
        <f>'US Retail'!CS158</f>
        <v>7253.683</v>
      </c>
      <c r="CT52" s="2132">
        <f>'US Retail'!CT158</f>
        <v>6757.4970000000003</v>
      </c>
      <c r="CU52" s="2132">
        <f>'US Retail'!CU158</f>
        <v>6476.701</v>
      </c>
      <c r="CV52" s="2132">
        <f>'US Retail'!CV158</f>
        <v>26756.273000000001</v>
      </c>
      <c r="CW52">
        <f>'US Retail'!CW158</f>
        <v>6470.1369999999997</v>
      </c>
      <c r="CX52" s="2132">
        <f>'US Retail'!CX158</f>
        <v>7410.69</v>
      </c>
      <c r="CY52" s="2132">
        <f>'US Retail'!CY158</f>
        <v>6906.7559999999994</v>
      </c>
      <c r="CZ52" s="2132">
        <f>'US Retail'!CZ158</f>
        <v>6536.5509999999995</v>
      </c>
      <c r="DA52" s="2132">
        <f>'US Retail'!DA158</f>
        <v>27324.133999999998</v>
      </c>
      <c r="DB52" s="2132">
        <f>'US Retail'!DB158</f>
        <v>6491.927999999999</v>
      </c>
      <c r="DC52" s="2132">
        <f>'US Retail'!DC158</f>
        <v>7493.0879999999997</v>
      </c>
      <c r="DD52" s="2132">
        <f>'US Retail'!DD158</f>
        <v>6924.0749999999989</v>
      </c>
      <c r="DE52" s="2132">
        <f>'US Retail'!DE158</f>
        <v>6762.0329999999994</v>
      </c>
      <c r="DF52" s="2132">
        <f>'US Retail'!DF158</f>
        <v>27671.124</v>
      </c>
      <c r="DG52" s="2132">
        <f>'US Retail'!DG158</f>
        <v>6436.9199999999992</v>
      </c>
      <c r="DH52" s="2147">
        <f>'US Retail'!DH158</f>
        <v>7524.9999999999991</v>
      </c>
      <c r="DI52" s="2132">
        <f>'US Retail'!DI158</f>
        <v>6906.3099999999995</v>
      </c>
      <c r="DJ52" s="2132">
        <f>'US Retail'!DJ158</f>
        <v>6431.5700000000015</v>
      </c>
      <c r="DK52" s="2132">
        <f>'US Retail'!DK158</f>
        <v>27299.799999999996</v>
      </c>
      <c r="DL52" s="2132">
        <f>'US Retail'!DL158</f>
        <v>6383.6310000000012</v>
      </c>
      <c r="DM52" s="2132">
        <f>'US Retail'!DM158</f>
        <v>7307.69</v>
      </c>
      <c r="DN52" s="2132">
        <f>'US Retail'!DN158</f>
        <v>6780.9280000000008</v>
      </c>
      <c r="DO52" s="2132">
        <f>'US Retail'!DO158</f>
        <v>6221.9790000000003</v>
      </c>
      <c r="DP52" s="2132">
        <f>'US Retail'!DP158</f>
        <v>26694.227999999999</v>
      </c>
      <c r="DQ52" s="2132">
        <f>'US Retail'!DQ158</f>
        <v>6155.0760000000009</v>
      </c>
      <c r="DR52" s="2132">
        <f>'US Retail'!DR158</f>
        <v>7600.6130999999996</v>
      </c>
      <c r="DS52" s="2132">
        <f>'US Retail'!DS158</f>
        <v>7397.7853866666674</v>
      </c>
      <c r="DT52" s="2132">
        <f>'US Retail'!DT158</f>
        <v>6861.3509087021248</v>
      </c>
      <c r="DU52" s="2132">
        <f>'US Retail'!DU158</f>
        <v>28014.825395368789</v>
      </c>
      <c r="DV52" s="2161">
        <f>'US Retail'!DV158</f>
        <v>6070.0809847993314</v>
      </c>
      <c r="DW52" s="2161">
        <f>'US Retail'!DW158</f>
        <v>7488.2433326363625</v>
      </c>
      <c r="DX52" s="2161">
        <f>'US Retail'!DX158</f>
        <v>7275.3226843151524</v>
      </c>
      <c r="DY52" s="2161">
        <f>'US Retail'!DY158</f>
        <v>6732.1313390090427</v>
      </c>
      <c r="DZ52" s="2161">
        <f>'US Retail'!DZ158</f>
        <v>27565.778340759891</v>
      </c>
      <c r="EA52" s="2248">
        <f>'US Retail'!EA158</f>
        <v>5962.6720636064611</v>
      </c>
      <c r="EB52" s="2248">
        <f>'US Retail'!EB158</f>
        <v>7377.1729949221371</v>
      </c>
      <c r="EC52" s="2248">
        <f>'US Retail'!EC158</f>
        <v>7178.4875221912316</v>
      </c>
      <c r="ED52" s="2248">
        <f>'US Retail'!ED158</f>
        <v>6652.7969611962626</v>
      </c>
      <c r="EE52" s="2248">
        <f>'US Retail'!EE158</f>
        <v>27171.129541916089</v>
      </c>
    </row>
    <row r="53" spans="2:135">
      <c r="B53" s="2135" t="s">
        <v>574</v>
      </c>
      <c r="C53" s="2135"/>
      <c r="D53" s="2135"/>
      <c r="E53" s="2135"/>
      <c r="F53" s="2135"/>
      <c r="G53" s="2135"/>
      <c r="H53" s="2135"/>
      <c r="I53" s="2135"/>
      <c r="J53" s="2135"/>
      <c r="K53" s="2135"/>
      <c r="L53" s="2135"/>
      <c r="M53" s="2135"/>
      <c r="N53" s="2135"/>
      <c r="O53" s="2135"/>
      <c r="P53" s="2135"/>
      <c r="Q53" s="2135"/>
      <c r="R53" s="2135"/>
      <c r="S53" s="2135"/>
      <c r="T53" s="2135"/>
      <c r="U53" s="2135"/>
      <c r="V53" s="2135"/>
      <c r="W53" s="2135"/>
      <c r="X53" s="2135"/>
      <c r="Y53" s="2135"/>
      <c r="Z53" s="2135"/>
      <c r="AA53" s="2135"/>
      <c r="AB53" s="2135"/>
      <c r="AC53" s="2135"/>
      <c r="AD53" s="2135"/>
      <c r="AE53" s="2135"/>
      <c r="AF53" s="2135"/>
      <c r="AG53" s="2135"/>
      <c r="AH53" s="2135"/>
      <c r="AI53" s="2135"/>
      <c r="AJ53" s="2135"/>
      <c r="AK53" s="2135"/>
      <c r="AL53" s="2135"/>
      <c r="AM53" s="2135"/>
      <c r="AN53" s="2135"/>
      <c r="AO53" s="2135"/>
      <c r="AP53" s="2135"/>
      <c r="AQ53" s="2135"/>
      <c r="AR53" s="2135"/>
      <c r="AS53" s="2135"/>
      <c r="AT53" s="2135"/>
      <c r="AU53" s="2135"/>
      <c r="AV53" s="2135"/>
      <c r="AW53" s="2135"/>
      <c r="AX53" s="2135"/>
      <c r="AY53" s="2135"/>
      <c r="AZ53" s="2135"/>
      <c r="BA53" s="2135"/>
      <c r="BB53" s="2135"/>
      <c r="BC53" s="2135"/>
      <c r="BD53" s="2135"/>
      <c r="BE53" s="2135"/>
      <c r="BF53" s="2135"/>
      <c r="BG53" s="2135"/>
      <c r="BH53" s="2135"/>
      <c r="BI53" s="2135"/>
      <c r="BJ53" s="2135"/>
      <c r="BK53" s="2135"/>
      <c r="BL53" s="2135"/>
      <c r="BM53" s="2135"/>
      <c r="BN53" s="2135"/>
      <c r="BO53" s="2135"/>
      <c r="BP53" s="2135"/>
      <c r="BQ53" s="2135"/>
      <c r="BR53" s="2135"/>
      <c r="BS53" s="2135"/>
      <c r="BT53" s="2135"/>
      <c r="BU53" s="2135"/>
      <c r="BV53" s="2135"/>
      <c r="BW53" s="2135"/>
      <c r="BX53" s="2135"/>
      <c r="BY53" s="2135"/>
      <c r="BZ53" s="2135"/>
      <c r="CA53" s="2135"/>
      <c r="CB53" s="2135"/>
      <c r="CC53" s="2135">
        <f>SUM(CC51:CC52)</f>
        <v>16232.75</v>
      </c>
      <c r="CD53" s="2135">
        <f t="shared" ref="CD53:CV53" si="109">SUM(CD51:CD52)</f>
        <v>16855.75</v>
      </c>
      <c r="CE53" s="2135">
        <f t="shared" si="109"/>
        <v>17067.75</v>
      </c>
      <c r="CF53" s="2135">
        <f t="shared" si="109"/>
        <v>16738.75</v>
      </c>
      <c r="CG53" s="2135">
        <f t="shared" si="109"/>
        <v>66895</v>
      </c>
      <c r="CH53" s="2135">
        <f t="shared" si="109"/>
        <v>17212.75</v>
      </c>
      <c r="CI53" s="2135">
        <f t="shared" si="109"/>
        <v>18370.75</v>
      </c>
      <c r="CJ53" s="2135">
        <f t="shared" si="109"/>
        <v>18239.75</v>
      </c>
      <c r="CK53" s="2135">
        <f t="shared" si="109"/>
        <v>17967</v>
      </c>
      <c r="CL53" s="2135">
        <f t="shared" si="109"/>
        <v>71790.25</v>
      </c>
      <c r="CM53" s="2135">
        <f t="shared" si="109"/>
        <v>18157</v>
      </c>
      <c r="CN53" s="2135">
        <f t="shared" si="109"/>
        <v>18651</v>
      </c>
      <c r="CO53" s="2135">
        <f t="shared" si="109"/>
        <v>17752</v>
      </c>
      <c r="CP53" s="2135">
        <f t="shared" si="109"/>
        <v>17073</v>
      </c>
      <c r="CQ53" s="2135">
        <f t="shared" si="109"/>
        <v>71633</v>
      </c>
      <c r="CR53" s="2135">
        <f t="shared" si="109"/>
        <v>17316</v>
      </c>
      <c r="CS53" s="2135">
        <f t="shared" si="109"/>
        <v>18647</v>
      </c>
      <c r="CT53" s="2135">
        <f t="shared" si="109"/>
        <v>18313</v>
      </c>
      <c r="CU53" s="2135">
        <f t="shared" si="109"/>
        <v>17941</v>
      </c>
      <c r="CV53" s="2135">
        <f t="shared" si="109"/>
        <v>72217</v>
      </c>
      <c r="CW53" s="2135">
        <f>SUM(CW51:CW52)</f>
        <v>18329</v>
      </c>
      <c r="CX53" s="2135">
        <f t="shared" ref="CX53:DU53" si="110">SUM(CX51:CX52)</f>
        <v>19605</v>
      </c>
      <c r="CY53" s="2135">
        <f t="shared" si="110"/>
        <v>19401</v>
      </c>
      <c r="CZ53" s="2135">
        <f t="shared" si="110"/>
        <v>19057</v>
      </c>
      <c r="DA53" s="2135">
        <f t="shared" si="110"/>
        <v>76392</v>
      </c>
      <c r="DB53" s="2135">
        <f t="shared" si="110"/>
        <v>19554</v>
      </c>
      <c r="DC53" s="2135">
        <f t="shared" si="110"/>
        <v>21048</v>
      </c>
      <c r="DD53" s="2135">
        <f t="shared" si="110"/>
        <v>20425</v>
      </c>
      <c r="DE53" s="2135">
        <f t="shared" si="110"/>
        <v>19947</v>
      </c>
      <c r="DF53" s="2135">
        <f t="shared" si="110"/>
        <v>80974</v>
      </c>
      <c r="DG53" s="2135">
        <f t="shared" si="110"/>
        <v>20370</v>
      </c>
      <c r="DH53" s="2135">
        <f t="shared" ref="DH53" si="111">SUM(DH51:DH52)</f>
        <v>21500</v>
      </c>
      <c r="DI53" s="2135">
        <f t="shared" si="110"/>
        <v>21185</v>
      </c>
      <c r="DJ53" s="2135">
        <v>20747</v>
      </c>
      <c r="DK53" s="2135">
        <f t="shared" si="110"/>
        <v>83802</v>
      </c>
      <c r="DL53" s="2135">
        <f t="shared" si="110"/>
        <v>20659</v>
      </c>
      <c r="DM53" s="2135">
        <f t="shared" si="110"/>
        <v>21814</v>
      </c>
      <c r="DN53" s="2135">
        <f t="shared" si="110"/>
        <v>22528</v>
      </c>
      <c r="DO53" s="2135">
        <f t="shared" si="110"/>
        <v>22301</v>
      </c>
      <c r="DP53" s="2135">
        <f t="shared" si="110"/>
        <v>87302</v>
      </c>
      <c r="DQ53" s="2135">
        <f t="shared" si="110"/>
        <v>22301</v>
      </c>
      <c r="DR53" s="2135">
        <f t="shared" ca="1" si="110"/>
        <v>25587.34691051254</v>
      </c>
      <c r="DS53" s="2135">
        <f t="shared" ca="1" si="110"/>
        <v>25885.45996908392</v>
      </c>
      <c r="DT53" s="2135">
        <f t="shared" si="110"/>
        <v>25157.105169969604</v>
      </c>
      <c r="DU53" s="2135">
        <f t="shared" ca="1" si="110"/>
        <v>98930.912049566075</v>
      </c>
      <c r="DV53" s="2135">
        <f t="shared" ref="DV53:DZ53" si="112">SUM(DV51:DV52)</f>
        <v>24848.341650808834</v>
      </c>
      <c r="DW53" s="2135">
        <f t="shared" ca="1" si="112"/>
        <v>26185.142516968459</v>
      </c>
      <c r="DX53" s="2135">
        <f t="shared" ca="1" si="112"/>
        <v>26214.904191508824</v>
      </c>
      <c r="DY53" s="2135">
        <f t="shared" si="112"/>
        <v>25466.797277750775</v>
      </c>
      <c r="DZ53" s="2135">
        <f t="shared" ca="1" si="112"/>
        <v>102715.18563703689</v>
      </c>
      <c r="EA53" s="2135">
        <f t="shared" ref="EA53:EE53" si="113">SUM(EA51:EA52)</f>
        <v>25249.671249761548</v>
      </c>
      <c r="EB53" s="2135">
        <f t="shared" ca="1" si="113"/>
        <v>26582.00384367229</v>
      </c>
      <c r="EC53" s="2135">
        <f t="shared" ca="1" si="113"/>
        <v>26651.89949551224</v>
      </c>
      <c r="ED53" s="2135">
        <f t="shared" si="113"/>
        <v>25922.695126636274</v>
      </c>
      <c r="EE53" s="2135">
        <f t="shared" ca="1" si="113"/>
        <v>104406.26971558236</v>
      </c>
    </row>
    <row r="54" spans="2:135" s="2132" customFormat="1">
      <c r="B54" s="14"/>
      <c r="C54" s="14"/>
      <c r="D54" s="14"/>
      <c r="E54" s="14"/>
      <c r="F54" s="14"/>
      <c r="G54" s="14"/>
      <c r="H54" s="14"/>
      <c r="I54" s="14"/>
      <c r="J54" s="14"/>
      <c r="K54" s="14"/>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c r="DE54" s="14"/>
      <c r="DF54" s="14"/>
      <c r="DG54" s="14"/>
      <c r="DH54" s="14"/>
      <c r="DI54" s="14"/>
      <c r="DJ54" s="14"/>
      <c r="DK54" s="14"/>
      <c r="DL54" s="14"/>
      <c r="DM54" s="14"/>
      <c r="DN54" s="2202"/>
      <c r="DO54" s="14"/>
      <c r="DP54" s="2202"/>
      <c r="DQ54" s="14"/>
      <c r="DR54" s="14"/>
      <c r="DS54" s="14"/>
      <c r="DT54" s="14"/>
      <c r="DU54" s="14"/>
      <c r="DV54" s="14"/>
      <c r="DW54" s="14"/>
      <c r="DX54" s="14"/>
      <c r="DY54" s="14"/>
      <c r="DZ54" s="14"/>
      <c r="EA54" s="14"/>
      <c r="EB54" s="14"/>
      <c r="EC54" s="14"/>
      <c r="ED54" s="14"/>
      <c r="EE54" s="14"/>
    </row>
    <row r="55" spans="2:135" s="2132" customFormat="1">
      <c r="B55" s="38" t="s">
        <v>288</v>
      </c>
      <c r="C55" s="38"/>
      <c r="D55" s="38"/>
      <c r="E55" s="38"/>
      <c r="F55" s="38"/>
      <c r="G55" s="38"/>
      <c r="H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38"/>
      <c r="BO55" s="38"/>
      <c r="BP55" s="38"/>
      <c r="BQ55" s="38"/>
      <c r="BR55" s="38"/>
      <c r="BS55" s="38"/>
      <c r="BT55" s="38"/>
      <c r="BU55" s="38"/>
      <c r="BV55" s="38"/>
      <c r="BW55" s="38"/>
      <c r="BX55" s="38"/>
      <c r="BY55" s="38"/>
      <c r="BZ55" s="38"/>
      <c r="CA55" s="38"/>
      <c r="CB55" s="38"/>
      <c r="CC55" s="38">
        <f>CC53-CC61</f>
        <v>16232.75</v>
      </c>
      <c r="CD55" s="38">
        <f t="shared" ref="CD55:CV55" si="114">CD53-CD61</f>
        <v>16855.75</v>
      </c>
      <c r="CE55" s="38">
        <f t="shared" si="114"/>
        <v>17067.75</v>
      </c>
      <c r="CF55" s="38">
        <f t="shared" si="114"/>
        <v>16738.75</v>
      </c>
      <c r="CG55" s="38">
        <f t="shared" si="114"/>
        <v>47779</v>
      </c>
      <c r="CH55" s="38">
        <f t="shared" si="114"/>
        <v>12225.75</v>
      </c>
      <c r="CI55" s="38">
        <f t="shared" si="114"/>
        <v>12990.75</v>
      </c>
      <c r="CJ55" s="38">
        <f t="shared" si="114"/>
        <v>13035.75</v>
      </c>
      <c r="CK55" s="38">
        <f t="shared" si="114"/>
        <v>12838</v>
      </c>
      <c r="CL55" s="38">
        <f t="shared" si="114"/>
        <v>51090.25</v>
      </c>
      <c r="CM55" s="38">
        <f t="shared" si="114"/>
        <v>13008</v>
      </c>
      <c r="CN55" s="38">
        <f t="shared" si="114"/>
        <v>13190</v>
      </c>
      <c r="CO55" s="38">
        <f t="shared" si="114"/>
        <v>12678</v>
      </c>
      <c r="CP55" s="38">
        <f t="shared" si="114"/>
        <v>12106</v>
      </c>
      <c r="CQ55" s="38">
        <f t="shared" si="114"/>
        <v>50982</v>
      </c>
      <c r="CR55" s="38">
        <f t="shared" si="114"/>
        <v>12162</v>
      </c>
      <c r="CS55" s="38">
        <f t="shared" si="114"/>
        <v>12968</v>
      </c>
      <c r="CT55" s="38">
        <f t="shared" si="114"/>
        <v>12971</v>
      </c>
      <c r="CU55" s="38">
        <f t="shared" si="114"/>
        <v>12758</v>
      </c>
      <c r="CV55" s="38">
        <f t="shared" si="114"/>
        <v>50859</v>
      </c>
      <c r="CW55" s="38">
        <f>CW53-CW61</f>
        <v>13114</v>
      </c>
      <c r="CX55" s="38">
        <f t="shared" ref="CX55:DU55" si="115">CX53-CX61</f>
        <v>13904</v>
      </c>
      <c r="CY55" s="38">
        <f t="shared" si="115"/>
        <v>13920</v>
      </c>
      <c r="CZ55" s="38">
        <f t="shared" si="115"/>
        <v>13741</v>
      </c>
      <c r="DA55" s="38">
        <f t="shared" si="115"/>
        <v>54679</v>
      </c>
      <c r="DB55" s="38">
        <f t="shared" si="115"/>
        <v>14206</v>
      </c>
      <c r="DC55" s="38">
        <f t="shared" si="115"/>
        <v>15247</v>
      </c>
      <c r="DD55" s="38">
        <f t="shared" si="115"/>
        <v>14829</v>
      </c>
      <c r="DE55" s="38">
        <f t="shared" si="115"/>
        <v>14585</v>
      </c>
      <c r="DF55" s="38">
        <f t="shared" ca="1" si="115"/>
        <v>58867</v>
      </c>
      <c r="DG55" s="38">
        <f t="shared" si="115"/>
        <v>14879</v>
      </c>
      <c r="DH55" s="38">
        <f t="shared" ref="DH55" si="116">DH53-DH61</f>
        <v>15537</v>
      </c>
      <c r="DI55" s="38">
        <f t="shared" si="115"/>
        <v>15490</v>
      </c>
      <c r="DJ55" s="38">
        <f t="shared" si="115"/>
        <v>15359</v>
      </c>
      <c r="DK55" s="38">
        <f t="shared" ca="1" si="115"/>
        <v>61257</v>
      </c>
      <c r="DL55" s="38">
        <f t="shared" si="115"/>
        <v>15162</v>
      </c>
      <c r="DM55" s="38">
        <f t="shared" si="115"/>
        <v>15889</v>
      </c>
      <c r="DN55" s="38">
        <f t="shared" si="115"/>
        <v>16814</v>
      </c>
      <c r="DO55" s="38">
        <f t="shared" si="115"/>
        <v>16683</v>
      </c>
      <c r="DP55" s="38">
        <f t="shared" si="115"/>
        <v>64548</v>
      </c>
      <c r="DQ55" s="38">
        <f t="shared" si="115"/>
        <v>16576</v>
      </c>
      <c r="DR55" s="38">
        <f t="shared" ca="1" si="115"/>
        <v>19107.217305505885</v>
      </c>
      <c r="DS55" s="38">
        <f t="shared" ca="1" si="115"/>
        <v>19497.225254544232</v>
      </c>
      <c r="DT55" s="38">
        <f t="shared" si="115"/>
        <v>18998.471878654509</v>
      </c>
      <c r="DU55" s="38">
        <f t="shared" ca="1" si="115"/>
        <v>74178.91443870464</v>
      </c>
      <c r="DV55" s="38">
        <f t="shared" ref="DV55:DZ55" si="117">DV53-DV61</f>
        <v>18666.606380685316</v>
      </c>
      <c r="DW55" s="38">
        <f t="shared" ca="1" si="117"/>
        <v>19541.466278235814</v>
      </c>
      <c r="DX55" s="38">
        <f t="shared" ca="1" si="117"/>
        <v>19681.005937829788</v>
      </c>
      <c r="DY55" s="38">
        <f t="shared" si="117"/>
        <v>19160.549489420111</v>
      </c>
      <c r="DZ55" s="38">
        <f t="shared" ca="1" si="117"/>
        <v>77049.628086171026</v>
      </c>
      <c r="EA55" s="38">
        <f t="shared" ref="EA55:EE55" si="118">EA53-EA61</f>
        <v>18932.574288199467</v>
      </c>
      <c r="EB55" s="38">
        <f t="shared" ca="1" si="118"/>
        <v>19823.076050008116</v>
      </c>
      <c r="EC55" s="38">
        <f t="shared" ca="1" si="118"/>
        <v>19987.248179742721</v>
      </c>
      <c r="ED55" s="38">
        <f t="shared" si="118"/>
        <v>19487.317106820283</v>
      </c>
      <c r="EE55" s="38">
        <f t="shared" ca="1" si="118"/>
        <v>78230.215624770586</v>
      </c>
    </row>
    <row r="56" spans="2:135">
      <c r="CC56" s="2132"/>
      <c r="CD56" s="2132"/>
      <c r="CE56" s="2132"/>
      <c r="CF56" s="2132"/>
      <c r="CG56" s="2132"/>
      <c r="CH56" s="2132"/>
      <c r="CI56" s="2132"/>
      <c r="CJ56" s="2132"/>
      <c r="CK56" s="2132"/>
      <c r="CL56" s="2132"/>
      <c r="CM56" s="2132"/>
      <c r="CN56" s="2132"/>
      <c r="CO56" s="2132"/>
      <c r="CP56" s="2132"/>
      <c r="CQ56" s="2132"/>
      <c r="CR56" s="2132"/>
      <c r="CS56" s="2132"/>
      <c r="CT56" s="2132"/>
      <c r="CU56" s="2132"/>
      <c r="CV56" s="2132"/>
      <c r="CX56" s="2132"/>
      <c r="CY56" s="2132"/>
      <c r="CZ56" s="2132"/>
      <c r="DA56" s="2132"/>
      <c r="DB56" s="2132"/>
      <c r="DC56" s="2132"/>
      <c r="DD56" s="2132"/>
      <c r="DE56" s="2132"/>
      <c r="DF56" s="2132"/>
      <c r="DG56" s="2132"/>
      <c r="DH56" s="2147"/>
      <c r="DI56" s="2132"/>
      <c r="DJ56" s="2132"/>
      <c r="DK56" s="2132"/>
      <c r="DL56" s="2132"/>
      <c r="DM56" s="2132"/>
      <c r="DN56" s="2132"/>
      <c r="DO56" s="2132"/>
      <c r="DP56" s="2132"/>
      <c r="DQ56" s="2132"/>
      <c r="DR56" s="2132"/>
      <c r="DS56" s="2132"/>
      <c r="DT56" s="2132"/>
      <c r="DU56" s="2132"/>
    </row>
    <row r="57" spans="2:135">
      <c r="B57" s="2136" t="s">
        <v>575</v>
      </c>
      <c r="CC57" s="2132">
        <f>'US Retail'!CC84</f>
        <v>2680.1672687999999</v>
      </c>
      <c r="CD57" s="2132">
        <f>'US Retail'!CD84</f>
        <v>2629.9320350399998</v>
      </c>
      <c r="CE57" s="2132">
        <f>'US Retail'!CE84</f>
        <v>2713.6281744000003</v>
      </c>
      <c r="CF57" s="2132">
        <f>'US Retail'!CF84</f>
        <v>2773.3694471999993</v>
      </c>
      <c r="CG57" s="2132">
        <f>'US Retail'!CG84</f>
        <v>10797.096925439999</v>
      </c>
      <c r="CH57" s="2132">
        <f>'US Retail'!CH84</f>
        <v>2852.8065182919995</v>
      </c>
      <c r="CI57" s="2132">
        <f>'US Retail'!CI84</f>
        <v>2834.9709918052185</v>
      </c>
      <c r="CJ57" s="2132">
        <f>'US Retail'!CJ84</f>
        <v>2942.4577005600004</v>
      </c>
      <c r="CK57" s="2132">
        <f>'US Retail'!CK84</f>
        <v>2966.6551128747496</v>
      </c>
      <c r="CL57" s="2132">
        <f>'US Retail'!CL84</f>
        <v>11596.890323531967</v>
      </c>
      <c r="CM57" s="2132">
        <f>'US Retail'!CM84</f>
        <v>2905.4707886297592</v>
      </c>
      <c r="CN57" s="2132">
        <f>'US Retail'!CN84</f>
        <v>2777.3839031997045</v>
      </c>
      <c r="CO57" s="2132">
        <f>'US Retail'!CO84</f>
        <v>2782.3065462128648</v>
      </c>
      <c r="CP57" s="2132">
        <f>'US Retail'!CP84</f>
        <v>2806.3804351984995</v>
      </c>
      <c r="CQ57" s="2132">
        <f>'US Retail'!CQ84</f>
        <v>11271.541673240828</v>
      </c>
      <c r="CR57" s="2132">
        <f>'US Retail'!CR84</f>
        <v>2915.3516999762392</v>
      </c>
      <c r="CS57" s="2132">
        <f>'US Retail'!CS84</f>
        <v>3013.3684047299625</v>
      </c>
      <c r="CT57" s="2132">
        <f>'US Retail'!CT84</f>
        <v>3161.6641961155078</v>
      </c>
      <c r="CU57" s="2132">
        <f>'US Retail'!CU84</f>
        <v>3137.3107456883945</v>
      </c>
      <c r="CV57" s="2132">
        <f>'US Retail'!CV84</f>
        <v>12227.695046510104</v>
      </c>
      <c r="CW57">
        <f>'US Retail'!CW84</f>
        <v>3132.6991150033496</v>
      </c>
      <c r="CX57" s="2132">
        <f>'US Retail'!CX84</f>
        <v>3153.2887827973141</v>
      </c>
      <c r="CY57" s="2132">
        <f>'US Retail'!CY84</f>
        <v>3344.2413332674205</v>
      </c>
      <c r="CZ57" s="2132">
        <f>'US Retail'!CZ84</f>
        <v>3297.369949177888</v>
      </c>
      <c r="DA57" s="2132">
        <f>'US Retail'!DA84</f>
        <v>12927.599180245972</v>
      </c>
      <c r="DB57" s="2132">
        <f>'US Retail'!DB84</f>
        <v>3299.1766286048692</v>
      </c>
      <c r="DC57" s="2132">
        <f>'US Retail'!DC84</f>
        <v>3310.3056596265433</v>
      </c>
      <c r="DD57" s="2132">
        <f ca="1">'US Retail'!DD84</f>
        <v>3469.4542958329807</v>
      </c>
      <c r="DE57" s="2132">
        <f ca="1">'US Retail'!DE84</f>
        <v>3484.6538618644472</v>
      </c>
      <c r="DF57" s="2132">
        <f ca="1">'US Retail'!DF84</f>
        <v>13563.590445928839</v>
      </c>
      <c r="DG57" s="2132">
        <f>'US Retail'!DG84</f>
        <v>3461.3825473612233</v>
      </c>
      <c r="DH57" s="2147">
        <f ca="1">'US Retail'!DH84</f>
        <v>3459.9086110752523</v>
      </c>
      <c r="DI57" s="2132">
        <f ca="1">'US Retail'!DI84</f>
        <v>3555.3699073339385</v>
      </c>
      <c r="DJ57" s="2132">
        <f ca="1">'US Retail'!DJ84</f>
        <v>3516.2904539103074</v>
      </c>
      <c r="DK57" s="2132">
        <f ca="1">'US Retail'!DK84</f>
        <v>13992.951519680722</v>
      </c>
      <c r="DL57" s="2132">
        <f>'US Retail'!DL84</f>
        <v>3480.5493727055009</v>
      </c>
      <c r="DM57" s="2132">
        <f>'US Retail'!DM84</f>
        <v>3582.2817930561519</v>
      </c>
      <c r="DN57" s="2132">
        <f>'US Retail'!DN84</f>
        <v>3775.1785161793068</v>
      </c>
      <c r="DO57" s="2132">
        <f>'US Retail'!DO84</f>
        <v>3750.5289016376319</v>
      </c>
      <c r="DP57" s="2132">
        <f>'US Retail'!DP84</f>
        <v>14588.538583578591</v>
      </c>
      <c r="DQ57" s="2132">
        <f>'US Retail'!DQ84</f>
        <v>3726.325097927559</v>
      </c>
      <c r="DR57" s="2132">
        <f ca="1">'US Retail'!DR84</f>
        <v>4003.2326389900145</v>
      </c>
      <c r="DS57" s="2132">
        <f ca="1">'US Retail'!DS84</f>
        <v>4230.5632560446811</v>
      </c>
      <c r="DT57" s="2132">
        <f>'US Retail'!DT84</f>
        <v>4081.9811019885983</v>
      </c>
      <c r="DU57" s="2132">
        <f ca="1">'US Retail'!DU84</f>
        <v>16042.102094950853</v>
      </c>
      <c r="DV57" s="2161">
        <f>'US Retail'!DV84</f>
        <v>4212.220059218238</v>
      </c>
      <c r="DW57" s="2161">
        <f ca="1">'US Retail'!DW84</f>
        <v>4161.4364626198185</v>
      </c>
      <c r="DX57" s="2161">
        <f ca="1">'US Retail'!DX84</f>
        <v>4374.4432573374916</v>
      </c>
      <c r="DY57" s="2161">
        <f>'US Retail'!DY84</f>
        <v>4235.423640514201</v>
      </c>
      <c r="DZ57" s="2161">
        <f ca="1">'US Retail'!DZ84</f>
        <v>16983.523419689747</v>
      </c>
      <c r="EA57" s="2248">
        <f>'US Retail'!EA84</f>
        <v>4381.157651294141</v>
      </c>
      <c r="EB57" s="2248">
        <f ca="1">'US Retail'!EB84</f>
        <v>4312.0948806374136</v>
      </c>
      <c r="EC57" s="2248">
        <f ca="1">'US Retail'!EC84</f>
        <v>4533.0008875173162</v>
      </c>
      <c r="ED57" s="2248">
        <f>'US Retail'!ED84</f>
        <v>4389.1348105729749</v>
      </c>
      <c r="EE57" s="2248">
        <f ca="1">'US Retail'!EE84</f>
        <v>17615.388230021843</v>
      </c>
    </row>
    <row r="58" spans="2:135">
      <c r="B58" s="2136" t="s">
        <v>576</v>
      </c>
      <c r="CC58" s="2132">
        <f>'US Retail'!CC161</f>
        <v>1854.5514812000001</v>
      </c>
      <c r="CD58" s="2132">
        <f>'US Retail'!CD161</f>
        <v>2259.8492149600002</v>
      </c>
      <c r="CE58" s="2132">
        <f>'US Retail'!CE161</f>
        <v>2028.1530755999997</v>
      </c>
      <c r="CF58" s="2132">
        <f>'US Retail'!CF161</f>
        <v>2011.4118028000007</v>
      </c>
      <c r="CG58" s="2132">
        <f>'US Retail'!CG161</f>
        <v>8153.9655745600012</v>
      </c>
      <c r="CH58" s="2132">
        <f>'US Retail'!CH161</f>
        <v>2084.9747317080005</v>
      </c>
      <c r="CI58" s="2132">
        <f>'US Retail'!CI161</f>
        <v>2481.8102581947815</v>
      </c>
      <c r="CJ58" s="2132">
        <f>'US Retail'!CJ161</f>
        <v>2204.3235494399996</v>
      </c>
      <c r="CK58" s="2132">
        <f>'US Retail'!CK161</f>
        <v>2102.3448871252504</v>
      </c>
      <c r="CL58" s="2132">
        <f>'US Retail'!CL161</f>
        <v>8873.4534264680333</v>
      </c>
      <c r="CM58" s="2132">
        <f>'US Retail'!CM161</f>
        <v>2198.5292113702408</v>
      </c>
      <c r="CN58" s="2132">
        <f>'US Retail'!CN161</f>
        <v>2611.6160968002955</v>
      </c>
      <c r="CO58" s="2132">
        <f>'US Retail'!CO161</f>
        <v>2231.6934537871352</v>
      </c>
      <c r="CP58" s="2132">
        <f>'US Retail'!CP161</f>
        <v>2028.6195648015005</v>
      </c>
      <c r="CQ58" s="2132">
        <f>'US Retail'!CQ161</f>
        <v>9070.4583267591715</v>
      </c>
      <c r="CR58" s="2132">
        <f>'US Retail'!CR161</f>
        <v>2183.6483000237608</v>
      </c>
      <c r="CS58" s="2132">
        <f>'US Retail'!CS161</f>
        <v>2593.6315952700375</v>
      </c>
      <c r="CT58" s="2132">
        <f>'US Retail'!CT161</f>
        <v>2060.3358038844922</v>
      </c>
      <c r="CU58" s="2132">
        <f>'US Retail'!CU161</f>
        <v>2053.6892543116055</v>
      </c>
      <c r="CV58" s="2132">
        <f>'US Retail'!CV161</f>
        <v>8891.3049534898964</v>
      </c>
      <c r="CW58">
        <f>'US Retail'!CW161</f>
        <v>2019.3008849966504</v>
      </c>
      <c r="CX58" s="2132">
        <f>'US Retail'!CX161</f>
        <v>2496.7112172026859</v>
      </c>
      <c r="CY58" s="2132">
        <f>'US Retail'!CY161</f>
        <v>2095.7586667325795</v>
      </c>
      <c r="CZ58" s="2132">
        <f>'US Retail'!CZ161</f>
        <v>2029.630050822112</v>
      </c>
      <c r="DA58" s="2132">
        <f>'US Retail'!DA161</f>
        <v>8641.4008197540279</v>
      </c>
      <c r="DB58" s="2132">
        <f>'US Retail'!DB161</f>
        <v>1996.8233713951308</v>
      </c>
      <c r="DC58" s="2132">
        <f>'US Retail'!DC161</f>
        <v>2435.6943403734567</v>
      </c>
      <c r="DD58" s="2132">
        <f ca="1">'US Retail'!DD161</f>
        <v>2057.5457041670193</v>
      </c>
      <c r="DE58" s="2132">
        <f ca="1">'US Retail'!DE161</f>
        <v>1768.3461381355528</v>
      </c>
      <c r="DF58" s="2132">
        <f ca="1">'US Retail'!DF161</f>
        <v>8258.4095540711605</v>
      </c>
      <c r="DG58" s="2132">
        <f>'US Retail'!DG161</f>
        <v>1983.6174526387767</v>
      </c>
      <c r="DH58" s="2147">
        <f ca="1">'US Retail'!DH161</f>
        <v>2435.0913889247477</v>
      </c>
      <c r="DI58" s="2132">
        <f ca="1">'US Retail'!DI161</f>
        <v>2047.6300926660615</v>
      </c>
      <c r="DJ58" s="2132">
        <f ca="1">'US Retail'!DJ161</f>
        <v>1871.7095460896926</v>
      </c>
      <c r="DK58" s="2132">
        <f ca="1">'US Retail'!DK161</f>
        <v>8338.0484803192776</v>
      </c>
      <c r="DL58" s="2132">
        <f>'US Retail'!DL161</f>
        <v>1958.4506272944991</v>
      </c>
      <c r="DM58" s="2132">
        <f>'US Retail'!DM161</f>
        <v>2293.7182069438481</v>
      </c>
      <c r="DN58" s="2132">
        <f>'US Retail'!DN161</f>
        <v>1889.8214838206932</v>
      </c>
      <c r="DO58" s="2132">
        <f>'US Retail'!DO161</f>
        <v>1877.4710983623681</v>
      </c>
      <c r="DP58" s="2132">
        <f>'US Retail'!DP161</f>
        <v>8019.461416421409</v>
      </c>
      <c r="DQ58" s="2132">
        <f>'US Retail'!DQ161</f>
        <v>1901.674902072441</v>
      </c>
      <c r="DR58" s="2132">
        <f>'US Retail'!DR161</f>
        <v>2408.46196601664</v>
      </c>
      <c r="DS58" s="2132">
        <f>'US Retail'!DS161</f>
        <v>2098.7264584950076</v>
      </c>
      <c r="DT58" s="2132">
        <f>'US Retail'!DT161</f>
        <v>2104.707189326497</v>
      </c>
      <c r="DU58" s="2132">
        <f>'US Retail'!DU161</f>
        <v>8513.5705159105855</v>
      </c>
      <c r="DV58" s="2161">
        <f>'US Retail'!DV161</f>
        <v>1905.7652109052799</v>
      </c>
      <c r="DW58" s="2161">
        <f>'US Retail'!DW161</f>
        <v>2410.2957511128266</v>
      </c>
      <c r="DX58" s="2161">
        <f>'US Retail'!DX161</f>
        <v>2100.3608213415459</v>
      </c>
      <c r="DY58" s="2161">
        <f>'US Retail'!DY161</f>
        <v>2098.7299728164608</v>
      </c>
      <c r="DZ58" s="2161">
        <f>'US Retail'!DZ161</f>
        <v>8515.1517561761138</v>
      </c>
      <c r="EA58" s="2248">
        <f>'US Retail'!EA161</f>
        <v>1872.0430602679428</v>
      </c>
      <c r="EB58" s="2248">
        <f>'US Retail'!EB161</f>
        <v>2374.5447276517593</v>
      </c>
      <c r="EC58" s="2248">
        <f>'US Retail'!EC161</f>
        <v>2072.4048406272027</v>
      </c>
      <c r="ED58" s="2248">
        <f>'US Retail'!ED161</f>
        <v>2073.9976216180162</v>
      </c>
      <c r="EE58" s="2248">
        <f>'US Retail'!EE161</f>
        <v>8392.9902501649212</v>
      </c>
    </row>
    <row r="59" spans="2:135">
      <c r="B59" s="2135" t="s">
        <v>577</v>
      </c>
      <c r="C59" s="2135"/>
      <c r="D59" s="2135"/>
      <c r="E59" s="2135"/>
      <c r="F59" s="2135"/>
      <c r="G59" s="2135"/>
      <c r="H59" s="2135"/>
      <c r="I59" s="2135"/>
      <c r="J59" s="2135"/>
      <c r="K59" s="2135"/>
      <c r="L59" s="2135"/>
      <c r="M59" s="2135"/>
      <c r="N59" s="2135"/>
      <c r="O59" s="2135"/>
      <c r="P59" s="2135"/>
      <c r="Q59" s="2135"/>
      <c r="R59" s="2135"/>
      <c r="S59" s="2135"/>
      <c r="T59" s="2135"/>
      <c r="U59" s="2135"/>
      <c r="V59" s="2135"/>
      <c r="W59" s="2135"/>
      <c r="X59" s="2135"/>
      <c r="Y59" s="2135"/>
      <c r="Z59" s="2135"/>
      <c r="AA59" s="2135"/>
      <c r="AB59" s="2135"/>
      <c r="AC59" s="2135"/>
      <c r="AD59" s="2135"/>
      <c r="AE59" s="2135"/>
      <c r="AF59" s="2135"/>
      <c r="AG59" s="2135"/>
      <c r="AH59" s="2135"/>
      <c r="AI59" s="2135"/>
      <c r="AJ59" s="2135"/>
      <c r="AK59" s="2135"/>
      <c r="AL59" s="2135"/>
      <c r="AM59" s="2135"/>
      <c r="AN59" s="2135"/>
      <c r="AO59" s="2135"/>
      <c r="AP59" s="2135"/>
      <c r="AQ59" s="2135"/>
      <c r="AR59" s="2135"/>
      <c r="AS59" s="2135"/>
      <c r="AT59" s="2135"/>
      <c r="AU59" s="2135"/>
      <c r="AV59" s="2135"/>
      <c r="AW59" s="2135"/>
      <c r="AX59" s="2135"/>
      <c r="AY59" s="2135"/>
      <c r="AZ59" s="2135"/>
      <c r="BA59" s="2135"/>
      <c r="BB59" s="2135"/>
      <c r="BC59" s="2135"/>
      <c r="BD59" s="2135"/>
      <c r="BE59" s="2135"/>
      <c r="BF59" s="2135"/>
      <c r="BG59" s="2135"/>
      <c r="BH59" s="2135"/>
      <c r="BI59" s="2135"/>
      <c r="BJ59" s="2135"/>
      <c r="BK59" s="2135"/>
      <c r="BL59" s="2135"/>
      <c r="BM59" s="2135"/>
      <c r="BN59" s="2135"/>
      <c r="BO59" s="2135"/>
      <c r="BP59" s="2135"/>
      <c r="BQ59" s="2135"/>
      <c r="BR59" s="2135"/>
      <c r="BS59" s="2135"/>
      <c r="BT59" s="2135"/>
      <c r="BU59" s="2135"/>
      <c r="BV59" s="2135"/>
      <c r="BW59" s="2135"/>
      <c r="BX59" s="2135"/>
      <c r="BY59" s="2135"/>
      <c r="BZ59" s="2135"/>
      <c r="CA59" s="2135"/>
      <c r="CB59" s="2135"/>
      <c r="CC59" s="2135">
        <f>'US Retail'!CC189</f>
        <v>0</v>
      </c>
      <c r="CD59" s="2135">
        <f>'US Retail'!CD189</f>
        <v>0</v>
      </c>
      <c r="CE59" s="2135">
        <f>'US Retail'!CE189</f>
        <v>0</v>
      </c>
      <c r="CF59" s="2135">
        <f>'US Retail'!CF189</f>
        <v>0</v>
      </c>
      <c r="CG59" s="2135">
        <f>'US Retail'!CG189</f>
        <v>18976</v>
      </c>
      <c r="CH59" s="2135">
        <f>'US Retail'!CH189</f>
        <v>4945</v>
      </c>
      <c r="CI59" s="2135">
        <f>'US Retail'!CI189</f>
        <v>5324</v>
      </c>
      <c r="CJ59" s="2135">
        <f>'US Retail'!CJ189</f>
        <v>5154</v>
      </c>
      <c r="CK59" s="2135">
        <f>'US Retail'!CK189</f>
        <v>5069</v>
      </c>
      <c r="CL59" s="2135">
        <f>'US Retail'!CL189</f>
        <v>20492</v>
      </c>
      <c r="CM59" s="2135">
        <f>'US Retail'!CM189</f>
        <v>5104</v>
      </c>
      <c r="CN59" s="2135">
        <f>'US Retail'!CN189</f>
        <v>5389</v>
      </c>
      <c r="CO59" s="2135">
        <f>'US Retail'!CO189</f>
        <v>5014</v>
      </c>
      <c r="CP59" s="2135">
        <f>'US Retail'!CP189</f>
        <v>4835</v>
      </c>
      <c r="CQ59" s="2135">
        <f>'US Retail'!CQ189</f>
        <v>20342</v>
      </c>
      <c r="CR59" s="2135">
        <f>'US Retail'!CR189</f>
        <v>5099</v>
      </c>
      <c r="CS59" s="2135">
        <f>'US Retail'!CS189</f>
        <v>5607</v>
      </c>
      <c r="CT59" s="2135">
        <f>'US Retail'!CT189</f>
        <v>5222</v>
      </c>
      <c r="CU59" s="2135">
        <f>'US Retail'!CU189</f>
        <v>5191</v>
      </c>
      <c r="CV59" s="2135">
        <f>'US Retail'!CV189</f>
        <v>21119</v>
      </c>
      <c r="CW59" s="2135">
        <f>'US Retail'!CW189</f>
        <v>5152</v>
      </c>
      <c r="CX59" s="2135">
        <f>'US Retail'!CX189</f>
        <v>5650</v>
      </c>
      <c r="CY59" s="2135">
        <f>'US Retail'!CY189</f>
        <v>5440</v>
      </c>
      <c r="CZ59" s="2135">
        <f>'US Retail'!CZ189</f>
        <v>5327</v>
      </c>
      <c r="DA59" s="2135">
        <f>'US Retail'!DA189</f>
        <v>21569</v>
      </c>
      <c r="DB59" s="2135">
        <f>'US Retail'!DB189</f>
        <v>5296</v>
      </c>
      <c r="DC59" s="2135">
        <f>'US Retail'!DC189</f>
        <v>5746</v>
      </c>
      <c r="DD59" s="2135">
        <f>'US Retail'!DD189</f>
        <v>5527</v>
      </c>
      <c r="DE59" s="2135">
        <f>'US Retail'!DE189</f>
        <v>5253</v>
      </c>
      <c r="DF59" s="2135">
        <f ca="1">'US Retail'!DF189</f>
        <v>21822</v>
      </c>
      <c r="DG59" s="2135">
        <f>'US Retail'!DG189</f>
        <v>5445</v>
      </c>
      <c r="DH59" s="2135">
        <f>'US Retail'!DH189</f>
        <v>5895</v>
      </c>
      <c r="DI59" s="2135">
        <f>'US Retail'!DI189</f>
        <v>5603</v>
      </c>
      <c r="DJ59" s="2135">
        <f>'US Retail'!DJ189</f>
        <v>5388</v>
      </c>
      <c r="DK59" s="2135">
        <f ca="1">'US Retail'!DK189</f>
        <v>22331</v>
      </c>
      <c r="DL59" s="2135">
        <f>'US Retail'!DL189</f>
        <v>5439</v>
      </c>
      <c r="DM59" s="2135">
        <f>'US Retail'!DM189</f>
        <v>5876</v>
      </c>
      <c r="DN59" s="2135">
        <f>'US Retail'!DN189</f>
        <v>5665</v>
      </c>
      <c r="DO59" s="2135">
        <f>'US Retail'!DO189</f>
        <v>5628</v>
      </c>
      <c r="DP59" s="2135">
        <f>'US Retail'!DP189</f>
        <v>22608</v>
      </c>
      <c r="DQ59" s="2135">
        <f>'US Retail'!DQ189</f>
        <v>5628</v>
      </c>
      <c r="DR59" s="2135">
        <f ca="1">'US Retail'!DR189</f>
        <v>6431.1296050066549</v>
      </c>
      <c r="DS59" s="2135">
        <f ca="1">'US Retail'!DS189</f>
        <v>6339.2347145396889</v>
      </c>
      <c r="DT59" s="2135">
        <f>'US Retail'!DT189</f>
        <v>6196.6332913150945</v>
      </c>
      <c r="DU59" s="2135">
        <f ca="1">'US Retail'!DU189</f>
        <v>24594.997610861439</v>
      </c>
      <c r="DV59" s="2135">
        <f>'US Retail'!DV189</f>
        <v>6127.7352701235177</v>
      </c>
      <c r="DW59" s="2135">
        <f ca="1">'US Retail'!DW189</f>
        <v>6594.6762387326444</v>
      </c>
      <c r="DX59" s="2135">
        <f ca="1">'US Retail'!DX189</f>
        <v>6484.8982536790372</v>
      </c>
      <c r="DY59" s="2135">
        <f>'US Retail'!DY189</f>
        <v>6344.2477883306619</v>
      </c>
      <c r="DZ59" s="2135">
        <f ca="1">'US Retail'!DZ189</f>
        <v>25551.557550865862</v>
      </c>
      <c r="EA59" s="2135">
        <f>'US Retail'!EA189</f>
        <v>6263.0969615620834</v>
      </c>
      <c r="EB59" s="2135">
        <f ca="1">'US Retail'!EB189</f>
        <v>6709.9277936641729</v>
      </c>
      <c r="EC59" s="2135">
        <f ca="1">'US Retail'!EC189</f>
        <v>6615.6513157695181</v>
      </c>
      <c r="ED59" s="2135">
        <f>'US Retail'!ED189</f>
        <v>6473.3780198159902</v>
      </c>
      <c r="EE59" s="2135">
        <f ca="1">'US Retail'!EE189</f>
        <v>26062.054090811765</v>
      </c>
    </row>
    <row r="60" spans="2:135" s="2132" customFormat="1">
      <c r="B60" s="2140" t="s">
        <v>578</v>
      </c>
      <c r="C60" s="14"/>
      <c r="D60" s="14"/>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38">
        <f>'US Retail'!CC193</f>
        <v>0</v>
      </c>
      <c r="CD60" s="38">
        <f>'US Retail'!CD193</f>
        <v>0</v>
      </c>
      <c r="CE60" s="38">
        <f>'US Retail'!CE193</f>
        <v>0</v>
      </c>
      <c r="CF60" s="38">
        <f>'US Retail'!CF193</f>
        <v>0</v>
      </c>
      <c r="CG60" s="38">
        <f>'US Retail'!CG193</f>
        <v>140</v>
      </c>
      <c r="CH60" s="38">
        <f>'US Retail'!CH193</f>
        <v>42</v>
      </c>
      <c r="CI60" s="38">
        <f>'US Retail'!CI193</f>
        <v>56</v>
      </c>
      <c r="CJ60" s="38">
        <f>'US Retail'!CJ193</f>
        <v>50</v>
      </c>
      <c r="CK60" s="38">
        <f>'US Retail'!CK193</f>
        <v>60</v>
      </c>
      <c r="CL60" s="38">
        <f>'US Retail'!CL193</f>
        <v>208</v>
      </c>
      <c r="CM60" s="38">
        <f>'US Retail'!CM193</f>
        <v>45</v>
      </c>
      <c r="CN60" s="38">
        <f>'US Retail'!CN193</f>
        <v>72</v>
      </c>
      <c r="CO60" s="38">
        <f>'US Retail'!CO193</f>
        <v>60</v>
      </c>
      <c r="CP60" s="38">
        <f>'US Retail'!CP193</f>
        <v>132</v>
      </c>
      <c r="CQ60" s="38">
        <f>'US Retail'!CQ193</f>
        <v>309</v>
      </c>
      <c r="CR60" s="38">
        <f>'US Retail'!CR193</f>
        <v>55</v>
      </c>
      <c r="CS60" s="38">
        <f>'US Retail'!CS193</f>
        <v>72</v>
      </c>
      <c r="CT60" s="38">
        <f>'US Retail'!CT193</f>
        <v>120</v>
      </c>
      <c r="CU60" s="38">
        <f>'US Retail'!CU193</f>
        <v>-8</v>
      </c>
      <c r="CV60" s="38">
        <f>'US Retail'!CV193</f>
        <v>239</v>
      </c>
      <c r="CW60" s="38">
        <f>'US Retail'!CW193</f>
        <v>63</v>
      </c>
      <c r="CX60" s="38">
        <f>'US Retail'!CX193</f>
        <v>51</v>
      </c>
      <c r="CY60" s="38">
        <f>'US Retail'!CY193</f>
        <v>41</v>
      </c>
      <c r="CZ60" s="38">
        <f>'US Retail'!CZ193</f>
        <v>-11</v>
      </c>
      <c r="DA60" s="38">
        <f>'US Retail'!DA193</f>
        <v>144</v>
      </c>
      <c r="DB60" s="38">
        <f>'US Retail'!DB193</f>
        <v>52</v>
      </c>
      <c r="DC60" s="38">
        <f>'US Retail'!DC193</f>
        <v>55</v>
      </c>
      <c r="DD60" s="38">
        <f>'US Retail'!DD193</f>
        <v>69</v>
      </c>
      <c r="DE60" s="38">
        <f>'US Retail'!DE193</f>
        <v>109</v>
      </c>
      <c r="DF60" s="38">
        <f>'US Retail'!DF193</f>
        <v>285</v>
      </c>
      <c r="DG60" s="38">
        <f>'US Retail'!DG193</f>
        <v>46</v>
      </c>
      <c r="DH60" s="38">
        <f>'US Retail'!DH193</f>
        <v>68</v>
      </c>
      <c r="DI60" s="38">
        <f>'US Retail'!DI193</f>
        <v>92</v>
      </c>
      <c r="DJ60" s="38">
        <f>'US Retail'!DJ193</f>
        <v>8</v>
      </c>
      <c r="DK60" s="38">
        <f>'US Retail'!DK193</f>
        <v>214</v>
      </c>
      <c r="DL60" s="38">
        <f>'US Retail'!DL193</f>
        <v>58</v>
      </c>
      <c r="DM60" s="38">
        <f>'US Retail'!DM193</f>
        <v>49</v>
      </c>
      <c r="DN60" s="38">
        <f>'US Retail'!DN193</f>
        <v>49</v>
      </c>
      <c r="DO60" s="38">
        <f>'US Retail'!DO193</f>
        <v>-10</v>
      </c>
      <c r="DP60" s="38">
        <f>'US Retail'!DP193</f>
        <v>146</v>
      </c>
      <c r="DQ60" s="38">
        <f>'US Retail'!DQ193</f>
        <v>97</v>
      </c>
      <c r="DR60" s="38">
        <f>'US Retail'!DR193</f>
        <v>49</v>
      </c>
      <c r="DS60" s="38">
        <f>'US Retail'!DS193</f>
        <v>49</v>
      </c>
      <c r="DT60" s="38">
        <f>'US Retail'!DT193</f>
        <v>-38</v>
      </c>
      <c r="DU60" s="38">
        <f>'US Retail'!DU193</f>
        <v>157</v>
      </c>
      <c r="DV60" s="38">
        <f>'US Retail'!DV193</f>
        <v>54</v>
      </c>
      <c r="DW60" s="38">
        <f>'US Retail'!DW193</f>
        <v>49</v>
      </c>
      <c r="DX60" s="38">
        <f>'US Retail'!DX193</f>
        <v>49</v>
      </c>
      <c r="DY60" s="38">
        <f>'US Retail'!DY193</f>
        <v>-38</v>
      </c>
      <c r="DZ60" s="38">
        <f>'US Retail'!DZ193</f>
        <v>114</v>
      </c>
      <c r="EA60" s="38">
        <f>'US Retail'!EA193</f>
        <v>54</v>
      </c>
      <c r="EB60" s="38">
        <f>'US Retail'!EB193</f>
        <v>49</v>
      </c>
      <c r="EC60" s="38">
        <f>'US Retail'!EC193</f>
        <v>49</v>
      </c>
      <c r="ED60" s="38">
        <f>'US Retail'!ED193</f>
        <v>-38</v>
      </c>
      <c r="EE60" s="38">
        <f>'US Retail'!EE193</f>
        <v>114</v>
      </c>
    </row>
    <row r="61" spans="2:135" s="2132" customFormat="1">
      <c r="B61" s="14" t="s">
        <v>272</v>
      </c>
      <c r="C61" s="14"/>
      <c r="D61" s="14"/>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f>CC59+CC60</f>
        <v>0</v>
      </c>
      <c r="CD61" s="14">
        <f t="shared" ref="CD61:CV61" si="119">CD59+CD60</f>
        <v>0</v>
      </c>
      <c r="CE61" s="14">
        <f t="shared" si="119"/>
        <v>0</v>
      </c>
      <c r="CF61" s="14">
        <f t="shared" si="119"/>
        <v>0</v>
      </c>
      <c r="CG61" s="14">
        <f t="shared" si="119"/>
        <v>19116</v>
      </c>
      <c r="CH61" s="14">
        <f t="shared" si="119"/>
        <v>4987</v>
      </c>
      <c r="CI61" s="14">
        <f t="shared" si="119"/>
        <v>5380</v>
      </c>
      <c r="CJ61" s="14">
        <f t="shared" si="119"/>
        <v>5204</v>
      </c>
      <c r="CK61" s="14">
        <f t="shared" si="119"/>
        <v>5129</v>
      </c>
      <c r="CL61" s="14">
        <f t="shared" si="119"/>
        <v>20700</v>
      </c>
      <c r="CM61" s="14">
        <f t="shared" si="119"/>
        <v>5149</v>
      </c>
      <c r="CN61" s="14">
        <f t="shared" si="119"/>
        <v>5461</v>
      </c>
      <c r="CO61" s="14">
        <f t="shared" si="119"/>
        <v>5074</v>
      </c>
      <c r="CP61" s="14">
        <f t="shared" si="119"/>
        <v>4967</v>
      </c>
      <c r="CQ61" s="14">
        <f t="shared" si="119"/>
        <v>20651</v>
      </c>
      <c r="CR61" s="14">
        <f t="shared" si="119"/>
        <v>5154</v>
      </c>
      <c r="CS61" s="14">
        <f t="shared" si="119"/>
        <v>5679</v>
      </c>
      <c r="CT61" s="14">
        <f t="shared" si="119"/>
        <v>5342</v>
      </c>
      <c r="CU61" s="14">
        <f t="shared" si="119"/>
        <v>5183</v>
      </c>
      <c r="CV61" s="14">
        <f t="shared" si="119"/>
        <v>21358</v>
      </c>
      <c r="CW61" s="14">
        <f>CW59+CW60</f>
        <v>5215</v>
      </c>
      <c r="CX61" s="14">
        <f t="shared" ref="CX61:DU61" si="120">CX59+CX60</f>
        <v>5701</v>
      </c>
      <c r="CY61" s="14">
        <f t="shared" si="120"/>
        <v>5481</v>
      </c>
      <c r="CZ61" s="14">
        <f t="shared" si="120"/>
        <v>5316</v>
      </c>
      <c r="DA61" s="14">
        <f t="shared" si="120"/>
        <v>21713</v>
      </c>
      <c r="DB61" s="14">
        <f t="shared" si="120"/>
        <v>5348</v>
      </c>
      <c r="DC61" s="14">
        <f t="shared" si="120"/>
        <v>5801</v>
      </c>
      <c r="DD61" s="14">
        <f t="shared" si="120"/>
        <v>5596</v>
      </c>
      <c r="DE61" s="14">
        <f t="shared" si="120"/>
        <v>5362</v>
      </c>
      <c r="DF61" s="14">
        <f t="shared" ca="1" si="120"/>
        <v>22107</v>
      </c>
      <c r="DG61" s="14">
        <f t="shared" si="120"/>
        <v>5491</v>
      </c>
      <c r="DH61" s="14">
        <f t="shared" ref="DH61" si="121">DH59+DH60</f>
        <v>5963</v>
      </c>
      <c r="DI61" s="14">
        <f t="shared" si="120"/>
        <v>5695</v>
      </c>
      <c r="DJ61" s="14">
        <v>5388</v>
      </c>
      <c r="DK61" s="14">
        <f t="shared" ca="1" si="120"/>
        <v>22545</v>
      </c>
      <c r="DL61" s="14">
        <f t="shared" si="120"/>
        <v>5497</v>
      </c>
      <c r="DM61" s="14">
        <f t="shared" si="120"/>
        <v>5925</v>
      </c>
      <c r="DN61" s="14">
        <f t="shared" si="120"/>
        <v>5714</v>
      </c>
      <c r="DO61" s="14">
        <f t="shared" si="120"/>
        <v>5618</v>
      </c>
      <c r="DP61" s="14">
        <f t="shared" si="120"/>
        <v>22754</v>
      </c>
      <c r="DQ61" s="14">
        <f t="shared" si="120"/>
        <v>5725</v>
      </c>
      <c r="DR61" s="14">
        <f t="shared" ca="1" si="120"/>
        <v>6480.1296050066549</v>
      </c>
      <c r="DS61" s="14">
        <f t="shared" ca="1" si="120"/>
        <v>6388.2347145396889</v>
      </c>
      <c r="DT61" s="14">
        <f t="shared" si="120"/>
        <v>6158.6332913150945</v>
      </c>
      <c r="DU61" s="14">
        <f t="shared" ca="1" si="120"/>
        <v>24751.997610861439</v>
      </c>
      <c r="DV61" s="14">
        <f t="shared" ref="DV61:DZ61" si="122">DV59+DV60</f>
        <v>6181.7352701235177</v>
      </c>
      <c r="DW61" s="14">
        <f t="shared" ca="1" si="122"/>
        <v>6643.6762387326444</v>
      </c>
      <c r="DX61" s="14">
        <f t="shared" ca="1" si="122"/>
        <v>6533.8982536790372</v>
      </c>
      <c r="DY61" s="14">
        <f t="shared" si="122"/>
        <v>6306.2477883306619</v>
      </c>
      <c r="DZ61" s="14">
        <f t="shared" ca="1" si="122"/>
        <v>25665.557550865862</v>
      </c>
      <c r="EA61" s="14">
        <f t="shared" ref="EA61:EE61" si="123">EA59+EA60</f>
        <v>6317.0969615620834</v>
      </c>
      <c r="EB61" s="14">
        <f t="shared" ca="1" si="123"/>
        <v>6758.9277936641729</v>
      </c>
      <c r="EC61" s="14">
        <f t="shared" ca="1" si="123"/>
        <v>6664.6513157695181</v>
      </c>
      <c r="ED61" s="14">
        <f t="shared" si="123"/>
        <v>6435.3780198159902</v>
      </c>
      <c r="EE61" s="14">
        <f t="shared" ca="1" si="123"/>
        <v>26176.054090811765</v>
      </c>
    </row>
    <row r="62" spans="2:135">
      <c r="CC62" s="2132"/>
      <c r="CD62" s="2132"/>
      <c r="CE62" s="2132"/>
      <c r="CF62" s="2132"/>
      <c r="CG62" s="2132"/>
      <c r="CH62" s="2132"/>
      <c r="CI62" s="2132"/>
      <c r="CJ62" s="2132"/>
      <c r="CK62" s="2132"/>
      <c r="CL62" s="2132"/>
      <c r="CM62" s="2132"/>
      <c r="CN62" s="2132"/>
      <c r="CO62" s="2132"/>
      <c r="CP62" s="2132"/>
      <c r="CQ62" s="2132"/>
      <c r="CR62" s="2132"/>
      <c r="CS62" s="2132"/>
      <c r="CT62" s="2132"/>
      <c r="CU62" s="2132"/>
      <c r="CV62" s="2132"/>
      <c r="DH62" s="2147"/>
      <c r="DN62" s="1689"/>
    </row>
    <row r="63" spans="2:135">
      <c r="B63" t="s">
        <v>445</v>
      </c>
      <c r="CC63" s="2132">
        <f>'US Retail'!CC198</f>
        <v>0</v>
      </c>
      <c r="CD63" s="2132">
        <f>'US Retail'!CD198</f>
        <v>0</v>
      </c>
      <c r="CE63" s="2132">
        <f>'US Retail'!CE198</f>
        <v>0</v>
      </c>
      <c r="CF63" s="2132">
        <f>'US Retail'!CF198</f>
        <v>0</v>
      </c>
      <c r="CG63" s="2132">
        <f>'US Retail'!CG198</f>
        <v>0</v>
      </c>
      <c r="CH63" s="2132">
        <f>'US Retail'!CH198</f>
        <v>0</v>
      </c>
      <c r="CI63" s="2132">
        <f>'US Retail'!CI198</f>
        <v>0</v>
      </c>
      <c r="CJ63" s="2132">
        <f>'US Retail'!CJ198</f>
        <v>0</v>
      </c>
      <c r="CK63" s="2132">
        <f>'US Retail'!CK198</f>
        <v>0</v>
      </c>
      <c r="CL63" s="2132">
        <f>'US Retail'!CL198</f>
        <v>0</v>
      </c>
      <c r="CM63" s="2132">
        <f>'US Retail'!CM198</f>
        <v>0</v>
      </c>
      <c r="CN63" s="2132">
        <f>'US Retail'!CN198</f>
        <v>0</v>
      </c>
      <c r="CO63" s="2132">
        <f>'US Retail'!CO198</f>
        <v>0</v>
      </c>
      <c r="CP63" s="2132">
        <f>'US Retail'!CP198</f>
        <v>0</v>
      </c>
      <c r="CQ63" s="2132">
        <f>'US Retail'!CQ198</f>
        <v>0</v>
      </c>
      <c r="CR63" s="2132">
        <f>'US Retail'!CR198</f>
        <v>4248</v>
      </c>
      <c r="CS63" s="2132">
        <f>'US Retail'!CS198</f>
        <v>4401</v>
      </c>
      <c r="CT63" s="2132">
        <f>'US Retail'!CT198</f>
        <v>4240</v>
      </c>
      <c r="CU63" s="2132">
        <f>'US Retail'!CU198</f>
        <v>4189</v>
      </c>
      <c r="CV63" s="2132">
        <f>'US Retail'!CV198</f>
        <v>17078</v>
      </c>
      <c r="CW63">
        <f>'US Retail'!CW198</f>
        <v>4265</v>
      </c>
      <c r="CX63" s="2132">
        <f>'US Retail'!CX198</f>
        <v>4477</v>
      </c>
      <c r="CY63" s="2132">
        <f>'US Retail'!CY198</f>
        <v>4361</v>
      </c>
      <c r="CZ63" s="2132">
        <f>'US Retail'!CZ198</f>
        <v>4275</v>
      </c>
      <c r="DA63" s="2132">
        <f>'US Retail'!DA198</f>
        <v>17378</v>
      </c>
      <c r="DB63" s="2132">
        <f>'US Retail'!DB198</f>
        <v>4337</v>
      </c>
      <c r="DC63" s="2132">
        <f>'US Retail'!DC198</f>
        <v>4304</v>
      </c>
      <c r="DD63" s="2132">
        <f>'US Retail'!DD198</f>
        <v>4268</v>
      </c>
      <c r="DE63" s="2132">
        <f>'US Retail'!DE198</f>
        <v>4308</v>
      </c>
      <c r="DF63" s="2132">
        <f>'US Retail'!DF198</f>
        <v>17217</v>
      </c>
      <c r="DG63" s="2132">
        <f>'US Retail'!DG198</f>
        <v>4248</v>
      </c>
      <c r="DH63" s="2147">
        <f>'US Retail'!DH198</f>
        <v>4331</v>
      </c>
      <c r="DI63" s="2132">
        <f>'US Retail'!DI198</f>
        <v>4313</v>
      </c>
      <c r="DJ63" s="2132">
        <v>4288</v>
      </c>
      <c r="DK63" s="2132">
        <f>'US Retail'!DK198</f>
        <v>17188</v>
      </c>
      <c r="DL63" s="2132">
        <f>'US Retail'!DL198</f>
        <v>4208</v>
      </c>
      <c r="DM63" s="2132">
        <f>'US Retail'!DM198</f>
        <v>4373</v>
      </c>
      <c r="DN63" s="2132">
        <f>'US Retail'!DN198</f>
        <v>4251</v>
      </c>
      <c r="DO63" s="2132">
        <f>'US Retail'!DO198</f>
        <v>4215</v>
      </c>
      <c r="DP63" s="2132">
        <f>'US Retail'!DP198</f>
        <v>17047</v>
      </c>
      <c r="DQ63" s="2132">
        <f>'US Retail'!DQ198</f>
        <v>4348</v>
      </c>
      <c r="DR63" s="2132">
        <f>'US Retail'!DR198</f>
        <v>4854.0300000000007</v>
      </c>
      <c r="DS63" s="2132">
        <f>'US Retail'!DS198</f>
        <v>4888.6499999999996</v>
      </c>
      <c r="DT63" s="2132">
        <f>'US Retail'!DT198</f>
        <v>4805.1000000000004</v>
      </c>
      <c r="DU63" s="2132">
        <f>'US Retail'!DU198</f>
        <v>18895.78</v>
      </c>
      <c r="DV63" s="2161">
        <f>'US Retail'!DV198</f>
        <v>4809.5429897871754</v>
      </c>
      <c r="DW63" s="2161">
        <f>'US Retail'!DW198</f>
        <v>4999.4156389058062</v>
      </c>
      <c r="DX63" s="2161">
        <f>'US Retail'!DX198</f>
        <v>4855.5685856954178</v>
      </c>
      <c r="DY63" s="2161">
        <f>'US Retail'!DY198</f>
        <v>4739.0563127095402</v>
      </c>
      <c r="DZ63" s="2161">
        <f>'US Retail'!DZ198</f>
        <v>19403.583527097941</v>
      </c>
      <c r="EA63" s="2248">
        <f>'US Retail'!EA198</f>
        <v>4905.733849582919</v>
      </c>
      <c r="EB63" s="2248">
        <f>'US Retail'!EB198</f>
        <v>5099.4039516839221</v>
      </c>
      <c r="EC63" s="2248">
        <f>'US Retail'!EC198</f>
        <v>4952.6799574093266</v>
      </c>
      <c r="ED63" s="2248">
        <f>'US Retail'!ED198</f>
        <v>4833.8374389637311</v>
      </c>
      <c r="EE63" s="2248">
        <f>'US Retail'!EE198</f>
        <v>19791.655197639899</v>
      </c>
    </row>
    <row r="64" spans="2:135">
      <c r="CC64" s="2132"/>
      <c r="CD64" s="2132"/>
      <c r="CE64" s="2132"/>
      <c r="CF64" s="2132"/>
      <c r="CG64" s="2132"/>
      <c r="CH64" s="2132"/>
      <c r="CI64" s="2132"/>
      <c r="CJ64" s="2132"/>
      <c r="CK64" s="2132"/>
      <c r="CL64" s="2132"/>
      <c r="CM64" s="2132"/>
      <c r="CN64" s="2132"/>
      <c r="CO64" s="2132"/>
      <c r="CP64" s="2132"/>
      <c r="CQ64" s="2132"/>
      <c r="CR64" s="2132"/>
      <c r="CS64" s="2132"/>
      <c r="CT64" s="2132"/>
      <c r="CU64" s="2132"/>
      <c r="CV64" s="2132"/>
      <c r="CX64" s="2132"/>
      <c r="CY64" s="2132"/>
      <c r="CZ64" s="2132"/>
      <c r="DA64" s="2132"/>
      <c r="DB64" s="2132"/>
      <c r="DC64" s="2132"/>
      <c r="DD64" s="2132"/>
      <c r="DE64" s="2132"/>
      <c r="DF64" s="2132"/>
      <c r="DG64" s="2132"/>
      <c r="DH64" s="2147"/>
      <c r="DI64" s="2132"/>
      <c r="DJ64" s="2132"/>
      <c r="DK64" s="2132"/>
      <c r="DL64" s="2132"/>
      <c r="DM64" s="2132"/>
      <c r="DN64" s="2132"/>
      <c r="DO64" s="2132"/>
      <c r="DP64" s="2132"/>
      <c r="DQ64" s="2132"/>
      <c r="DR64" s="2132"/>
      <c r="DS64" s="2132"/>
      <c r="DT64" s="2132"/>
      <c r="DU64" s="2132"/>
    </row>
    <row r="65" spans="2:135">
      <c r="B65" s="1" t="s">
        <v>579</v>
      </c>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f>'US Retail'!CC200</f>
        <v>0</v>
      </c>
      <c r="CD65" s="1">
        <f>'US Retail'!CD200</f>
        <v>0</v>
      </c>
      <c r="CE65" s="1">
        <f>'US Retail'!CE200</f>
        <v>0</v>
      </c>
      <c r="CF65" s="1">
        <f>'US Retail'!CF200</f>
        <v>0</v>
      </c>
      <c r="CG65" s="1">
        <f>'US Retail'!CG200</f>
        <v>0</v>
      </c>
      <c r="CH65" s="1">
        <f>'US Retail'!CH200</f>
        <v>0</v>
      </c>
      <c r="CI65" s="1">
        <f>'US Retail'!CI200</f>
        <v>0</v>
      </c>
      <c r="CJ65" s="1">
        <f>'US Retail'!CJ200</f>
        <v>0</v>
      </c>
      <c r="CK65" s="1">
        <f>'US Retail'!CK200</f>
        <v>0</v>
      </c>
      <c r="CL65" s="1">
        <f>'US Retail'!CL200</f>
        <v>0</v>
      </c>
      <c r="CM65" s="1">
        <f>'US Retail'!CM200</f>
        <v>0</v>
      </c>
      <c r="CN65" s="1">
        <f>'US Retail'!CN200</f>
        <v>0</v>
      </c>
      <c r="CO65" s="1">
        <f>'US Retail'!CO200</f>
        <v>0</v>
      </c>
      <c r="CP65" s="1">
        <f>'US Retail'!CP200</f>
        <v>0</v>
      </c>
      <c r="CQ65" s="1">
        <f>'US Retail'!CQ200</f>
        <v>0</v>
      </c>
      <c r="CR65" s="1">
        <f>'US Retail'!CR200</f>
        <v>906</v>
      </c>
      <c r="CS65" s="1">
        <f>'US Retail'!CS200</f>
        <v>1278</v>
      </c>
      <c r="CT65" s="1">
        <f>'US Retail'!CT200</f>
        <v>1102</v>
      </c>
      <c r="CU65" s="1">
        <f>'US Retail'!CU200</f>
        <v>994</v>
      </c>
      <c r="CV65" s="1">
        <f>'US Retail'!CV200</f>
        <v>4280</v>
      </c>
      <c r="CW65" s="1">
        <f>'US Retail'!CW200</f>
        <v>950</v>
      </c>
      <c r="CX65" s="1">
        <f>'US Retail'!CX200</f>
        <v>1224</v>
      </c>
      <c r="CY65" s="1">
        <f>'US Retail'!CY200</f>
        <v>1120</v>
      </c>
      <c r="CZ65" s="1">
        <f>'US Retail'!CZ200</f>
        <v>1041</v>
      </c>
      <c r="DA65" s="1">
        <f>'US Retail'!DA200</f>
        <v>4335</v>
      </c>
      <c r="DB65" s="1">
        <f>'US Retail'!DB200</f>
        <v>1011</v>
      </c>
      <c r="DC65" s="1">
        <f>'US Retail'!DC200</f>
        <v>1497</v>
      </c>
      <c r="DD65" s="1">
        <f>'US Retail'!DD200</f>
        <v>1328</v>
      </c>
      <c r="DE65" s="1">
        <f>'US Retail'!DE200</f>
        <v>1054</v>
      </c>
      <c r="DF65" s="1">
        <f>'US Retail'!DF200</f>
        <v>4890</v>
      </c>
      <c r="DG65" s="1">
        <f>'US Retail'!DG200</f>
        <v>1243</v>
      </c>
      <c r="DH65" s="1">
        <f>'US Retail'!DH200</f>
        <v>1632</v>
      </c>
      <c r="DI65" s="1">
        <f>'US Retail'!DI200</f>
        <v>1382</v>
      </c>
      <c r="DJ65" s="1">
        <v>1100</v>
      </c>
      <c r="DK65" s="1">
        <f>'US Retail'!DK200</f>
        <v>5357</v>
      </c>
      <c r="DL65" s="1">
        <f>'US Retail'!DL200</f>
        <v>1289</v>
      </c>
      <c r="DM65" s="1">
        <f>'US Retail'!DM200</f>
        <v>1552</v>
      </c>
      <c r="DN65" s="1">
        <f>'US Retail'!DN200</f>
        <v>1463</v>
      </c>
      <c r="DO65" s="1">
        <f>'US Retail'!DO200</f>
        <v>1403</v>
      </c>
      <c r="DP65" s="1">
        <f>'US Retail'!DP200</f>
        <v>5707</v>
      </c>
      <c r="DQ65" s="1">
        <f>'US Retail'!DQ200</f>
        <v>1377</v>
      </c>
      <c r="DR65" s="1">
        <f ca="1">'US Retail'!DR200</f>
        <v>1626.0996050066542</v>
      </c>
      <c r="DS65" s="1">
        <f ca="1">'US Retail'!DS200</f>
        <v>1499.5847145396892</v>
      </c>
      <c r="DT65" s="1">
        <f>'US Retail'!DT200</f>
        <v>1353.5332913150942</v>
      </c>
      <c r="DU65" s="1">
        <f ca="1">'US Retail'!DU200</f>
        <v>5856.2176108614376</v>
      </c>
      <c r="DV65" s="1">
        <f>'US Retail'!DV200</f>
        <v>1372.1922803363423</v>
      </c>
      <c r="DW65" s="1">
        <f ca="1">'US Retail'!DW200</f>
        <v>1644.2605998268382</v>
      </c>
      <c r="DX65" s="1">
        <f ca="1">'US Retail'!DX200</f>
        <v>1678.3296679836194</v>
      </c>
      <c r="DY65" s="1">
        <f>'US Retail'!DY200</f>
        <v>1567.1914756211218</v>
      </c>
      <c r="DZ65" s="1">
        <f ca="1">'US Retail'!DZ200</f>
        <v>6261.9740237679216</v>
      </c>
      <c r="EA65" s="1">
        <f>'US Retail'!EA200</f>
        <v>1411.3631119791644</v>
      </c>
      <c r="EB65" s="1">
        <f ca="1">'US Retail'!EB200</f>
        <v>1659.5238419802508</v>
      </c>
      <c r="EC65" s="1">
        <f ca="1">'US Retail'!EC200</f>
        <v>1711.9713583601915</v>
      </c>
      <c r="ED65" s="1">
        <f>'US Retail'!ED200</f>
        <v>1601.5405808522592</v>
      </c>
      <c r="EE65" s="1">
        <f ca="1">'US Retail'!EE200</f>
        <v>6384.3988931718659</v>
      </c>
    </row>
    <row r="66" spans="2:135" s="2132" customFormat="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5"/>
      <c r="DO66" s="1"/>
      <c r="DP66" s="15"/>
      <c r="DQ66" s="1"/>
      <c r="DR66" s="1"/>
      <c r="DS66" s="1"/>
      <c r="DT66" s="1"/>
      <c r="DU66" s="1"/>
      <c r="DV66" s="1"/>
      <c r="DW66" s="1"/>
      <c r="DX66" s="1"/>
      <c r="DY66" s="1"/>
      <c r="DZ66" s="1"/>
      <c r="EA66" s="1"/>
      <c r="EB66" s="1"/>
      <c r="EC66" s="1"/>
      <c r="ED66" s="1"/>
      <c r="EE66" s="1"/>
    </row>
    <row r="67" spans="2:135" s="2132" customFormat="1">
      <c r="B67" s="1" t="s">
        <v>39</v>
      </c>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row>
    <row r="68" spans="2:135" s="2132" customFormat="1">
      <c r="B68" s="2142" t="s">
        <v>583</v>
      </c>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539">
        <f>'US Retail'!CC34</f>
        <v>194</v>
      </c>
      <c r="CD68" s="1539">
        <f>'US Retail'!CD34</f>
        <v>192</v>
      </c>
      <c r="CE68" s="1539">
        <f>'US Retail'!CE34</f>
        <v>198</v>
      </c>
      <c r="CF68" s="1539">
        <f>'US Retail'!CF34</f>
        <v>194</v>
      </c>
      <c r="CG68" s="1539">
        <f>'US Retail'!CG34</f>
        <v>778</v>
      </c>
      <c r="CH68" s="1539">
        <f>'US Retail'!CH34</f>
        <v>202</v>
      </c>
      <c r="CI68" s="1539">
        <f>'US Retail'!CI34</f>
        <v>205</v>
      </c>
      <c r="CJ68" s="1539">
        <f>'US Retail'!CJ34</f>
        <v>210</v>
      </c>
      <c r="CK68" s="1539">
        <f>'US Retail'!CK34</f>
        <v>202</v>
      </c>
      <c r="CL68" s="1539">
        <f>'US Retail'!CL34</f>
        <v>819</v>
      </c>
      <c r="CM68" s="1539">
        <f>'US Retail'!CM34</f>
        <v>208</v>
      </c>
      <c r="CN68" s="1539">
        <f>'US Retail'!CN34</f>
        <v>196</v>
      </c>
      <c r="CO68" s="1539">
        <f>'US Retail'!CO34</f>
        <v>192</v>
      </c>
      <c r="CP68" s="1539">
        <f>'US Retail'!CP34</f>
        <v>188</v>
      </c>
      <c r="CQ68" s="1539">
        <f>'US Retail'!CQ34</f>
        <v>784</v>
      </c>
      <c r="CR68" s="1539">
        <f>'US Retail'!CR34</f>
        <v>201</v>
      </c>
      <c r="CS68" s="1539">
        <f>'US Retail'!CS34</f>
        <v>208</v>
      </c>
      <c r="CT68" s="1539">
        <f>'US Retail'!CT34</f>
        <v>209</v>
      </c>
      <c r="CU68" s="1539">
        <f>'US Retail'!CU34</f>
        <v>203</v>
      </c>
      <c r="CV68" s="1539">
        <f>'US Retail'!CV34</f>
        <v>821</v>
      </c>
      <c r="CW68" s="1539">
        <f>'US Retail'!CW34</f>
        <v>213</v>
      </c>
      <c r="CX68" s="1539">
        <f>'US Retail'!CX34</f>
        <v>214</v>
      </c>
      <c r="CY68" s="1539">
        <f>'US Retail'!CY34</f>
        <v>218</v>
      </c>
      <c r="CZ68" s="1539">
        <f>'US Retail'!CZ34</f>
        <v>211.495</v>
      </c>
      <c r="DA68" s="1539">
        <f>'US Retail'!DA34</f>
        <v>856.495</v>
      </c>
      <c r="DB68" s="1539">
        <f>'US Retail'!DB34</f>
        <v>222.15899999999999</v>
      </c>
      <c r="DC68" s="1539">
        <f>'US Retail'!DC34</f>
        <v>224</v>
      </c>
      <c r="DD68" s="1539">
        <f>'US Retail'!DD34</f>
        <v>226</v>
      </c>
      <c r="DE68" s="1539">
        <f>'US Retail'!DE34</f>
        <v>222</v>
      </c>
      <c r="DF68" s="1539">
        <f>'US Retail'!DF34</f>
        <v>894.15899999999999</v>
      </c>
      <c r="DG68" s="1539">
        <f>'US Retail'!DG34</f>
        <v>231</v>
      </c>
      <c r="DH68" s="1539">
        <f>'US Retail'!DH34</f>
        <v>233</v>
      </c>
      <c r="DI68" s="1539">
        <f>'US Retail'!DI34</f>
        <v>235</v>
      </c>
      <c r="DJ68" s="1539">
        <f>'US Retail'!DJ34</f>
        <v>229.5</v>
      </c>
      <c r="DK68" s="1539">
        <f>'US Retail'!DK34</f>
        <v>928.5</v>
      </c>
      <c r="DL68" s="1539">
        <f>'US Retail'!DL34</f>
        <v>237.6</v>
      </c>
      <c r="DM68" s="1539">
        <f>'US Retail'!DM34</f>
        <v>246.7</v>
      </c>
      <c r="DN68" s="1539">
        <f>'US Retail'!DN34</f>
        <v>255.2</v>
      </c>
      <c r="DO68" s="1539">
        <f>'US Retail'!DO34</f>
        <v>250.2</v>
      </c>
      <c r="DP68" s="1539">
        <f>'US Retail'!DP34</f>
        <v>989.7</v>
      </c>
      <c r="DQ68" s="1539">
        <f>'US Retail'!DQ34</f>
        <v>260.2</v>
      </c>
      <c r="DR68" s="1539">
        <f ca="1">'US Retail'!DR34</f>
        <v>281.92234482758715</v>
      </c>
      <c r="DS68" s="1539">
        <f ca="1">'US Retail'!DS34</f>
        <v>289.60986206896661</v>
      </c>
      <c r="DT68" s="1539">
        <f>'US Retail'!DT34</f>
        <v>274.87039999999996</v>
      </c>
      <c r="DU68" s="1539">
        <f ca="1">'US Retail'!DU34</f>
        <v>1106.6026068965537</v>
      </c>
      <c r="DV68" s="1539">
        <f>'US Retail'!DV34</f>
        <v>291.90839999999997</v>
      </c>
      <c r="DW68" s="1539">
        <f ca="1">'US Retail'!DW34</f>
        <v>290.69650455172513</v>
      </c>
      <c r="DX68" s="1539">
        <f ca="1">'US Retail'!DX34</f>
        <v>298.62040724138041</v>
      </c>
      <c r="DY68" s="1539">
        <f>'US Retail'!DY34</f>
        <v>283.45086399999991</v>
      </c>
      <c r="DZ68" s="1539">
        <f ca="1">'US Retail'!DZ34</f>
        <v>1164.6761757931054</v>
      </c>
      <c r="EA68" s="1539">
        <f>'US Retail'!EA34</f>
        <v>300.45534399999997</v>
      </c>
      <c r="EB68" s="1539">
        <f ca="1">'US Retail'!EB34</f>
        <v>299.65603221103549</v>
      </c>
      <c r="EC68" s="1539">
        <f ca="1">'US Retail'!EC34</f>
        <v>308.31227149482874</v>
      </c>
      <c r="ED68" s="1539">
        <f>'US Retail'!ED34</f>
        <v>293.06679423999992</v>
      </c>
      <c r="EE68" s="1539">
        <f ca="1">'US Retail'!EE34</f>
        <v>1201.4904419458639</v>
      </c>
    </row>
    <row r="69" spans="2:135" s="1539" customFormat="1">
      <c r="B69" s="2142" t="s">
        <v>108</v>
      </c>
      <c r="CC69" s="42">
        <f>'US Retail'!CC48</f>
        <v>0.70599999999999996</v>
      </c>
      <c r="CD69" s="42">
        <f>'US Retail'!CD48</f>
        <v>0.72099999999999997</v>
      </c>
      <c r="CE69" s="42">
        <f>'US Retail'!CE48</f>
        <v>0.72699999999999998</v>
      </c>
      <c r="CF69" s="42">
        <f>'US Retail'!CF48</f>
        <v>0.73599999999999999</v>
      </c>
      <c r="CG69" s="42">
        <f>'US Retail'!CG48</f>
        <v>0.72252699228791772</v>
      </c>
      <c r="CH69" s="42">
        <f>'US Retail'!CH48</f>
        <v>0.73799999999999999</v>
      </c>
      <c r="CI69" s="42">
        <f>'US Retail'!CI48</f>
        <v>0.747</v>
      </c>
      <c r="CJ69" s="42">
        <f>'US Retail'!CJ48</f>
        <v>0.749</v>
      </c>
      <c r="CK69" s="42">
        <f>'US Retail'!CK48</f>
        <v>0.75800000000000001</v>
      </c>
      <c r="CL69" s="42">
        <f>'US Retail'!CL48</f>
        <v>0.74800610500610498</v>
      </c>
      <c r="CM69" s="42">
        <f>'US Retail'!CM48</f>
        <v>0.752</v>
      </c>
      <c r="CN69" s="42">
        <f>'US Retail'!CN48</f>
        <v>0.78200000000000003</v>
      </c>
      <c r="CO69" s="42">
        <f>'US Retail'!CO48</f>
        <v>0.79100000000000004</v>
      </c>
      <c r="CP69" s="42">
        <f>'US Retail'!CP48</f>
        <v>0.8</v>
      </c>
      <c r="CQ69" s="42">
        <f>'US Retail'!CQ48</f>
        <v>0.78056122448979592</v>
      </c>
      <c r="CR69" s="42">
        <f>'US Retail'!CR48</f>
        <v>0.80300000000000005</v>
      </c>
      <c r="CS69" s="42">
        <f>'US Retail'!CS48</f>
        <v>0.81499999999999995</v>
      </c>
      <c r="CT69" s="42">
        <f>'US Retail'!CT48</f>
        <v>0.83099999999999996</v>
      </c>
      <c r="CU69" s="42">
        <f>'US Retail'!CU48</f>
        <v>0.83099999999999996</v>
      </c>
      <c r="CV69" s="42">
        <f>'US Retail'!CV48</f>
        <v>0.82009135200974415</v>
      </c>
      <c r="CW69" s="42">
        <f>'US Retail'!CW48</f>
        <v>0.80600000000000005</v>
      </c>
      <c r="CX69" s="42">
        <f>'US Retail'!CX48</f>
        <v>0.83</v>
      </c>
      <c r="CY69" s="42">
        <f>'US Retail'!CY48</f>
        <v>0.84199999999999997</v>
      </c>
      <c r="CZ69" s="42">
        <f>'US Retail'!CZ48</f>
        <v>0.84299999999999997</v>
      </c>
      <c r="DA69" s="42">
        <f>'US Retail'!DA48</f>
        <v>0.83029589781609947</v>
      </c>
      <c r="DB69" s="42">
        <f>'US Retail'!DB48</f>
        <v>0.82989945379590235</v>
      </c>
      <c r="DC69" s="42">
        <f>'US Retail'!DC48</f>
        <v>0.83681396099401628</v>
      </c>
      <c r="DD69" s="42">
        <f>'US Retail'!DD48</f>
        <v>0.83953196494427951</v>
      </c>
      <c r="DE69" s="42">
        <f>'US Retail'!DE48</f>
        <v>0.84224996889454273</v>
      </c>
      <c r="DF69" s="42">
        <f>'US Retail'!DF48</f>
        <v>0.83713263210513933</v>
      </c>
      <c r="DG69" s="42">
        <f>'US Retail'!DG48</f>
        <v>0.83963263210513928</v>
      </c>
      <c r="DH69" s="42">
        <f>'US Retail'!DH48</f>
        <v>0.84213263210513922</v>
      </c>
      <c r="DI69" s="42">
        <f>'US Retail'!DI48</f>
        <v>0.84463263210513917</v>
      </c>
      <c r="DJ69" s="42">
        <f>'US Retail'!DJ48</f>
        <v>0.84713263210513912</v>
      </c>
      <c r="DK69" s="42">
        <f>'US Retail'!DK48</f>
        <v>0.8433792664616282</v>
      </c>
      <c r="DL69" s="42">
        <f>'US Retail'!DL48</f>
        <v>0.84587926646162814</v>
      </c>
      <c r="DM69" s="42">
        <f>'US Retail'!DM48</f>
        <v>0.84837926646162809</v>
      </c>
      <c r="DN69" s="42">
        <f>'US Retail'!DN48</f>
        <v>0.85087926646162804</v>
      </c>
      <c r="DO69" s="42">
        <f>'US Retail'!DO48</f>
        <v>0.85337926646162798</v>
      </c>
      <c r="DP69" s="42">
        <f>'US Retail'!DP48</f>
        <v>0.8496877437779865</v>
      </c>
      <c r="DQ69" s="42">
        <f>'US Retail'!DQ48</f>
        <v>0.85218774377798645</v>
      </c>
      <c r="DR69" s="42">
        <f>'US Retail'!DR48</f>
        <v>0.8546877437779864</v>
      </c>
      <c r="DS69" s="42">
        <f>'US Retail'!DS48</f>
        <v>0.85718774377798634</v>
      </c>
      <c r="DT69" s="42">
        <f>'US Retail'!DT48</f>
        <v>0.85968774377798629</v>
      </c>
      <c r="DU69" s="42">
        <f ca="1">'US Retail'!DU48</f>
        <v>0.85599614179381334</v>
      </c>
      <c r="DV69" s="42">
        <f>'US Retail'!DV48</f>
        <v>0.86218774377798624</v>
      </c>
      <c r="DW69" s="42">
        <f>'US Retail'!DW48</f>
        <v>0.86468774377798618</v>
      </c>
      <c r="DX69" s="42">
        <f>'US Retail'!DX48</f>
        <v>0.86718774377798613</v>
      </c>
      <c r="DY69" s="42">
        <f>'US Retail'!DY48</f>
        <v>0.86968774377798608</v>
      </c>
      <c r="DZ69" s="42">
        <f ca="1">'US Retail'!DZ48</f>
        <v>0.86591901678580485</v>
      </c>
      <c r="EA69" s="42">
        <f>'US Retail'!EA48</f>
        <v>0.87218774377798602</v>
      </c>
      <c r="EB69" s="42">
        <f>'US Retail'!EB48</f>
        <v>0.87468774377798597</v>
      </c>
      <c r="EC69" s="42">
        <f>'US Retail'!EC48</f>
        <v>0.87718774377798592</v>
      </c>
      <c r="ED69" s="42">
        <f>'US Retail'!ED48</f>
        <v>0.87968774377798586</v>
      </c>
      <c r="EE69" s="42">
        <f ca="1">'US Retail'!EE48</f>
        <v>0.87592368893251604</v>
      </c>
    </row>
    <row r="70" spans="2:135" s="1539" customFormat="1">
      <c r="B70" s="2142"/>
      <c r="CC70" s="42"/>
      <c r="CD70" s="42"/>
      <c r="CE70" s="42"/>
      <c r="CF70" s="42"/>
      <c r="CG70" s="42"/>
      <c r="CH70" s="42"/>
      <c r="CI70" s="42"/>
      <c r="CJ70" s="42"/>
      <c r="CK70" s="42"/>
      <c r="CL70" s="42"/>
      <c r="CM70" s="42"/>
      <c r="CN70" s="42"/>
      <c r="CO70" s="42"/>
      <c r="CP70" s="42"/>
      <c r="CQ70" s="42"/>
      <c r="CR70" s="42"/>
      <c r="CS70" s="42"/>
      <c r="CT70" s="42"/>
      <c r="CU70" s="42"/>
      <c r="CV70" s="42"/>
      <c r="CW70" s="42"/>
      <c r="CX70" s="42"/>
      <c r="CY70" s="42"/>
      <c r="CZ70" s="42"/>
      <c r="DA70" s="42"/>
      <c r="DB70" s="42"/>
      <c r="DC70" s="42"/>
      <c r="DD70" s="42"/>
      <c r="DE70" s="42"/>
      <c r="DF70" s="42"/>
      <c r="DG70" s="42"/>
      <c r="DH70" s="42"/>
      <c r="DI70" s="42"/>
      <c r="DJ70" s="42"/>
      <c r="DK70" s="42"/>
      <c r="DL70" s="42"/>
      <c r="DM70" s="42"/>
      <c r="DN70" s="42"/>
      <c r="DO70" s="42"/>
      <c r="DP70" s="42"/>
      <c r="DQ70" s="42"/>
      <c r="DR70" s="42"/>
      <c r="DS70" s="42"/>
      <c r="DT70" s="42"/>
      <c r="DU70" s="42"/>
      <c r="DV70" s="42"/>
      <c r="DW70" s="42"/>
      <c r="DX70" s="42"/>
      <c r="DY70" s="42"/>
      <c r="DZ70" s="42"/>
      <c r="EA70" s="42"/>
      <c r="EB70" s="42"/>
      <c r="EC70" s="42"/>
      <c r="ED70" s="42"/>
      <c r="EE70" s="42"/>
    </row>
    <row r="71" spans="2:135" s="1539" customFormat="1">
      <c r="B71" s="17" t="s">
        <v>441</v>
      </c>
      <c r="CC71" s="42"/>
      <c r="CD71" s="42"/>
      <c r="CE71" s="42"/>
      <c r="CF71" s="42"/>
      <c r="CG71" s="42"/>
      <c r="CH71" s="42"/>
      <c r="CI71" s="42"/>
      <c r="CJ71" s="42"/>
      <c r="CK71" s="42"/>
      <c r="CL71" s="42"/>
      <c r="CM71" s="42"/>
      <c r="CN71" s="42"/>
      <c r="CO71" s="42"/>
      <c r="CP71" s="42"/>
      <c r="CQ71" s="42"/>
      <c r="CR71" s="42"/>
      <c r="CS71" s="42"/>
      <c r="CT71" s="42"/>
      <c r="CU71" s="42"/>
      <c r="CV71" s="42"/>
      <c r="CW71" s="42"/>
      <c r="CX71" s="42"/>
      <c r="CY71" s="42"/>
      <c r="CZ71" s="42"/>
      <c r="DA71" s="42"/>
      <c r="DB71" s="42"/>
      <c r="DC71" s="42"/>
      <c r="DD71" s="42"/>
      <c r="DE71" s="42"/>
      <c r="DF71" s="42"/>
      <c r="DG71" s="42"/>
      <c r="DH71" s="42"/>
      <c r="DI71" s="42"/>
      <c r="DJ71" s="42"/>
      <c r="DK71" s="42"/>
      <c r="DL71" s="42"/>
      <c r="DM71" s="42"/>
      <c r="DN71" s="42"/>
      <c r="DO71" s="42"/>
      <c r="DP71" s="42"/>
      <c r="DQ71" s="42"/>
      <c r="DR71" s="42"/>
      <c r="DS71" s="42"/>
      <c r="DT71" s="42"/>
      <c r="DU71" s="42"/>
      <c r="DV71" s="42"/>
      <c r="DW71" s="42"/>
      <c r="DX71" s="42"/>
      <c r="DY71" s="42"/>
      <c r="DZ71" s="42"/>
      <c r="EA71" s="42"/>
      <c r="EB71" s="42"/>
      <c r="EC71" s="42"/>
      <c r="ED71" s="42"/>
      <c r="EE71" s="42"/>
    </row>
    <row r="72" spans="2:135" s="1539" customFormat="1">
      <c r="B72" s="2143" t="s">
        <v>569</v>
      </c>
      <c r="CC72" s="42"/>
      <c r="CD72" s="42"/>
      <c r="CE72" s="42"/>
      <c r="CF72" s="42"/>
      <c r="CG72" s="42"/>
      <c r="CH72" s="42">
        <f>CH51/CC51-1</f>
        <v>5.4139344729509764E-2</v>
      </c>
      <c r="CI72" s="42">
        <f t="shared" ref="CI72:DU72" si="124">CI51/CD51-1</f>
        <v>7.8094370853289297E-2</v>
      </c>
      <c r="CJ72" s="42">
        <f t="shared" si="124"/>
        <v>6.3990434020431586E-2</v>
      </c>
      <c r="CK72" s="42">
        <f t="shared" si="124"/>
        <v>6.9573314594468583E-2</v>
      </c>
      <c r="CL72" s="42">
        <f t="shared" si="124"/>
        <v>6.6424808148718428E-2</v>
      </c>
      <c r="CM72" s="42">
        <f t="shared" si="124"/>
        <v>5.4226351290857844E-2</v>
      </c>
      <c r="CN72" s="42">
        <f t="shared" si="124"/>
        <v>-9.710416608083805E-3</v>
      </c>
      <c r="CO72" s="42">
        <f t="shared" si="124"/>
        <v>-5.5989839935185914E-2</v>
      </c>
      <c r="CP72" s="42">
        <f t="shared" si="124"/>
        <v>-7.5911342047576547E-2</v>
      </c>
      <c r="CQ72" s="42">
        <f t="shared" si="124"/>
        <v>-2.2753097749805495E-2</v>
      </c>
      <c r="CR72" s="42">
        <f t="shared" si="124"/>
        <v>-7.107027046116432E-2</v>
      </c>
      <c r="CS72" s="42">
        <f t="shared" si="124"/>
        <v>4.718686595046373E-3</v>
      </c>
      <c r="CT72" s="42">
        <f t="shared" si="124"/>
        <v>3.4882206783301672E-2</v>
      </c>
      <c r="CU72" s="42">
        <f t="shared" si="124"/>
        <v>5.5797303256051478E-2</v>
      </c>
      <c r="CV72" s="42">
        <f t="shared" si="124"/>
        <v>4.4998043289536938E-3</v>
      </c>
      <c r="CW72" s="42">
        <f t="shared" si="124"/>
        <v>7.3432638087810531E-2</v>
      </c>
      <c r="CX72" s="42">
        <f t="shared" si="124"/>
        <v>7.0303757895966656E-2</v>
      </c>
      <c r="CY72" s="42">
        <f t="shared" si="124"/>
        <v>8.1237571397800634E-2</v>
      </c>
      <c r="CZ72" s="42">
        <f t="shared" si="124"/>
        <v>9.2125126883030539E-2</v>
      </c>
      <c r="DA72" s="42">
        <f t="shared" si="124"/>
        <v>7.9346267383713531E-2</v>
      </c>
      <c r="DB72" s="42">
        <f t="shared" si="124"/>
        <v>0.10146073868970396</v>
      </c>
      <c r="DC72" s="42">
        <f t="shared" si="124"/>
        <v>0.11157679278286348</v>
      </c>
      <c r="DD72" s="42">
        <f t="shared" si="124"/>
        <v>8.0571581601896147E-2</v>
      </c>
      <c r="DE72" s="42">
        <f t="shared" si="124"/>
        <v>5.3074614177175183E-2</v>
      </c>
      <c r="DF72" s="42">
        <f t="shared" si="124"/>
        <v>8.630923545768221E-2</v>
      </c>
      <c r="DG72" s="42">
        <f t="shared" si="124"/>
        <v>6.6682223157245035E-2</v>
      </c>
      <c r="DH72" s="42">
        <f t="shared" si="124"/>
        <v>3.0991569698128663E-2</v>
      </c>
      <c r="DI72" s="42">
        <f t="shared" si="124"/>
        <v>5.7608274988565578E-2</v>
      </c>
      <c r="DJ72" s="42">
        <f t="shared" si="124"/>
        <v>8.5738781143706921E-2</v>
      </c>
      <c r="DK72" s="42">
        <f t="shared" si="124"/>
        <v>6.0021601836268701E-2</v>
      </c>
      <c r="DL72" s="42">
        <f t="shared" si="124"/>
        <v>2.4566642838482089E-2</v>
      </c>
      <c r="DM72" s="42">
        <f t="shared" si="124"/>
        <v>3.8018604651162802E-2</v>
      </c>
      <c r="DN72" s="42">
        <f t="shared" si="124"/>
        <v>0.102837305102919</v>
      </c>
      <c r="DO72" s="42">
        <f t="shared" si="124"/>
        <v>0.12319511184784537</v>
      </c>
      <c r="DP72" s="42">
        <f t="shared" si="124"/>
        <v>7.2662161827326877E-2</v>
      </c>
      <c r="DQ72" s="42">
        <f t="shared" si="124"/>
        <v>0.13103374070400564</v>
      </c>
      <c r="DR72" s="42">
        <f t="shared" ca="1" si="124"/>
        <v>0.23992481964831436</v>
      </c>
      <c r="DS72" s="42">
        <f t="shared" ca="1" si="124"/>
        <v>0.17403886782363442</v>
      </c>
      <c r="DT72" s="42">
        <f t="shared" si="124"/>
        <v>0.13786493974151059</v>
      </c>
      <c r="DU72" s="42">
        <f t="shared" ca="1" si="124"/>
        <v>0.1700823890077543</v>
      </c>
      <c r="DV72" s="42">
        <f t="shared" ref="DV72:DV74" si="125">DV51/DQ51-1</f>
        <v>0.16303412960506325</v>
      </c>
      <c r="DW72" s="42">
        <f t="shared" ref="DW72:DW74" ca="1" si="126">DW51/DR51-1</f>
        <v>3.9482731067298715E-2</v>
      </c>
      <c r="DX72" s="42">
        <f t="shared" ref="DX72:DX74" ca="1" si="127">DX51/DS51-1</f>
        <v>2.4443686671454357E-2</v>
      </c>
      <c r="DY72" s="42">
        <f t="shared" ref="DY72:DY74" si="128">DY51/DT51-1</f>
        <v>2.3989810488624475E-2</v>
      </c>
      <c r="DZ72" s="42">
        <f t="shared" ref="DZ72:DZ74" ca="1" si="129">DZ51/DU51-1</f>
        <v>5.9694786356759177E-2</v>
      </c>
      <c r="EA72" s="42">
        <f t="shared" ref="EA72:EA74" si="130">EA51/DV51-1</f>
        <v>2.7091887219696131E-2</v>
      </c>
      <c r="EB72" s="42">
        <f t="shared" ref="EB72:EB74" ca="1" si="131">EB51/DW51-1</f>
        <v>2.7166625835138403E-2</v>
      </c>
      <c r="EC72" s="42">
        <f t="shared" ref="EC72:EC74" ca="1" si="132">EC51/DX51-1</f>
        <v>2.8185969469525007E-2</v>
      </c>
      <c r="ED72" s="42">
        <f t="shared" ref="ED72:ED74" si="133">ED51/DY51-1</f>
        <v>2.8569083027601083E-2</v>
      </c>
      <c r="EE72" s="42">
        <f t="shared" ref="EE72:EE74" ca="1" si="134">EE51/DZ51-1</f>
        <v>2.7754482070181163E-2</v>
      </c>
    </row>
    <row r="73" spans="2:135" s="1539" customFormat="1">
      <c r="B73" s="2143" t="s">
        <v>573</v>
      </c>
      <c r="CC73" s="42"/>
      <c r="CD73" s="42"/>
      <c r="CE73" s="42"/>
      <c r="CF73" s="42"/>
      <c r="CG73" s="42"/>
      <c r="CH73" s="42">
        <f>CH52/CC52-1</f>
        <v>7.243060607857621E-2</v>
      </c>
      <c r="CI73" s="42">
        <f t="shared" ref="CI73:DU73" si="135">CI52/CD52-1</f>
        <v>0.10996050995239326</v>
      </c>
      <c r="CJ73" s="42">
        <f t="shared" si="135"/>
        <v>7.7404856513031639E-2</v>
      </c>
      <c r="CK73" s="42">
        <f t="shared" si="135"/>
        <v>8.0642901470100004E-2</v>
      </c>
      <c r="CL73" s="42">
        <f t="shared" si="135"/>
        <v>8.5674311644169165E-2</v>
      </c>
      <c r="CM73" s="42">
        <f t="shared" si="135"/>
        <v>5.6058114035087758E-2</v>
      </c>
      <c r="CN73" s="42">
        <f t="shared" si="135"/>
        <v>5.6569112054369652E-2</v>
      </c>
      <c r="CO73" s="42">
        <f t="shared" si="135"/>
        <v>2.721883671458647E-2</v>
      </c>
      <c r="CP73" s="42">
        <f t="shared" si="135"/>
        <v>-3.2332880029561917E-4</v>
      </c>
      <c r="CQ73" s="42">
        <f t="shared" si="135"/>
        <v>3.5183795321855005E-2</v>
      </c>
      <c r="CR73" s="42">
        <f t="shared" si="135"/>
        <v>6.7479065446063302E-4</v>
      </c>
      <c r="CS73" s="42">
        <f t="shared" si="135"/>
        <v>-7.8658856175573E-3</v>
      </c>
      <c r="CT73" s="42">
        <f t="shared" si="135"/>
        <v>2.6040875846797373E-2</v>
      </c>
      <c r="CU73" s="42">
        <f t="shared" si="135"/>
        <v>4.2179734984163053E-2</v>
      </c>
      <c r="CV73" s="42">
        <f t="shared" si="135"/>
        <v>1.4420425356900246E-2</v>
      </c>
      <c r="CW73" s="42">
        <f t="shared" si="135"/>
        <v>3.2184490057418191E-2</v>
      </c>
      <c r="CX73" s="42">
        <f t="shared" si="135"/>
        <v>2.164514219879754E-2</v>
      </c>
      <c r="CY73" s="42">
        <f t="shared" si="135"/>
        <v>2.2087912136697918E-2</v>
      </c>
      <c r="CZ73" s="42">
        <f t="shared" si="135"/>
        <v>9.2408156559951049E-3</v>
      </c>
      <c r="DA73" s="42">
        <f t="shared" si="135"/>
        <v>2.1223471594866705E-2</v>
      </c>
      <c r="DB73" s="42">
        <f t="shared" si="135"/>
        <v>3.3679348675306198E-3</v>
      </c>
      <c r="DC73" s="42">
        <f t="shared" si="135"/>
        <v>1.1118802702582364E-2</v>
      </c>
      <c r="DD73" s="42">
        <f t="shared" si="135"/>
        <v>2.5075447865827716E-3</v>
      </c>
      <c r="DE73" s="42">
        <f t="shared" si="135"/>
        <v>3.4495561956144671E-2</v>
      </c>
      <c r="DF73" s="42">
        <f t="shared" si="135"/>
        <v>1.2699030095519204E-2</v>
      </c>
      <c r="DG73" s="42">
        <f t="shared" si="135"/>
        <v>-8.4732917555462306E-3</v>
      </c>
      <c r="DH73" s="42">
        <f t="shared" si="135"/>
        <v>4.2588582971399003E-3</v>
      </c>
      <c r="DI73" s="42">
        <f t="shared" si="135"/>
        <v>-2.5656856692047869E-3</v>
      </c>
      <c r="DJ73" s="42">
        <f t="shared" si="135"/>
        <v>-4.8870361916305005E-2</v>
      </c>
      <c r="DK73" s="42">
        <f t="shared" si="135"/>
        <v>-1.3419187453317938E-2</v>
      </c>
      <c r="DL73" s="42">
        <f t="shared" si="135"/>
        <v>-8.2786487947649201E-3</v>
      </c>
      <c r="DM73" s="42">
        <f t="shared" si="135"/>
        <v>-2.8878405315614586E-2</v>
      </c>
      <c r="DN73" s="42">
        <f t="shared" si="135"/>
        <v>-1.8154702004398726E-2</v>
      </c>
      <c r="DO73" s="42">
        <f t="shared" si="135"/>
        <v>-3.258784402564241E-2</v>
      </c>
      <c r="DP73" s="42">
        <f t="shared" si="135"/>
        <v>-2.2182287049721805E-2</v>
      </c>
      <c r="DQ73" s="42">
        <f t="shared" si="135"/>
        <v>-3.5803291261666037E-2</v>
      </c>
      <c r="DR73" s="42">
        <f t="shared" si="135"/>
        <v>4.0084226342387286E-2</v>
      </c>
      <c r="DS73" s="42">
        <f t="shared" si="135"/>
        <v>9.0969464159871061E-2</v>
      </c>
      <c r="DT73" s="42">
        <f t="shared" si="135"/>
        <v>0.10276021643630173</v>
      </c>
      <c r="DU73" s="42">
        <f t="shared" si="135"/>
        <v>4.9471271293883845E-2</v>
      </c>
      <c r="DV73" s="42">
        <f t="shared" si="125"/>
        <v>-1.38089302553972E-2</v>
      </c>
      <c r="DW73" s="42">
        <f t="shared" si="126"/>
        <v>-1.4784303040452973E-2</v>
      </c>
      <c r="DX73" s="42">
        <f t="shared" si="127"/>
        <v>-1.6553967971581707E-2</v>
      </c>
      <c r="DY73" s="42">
        <f t="shared" si="128"/>
        <v>-1.8832963276837367E-2</v>
      </c>
      <c r="DZ73" s="42">
        <f t="shared" si="129"/>
        <v>-1.6028907846883489E-2</v>
      </c>
      <c r="EA73" s="42">
        <f t="shared" si="130"/>
        <v>-1.7694808596762313E-2</v>
      </c>
      <c r="EB73" s="42">
        <f t="shared" si="131"/>
        <v>-1.4832629333790814E-2</v>
      </c>
      <c r="EC73" s="42">
        <f t="shared" si="132"/>
        <v>-1.3310084834132208E-2</v>
      </c>
      <c r="ED73" s="42">
        <f t="shared" si="133"/>
        <v>-1.1784437025623706E-2</v>
      </c>
      <c r="EE73" s="42">
        <f t="shared" si="134"/>
        <v>-1.4316620919071155E-2</v>
      </c>
    </row>
    <row r="74" spans="2:135" s="1539" customFormat="1">
      <c r="B74" s="2143" t="s">
        <v>574</v>
      </c>
      <c r="CC74" s="42"/>
      <c r="CD74" s="42"/>
      <c r="CE74" s="42"/>
      <c r="CF74" s="42"/>
      <c r="CG74" s="42"/>
      <c r="CH74" s="42">
        <f>CH53/CC53-1</f>
        <v>6.0371779273382442E-2</v>
      </c>
      <c r="CI74" s="42">
        <f t="shared" ref="CI74:DU74" si="136">CI53/CD53-1</f>
        <v>8.9880307906797352E-2</v>
      </c>
      <c r="CJ74" s="42">
        <f t="shared" si="136"/>
        <v>6.8667516222114866E-2</v>
      </c>
      <c r="CK74" s="42">
        <f t="shared" si="136"/>
        <v>7.3377641699648999E-2</v>
      </c>
      <c r="CL74" s="42">
        <f t="shared" si="136"/>
        <v>7.3178114956274687E-2</v>
      </c>
      <c r="CM74" s="42">
        <f t="shared" si="136"/>
        <v>5.4857591029905173E-2</v>
      </c>
      <c r="CN74" s="42">
        <f t="shared" si="136"/>
        <v>1.5255229100608281E-2</v>
      </c>
      <c r="CO74" s="42">
        <f t="shared" si="136"/>
        <v>-2.6741046341095642E-2</v>
      </c>
      <c r="CP74" s="42">
        <f t="shared" si="136"/>
        <v>-4.975788946401738E-2</v>
      </c>
      <c r="CQ74" s="42">
        <f t="shared" si="136"/>
        <v>-2.1904088647135556E-3</v>
      </c>
      <c r="CR74" s="42">
        <f t="shared" si="136"/>
        <v>-4.6318224376273642E-2</v>
      </c>
      <c r="CS74" s="42">
        <f t="shared" si="136"/>
        <v>-2.1446571229422062E-4</v>
      </c>
      <c r="CT74" s="42">
        <f t="shared" si="136"/>
        <v>3.16020730058586E-2</v>
      </c>
      <c r="CU74" s="42">
        <f t="shared" si="136"/>
        <v>5.0840508405084028E-2</v>
      </c>
      <c r="CV74" s="42">
        <f t="shared" si="136"/>
        <v>8.1526670668545798E-3</v>
      </c>
      <c r="CW74" s="42">
        <f t="shared" si="136"/>
        <v>5.8500808500808521E-2</v>
      </c>
      <c r="CX74" s="42">
        <f t="shared" si="136"/>
        <v>5.1375556389767763E-2</v>
      </c>
      <c r="CY74" s="42">
        <f t="shared" si="136"/>
        <v>5.9411347130453818E-2</v>
      </c>
      <c r="CZ74" s="42">
        <f t="shared" si="136"/>
        <v>6.2203890530070804E-2</v>
      </c>
      <c r="DA74" s="42">
        <f t="shared" si="136"/>
        <v>5.7811872550784349E-2</v>
      </c>
      <c r="DB74" s="42">
        <f t="shared" si="136"/>
        <v>6.6833978940476824E-2</v>
      </c>
      <c r="DC74" s="42">
        <f t="shared" si="136"/>
        <v>7.3603672532517317E-2</v>
      </c>
      <c r="DD74" s="42">
        <f t="shared" si="136"/>
        <v>5.2780784495644495E-2</v>
      </c>
      <c r="DE74" s="42">
        <f t="shared" si="136"/>
        <v>4.6701999265361893E-2</v>
      </c>
      <c r="DF74" s="42">
        <f t="shared" si="136"/>
        <v>5.9980102628547582E-2</v>
      </c>
      <c r="DG74" s="42">
        <f t="shared" si="136"/>
        <v>4.1730592206198125E-2</v>
      </c>
      <c r="DH74" s="42">
        <f t="shared" si="136"/>
        <v>2.1474724439376702E-2</v>
      </c>
      <c r="DI74" s="42">
        <f t="shared" si="136"/>
        <v>3.7209302325581506E-2</v>
      </c>
      <c r="DJ74" s="42">
        <f>DJ53/DI53-1</f>
        <v>-2.0675005900401278E-2</v>
      </c>
      <c r="DK74" s="42">
        <f t="shared" si="136"/>
        <v>3.4924790673549477E-2</v>
      </c>
      <c r="DL74" s="42">
        <f t="shared" si="136"/>
        <v>1.4187530682375993E-2</v>
      </c>
      <c r="DM74" s="42">
        <f t="shared" si="136"/>
        <v>1.4604651162790638E-2</v>
      </c>
      <c r="DN74" s="42">
        <f t="shared" si="136"/>
        <v>6.3393910785933372E-2</v>
      </c>
      <c r="DO74" s="42">
        <f t="shared" si="136"/>
        <v>7.4902395527064236E-2</v>
      </c>
      <c r="DP74" s="42">
        <f t="shared" si="136"/>
        <v>4.176511300446295E-2</v>
      </c>
      <c r="DQ74" s="42">
        <f t="shared" si="136"/>
        <v>7.9481097826613167E-2</v>
      </c>
      <c r="DR74" s="42">
        <f t="shared" ca="1" si="136"/>
        <v>0.17297822089082882</v>
      </c>
      <c r="DS74" s="42">
        <f t="shared" ca="1" si="136"/>
        <v>0.1490349773208417</v>
      </c>
      <c r="DT74" s="42">
        <f t="shared" si="136"/>
        <v>0.12807072193935709</v>
      </c>
      <c r="DU74" s="42">
        <f t="shared" ca="1" si="136"/>
        <v>0.13320327197047122</v>
      </c>
      <c r="DV74" s="42">
        <f t="shared" si="125"/>
        <v>0.11422544508357624</v>
      </c>
      <c r="DW74" s="42">
        <f t="shared" ca="1" si="126"/>
        <v>2.3362938273616685E-2</v>
      </c>
      <c r="DX74" s="42">
        <f t="shared" ca="1" si="127"/>
        <v>1.2726998972333092E-2</v>
      </c>
      <c r="DY74" s="42">
        <f t="shared" si="128"/>
        <v>1.2310323691410163E-2</v>
      </c>
      <c r="DZ74" s="42">
        <f t="shared" ca="1" si="129"/>
        <v>3.825167997617207E-2</v>
      </c>
      <c r="EA74" s="42">
        <f t="shared" si="130"/>
        <v>1.6151162302601829E-2</v>
      </c>
      <c r="EB74" s="42">
        <f t="shared" ca="1" si="131"/>
        <v>1.5155973523789612E-2</v>
      </c>
      <c r="EC74" s="42">
        <f t="shared" ca="1" si="132"/>
        <v>1.6669727297533354E-2</v>
      </c>
      <c r="ED74" s="42">
        <f t="shared" si="133"/>
        <v>1.7901656180527858E-2</v>
      </c>
      <c r="EE74" s="42">
        <f t="shared" ca="1" si="134"/>
        <v>1.64638175753411E-2</v>
      </c>
    </row>
    <row r="75" spans="2:135" s="1539" customFormat="1">
      <c r="B75" s="2143" t="s">
        <v>291</v>
      </c>
      <c r="CC75" s="42"/>
      <c r="CD75" s="42"/>
      <c r="CE75" s="42"/>
      <c r="CF75" s="42"/>
      <c r="CG75" s="42"/>
      <c r="CH75" s="42" t="e">
        <f>CH61/CC61-1</f>
        <v>#DIV/0!</v>
      </c>
      <c r="CI75" s="42" t="e">
        <f t="shared" ref="CI75:DU75" si="137">CI61/CD61-1</f>
        <v>#DIV/0!</v>
      </c>
      <c r="CJ75" s="42" t="e">
        <f t="shared" si="137"/>
        <v>#DIV/0!</v>
      </c>
      <c r="CK75" s="42" t="e">
        <f t="shared" si="137"/>
        <v>#DIV/0!</v>
      </c>
      <c r="CL75" s="42">
        <f t="shared" si="137"/>
        <v>8.2862523540489619E-2</v>
      </c>
      <c r="CM75" s="42">
        <f t="shared" si="137"/>
        <v>3.2484459594946946E-2</v>
      </c>
      <c r="CN75" s="42">
        <f t="shared" si="137"/>
        <v>1.5055762081784385E-2</v>
      </c>
      <c r="CO75" s="42">
        <f t="shared" si="137"/>
        <v>-2.4980784012298196E-2</v>
      </c>
      <c r="CP75" s="42">
        <f t="shared" si="137"/>
        <v>-3.1585104308832102E-2</v>
      </c>
      <c r="CQ75" s="42">
        <f t="shared" si="137"/>
        <v>-2.3671497584540901E-3</v>
      </c>
      <c r="CR75" s="42">
        <f t="shared" si="137"/>
        <v>9.7106234220234455E-4</v>
      </c>
      <c r="CS75" s="42">
        <f t="shared" si="137"/>
        <v>3.9919428676066682E-2</v>
      </c>
      <c r="CT75" s="42">
        <f t="shared" si="137"/>
        <v>5.2818289318092182E-2</v>
      </c>
      <c r="CU75" s="42">
        <f t="shared" si="137"/>
        <v>4.3487014294342652E-2</v>
      </c>
      <c r="CV75" s="42">
        <f t="shared" si="137"/>
        <v>3.4235630235823988E-2</v>
      </c>
      <c r="CW75" s="42">
        <f t="shared" si="137"/>
        <v>1.1835467597982152E-2</v>
      </c>
      <c r="CX75" s="42">
        <f t="shared" si="137"/>
        <v>3.8739214650467257E-3</v>
      </c>
      <c r="CY75" s="42">
        <f t="shared" si="137"/>
        <v>2.6020217147135982E-2</v>
      </c>
      <c r="CZ75" s="42">
        <f t="shared" si="137"/>
        <v>2.566081420027011E-2</v>
      </c>
      <c r="DA75" s="42">
        <f t="shared" si="137"/>
        <v>1.662140649873578E-2</v>
      </c>
      <c r="DB75" s="42">
        <f t="shared" si="137"/>
        <v>2.5503355704697972E-2</v>
      </c>
      <c r="DC75" s="42">
        <f t="shared" si="137"/>
        <v>1.7540782318891335E-2</v>
      </c>
      <c r="DD75" s="42">
        <f t="shared" si="137"/>
        <v>2.0981572705710549E-2</v>
      </c>
      <c r="DE75" s="42">
        <f t="shared" si="137"/>
        <v>8.6531226486079582E-3</v>
      </c>
      <c r="DF75" s="42">
        <f t="shared" ca="1" si="137"/>
        <v>1.8145811265140699E-2</v>
      </c>
      <c r="DG75" s="42">
        <f t="shared" si="137"/>
        <v>2.6738967838444205E-2</v>
      </c>
      <c r="DH75" s="42">
        <f t="shared" si="137"/>
        <v>2.7926219617307346E-2</v>
      </c>
      <c r="DI75" s="42">
        <f t="shared" si="137"/>
        <v>1.7691208005718329E-2</v>
      </c>
      <c r="DJ75" s="42">
        <f>DJ61/DE61-1</f>
        <v>4.8489369638193835E-3</v>
      </c>
      <c r="DK75" s="42">
        <f t="shared" ca="1" si="137"/>
        <v>1.9812728999864193E-2</v>
      </c>
      <c r="DL75" s="42">
        <f t="shared" si="137"/>
        <v>1.0926971407758668E-3</v>
      </c>
      <c r="DM75" s="42">
        <f t="shared" si="137"/>
        <v>-6.372631225893044E-3</v>
      </c>
      <c r="DN75" s="42">
        <f t="shared" si="137"/>
        <v>3.3362598770851903E-3</v>
      </c>
      <c r="DO75" s="42">
        <f t="shared" si="137"/>
        <v>4.2687453600593894E-2</v>
      </c>
      <c r="DP75" s="42">
        <f t="shared" ca="1" si="137"/>
        <v>9.27034819250383E-3</v>
      </c>
      <c r="DQ75" s="42">
        <f t="shared" si="137"/>
        <v>4.1477169365108146E-2</v>
      </c>
      <c r="DR75" s="42">
        <f t="shared" ca="1" si="137"/>
        <v>9.3692760338675907E-2</v>
      </c>
      <c r="DS75" s="42">
        <f t="shared" ca="1" si="137"/>
        <v>0.11799697489319017</v>
      </c>
      <c r="DT75" s="42">
        <f t="shared" si="137"/>
        <v>9.6232340924723214E-2</v>
      </c>
      <c r="DU75" s="42">
        <f t="shared" ca="1" si="137"/>
        <v>8.7808631926757474E-2</v>
      </c>
      <c r="DV75" s="42">
        <f t="shared" ref="DV75" si="138">DV61/DQ61-1</f>
        <v>7.9779086484457196E-2</v>
      </c>
      <c r="DW75" s="42">
        <f t="shared" ref="DW75" ca="1" si="139">DW61/DR61-1</f>
        <v>2.5238173261169061E-2</v>
      </c>
      <c r="DX75" s="42">
        <f t="shared" ref="DX75" ca="1" si="140">DX61/DS61-1</f>
        <v>2.2801845212076621E-2</v>
      </c>
      <c r="DY75" s="42">
        <f t="shared" ref="DY75" si="141">DY61/DT61-1</f>
        <v>2.3968710269490101E-2</v>
      </c>
      <c r="DZ75" s="42">
        <f t="shared" ref="DZ75" ca="1" si="142">DZ61/DU61-1</f>
        <v>3.6908533782483266E-2</v>
      </c>
      <c r="EA75" s="42">
        <f t="shared" ref="EA75" si="143">EA61/DV61-1</f>
        <v>2.1897037890440174E-2</v>
      </c>
      <c r="EB75" s="42">
        <f t="shared" ref="EB75" ca="1" si="144">EB61/DW61-1</f>
        <v>1.734755740498195E-2</v>
      </c>
      <c r="EC75" s="42">
        <f t="shared" ref="EC75" ca="1" si="145">EC61/DX61-1</f>
        <v>2.0011493447553708E-2</v>
      </c>
      <c r="ED75" s="42">
        <f t="shared" ref="ED75" si="146">ED61/DY61-1</f>
        <v>2.0476555286057074E-2</v>
      </c>
      <c r="EE75" s="42">
        <f t="shared" ref="EE75" ca="1" si="147">EE61/DZ61-1</f>
        <v>1.9890335089512989E-2</v>
      </c>
    </row>
    <row r="76" spans="2:135" s="1539" customFormat="1">
      <c r="B76" s="2143" t="s">
        <v>99</v>
      </c>
      <c r="CC76" s="42"/>
      <c r="CD76" s="42"/>
      <c r="CE76" s="42"/>
      <c r="CF76" s="42"/>
      <c r="CG76" s="42"/>
      <c r="CH76" s="42" t="e">
        <f>CH63/CC63-1</f>
        <v>#DIV/0!</v>
      </c>
      <c r="CI76" s="42" t="e">
        <f t="shared" ref="CI76:DU76" si="148">CI63/CD63-1</f>
        <v>#DIV/0!</v>
      </c>
      <c r="CJ76" s="42" t="e">
        <f t="shared" si="148"/>
        <v>#DIV/0!</v>
      </c>
      <c r="CK76" s="42" t="e">
        <f t="shared" si="148"/>
        <v>#DIV/0!</v>
      </c>
      <c r="CL76" s="42"/>
      <c r="CM76" s="42"/>
      <c r="CN76" s="42"/>
      <c r="CO76" s="42"/>
      <c r="CP76" s="42"/>
      <c r="CQ76" s="42"/>
      <c r="CR76" s="42"/>
      <c r="CS76" s="42"/>
      <c r="CT76" s="42"/>
      <c r="CU76" s="42"/>
      <c r="CV76" s="42"/>
      <c r="CW76" s="42">
        <f t="shared" si="148"/>
        <v>4.0018832391712778E-3</v>
      </c>
      <c r="CX76" s="42">
        <f t="shared" si="148"/>
        <v>1.7268802544876172E-2</v>
      </c>
      <c r="CY76" s="42">
        <f t="shared" si="148"/>
        <v>2.8537735849056611E-2</v>
      </c>
      <c r="CZ76" s="42">
        <f t="shared" si="148"/>
        <v>2.0529959417522115E-2</v>
      </c>
      <c r="DA76" s="42">
        <f t="shared" si="148"/>
        <v>1.756645977280713E-2</v>
      </c>
      <c r="DB76" s="42">
        <f t="shared" si="148"/>
        <v>1.6881594372801789E-2</v>
      </c>
      <c r="DC76" s="42">
        <f t="shared" si="148"/>
        <v>-3.8641947732856785E-2</v>
      </c>
      <c r="DD76" s="42">
        <f t="shared" si="148"/>
        <v>-2.1325384086218757E-2</v>
      </c>
      <c r="DE76" s="42">
        <f t="shared" si="148"/>
        <v>7.7192982456140147E-3</v>
      </c>
      <c r="DF76" s="42">
        <f t="shared" si="148"/>
        <v>-9.2645874093681968E-3</v>
      </c>
      <c r="DG76" s="42">
        <f t="shared" si="148"/>
        <v>-2.0521097532856802E-2</v>
      </c>
      <c r="DH76" s="42">
        <f t="shared" si="148"/>
        <v>6.2732342007434383E-3</v>
      </c>
      <c r="DI76" s="42">
        <f t="shared" si="148"/>
        <v>1.054358013120904E-2</v>
      </c>
      <c r="DJ76" s="42">
        <f>DJ63/DE63-1</f>
        <v>-4.6425255338904403E-3</v>
      </c>
      <c r="DK76" s="42">
        <f t="shared" si="148"/>
        <v>-1.6843817157460306E-3</v>
      </c>
      <c r="DL76" s="42">
        <f t="shared" si="148"/>
        <v>-9.4161958568738102E-3</v>
      </c>
      <c r="DM76" s="42">
        <f t="shared" si="148"/>
        <v>9.6975294389287647E-3</v>
      </c>
      <c r="DN76" s="42">
        <f t="shared" si="148"/>
        <v>-1.4375144910734994E-2</v>
      </c>
      <c r="DO76" s="42">
        <f t="shared" si="148"/>
        <v>-1.7024253731343308E-2</v>
      </c>
      <c r="DP76" s="42">
        <f t="shared" si="148"/>
        <v>-8.2033977193390895E-3</v>
      </c>
      <c r="DQ76" s="42">
        <f t="shared" si="148"/>
        <v>3.3269961977186346E-2</v>
      </c>
      <c r="DR76" s="42">
        <f t="shared" si="148"/>
        <v>0.1100000000000001</v>
      </c>
      <c r="DS76" s="42">
        <f t="shared" si="148"/>
        <v>0.14999999999999991</v>
      </c>
      <c r="DT76" s="42">
        <f t="shared" si="148"/>
        <v>0.14000000000000012</v>
      </c>
      <c r="DU76" s="42">
        <f t="shared" si="148"/>
        <v>0.10845192702528306</v>
      </c>
      <c r="DV76" s="42">
        <f t="shared" ref="DV76" si="149">DV63/DQ63-1</f>
        <v>0.10615064162538523</v>
      </c>
      <c r="DW76" s="42">
        <f t="shared" ref="DW76" si="150">DW63/DR63-1</f>
        <v>2.9951532830618133E-2</v>
      </c>
      <c r="DX76" s="42">
        <f t="shared" ref="DX76" si="151">DX63/DS63-1</f>
        <v>-6.7669835853624294E-3</v>
      </c>
      <c r="DY76" s="42">
        <f t="shared" ref="DY76" si="152">DY63/DT63-1</f>
        <v>-1.3744497989731763E-2</v>
      </c>
      <c r="DZ76" s="42">
        <f t="shared" ref="DZ76" si="153">DZ63/DU63-1</f>
        <v>2.6873911905088921E-2</v>
      </c>
      <c r="EA76" s="42">
        <f t="shared" ref="EA76" si="154">EA63/DV63-1</f>
        <v>2.0000000000000018E-2</v>
      </c>
      <c r="EB76" s="42">
        <f t="shared" ref="EB76" si="155">EB63/DW63-1</f>
        <v>2.0000000000000018E-2</v>
      </c>
      <c r="EC76" s="42">
        <f t="shared" ref="EC76" si="156">EC63/DX63-1</f>
        <v>2.0000000000000018E-2</v>
      </c>
      <c r="ED76" s="42">
        <f t="shared" ref="ED76" si="157">ED63/DY63-1</f>
        <v>2.0000000000000018E-2</v>
      </c>
      <c r="EE76" s="42">
        <f t="shared" ref="EE76" si="158">EE63/DZ63-1</f>
        <v>2.0000000000000018E-2</v>
      </c>
    </row>
    <row r="77" spans="2:135" s="1539" customFormat="1">
      <c r="B77" s="2143" t="s">
        <v>584</v>
      </c>
      <c r="CC77" s="42"/>
      <c r="CD77" s="42"/>
      <c r="CE77" s="42"/>
      <c r="CF77" s="42"/>
      <c r="CG77" s="42"/>
      <c r="CH77" s="42" t="e">
        <f>CH65/CC65-1</f>
        <v>#DIV/0!</v>
      </c>
      <c r="CI77" s="42" t="e">
        <f t="shared" ref="CI77:DU77" si="159">CI65/CD65-1</f>
        <v>#DIV/0!</v>
      </c>
      <c r="CJ77" s="42" t="e">
        <f t="shared" si="159"/>
        <v>#DIV/0!</v>
      </c>
      <c r="CK77" s="42" t="e">
        <f t="shared" si="159"/>
        <v>#DIV/0!</v>
      </c>
      <c r="CL77" s="42"/>
      <c r="CM77" s="42"/>
      <c r="CN77" s="42"/>
      <c r="CO77" s="42"/>
      <c r="CP77" s="42"/>
      <c r="CQ77" s="42"/>
      <c r="CR77" s="42"/>
      <c r="CS77" s="42"/>
      <c r="CT77" s="42"/>
      <c r="CU77" s="42"/>
      <c r="CV77" s="42"/>
      <c r="CW77" s="42">
        <f t="shared" si="159"/>
        <v>4.8565121412803558E-2</v>
      </c>
      <c r="CX77" s="42">
        <f t="shared" si="159"/>
        <v>-4.2253521126760618E-2</v>
      </c>
      <c r="CY77" s="42">
        <f t="shared" si="159"/>
        <v>1.6333938294010864E-2</v>
      </c>
      <c r="CZ77" s="42">
        <f t="shared" si="159"/>
        <v>4.728370221327971E-2</v>
      </c>
      <c r="DA77" s="42">
        <f t="shared" si="159"/>
        <v>1.2850467289719614E-2</v>
      </c>
      <c r="DB77" s="42">
        <f t="shared" si="159"/>
        <v>6.4210526315789496E-2</v>
      </c>
      <c r="DC77" s="42">
        <f t="shared" si="159"/>
        <v>0.22303921568627461</v>
      </c>
      <c r="DD77" s="42">
        <f t="shared" si="159"/>
        <v>0.18571428571428572</v>
      </c>
      <c r="DE77" s="42">
        <f t="shared" si="159"/>
        <v>1.2487992315081575E-2</v>
      </c>
      <c r="DF77" s="42">
        <f t="shared" si="159"/>
        <v>0.12802768166089962</v>
      </c>
      <c r="DG77" s="42">
        <f t="shared" si="159"/>
        <v>0.2294757665677547</v>
      </c>
      <c r="DH77" s="42">
        <f t="shared" si="159"/>
        <v>9.0180360721442865E-2</v>
      </c>
      <c r="DI77" s="42">
        <f t="shared" si="159"/>
        <v>4.06626506024097E-2</v>
      </c>
      <c r="DJ77" s="42">
        <f>DJ65/DE65-1</f>
        <v>4.3643263757115802E-2</v>
      </c>
      <c r="DK77" s="42">
        <f t="shared" si="159"/>
        <v>9.5501022494887566E-2</v>
      </c>
      <c r="DL77" s="42">
        <f t="shared" si="159"/>
        <v>3.7007240547063613E-2</v>
      </c>
      <c r="DM77" s="42">
        <f t="shared" si="159"/>
        <v>-4.9019607843137303E-2</v>
      </c>
      <c r="DN77" s="42">
        <f t="shared" si="159"/>
        <v>5.8610709117221438E-2</v>
      </c>
      <c r="DO77" s="42">
        <f t="shared" si="159"/>
        <v>0.2754545454545454</v>
      </c>
      <c r="DP77" s="42">
        <f t="shared" si="159"/>
        <v>6.5335075602016124E-2</v>
      </c>
      <c r="DQ77" s="42">
        <f t="shared" si="159"/>
        <v>6.8269976726144321E-2</v>
      </c>
      <c r="DR77" s="42">
        <f t="shared" ca="1" si="159"/>
        <v>4.7744590854802871E-2</v>
      </c>
      <c r="DS77" s="42">
        <f t="shared" ca="1" si="159"/>
        <v>2.5006640150163628E-2</v>
      </c>
      <c r="DT77" s="42">
        <f t="shared" si="159"/>
        <v>-3.5257810894444686E-2</v>
      </c>
      <c r="DU77" s="42">
        <f t="shared" ca="1" si="159"/>
        <v>2.6146418584446662E-2</v>
      </c>
      <c r="DV77" s="42">
        <f t="shared" ref="DV77" si="160">DV65/DQ65-1</f>
        <v>-3.4914449264036307E-3</v>
      </c>
      <c r="DW77" s="42">
        <f t="shared" ref="DW77" ca="1" si="161">DW65/DR65-1</f>
        <v>1.1168439352833959E-2</v>
      </c>
      <c r="DX77" s="42">
        <f t="shared" ref="DX77" ca="1" si="162">DX65/DS65-1</f>
        <v>0.11919630262355496</v>
      </c>
      <c r="DY77" s="42">
        <f t="shared" ref="DY77" si="163">DY65/DT65-1</f>
        <v>0.15785218263707201</v>
      </c>
      <c r="DZ77" s="42">
        <f t="shared" ref="DZ77" ca="1" si="164">DZ65/DU65-1</f>
        <v>6.9286430229972051E-2</v>
      </c>
      <c r="EA77" s="42">
        <f t="shared" ref="EA77" si="165">EA65/DV65-1</f>
        <v>2.8546168204080624E-2</v>
      </c>
      <c r="EB77" s="42">
        <f t="shared" ref="EB77" ca="1" si="166">EB65/DW65-1</f>
        <v>9.2827390956276012E-3</v>
      </c>
      <c r="EC77" s="42">
        <f t="shared" ref="EC77" ca="1" si="167">EC65/DX65-1</f>
        <v>2.0044745092893335E-2</v>
      </c>
      <c r="ED77" s="42">
        <f t="shared" ref="ED77" si="168">ED65/DY65-1</f>
        <v>2.1917618724619503E-2</v>
      </c>
      <c r="EE77" s="42">
        <f t="shared" ref="EE77" ca="1" si="169">EE65/DZ65-1</f>
        <v>1.9550523355617466E-2</v>
      </c>
    </row>
    <row r="78" spans="2:135" s="1539" customFormat="1">
      <c r="B78" s="39"/>
      <c r="CC78" s="42"/>
      <c r="CD78" s="42"/>
      <c r="CE78" s="42"/>
      <c r="CF78" s="42"/>
      <c r="CG78" s="42"/>
      <c r="CH78" s="42"/>
      <c r="CI78" s="42"/>
      <c r="CJ78" s="42"/>
      <c r="CK78" s="42"/>
      <c r="CL78" s="42"/>
      <c r="CM78" s="42"/>
      <c r="CN78" s="42"/>
      <c r="CO78" s="42"/>
      <c r="CP78" s="42"/>
      <c r="CQ78" s="42"/>
      <c r="CR78" s="42"/>
      <c r="CS78" s="42"/>
      <c r="CT78" s="42"/>
      <c r="CU78" s="42"/>
      <c r="CV78" s="42"/>
      <c r="CW78" s="42"/>
      <c r="CX78" s="42"/>
      <c r="CY78" s="42"/>
      <c r="CZ78" s="42"/>
      <c r="DA78" s="42"/>
      <c r="DB78" s="42"/>
      <c r="DC78" s="42"/>
      <c r="DD78" s="42"/>
      <c r="DE78" s="42"/>
      <c r="DF78" s="42"/>
      <c r="DG78" s="42"/>
      <c r="DH78" s="42"/>
      <c r="DI78" s="42"/>
      <c r="DJ78" s="42"/>
      <c r="DK78" s="42"/>
      <c r="DL78" s="42"/>
      <c r="DM78" s="42"/>
      <c r="DN78" s="42"/>
      <c r="DO78" s="42"/>
      <c r="DP78" s="42"/>
      <c r="DQ78" s="42"/>
      <c r="DR78" s="42"/>
      <c r="DS78" s="42"/>
      <c r="DT78" s="42"/>
      <c r="DU78" s="42"/>
      <c r="DV78" s="42"/>
      <c r="DW78" s="42"/>
      <c r="DX78" s="42"/>
      <c r="DY78" s="42"/>
      <c r="DZ78" s="42"/>
      <c r="EA78" s="42"/>
      <c r="EB78" s="42"/>
      <c r="EC78" s="42"/>
      <c r="ED78" s="42"/>
      <c r="EE78" s="42"/>
    </row>
    <row r="79" spans="2:135" s="1539" customFormat="1">
      <c r="B79" s="17" t="s">
        <v>405</v>
      </c>
      <c r="CC79" s="42"/>
      <c r="CD79" s="42"/>
      <c r="CE79" s="42"/>
      <c r="CF79" s="42"/>
      <c r="CG79" s="42"/>
      <c r="DJ79" s="44"/>
    </row>
    <row r="80" spans="2:135" s="1539" customFormat="1">
      <c r="B80" s="2143" t="s">
        <v>575</v>
      </c>
      <c r="CC80" s="42"/>
      <c r="CD80" s="42"/>
      <c r="CE80" s="42"/>
      <c r="CF80" s="42"/>
      <c r="CG80" s="42"/>
      <c r="CH80" s="42">
        <f>CH57/CH51</f>
        <v>0.25288367380172605</v>
      </c>
      <c r="CI80" s="42">
        <f t="shared" ref="CI80:DU80" si="170">CI57/CI51</f>
        <v>0.24757405437578461</v>
      </c>
      <c r="CJ80" s="42">
        <f t="shared" si="170"/>
        <v>0.24876481952095958</v>
      </c>
      <c r="CK80" s="42">
        <f t="shared" si="170"/>
        <v>0.25247230463416276</v>
      </c>
      <c r="CL80" s="42">
        <f t="shared" si="170"/>
        <v>0.25041441902175948</v>
      </c>
      <c r="CM80" s="42">
        <f t="shared" si="170"/>
        <v>0.24430430495586283</v>
      </c>
      <c r="CN80" s="42">
        <f t="shared" si="170"/>
        <v>0.24492336230028805</v>
      </c>
      <c r="CO80" s="42">
        <f t="shared" si="170"/>
        <v>0.24917647795101569</v>
      </c>
      <c r="CP80" s="42">
        <f t="shared" si="170"/>
        <v>0.25845181597175021</v>
      </c>
      <c r="CQ80" s="42">
        <f t="shared" si="170"/>
        <v>0.24905588081017843</v>
      </c>
      <c r="CR80" s="42">
        <f t="shared" si="170"/>
        <v>0.2638898574221894</v>
      </c>
      <c r="CS80" s="42">
        <f t="shared" si="170"/>
        <v>0.26448561070757204</v>
      </c>
      <c r="CT80" s="42">
        <f t="shared" si="170"/>
        <v>0.27360679981784503</v>
      </c>
      <c r="CU80" s="42">
        <f t="shared" si="170"/>
        <v>0.27365918715905735</v>
      </c>
      <c r="CV80" s="42">
        <f t="shared" si="170"/>
        <v>0.26897271234817921</v>
      </c>
      <c r="CW80" s="42">
        <f t="shared" si="170"/>
        <v>0.26416521676684768</v>
      </c>
      <c r="CX80" s="42">
        <f t="shared" si="170"/>
        <v>0.25858689690497572</v>
      </c>
      <c r="CY80" s="42">
        <f t="shared" si="170"/>
        <v>0.26766255991698418</v>
      </c>
      <c r="CZ80" s="42">
        <f t="shared" si="170"/>
        <v>0.26335876206818842</v>
      </c>
      <c r="DA80" s="42">
        <f t="shared" si="170"/>
        <v>0.26346365216384121</v>
      </c>
      <c r="DB80" s="42">
        <f t="shared" si="170"/>
        <v>0.25257682154905203</v>
      </c>
      <c r="DC80" s="42">
        <f t="shared" si="170"/>
        <v>0.24421447071191191</v>
      </c>
      <c r="DD80" s="42">
        <f t="shared" ca="1" si="170"/>
        <v>0.25697900668531826</v>
      </c>
      <c r="DE80" s="42">
        <f t="shared" ca="1" si="170"/>
        <v>0.26428991910745375</v>
      </c>
      <c r="DF80" s="42">
        <f t="shared" ca="1" si="170"/>
        <v>0.25446263811222564</v>
      </c>
      <c r="DG80" s="42">
        <f t="shared" si="170"/>
        <v>0.24842910163160067</v>
      </c>
      <c r="DH80" s="42">
        <f t="shared" ref="DH80" ca="1" si="171">DH57/DH51</f>
        <v>0.24757843370842592</v>
      </c>
      <c r="DI80" s="42">
        <f t="shared" ca="1" si="170"/>
        <v>0.24899832599026511</v>
      </c>
      <c r="DJ80" s="42">
        <f t="shared" ca="1" si="170"/>
        <v>0.24562939806281109</v>
      </c>
      <c r="DK80" s="42">
        <f t="shared" ca="1" si="170"/>
        <v>0.2476532156213514</v>
      </c>
      <c r="DL80" s="42">
        <f t="shared" si="170"/>
        <v>0.24381501961213761</v>
      </c>
      <c r="DM80" s="42">
        <f t="shared" si="170"/>
        <v>0.2469464524786904</v>
      </c>
      <c r="DN80" s="42">
        <f t="shared" si="170"/>
        <v>0.23973844256121438</v>
      </c>
      <c r="DO80" s="42">
        <f t="shared" si="170"/>
        <v>0.23325604846449496</v>
      </c>
      <c r="DP80" s="42">
        <f t="shared" si="170"/>
        <v>0.24070408962696388</v>
      </c>
      <c r="DQ80" s="42">
        <f t="shared" si="170"/>
        <v>0.23079045200061385</v>
      </c>
      <c r="DR80" s="42">
        <f t="shared" ca="1" si="170"/>
        <v>0.22256584664917217</v>
      </c>
      <c r="DS80" s="42">
        <f t="shared" ca="1" si="170"/>
        <v>0.22883155137683828</v>
      </c>
      <c r="DT80" s="42">
        <f t="shared" si="170"/>
        <v>0.22311084001768888</v>
      </c>
      <c r="DU80" s="42">
        <f t="shared" ca="1" si="170"/>
        <v>0.2262124554782011</v>
      </c>
      <c r="DV80" s="42">
        <f t="shared" ref="DV80:DZ80" si="172">DV57/DV51</f>
        <v>0.22431364300117373</v>
      </c>
      <c r="DW80" s="42">
        <f t="shared" ca="1" si="172"/>
        <v>0.22257361616984489</v>
      </c>
      <c r="DX80" s="42">
        <f t="shared" ca="1" si="172"/>
        <v>0.23096831657425912</v>
      </c>
      <c r="DY80" s="42">
        <f t="shared" si="172"/>
        <v>0.22607414801860423</v>
      </c>
      <c r="DZ80" s="42">
        <f t="shared" ca="1" si="172"/>
        <v>0.22599677137481738</v>
      </c>
      <c r="EA80" s="42">
        <f t="shared" ref="EA80:EE80" si="173">EA57/EA51</f>
        <v>0.22715600332679517</v>
      </c>
      <c r="EB80" s="42">
        <f t="shared" ca="1" si="173"/>
        <v>0.22453178133136456</v>
      </c>
      <c r="EC80" s="42">
        <f t="shared" ca="1" si="173"/>
        <v>0.23277897544239418</v>
      </c>
      <c r="ED80" s="42">
        <f t="shared" si="173"/>
        <v>0.22777156230357029</v>
      </c>
      <c r="EE80" s="42">
        <f t="shared" ca="1" si="173"/>
        <v>0.22807478811345389</v>
      </c>
    </row>
    <row r="81" spans="2:135" s="1539" customFormat="1">
      <c r="B81" s="2143" t="s">
        <v>576</v>
      </c>
      <c r="CC81" s="42"/>
      <c r="CD81" s="42"/>
      <c r="CE81" s="42"/>
      <c r="CF81" s="42"/>
      <c r="CG81" s="42"/>
      <c r="CH81" s="42">
        <f>CH58/CH52</f>
        <v>0.3515000775008903</v>
      </c>
      <c r="CI81" s="42">
        <f t="shared" ref="CI81:DU81" si="174">CI58/CI52</f>
        <v>0.35865616178432824</v>
      </c>
      <c r="CJ81" s="42">
        <f t="shared" si="174"/>
        <v>0.34380890110378587</v>
      </c>
      <c r="CK81" s="42">
        <f t="shared" si="174"/>
        <v>0.33818340804082542</v>
      </c>
      <c r="CL81" s="42">
        <f t="shared" si="174"/>
        <v>0.34825912602721609</v>
      </c>
      <c r="CM81" s="42">
        <f t="shared" si="174"/>
        <v>0.35096923714018402</v>
      </c>
      <c r="CN81" s="42">
        <f t="shared" si="174"/>
        <v>0.35720797604553339</v>
      </c>
      <c r="CO81" s="42">
        <f t="shared" si="174"/>
        <v>0.33885456492919142</v>
      </c>
      <c r="CP81" s="42">
        <f t="shared" si="174"/>
        <v>0.32642948940031596</v>
      </c>
      <c r="CQ81" s="42">
        <f t="shared" si="174"/>
        <v>0.34389162474209606</v>
      </c>
      <c r="CR81" s="42">
        <f t="shared" si="174"/>
        <v>0.34835860616626413</v>
      </c>
      <c r="CS81" s="42">
        <f t="shared" si="174"/>
        <v>0.35756064819348149</v>
      </c>
      <c r="CT81" s="42">
        <f t="shared" si="174"/>
        <v>0.30489629575632693</v>
      </c>
      <c r="CU81" s="42">
        <f t="shared" si="174"/>
        <v>0.3170887855270153</v>
      </c>
      <c r="CV81" s="42">
        <f t="shared" si="174"/>
        <v>0.33230730429047034</v>
      </c>
      <c r="CW81" s="42">
        <f t="shared" si="174"/>
        <v>0.31209553754374142</v>
      </c>
      <c r="CX81" s="42">
        <f t="shared" si="174"/>
        <v>0.3369067141120039</v>
      </c>
      <c r="CY81" s="42">
        <f t="shared" si="174"/>
        <v>0.30343603664767943</v>
      </c>
      <c r="CZ81" s="42">
        <f t="shared" si="174"/>
        <v>0.3105047372570201</v>
      </c>
      <c r="DA81" s="42">
        <f t="shared" si="174"/>
        <v>0.31625524965417123</v>
      </c>
      <c r="DB81" s="42">
        <f t="shared" si="174"/>
        <v>0.30758556955578237</v>
      </c>
      <c r="DC81" s="42">
        <f t="shared" si="174"/>
        <v>0.32505881959126287</v>
      </c>
      <c r="DD81" s="42">
        <f t="shared" ca="1" si="174"/>
        <v>0.29715820584944841</v>
      </c>
      <c r="DE81" s="42">
        <f t="shared" ca="1" si="174"/>
        <v>0.26151101867375581</v>
      </c>
      <c r="DF81" s="42">
        <f t="shared" ca="1" si="174"/>
        <v>0.29844864827576795</v>
      </c>
      <c r="DG81" s="42">
        <f t="shared" si="174"/>
        <v>0.30816251446946319</v>
      </c>
      <c r="DH81" s="42">
        <f t="shared" ref="DH81" ca="1" si="175">DH58/DH52</f>
        <v>0.32360018457471734</v>
      </c>
      <c r="DI81" s="42">
        <f t="shared" ca="1" si="174"/>
        <v>0.29648684936906416</v>
      </c>
      <c r="DJ81" s="42">
        <f t="shared" ca="1" si="174"/>
        <v>0.29101907405030064</v>
      </c>
      <c r="DK81" s="42">
        <f t="shared" ca="1" si="174"/>
        <v>0.30542525880479998</v>
      </c>
      <c r="DL81" s="42">
        <f t="shared" si="174"/>
        <v>0.30679258047567265</v>
      </c>
      <c r="DM81" s="42">
        <f t="shared" si="174"/>
        <v>0.3138773274377879</v>
      </c>
      <c r="DN81" s="42">
        <f t="shared" si="174"/>
        <v>0.27869658604555203</v>
      </c>
      <c r="DO81" s="42">
        <f t="shared" si="174"/>
        <v>0.30174822164497311</v>
      </c>
      <c r="DP81" s="42">
        <f t="shared" si="174"/>
        <v>0.3004193047433853</v>
      </c>
      <c r="DQ81" s="42">
        <f t="shared" si="174"/>
        <v>0.30896042584566635</v>
      </c>
      <c r="DR81" s="42">
        <f t="shared" si="174"/>
        <v>0.3168773274377879</v>
      </c>
      <c r="DS81" s="42">
        <f t="shared" si="174"/>
        <v>0.28369658604555203</v>
      </c>
      <c r="DT81" s="42">
        <f t="shared" si="174"/>
        <v>0.30674822164497312</v>
      </c>
      <c r="DU81" s="42">
        <f t="shared" si="174"/>
        <v>0.30389518391636983</v>
      </c>
      <c r="DV81" s="42">
        <f t="shared" ref="DV81:DZ81" si="176">DV58/DV52</f>
        <v>0.31396042584566636</v>
      </c>
      <c r="DW81" s="42">
        <f t="shared" si="176"/>
        <v>0.32187732743778791</v>
      </c>
      <c r="DX81" s="42">
        <f t="shared" si="176"/>
        <v>0.28869658604555204</v>
      </c>
      <c r="DY81" s="42">
        <f t="shared" si="176"/>
        <v>0.31174822164497312</v>
      </c>
      <c r="DZ81" s="42">
        <f t="shared" si="176"/>
        <v>0.30890300469351378</v>
      </c>
      <c r="EA81" s="42">
        <f t="shared" ref="EA81:EE81" si="177">EA58/EA52</f>
        <v>0.31396042584566636</v>
      </c>
      <c r="EB81" s="42">
        <f t="shared" si="177"/>
        <v>0.32187732743778791</v>
      </c>
      <c r="EC81" s="42">
        <f t="shared" si="177"/>
        <v>0.28869658604555204</v>
      </c>
      <c r="ED81" s="42">
        <f t="shared" si="177"/>
        <v>0.31174822164497312</v>
      </c>
      <c r="EE81" s="42">
        <f t="shared" si="177"/>
        <v>0.30889368206858336</v>
      </c>
    </row>
    <row r="82" spans="2:135" s="1539" customFormat="1">
      <c r="B82" s="2143" t="s">
        <v>586</v>
      </c>
      <c r="CC82" s="42"/>
      <c r="CD82" s="42"/>
      <c r="CE82" s="42"/>
      <c r="CF82" s="42"/>
      <c r="CG82" s="42"/>
      <c r="CH82" s="42">
        <f>CH61/CH53</f>
        <v>0.28972709183599366</v>
      </c>
      <c r="CI82" s="42">
        <f t="shared" ref="CI82:DU82" si="178">CI61/CI53</f>
        <v>0.29285685124450556</v>
      </c>
      <c r="CJ82" s="42">
        <f t="shared" si="178"/>
        <v>0.28531092805548319</v>
      </c>
      <c r="CK82" s="42">
        <f t="shared" si="178"/>
        <v>0.28546780208159406</v>
      </c>
      <c r="CL82" s="42">
        <f t="shared" si="178"/>
        <v>0.28833999045831432</v>
      </c>
      <c r="CM82" s="42">
        <f t="shared" si="178"/>
        <v>0.28358208955223879</v>
      </c>
      <c r="CN82" s="42">
        <f t="shared" si="178"/>
        <v>0.29279931370972068</v>
      </c>
      <c r="CO82" s="42">
        <f t="shared" si="178"/>
        <v>0.28582694907616041</v>
      </c>
      <c r="CP82" s="42">
        <f t="shared" si="178"/>
        <v>0.29092719498623559</v>
      </c>
      <c r="CQ82" s="42">
        <f t="shared" si="178"/>
        <v>0.28828891711920485</v>
      </c>
      <c r="CR82" s="42">
        <f t="shared" si="178"/>
        <v>0.29764379764379767</v>
      </c>
      <c r="CS82" s="42">
        <f t="shared" si="178"/>
        <v>0.30455301120823725</v>
      </c>
      <c r="CT82" s="42">
        <f t="shared" si="178"/>
        <v>0.2917053459291214</v>
      </c>
      <c r="CU82" s="42">
        <f t="shared" si="178"/>
        <v>0.28889136614458505</v>
      </c>
      <c r="CV82" s="42">
        <f t="shared" si="178"/>
        <v>0.2957475386681806</v>
      </c>
      <c r="CW82" s="42">
        <f t="shared" si="178"/>
        <v>0.28452179606088712</v>
      </c>
      <c r="CX82" s="42">
        <f t="shared" si="178"/>
        <v>0.29079316500892627</v>
      </c>
      <c r="CY82" s="42">
        <f t="shared" si="178"/>
        <v>0.28251121076233182</v>
      </c>
      <c r="CZ82" s="42">
        <f t="shared" si="178"/>
        <v>0.27895261583670045</v>
      </c>
      <c r="DA82" s="42">
        <f t="shared" si="178"/>
        <v>0.28423133312388732</v>
      </c>
      <c r="DB82" s="42">
        <f t="shared" si="178"/>
        <v>0.27349902833179912</v>
      </c>
      <c r="DC82" s="42">
        <f t="shared" si="178"/>
        <v>0.27560813378943366</v>
      </c>
      <c r="DD82" s="42">
        <f t="shared" si="178"/>
        <v>0.27397796817625458</v>
      </c>
      <c r="DE82" s="42">
        <f t="shared" si="178"/>
        <v>0.26881235273474707</v>
      </c>
      <c r="DF82" s="42">
        <f t="shared" ca="1" si="178"/>
        <v>0.27301355990811865</v>
      </c>
      <c r="DG82" s="42">
        <f t="shared" si="178"/>
        <v>0.26956308296514481</v>
      </c>
      <c r="DH82" s="42">
        <f t="shared" ref="DH82" si="179">DH61/DH53</f>
        <v>0.27734883720930231</v>
      </c>
      <c r="DI82" s="42">
        <f t="shared" si="178"/>
        <v>0.26882227991503421</v>
      </c>
      <c r="DJ82" s="42">
        <f t="shared" si="178"/>
        <v>0.25970019761893287</v>
      </c>
      <c r="DK82" s="42">
        <f t="shared" ca="1" si="178"/>
        <v>0.26902699219589032</v>
      </c>
      <c r="DL82" s="42">
        <f t="shared" si="178"/>
        <v>0.26608257902124982</v>
      </c>
      <c r="DM82" s="42">
        <f t="shared" si="178"/>
        <v>0.27161455945722929</v>
      </c>
      <c r="DN82" s="42">
        <f t="shared" si="178"/>
        <v>0.25363991477272729</v>
      </c>
      <c r="DO82" s="42">
        <f t="shared" si="178"/>
        <v>0.25191695439666384</v>
      </c>
      <c r="DP82" s="42">
        <f t="shared" si="178"/>
        <v>0.26063549517765916</v>
      </c>
      <c r="DQ82" s="42">
        <f t="shared" si="178"/>
        <v>0.25671494551813823</v>
      </c>
      <c r="DR82" s="42">
        <f t="shared" ca="1" si="178"/>
        <v>0.25325523696027658</v>
      </c>
      <c r="DS82" s="42">
        <f t="shared" ca="1" si="178"/>
        <v>0.2467885338784562</v>
      </c>
      <c r="DT82" s="42">
        <f t="shared" si="178"/>
        <v>0.24480691437688717</v>
      </c>
      <c r="DU82" s="42">
        <f t="shared" ca="1" si="178"/>
        <v>0.25019477833642395</v>
      </c>
      <c r="DV82" s="42">
        <f t="shared" ref="DV82:DZ82" si="180">DV61/DV53</f>
        <v>0.24877858478424039</v>
      </c>
      <c r="DW82" s="42">
        <f t="shared" ca="1" si="180"/>
        <v>0.25371930797884407</v>
      </c>
      <c r="DX82" s="42">
        <f t="shared" ca="1" si="180"/>
        <v>0.24924364422416653</v>
      </c>
      <c r="DY82" s="42">
        <f t="shared" si="180"/>
        <v>0.24762626095273294</v>
      </c>
      <c r="DZ82" s="42">
        <f t="shared" ca="1" si="180"/>
        <v>0.24987111099190198</v>
      </c>
      <c r="EA82" s="42">
        <f t="shared" ref="EA82:EE82" si="181">EA61/EA53</f>
        <v>0.2501853152492724</v>
      </c>
      <c r="EB82" s="42">
        <f t="shared" ca="1" si="181"/>
        <v>0.2542670535078228</v>
      </c>
      <c r="EC82" s="42">
        <f t="shared" ca="1" si="181"/>
        <v>0.25006290140377202</v>
      </c>
      <c r="ED82" s="42">
        <f t="shared" si="181"/>
        <v>0.24825266001001048</v>
      </c>
      <c r="EE82" s="42">
        <f t="shared" ca="1" si="181"/>
        <v>0.25071343092822956</v>
      </c>
    </row>
    <row r="83" spans="2:135" s="1539" customFormat="1">
      <c r="B83" s="2143" t="s">
        <v>99</v>
      </c>
      <c r="CC83" s="42"/>
      <c r="CD83" s="42"/>
      <c r="CE83" s="42"/>
      <c r="CF83" s="42"/>
      <c r="CG83" s="42"/>
      <c r="CH83" s="42">
        <f>CH63/CH53</f>
        <v>0</v>
      </c>
      <c r="CI83" s="42">
        <f t="shared" ref="CI83:DU83" si="182">CI63/CI53</f>
        <v>0</v>
      </c>
      <c r="CJ83" s="42">
        <f t="shared" si="182"/>
        <v>0</v>
      </c>
      <c r="CK83" s="42">
        <f t="shared" si="182"/>
        <v>0</v>
      </c>
      <c r="CL83" s="42">
        <f t="shared" si="182"/>
        <v>0</v>
      </c>
      <c r="CM83" s="42">
        <f t="shared" si="182"/>
        <v>0</v>
      </c>
      <c r="CN83" s="42">
        <f t="shared" si="182"/>
        <v>0</v>
      </c>
      <c r="CO83" s="42">
        <f t="shared" si="182"/>
        <v>0</v>
      </c>
      <c r="CP83" s="42">
        <f t="shared" si="182"/>
        <v>0</v>
      </c>
      <c r="CQ83" s="42">
        <f t="shared" si="182"/>
        <v>0</v>
      </c>
      <c r="CR83" s="42">
        <f t="shared" si="182"/>
        <v>0.24532224532224534</v>
      </c>
      <c r="CS83" s="42">
        <f t="shared" si="182"/>
        <v>0.23601651740226309</v>
      </c>
      <c r="CT83" s="42">
        <f t="shared" si="182"/>
        <v>0.23152951455250367</v>
      </c>
      <c r="CU83" s="42">
        <f t="shared" si="182"/>
        <v>0.23348754250041803</v>
      </c>
      <c r="CV83" s="42">
        <f t="shared" si="182"/>
        <v>0.23648171483168784</v>
      </c>
      <c r="CW83" s="42">
        <f t="shared" si="182"/>
        <v>0.2326913634131704</v>
      </c>
      <c r="CX83" s="42">
        <f t="shared" si="182"/>
        <v>0.22836011221627137</v>
      </c>
      <c r="CY83" s="42">
        <f t="shared" si="182"/>
        <v>0.22478222772022061</v>
      </c>
      <c r="CZ83" s="42">
        <f t="shared" si="182"/>
        <v>0.22432701894317048</v>
      </c>
      <c r="DA83" s="42">
        <f t="shared" si="182"/>
        <v>0.22748455335637238</v>
      </c>
      <c r="DB83" s="42">
        <f t="shared" si="182"/>
        <v>0.22179605195867852</v>
      </c>
      <c r="DC83" s="42">
        <f t="shared" si="182"/>
        <v>0.20448498669707335</v>
      </c>
      <c r="DD83" s="42">
        <f t="shared" si="182"/>
        <v>0.20895960832313343</v>
      </c>
      <c r="DE83" s="42">
        <f t="shared" si="182"/>
        <v>0.21597232666566402</v>
      </c>
      <c r="DF83" s="42">
        <f t="shared" si="182"/>
        <v>0.21262380517203053</v>
      </c>
      <c r="DG83" s="42">
        <f t="shared" si="182"/>
        <v>0.20854197349042711</v>
      </c>
      <c r="DH83" s="42">
        <f t="shared" ref="DH83" si="183">DH63/DH53</f>
        <v>0.20144186046511628</v>
      </c>
      <c r="DI83" s="42">
        <f t="shared" si="182"/>
        <v>0.20358744394618833</v>
      </c>
      <c r="DJ83" s="42">
        <f t="shared" si="182"/>
        <v>0.20668048392538679</v>
      </c>
      <c r="DK83" s="42">
        <f t="shared" si="182"/>
        <v>0.20510250352020237</v>
      </c>
      <c r="DL83" s="42">
        <f t="shared" si="182"/>
        <v>0.20368846507575392</v>
      </c>
      <c r="DM83" s="42">
        <f t="shared" si="182"/>
        <v>0.20046758962134409</v>
      </c>
      <c r="DN83" s="42">
        <f t="shared" si="182"/>
        <v>0.18869850852272727</v>
      </c>
      <c r="DO83" s="42">
        <f t="shared" si="182"/>
        <v>0.18900497735527555</v>
      </c>
      <c r="DP83" s="42">
        <f t="shared" si="182"/>
        <v>0.1952647132940826</v>
      </c>
      <c r="DQ83" s="42">
        <f t="shared" si="182"/>
        <v>0.19496883547822969</v>
      </c>
      <c r="DR83" s="42">
        <f t="shared" ca="1" si="182"/>
        <v>0.18970431037559921</v>
      </c>
      <c r="DS83" s="42">
        <f t="shared" ca="1" si="182"/>
        <v>0.18885698789354013</v>
      </c>
      <c r="DT83" s="42">
        <f t="shared" si="182"/>
        <v>0.19100369329202141</v>
      </c>
      <c r="DU83" s="42">
        <f t="shared" ca="1" si="182"/>
        <v>0.19099975537001915</v>
      </c>
      <c r="DV83" s="42">
        <f t="shared" ref="DV83:DZ83" si="184">DV63/DV53</f>
        <v>0.19355589428764236</v>
      </c>
      <c r="DW83" s="42">
        <f t="shared" ca="1" si="184"/>
        <v>0.19092566082716914</v>
      </c>
      <c r="DX83" s="42">
        <f t="shared" ca="1" si="184"/>
        <v>0.18522167963017647</v>
      </c>
      <c r="DY83" s="42">
        <f t="shared" si="184"/>
        <v>0.18608764427750976</v>
      </c>
      <c r="DZ83" s="42">
        <f t="shared" ca="1" si="184"/>
        <v>0.18890666853939292</v>
      </c>
      <c r="EA83" s="42">
        <f t="shared" ref="EA83:EE83" si="185">EA63/EA53</f>
        <v>0.19428901869877802</v>
      </c>
      <c r="EB83" s="42">
        <f t="shared" ca="1" si="185"/>
        <v>0.19183670206630449</v>
      </c>
      <c r="EC83" s="42">
        <f t="shared" ca="1" si="185"/>
        <v>0.18582840439734061</v>
      </c>
      <c r="ED83" s="42">
        <f t="shared" si="185"/>
        <v>0.18647125290598476</v>
      </c>
      <c r="EE83" s="42">
        <f t="shared" ca="1" si="185"/>
        <v>0.18956385714723076</v>
      </c>
    </row>
    <row r="84" spans="2:135" s="1539" customFormat="1">
      <c r="B84" s="2143" t="s">
        <v>584</v>
      </c>
      <c r="CC84" s="42"/>
      <c r="CD84" s="42"/>
      <c r="CE84" s="42"/>
      <c r="CF84" s="42"/>
      <c r="CG84" s="42"/>
      <c r="CH84" s="42">
        <f>CH65/CH53</f>
        <v>0</v>
      </c>
      <c r="CI84" s="42">
        <f t="shared" ref="CI84:DU84" si="186">CI65/CI53</f>
        <v>0</v>
      </c>
      <c r="CJ84" s="42">
        <f t="shared" si="186"/>
        <v>0</v>
      </c>
      <c r="CK84" s="42">
        <f t="shared" si="186"/>
        <v>0</v>
      </c>
      <c r="CL84" s="42">
        <f t="shared" si="186"/>
        <v>0</v>
      </c>
      <c r="CM84" s="42">
        <f t="shared" si="186"/>
        <v>0</v>
      </c>
      <c r="CN84" s="42">
        <f t="shared" si="186"/>
        <v>0</v>
      </c>
      <c r="CO84" s="42">
        <f t="shared" si="186"/>
        <v>0</v>
      </c>
      <c r="CP84" s="42">
        <f t="shared" si="186"/>
        <v>0</v>
      </c>
      <c r="CQ84" s="42">
        <f t="shared" si="186"/>
        <v>0</v>
      </c>
      <c r="CR84" s="42">
        <f t="shared" si="186"/>
        <v>5.232155232155232E-2</v>
      </c>
      <c r="CS84" s="42">
        <f t="shared" si="186"/>
        <v>6.8536493805974152E-2</v>
      </c>
      <c r="CT84" s="42">
        <f t="shared" si="186"/>
        <v>6.0175831376617701E-2</v>
      </c>
      <c r="CU84" s="42">
        <f t="shared" si="186"/>
        <v>5.5403823644166988E-2</v>
      </c>
      <c r="CV84" s="42">
        <f t="shared" si="186"/>
        <v>5.9265823836492794E-2</v>
      </c>
      <c r="CW84" s="42">
        <f t="shared" si="186"/>
        <v>5.183043264771673E-2</v>
      </c>
      <c r="CX84" s="42">
        <f t="shared" si="186"/>
        <v>6.2433052792654938E-2</v>
      </c>
      <c r="CY84" s="42">
        <f t="shared" si="186"/>
        <v>5.7728983042111229E-2</v>
      </c>
      <c r="CZ84" s="42">
        <f t="shared" si="186"/>
        <v>5.4625596893529936E-2</v>
      </c>
      <c r="DA84" s="42">
        <f t="shared" si="186"/>
        <v>5.6746779767514924E-2</v>
      </c>
      <c r="DB84" s="42">
        <f t="shared" si="186"/>
        <v>5.1702976373120588E-2</v>
      </c>
      <c r="DC84" s="42">
        <f t="shared" si="186"/>
        <v>7.1123147092360325E-2</v>
      </c>
      <c r="DD84" s="42">
        <f t="shared" si="186"/>
        <v>6.5018359853121169E-2</v>
      </c>
      <c r="DE84" s="42">
        <f t="shared" si="186"/>
        <v>5.2840026069083071E-2</v>
      </c>
      <c r="DF84" s="42">
        <f t="shared" si="186"/>
        <v>6.0389754736088125E-2</v>
      </c>
      <c r="DG84" s="42">
        <f t="shared" si="186"/>
        <v>6.102110947471772E-2</v>
      </c>
      <c r="DH84" s="42">
        <f t="shared" ref="DH84" si="187">DH65/DH53</f>
        <v>7.5906976744186047E-2</v>
      </c>
      <c r="DI84" s="42">
        <f t="shared" si="186"/>
        <v>6.5234835968845883E-2</v>
      </c>
      <c r="DJ84" s="42">
        <f t="shared" si="186"/>
        <v>5.3019713693546057E-2</v>
      </c>
      <c r="DK84" s="42">
        <f t="shared" si="186"/>
        <v>6.3924488675687938E-2</v>
      </c>
      <c r="DL84" s="42">
        <f t="shared" si="186"/>
        <v>6.2394113945495912E-2</v>
      </c>
      <c r="DM84" s="42">
        <f t="shared" si="186"/>
        <v>7.1146969835885213E-2</v>
      </c>
      <c r="DN84" s="42">
        <f t="shared" si="186"/>
        <v>6.494140625E-2</v>
      </c>
      <c r="DO84" s="42">
        <f t="shared" si="186"/>
        <v>6.2911977041388276E-2</v>
      </c>
      <c r="DP84" s="42">
        <f t="shared" si="186"/>
        <v>6.5370781883576548E-2</v>
      </c>
      <c r="DQ84" s="42">
        <f t="shared" si="186"/>
        <v>6.1746110039908521E-2</v>
      </c>
      <c r="DR84" s="42">
        <f t="shared" ca="1" si="186"/>
        <v>6.3550926584677384E-2</v>
      </c>
      <c r="DS84" s="42">
        <f t="shared" ca="1" si="186"/>
        <v>5.7931545984916066E-2</v>
      </c>
      <c r="DT84" s="42">
        <f t="shared" si="186"/>
        <v>5.3803221084865765E-2</v>
      </c>
      <c r="DU84" s="42">
        <f t="shared" ca="1" si="186"/>
        <v>5.9195022966404803E-2</v>
      </c>
      <c r="DV84" s="42">
        <f t="shared" ref="DV84:DZ84" si="188">DV65/DV53</f>
        <v>5.5222690496598038E-2</v>
      </c>
      <c r="DW84" s="42">
        <f t="shared" ca="1" si="188"/>
        <v>6.2793647151674917E-2</v>
      </c>
      <c r="DX84" s="42">
        <f t="shared" ca="1" si="188"/>
        <v>6.4021964593990052E-2</v>
      </c>
      <c r="DY84" s="42">
        <f t="shared" si="188"/>
        <v>6.1538616675223166E-2</v>
      </c>
      <c r="DZ84" s="42">
        <f t="shared" ca="1" si="188"/>
        <v>6.0964442452509066E-2</v>
      </c>
      <c r="EA84" s="42">
        <f t="shared" ref="EA84:EE84" si="189">EA65/EA53</f>
        <v>5.5896296550494412E-2</v>
      </c>
      <c r="EB84" s="42">
        <f t="shared" ca="1" si="189"/>
        <v>6.2430351441518282E-2</v>
      </c>
      <c r="EC84" s="42">
        <f t="shared" ca="1" si="189"/>
        <v>6.4234497006431399E-2</v>
      </c>
      <c r="ED84" s="42">
        <f t="shared" si="189"/>
        <v>6.1781407104025715E-2</v>
      </c>
      <c r="EE84" s="42">
        <f t="shared" ca="1" si="189"/>
        <v>6.114957378099882E-2</v>
      </c>
    </row>
    <row r="85" spans="2:135" s="1539" customFormat="1">
      <c r="B85" s="2143"/>
      <c r="CC85" s="42"/>
      <c r="CD85" s="42"/>
      <c r="CE85" s="42"/>
      <c r="CF85" s="42"/>
      <c r="CG85" s="42"/>
      <c r="CH85" s="42"/>
      <c r="CI85" s="42"/>
      <c r="CJ85" s="42"/>
      <c r="CK85" s="42"/>
      <c r="CL85" s="42"/>
      <c r="CM85" s="42"/>
      <c r="CN85" s="42"/>
      <c r="CO85" s="42"/>
      <c r="CP85" s="42"/>
      <c r="CQ85" s="42"/>
      <c r="CR85" s="42"/>
      <c r="CS85" s="42"/>
      <c r="CT85" s="42"/>
      <c r="CU85" s="42"/>
      <c r="CV85" s="42"/>
      <c r="CW85" s="42"/>
      <c r="CX85" s="42"/>
      <c r="CY85" s="42"/>
      <c r="CZ85" s="42"/>
      <c r="DA85" s="42"/>
      <c r="DB85" s="42"/>
      <c r="DC85" s="42"/>
      <c r="DD85" s="42"/>
      <c r="DE85" s="42"/>
      <c r="DF85" s="42"/>
      <c r="DG85" s="42"/>
      <c r="DH85" s="44"/>
      <c r="DI85" s="42"/>
      <c r="DJ85" s="42"/>
      <c r="DK85" s="42"/>
      <c r="DL85" s="42"/>
      <c r="DM85" s="42"/>
      <c r="DN85" s="44">
        <f>DN82-DI82</f>
        <v>-1.5182365142306919E-2</v>
      </c>
      <c r="DO85" s="42"/>
      <c r="DP85" s="42">
        <f ca="1">DP82-DK82</f>
        <v>-8.3914970182311643E-3</v>
      </c>
      <c r="DQ85" s="42"/>
      <c r="DR85" s="42"/>
      <c r="DS85" s="42"/>
      <c r="DT85" s="42"/>
      <c r="DV85" s="42"/>
      <c r="DW85" s="42"/>
      <c r="DX85" s="42"/>
      <c r="DY85" s="42"/>
      <c r="DZ85" s="42"/>
      <c r="EA85" s="42"/>
      <c r="EB85" s="42"/>
      <c r="EC85" s="42"/>
      <c r="ED85" s="42"/>
      <c r="EE85" s="42"/>
    </row>
    <row r="86" spans="2:135">
      <c r="CX86" s="2132"/>
      <c r="CY86" s="2132"/>
      <c r="CZ86" s="2132"/>
      <c r="DA86" s="2132"/>
      <c r="DB86" s="2132"/>
      <c r="DC86" s="2132"/>
      <c r="DD86" s="2132"/>
      <c r="DE86" s="2132"/>
      <c r="DF86" s="2132"/>
      <c r="DG86" s="2132"/>
      <c r="DH86" s="2132"/>
      <c r="DI86" s="2132"/>
      <c r="DJ86" s="2132"/>
      <c r="DK86" s="2132"/>
      <c r="DL86" s="2132"/>
      <c r="DM86" s="2132"/>
      <c r="DN86" s="2132"/>
      <c r="DO86" s="2132"/>
      <c r="DP86" s="2132"/>
      <c r="DQ86" s="2132"/>
      <c r="DR86" s="2132"/>
      <c r="DS86" s="2132"/>
      <c r="DT86" s="2132"/>
      <c r="DU86" s="2132"/>
    </row>
    <row r="87" spans="2:135">
      <c r="B87" s="2137" t="s">
        <v>580</v>
      </c>
      <c r="C87" s="2138"/>
      <c r="D87" s="2138"/>
      <c r="E87" s="2138"/>
      <c r="F87" s="2138"/>
      <c r="G87" s="2138"/>
      <c r="H87" s="2138"/>
      <c r="I87" s="2138"/>
      <c r="J87" s="2138"/>
      <c r="K87" s="2138"/>
      <c r="L87" s="2138"/>
      <c r="M87" s="2138"/>
      <c r="N87" s="2138"/>
      <c r="O87" s="2138"/>
      <c r="P87" s="2138"/>
      <c r="Q87" s="2138"/>
      <c r="R87" s="2138"/>
      <c r="S87" s="2138"/>
      <c r="T87" s="2138"/>
      <c r="U87" s="2138"/>
      <c r="V87" s="2138"/>
      <c r="W87" s="2138"/>
      <c r="X87" s="2138"/>
      <c r="Y87" s="2138"/>
      <c r="Z87" s="2138"/>
      <c r="AA87" s="2138"/>
      <c r="AB87" s="2138"/>
      <c r="AC87" s="2138"/>
      <c r="AD87" s="2138"/>
      <c r="AE87" s="2138"/>
      <c r="AF87" s="2138"/>
      <c r="AG87" s="2138"/>
      <c r="AH87" s="2138"/>
      <c r="AI87" s="2138"/>
      <c r="AJ87" s="2138"/>
      <c r="AK87" s="2138"/>
      <c r="AL87" s="2138"/>
      <c r="AM87" s="2138"/>
      <c r="AN87" s="2138"/>
      <c r="AO87" s="2138"/>
      <c r="AP87" s="2138"/>
      <c r="AQ87" s="2138"/>
      <c r="AR87" s="2138"/>
      <c r="AS87" s="2138"/>
      <c r="AT87" s="2138"/>
      <c r="AU87" s="2138"/>
      <c r="AV87" s="2138"/>
      <c r="AW87" s="2138"/>
      <c r="AX87" s="2138"/>
      <c r="AY87" s="2138"/>
      <c r="AZ87" s="2138"/>
      <c r="BA87" s="2138"/>
      <c r="BB87" s="2138"/>
      <c r="BC87" s="2138"/>
      <c r="BD87" s="2138"/>
      <c r="BE87" s="2138"/>
      <c r="BF87" s="2138"/>
      <c r="BG87" s="2138"/>
      <c r="BH87" s="2138"/>
      <c r="BI87" s="2138"/>
      <c r="BJ87" s="2138"/>
      <c r="BK87" s="2138"/>
      <c r="BL87" s="2138"/>
      <c r="BM87" s="2138"/>
      <c r="BN87" s="2138"/>
      <c r="BO87" s="2138"/>
      <c r="BP87" s="2138"/>
      <c r="BQ87" s="2138"/>
      <c r="BR87" s="2138"/>
      <c r="BS87" s="2138"/>
      <c r="BT87" s="2138"/>
      <c r="BU87" s="2138"/>
      <c r="BV87" s="2138"/>
      <c r="BW87" s="2138"/>
      <c r="BX87" s="2138"/>
      <c r="BY87" s="2138"/>
      <c r="BZ87" s="2138"/>
      <c r="CA87" s="2138"/>
      <c r="CB87" s="2138"/>
      <c r="CC87" s="2138"/>
      <c r="CD87" s="2138"/>
      <c r="CE87" s="2138"/>
      <c r="CF87" s="2138"/>
      <c r="CG87" s="2138"/>
      <c r="CH87" s="2138"/>
      <c r="CI87" s="2138"/>
      <c r="CJ87" s="2138"/>
      <c r="CK87" s="2138"/>
      <c r="CL87" s="2138"/>
      <c r="CM87" s="2138"/>
      <c r="CN87" s="2138"/>
      <c r="CO87" s="2138"/>
      <c r="CP87" s="2138"/>
      <c r="CQ87" s="2138"/>
      <c r="CR87" s="2138"/>
      <c r="CS87" s="2138"/>
      <c r="CT87" s="2138"/>
      <c r="CU87" s="2138"/>
      <c r="CV87" s="2138"/>
      <c r="CW87" s="2138"/>
      <c r="CX87" s="2138"/>
      <c r="CY87" s="2138"/>
      <c r="CZ87" s="2138"/>
      <c r="DA87" s="2138"/>
      <c r="DB87" s="2138"/>
      <c r="DC87" s="2138"/>
      <c r="DD87" s="2138"/>
      <c r="DE87" s="2138"/>
      <c r="DF87" s="2138"/>
      <c r="DG87" s="2138"/>
      <c r="DH87" s="2138"/>
      <c r="DI87" s="2138"/>
      <c r="DJ87" s="2138"/>
      <c r="DK87" s="2138"/>
      <c r="DL87" s="2138"/>
      <c r="DM87" s="2138"/>
      <c r="DN87" s="2138"/>
      <c r="DO87" s="2138"/>
      <c r="DP87" s="2138"/>
      <c r="DQ87" s="2138"/>
      <c r="DR87" s="2138"/>
      <c r="DS87" s="2138"/>
      <c r="DT87" s="2138"/>
      <c r="DU87" s="2139"/>
      <c r="DV87" s="2138"/>
      <c r="DW87" s="2138"/>
      <c r="DX87" s="2138"/>
      <c r="DY87" s="2138"/>
      <c r="DZ87" s="2139"/>
      <c r="EA87" s="2138"/>
      <c r="EB87" s="2138"/>
      <c r="EC87" s="2138"/>
      <c r="ED87" s="2138"/>
      <c r="EE87" s="2139"/>
    </row>
    <row r="88" spans="2:135">
      <c r="B88" t="s">
        <v>455</v>
      </c>
      <c r="DC88">
        <f>'International Retail'!DC13</f>
        <v>2017</v>
      </c>
      <c r="DD88" s="2132">
        <f>'International Retail'!DD13</f>
        <v>3231</v>
      </c>
      <c r="DE88" s="2132">
        <f>'International Retail'!DE13</f>
        <v>3409</v>
      </c>
      <c r="DF88" s="2132">
        <f>'International Retail'!DF13</f>
        <v>8657</v>
      </c>
      <c r="DG88" s="2132">
        <f>'International Retail'!DG13</f>
        <v>3459</v>
      </c>
      <c r="DH88" s="2132">
        <f>'International Retail'!DH13</f>
        <v>3627</v>
      </c>
      <c r="DI88" s="2132">
        <f>'International Retail'!DI13</f>
        <v>3132</v>
      </c>
      <c r="DJ88" s="2132">
        <f>'International Retail'!DJ13</f>
        <v>2975</v>
      </c>
      <c r="DK88" s="2132">
        <f>'International Retail'!DK13</f>
        <v>13193</v>
      </c>
      <c r="DL88" s="2132">
        <f>'International Retail'!DL13</f>
        <v>2962</v>
      </c>
      <c r="DM88" s="2132">
        <f>'International Retail'!DM13</f>
        <v>3101</v>
      </c>
      <c r="DN88" s="2132">
        <f>'International Retail'!DN13</f>
        <v>2809</v>
      </c>
      <c r="DO88" s="2132">
        <f>'International Retail'!DO13</f>
        <v>2941</v>
      </c>
      <c r="DP88" s="2132">
        <f>'International Retail'!DP13</f>
        <v>11813</v>
      </c>
      <c r="DQ88" s="2132">
        <f>'International Retail'!DQ13</f>
        <v>3083</v>
      </c>
      <c r="DR88" s="2132">
        <f>'International Retail'!DR13</f>
        <v>3482.0497862431312</v>
      </c>
      <c r="DS88" s="2132">
        <f>'International Retail'!DS13</f>
        <v>3108.5950303560676</v>
      </c>
      <c r="DT88" s="2132">
        <f>'International Retail'!DT13</f>
        <v>3163.2730395738467</v>
      </c>
      <c r="DU88" s="2132">
        <f>'International Retail'!DU13</f>
        <v>12836.917856173046</v>
      </c>
      <c r="DV88" s="2161">
        <f>'International Retail'!DV13</f>
        <v>3196.3769488648418</v>
      </c>
      <c r="DW88" s="2161">
        <f>'International Retail'!DW13</f>
        <v>3610.8266105411399</v>
      </c>
      <c r="DX88" s="2161">
        <f>'International Retail'!DX13</f>
        <v>3223.5236283480817</v>
      </c>
      <c r="DY88" s="2161">
        <f>'International Retail'!DY13</f>
        <v>3280.1859012391774</v>
      </c>
      <c r="DZ88" s="2161">
        <f>'International Retail'!DZ13</f>
        <v>13310.91308899324</v>
      </c>
      <c r="EA88" s="2248">
        <f>'International Retail'!EA13</f>
        <v>3314.4758003819225</v>
      </c>
      <c r="EB88" s="2248">
        <f>'International Retail'!EB13</f>
        <v>3744.1961994894104</v>
      </c>
      <c r="EC88" s="2248">
        <f>'International Retail'!EC13</f>
        <v>3342.5502066922954</v>
      </c>
      <c r="ED88" s="2248">
        <f>'International Retail'!ED13</f>
        <v>3401.2665888688116</v>
      </c>
      <c r="EE88" s="2248">
        <f>'International Retail'!EE13</f>
        <v>13802.488795432439</v>
      </c>
    </row>
    <row r="89" spans="2:135">
      <c r="B89" t="s">
        <v>288</v>
      </c>
      <c r="DC89">
        <f>DC88-DC90</f>
        <v>1264</v>
      </c>
      <c r="DD89" s="2132">
        <f t="shared" ref="DD89:DU89" si="190">DD88-DD90</f>
        <v>1838</v>
      </c>
      <c r="DE89" s="2132">
        <f t="shared" si="190"/>
        <v>1932</v>
      </c>
      <c r="DF89" s="2132">
        <f t="shared" si="190"/>
        <v>5034</v>
      </c>
      <c r="DG89" s="2132">
        <f t="shared" si="190"/>
        <v>1954</v>
      </c>
      <c r="DH89" s="2132">
        <f t="shared" si="190"/>
        <v>2111</v>
      </c>
      <c r="DI89" s="2132">
        <f t="shared" si="190"/>
        <v>1770</v>
      </c>
      <c r="DJ89" s="2132">
        <f t="shared" si="190"/>
        <v>1702</v>
      </c>
      <c r="DK89" s="2132">
        <f t="shared" si="190"/>
        <v>7537</v>
      </c>
      <c r="DL89" s="2132">
        <f t="shared" si="190"/>
        <v>1787</v>
      </c>
      <c r="DM89" s="2132">
        <f t="shared" si="190"/>
        <v>1897</v>
      </c>
      <c r="DN89" s="2132">
        <f t="shared" si="190"/>
        <v>1661</v>
      </c>
      <c r="DO89" s="2132">
        <f t="shared" si="190"/>
        <v>1715</v>
      </c>
      <c r="DP89" s="2132">
        <f t="shared" si="190"/>
        <v>7060</v>
      </c>
      <c r="DQ89" s="2132">
        <f t="shared" si="190"/>
        <v>1859</v>
      </c>
      <c r="DR89" s="2132">
        <f t="shared" si="190"/>
        <v>2130.1026909071979</v>
      </c>
      <c r="DS89" s="2132">
        <f t="shared" si="190"/>
        <v>1838.1546263515229</v>
      </c>
      <c r="DT89" s="2132">
        <f t="shared" si="190"/>
        <v>1844.6151862866873</v>
      </c>
      <c r="DU89" s="2132">
        <f t="shared" si="190"/>
        <v>7671.8725035454081</v>
      </c>
      <c r="DV89" s="2161">
        <f t="shared" ref="DV89:DZ89" si="191">DV88-DV90</f>
        <v>1927.3644981964778</v>
      </c>
      <c r="DW89" s="2161">
        <f t="shared" si="191"/>
        <v>2208.8803870353249</v>
      </c>
      <c r="DX89" s="2161">
        <f t="shared" si="191"/>
        <v>1906.1134733663807</v>
      </c>
      <c r="DY89" s="2161">
        <f t="shared" si="191"/>
        <v>1912.7911664825533</v>
      </c>
      <c r="DZ89" s="2161">
        <f t="shared" si="191"/>
        <v>7955.1495250807366</v>
      </c>
      <c r="EA89" s="2248">
        <f t="shared" ref="EA89:EE89" si="192">EA88-EA90</f>
        <v>1998.5762286441757</v>
      </c>
      <c r="EB89" s="2248">
        <f t="shared" si="192"/>
        <v>2290.4676525093237</v>
      </c>
      <c r="EC89" s="2248">
        <f t="shared" si="192"/>
        <v>1976.4955120384132</v>
      </c>
      <c r="ED89" s="2248">
        <f t="shared" si="192"/>
        <v>1983.3975518225134</v>
      </c>
      <c r="EE89" s="2248">
        <f t="shared" si="192"/>
        <v>8248.9369450144241</v>
      </c>
    </row>
    <row r="90" spans="2:135">
      <c r="B90" s="2135" t="s">
        <v>232</v>
      </c>
      <c r="C90" s="2135"/>
      <c r="D90" s="2135"/>
      <c r="E90" s="2135"/>
      <c r="F90" s="2135"/>
      <c r="G90" s="2135"/>
      <c r="H90" s="2135"/>
      <c r="I90" s="2135"/>
      <c r="J90" s="2135"/>
      <c r="K90" s="2135"/>
      <c r="L90" s="2135"/>
      <c r="M90" s="2135"/>
      <c r="N90" s="2135"/>
      <c r="O90" s="2135"/>
      <c r="P90" s="2135"/>
      <c r="Q90" s="2135"/>
      <c r="R90" s="2135"/>
      <c r="S90" s="2135"/>
      <c r="T90" s="2135"/>
      <c r="U90" s="2135"/>
      <c r="V90" s="2135"/>
      <c r="W90" s="2135"/>
      <c r="X90" s="2135"/>
      <c r="Y90" s="2135"/>
      <c r="Z90" s="2135"/>
      <c r="AA90" s="2135"/>
      <c r="AB90" s="2135"/>
      <c r="AC90" s="2135"/>
      <c r="AD90" s="2135"/>
      <c r="AE90" s="2135"/>
      <c r="AF90" s="2135"/>
      <c r="AG90" s="2135"/>
      <c r="AH90" s="2135"/>
      <c r="AI90" s="2135"/>
      <c r="AJ90" s="2135"/>
      <c r="AK90" s="2135"/>
      <c r="AL90" s="2135"/>
      <c r="AM90" s="2135"/>
      <c r="AN90" s="2135"/>
      <c r="AO90" s="2135"/>
      <c r="AP90" s="2135"/>
      <c r="AQ90" s="2135"/>
      <c r="AR90" s="2135"/>
      <c r="AS90" s="2135"/>
      <c r="AT90" s="2135"/>
      <c r="AU90" s="2135"/>
      <c r="AV90" s="2135"/>
      <c r="AW90" s="2135"/>
      <c r="AX90" s="2135"/>
      <c r="AY90" s="2135"/>
      <c r="AZ90" s="2135"/>
      <c r="BA90" s="2135"/>
      <c r="BB90" s="2135"/>
      <c r="BC90" s="2135"/>
      <c r="BD90" s="2135"/>
      <c r="BE90" s="2135"/>
      <c r="BF90" s="2135"/>
      <c r="BG90" s="2135"/>
      <c r="BH90" s="2135"/>
      <c r="BI90" s="2135"/>
      <c r="BJ90" s="2135"/>
      <c r="BK90" s="2135"/>
      <c r="BL90" s="2135"/>
      <c r="BM90" s="2135"/>
      <c r="BN90" s="2135"/>
      <c r="BO90" s="2135"/>
      <c r="BP90" s="2135"/>
      <c r="BQ90" s="2135"/>
      <c r="BR90" s="2135"/>
      <c r="BS90" s="2135"/>
      <c r="BT90" s="2135"/>
      <c r="BU90" s="2135"/>
      <c r="BV90" s="2135"/>
      <c r="BW90" s="2135"/>
      <c r="BX90" s="2135"/>
      <c r="BY90" s="2135"/>
      <c r="BZ90" s="2135"/>
      <c r="CA90" s="2135"/>
      <c r="CB90" s="2135"/>
      <c r="CC90" s="2135"/>
      <c r="CD90" s="2135"/>
      <c r="CE90" s="2135"/>
      <c r="CF90" s="2135"/>
      <c r="CG90" s="2135"/>
      <c r="CH90" s="2135"/>
      <c r="CI90" s="2135"/>
      <c r="CJ90" s="2135"/>
      <c r="CK90" s="2135"/>
      <c r="CL90" s="2135"/>
      <c r="CM90" s="2135"/>
      <c r="CN90" s="2135"/>
      <c r="CO90" s="2135"/>
      <c r="CP90" s="2135"/>
      <c r="CQ90" s="2135"/>
      <c r="CR90" s="2135"/>
      <c r="CS90" s="2135"/>
      <c r="CT90" s="2135"/>
      <c r="CU90" s="2135"/>
      <c r="CV90" s="2135"/>
      <c r="CW90" s="2135"/>
      <c r="CX90" s="2135"/>
      <c r="CY90" s="2135"/>
      <c r="CZ90" s="2135"/>
      <c r="DA90" s="2135"/>
      <c r="DB90" s="2135"/>
      <c r="DC90" s="2135">
        <f>'International Retail'!DC17</f>
        <v>753</v>
      </c>
      <c r="DD90" s="2135">
        <f>'International Retail'!DD17</f>
        <v>1393</v>
      </c>
      <c r="DE90" s="2135">
        <f>'International Retail'!DE17</f>
        <v>1477</v>
      </c>
      <c r="DF90" s="2135">
        <f>'International Retail'!DF17</f>
        <v>3623</v>
      </c>
      <c r="DG90" s="2135">
        <f>'International Retail'!DG17</f>
        <v>1505</v>
      </c>
      <c r="DH90" s="2135">
        <f>'International Retail'!DH17</f>
        <v>1516</v>
      </c>
      <c r="DI90" s="2135">
        <f>'International Retail'!DI17</f>
        <v>1362</v>
      </c>
      <c r="DJ90" s="2135">
        <f>'International Retail'!DJ17</f>
        <v>1273</v>
      </c>
      <c r="DK90" s="2135">
        <f>'International Retail'!DK17</f>
        <v>5656</v>
      </c>
      <c r="DL90" s="2135">
        <f>'International Retail'!DL17</f>
        <v>1175</v>
      </c>
      <c r="DM90" s="2135">
        <f>'International Retail'!DM17</f>
        <v>1204</v>
      </c>
      <c r="DN90" s="2135">
        <f>'International Retail'!DN17</f>
        <v>1148</v>
      </c>
      <c r="DO90" s="2135">
        <f>'International Retail'!DO17</f>
        <v>1226</v>
      </c>
      <c r="DP90" s="2135">
        <f>'International Retail'!DP17</f>
        <v>4753</v>
      </c>
      <c r="DQ90" s="2135">
        <f>'International Retail'!DQ17</f>
        <v>1224</v>
      </c>
      <c r="DR90" s="2135">
        <f>'International Retail'!DR17</f>
        <v>1351.9470953359335</v>
      </c>
      <c r="DS90" s="2135">
        <f>'International Retail'!DS17</f>
        <v>1270.4404040045447</v>
      </c>
      <c r="DT90" s="2135">
        <f>'International Retail'!DT17</f>
        <v>1318.6578532871595</v>
      </c>
      <c r="DU90" s="2135">
        <f>'International Retail'!DU17</f>
        <v>5165.0453526276378</v>
      </c>
      <c r="DV90" s="2135">
        <f>'International Retail'!DV17</f>
        <v>1269.012450668364</v>
      </c>
      <c r="DW90" s="2135">
        <f>'International Retail'!DW17</f>
        <v>1401.9462235058149</v>
      </c>
      <c r="DX90" s="2135">
        <f>'International Retail'!DX17</f>
        <v>1317.410154981701</v>
      </c>
      <c r="DY90" s="2135">
        <f>'International Retail'!DY17</f>
        <v>1367.3947347566241</v>
      </c>
      <c r="DZ90" s="2135">
        <f>'International Retail'!DZ17</f>
        <v>5355.7635639125037</v>
      </c>
      <c r="EA90" s="2135">
        <f>'International Retail'!EA17</f>
        <v>1315.8995717377468</v>
      </c>
      <c r="EB90" s="2135">
        <f>'International Retail'!EB17</f>
        <v>1453.728546980087</v>
      </c>
      <c r="EC90" s="2135">
        <f>'International Retail'!EC17</f>
        <v>1366.0546946538823</v>
      </c>
      <c r="ED90" s="2135">
        <f>'International Retail'!ED17</f>
        <v>1417.8690370462982</v>
      </c>
      <c r="EE90" s="2135">
        <f>'International Retail'!EE17</f>
        <v>5553.5518504180145</v>
      </c>
    </row>
    <row r="91" spans="2:135">
      <c r="DD91" s="2132"/>
      <c r="DE91" s="2132"/>
      <c r="DF91" s="2132"/>
      <c r="DG91" s="2132"/>
      <c r="DH91" s="2132"/>
      <c r="DI91" s="2132"/>
      <c r="DJ91" s="2132"/>
      <c r="DK91" s="2132"/>
      <c r="DL91" s="2132"/>
      <c r="DM91" s="2132"/>
      <c r="DN91" s="2132"/>
      <c r="DO91" s="2132"/>
      <c r="DP91" s="2132"/>
      <c r="DQ91" s="2132"/>
      <c r="DR91" s="2132"/>
      <c r="DS91" s="2132"/>
      <c r="DT91" s="2132"/>
      <c r="DU91" s="2132"/>
    </row>
    <row r="92" spans="2:135">
      <c r="B92" t="s">
        <v>233</v>
      </c>
      <c r="DC92">
        <f>DC90-DC94</f>
        <v>628</v>
      </c>
      <c r="DD92" s="2132">
        <f t="shared" ref="DD92:DU92" si="193">DD90-DD94</f>
        <v>1144</v>
      </c>
      <c r="DE92" s="2132">
        <f t="shared" si="193"/>
        <v>1235</v>
      </c>
      <c r="DF92" s="2132">
        <f t="shared" si="193"/>
        <v>3007</v>
      </c>
      <c r="DG92" s="2132">
        <f t="shared" si="193"/>
        <v>1190</v>
      </c>
      <c r="DH92" s="2132">
        <f t="shared" si="193"/>
        <v>1181</v>
      </c>
      <c r="DI92" s="2132">
        <f t="shared" si="193"/>
        <v>1104</v>
      </c>
      <c r="DJ92" s="2132">
        <f t="shared" si="193"/>
        <v>1026</v>
      </c>
      <c r="DK92" s="2132">
        <f t="shared" si="193"/>
        <v>4501</v>
      </c>
      <c r="DL92" s="2132">
        <f t="shared" si="193"/>
        <v>962</v>
      </c>
      <c r="DM92" s="2132">
        <f t="shared" si="193"/>
        <v>962</v>
      </c>
      <c r="DN92" s="2132">
        <f t="shared" si="193"/>
        <v>955</v>
      </c>
      <c r="DO92" s="2132">
        <f t="shared" si="193"/>
        <v>965</v>
      </c>
      <c r="DP92" s="2132">
        <f t="shared" si="193"/>
        <v>3844</v>
      </c>
      <c r="DQ92" s="2132">
        <f t="shared" si="193"/>
        <v>1014</v>
      </c>
      <c r="DR92" s="2132">
        <f t="shared" si="193"/>
        <v>1121.027174103931</v>
      </c>
      <c r="DS92" s="2132">
        <f t="shared" si="193"/>
        <v>1071.7523614584738</v>
      </c>
      <c r="DT92" s="2132">
        <f t="shared" si="193"/>
        <v>1041.2900444760048</v>
      </c>
      <c r="DU92" s="2132">
        <f t="shared" si="193"/>
        <v>4248.0695800384101</v>
      </c>
      <c r="DV92" s="2161">
        <f t="shared" ref="DV92:DZ92" si="194">DV90-DV94</f>
        <v>1052.2458731169106</v>
      </c>
      <c r="DW92" s="2161">
        <f t="shared" si="194"/>
        <v>1163.4477384072322</v>
      </c>
      <c r="DX92" s="2161">
        <f t="shared" si="194"/>
        <v>1112.3376221993669</v>
      </c>
      <c r="DY92" s="2161">
        <f t="shared" si="194"/>
        <v>1080.7365076063004</v>
      </c>
      <c r="DZ92" s="2161">
        <f t="shared" si="194"/>
        <v>4408.7677413298097</v>
      </c>
      <c r="EA92" s="2248">
        <f t="shared" ref="EA92:EE92" si="195">EA90-EA94</f>
        <v>1092.0846034373012</v>
      </c>
      <c r="EB92" s="2248">
        <f t="shared" si="195"/>
        <v>1207.3812121120382</v>
      </c>
      <c r="EC92" s="2248">
        <f t="shared" si="195"/>
        <v>1154.3700214594005</v>
      </c>
      <c r="ED92" s="2248">
        <f t="shared" si="195"/>
        <v>1121.5891974843855</v>
      </c>
      <c r="EE92" s="2248">
        <f t="shared" si="195"/>
        <v>4575.4250344931261</v>
      </c>
    </row>
    <row r="93" spans="2:135">
      <c r="DD93" s="2132"/>
      <c r="DE93" s="2132"/>
      <c r="DF93" s="2132"/>
      <c r="DG93" s="2132"/>
      <c r="DH93" s="2132"/>
      <c r="DI93" s="2132"/>
      <c r="DJ93" s="2132"/>
      <c r="DK93" s="2132"/>
      <c r="DL93" s="2132"/>
      <c r="DM93" s="2132"/>
      <c r="DN93" s="2132"/>
      <c r="DO93" s="2132"/>
      <c r="DP93" s="2132"/>
      <c r="DQ93" s="2132"/>
      <c r="DR93" s="2132"/>
      <c r="DS93" s="2132"/>
      <c r="DT93" s="2132"/>
      <c r="DU93" s="2132"/>
    </row>
    <row r="94" spans="2:135">
      <c r="B94" t="s">
        <v>579</v>
      </c>
      <c r="DC94">
        <f>'International Retail'!DC26</f>
        <v>125</v>
      </c>
      <c r="DD94" s="2132">
        <f>'International Retail'!DD26</f>
        <v>249</v>
      </c>
      <c r="DE94" s="2132">
        <f>'International Retail'!DE26</f>
        <v>242</v>
      </c>
      <c r="DF94" s="2132">
        <f>'International Retail'!DF26</f>
        <v>616</v>
      </c>
      <c r="DG94" s="2132">
        <f>'International Retail'!DG26</f>
        <v>315</v>
      </c>
      <c r="DH94" s="2132">
        <f>'International Retail'!DH26</f>
        <v>335</v>
      </c>
      <c r="DI94" s="2132">
        <f>'International Retail'!DI26</f>
        <v>258</v>
      </c>
      <c r="DJ94" s="2132">
        <f>'International Retail'!DJ26</f>
        <v>247</v>
      </c>
      <c r="DK94" s="2132">
        <f>'International Retail'!DK26</f>
        <v>1155</v>
      </c>
      <c r="DL94" s="2132">
        <f>'International Retail'!DL26</f>
        <v>213</v>
      </c>
      <c r="DM94" s="2132">
        <f>'International Retail'!DM26</f>
        <v>242</v>
      </c>
      <c r="DN94" s="2132">
        <f>'International Retail'!DN26</f>
        <v>193</v>
      </c>
      <c r="DO94" s="2132">
        <f>'International Retail'!DO26</f>
        <v>261</v>
      </c>
      <c r="DP94" s="2132">
        <f>'International Retail'!DP26</f>
        <v>909</v>
      </c>
      <c r="DQ94" s="2132">
        <f>'International Retail'!DQ26</f>
        <v>210</v>
      </c>
      <c r="DR94" s="2132">
        <f>'International Retail'!DR26</f>
        <v>230.91992123200248</v>
      </c>
      <c r="DS94" s="2132">
        <f>'International Retail'!DS26</f>
        <v>198.68804254607085</v>
      </c>
      <c r="DT94" s="2132">
        <f>'International Retail'!DT26</f>
        <v>277.36780881115465</v>
      </c>
      <c r="DU94" s="2132">
        <f>'International Retail'!DU26</f>
        <v>916.97577258922797</v>
      </c>
      <c r="DV94" s="2161">
        <f>'International Retail'!DV26</f>
        <v>216.76657755145334</v>
      </c>
      <c r="DW94" s="2161">
        <f>'International Retail'!DW26</f>
        <v>238.49848509858271</v>
      </c>
      <c r="DX94" s="2161">
        <f>'International Retail'!DX26</f>
        <v>205.07253278233406</v>
      </c>
      <c r="DY94" s="2161">
        <f>'International Retail'!DY26</f>
        <v>286.65822715032368</v>
      </c>
      <c r="DZ94" s="2161">
        <f>'International Retail'!DZ26</f>
        <v>946.99582258269379</v>
      </c>
      <c r="EA94" s="2248">
        <f>'International Retail'!EA26</f>
        <v>223.81496830044557</v>
      </c>
      <c r="EB94" s="2248">
        <f>'International Retail'!EB26</f>
        <v>246.34733486804885</v>
      </c>
      <c r="EC94" s="2248">
        <f>'International Retail'!EC26</f>
        <v>211.68467319448177</v>
      </c>
      <c r="ED94" s="2248">
        <f>'International Retail'!ED26</f>
        <v>296.27983956191269</v>
      </c>
      <c r="EE94" s="2248">
        <f>'International Retail'!EE26</f>
        <v>978.12681592488889</v>
      </c>
    </row>
    <row r="95" spans="2:135" s="2132" customFormat="1">
      <c r="DV95" s="2161"/>
      <c r="DW95" s="2161"/>
      <c r="DX95" s="2161"/>
      <c r="DY95" s="2161"/>
      <c r="DZ95" s="2161"/>
      <c r="EA95" s="2248"/>
      <c r="EB95" s="2248"/>
      <c r="EC95" s="2248"/>
      <c r="ED95" s="2248"/>
      <c r="EE95" s="2248"/>
    </row>
    <row r="96" spans="2:135" s="2132" customFormat="1">
      <c r="DV96" s="2161"/>
      <c r="DW96" s="2161"/>
      <c r="DX96" s="2161"/>
      <c r="DY96" s="2161"/>
      <c r="DZ96" s="2161"/>
      <c r="EA96" s="2248"/>
      <c r="EB96" s="2248"/>
      <c r="EC96" s="2248"/>
      <c r="ED96" s="2248"/>
      <c r="EE96" s="2248"/>
    </row>
    <row r="97" spans="2:135" s="2132" customFormat="1">
      <c r="B97" s="17" t="s">
        <v>441</v>
      </c>
      <c r="DV97" s="2161"/>
      <c r="DW97" s="2161"/>
      <c r="DX97" s="2161"/>
      <c r="DY97" s="2161"/>
      <c r="DZ97" s="2161"/>
      <c r="EA97" s="2248"/>
      <c r="EB97" s="2248"/>
      <c r="EC97" s="2248"/>
      <c r="ED97" s="2248"/>
      <c r="EE97" s="2248"/>
    </row>
    <row r="98" spans="2:135" s="2132" customFormat="1">
      <c r="B98" s="2143" t="s">
        <v>25</v>
      </c>
      <c r="DH98" s="1689">
        <f>DH88/DC88-1</f>
        <v>0.79821517104610806</v>
      </c>
      <c r="DI98" s="1689">
        <f t="shared" ref="DI98:DU98" si="196">DI88/DD88-1</f>
        <v>-3.0640668523676862E-2</v>
      </c>
      <c r="DJ98" s="1689">
        <f t="shared" si="196"/>
        <v>-0.12731006160164271</v>
      </c>
      <c r="DK98" s="1689">
        <f t="shared" si="196"/>
        <v>0.52396904239343889</v>
      </c>
      <c r="DL98" s="1689">
        <f t="shared" si="196"/>
        <v>-0.14368314541775085</v>
      </c>
      <c r="DM98" s="1689">
        <f t="shared" si="196"/>
        <v>-0.14502343534601603</v>
      </c>
      <c r="DN98" s="1689">
        <f t="shared" si="196"/>
        <v>-0.10312899106002549</v>
      </c>
      <c r="DO98" s="1689">
        <f t="shared" si="196"/>
        <v>-1.1428571428571455E-2</v>
      </c>
      <c r="DP98" s="1689">
        <f t="shared" si="196"/>
        <v>-0.10460092473281291</v>
      </c>
      <c r="DQ98" s="1689">
        <f t="shared" si="196"/>
        <v>4.0850776502363351E-2</v>
      </c>
      <c r="DR98" s="1689">
        <f t="shared" si="196"/>
        <v>0.12287964728898126</v>
      </c>
      <c r="DS98" s="1689">
        <f t="shared" si="196"/>
        <v>0.1066554041851433</v>
      </c>
      <c r="DT98" s="1689">
        <f t="shared" si="196"/>
        <v>7.557736809719362E-2</v>
      </c>
      <c r="DU98" s="1689">
        <f t="shared" si="196"/>
        <v>8.6677207836539871E-2</v>
      </c>
      <c r="DV98" s="1689">
        <f t="shared" ref="DV98" si="197">DV88/DQ88-1</f>
        <v>3.6774877997029387E-2</v>
      </c>
      <c r="DW98" s="1689">
        <f t="shared" ref="DW98" si="198">DW88/DR88-1</f>
        <v>3.6983050847457566E-2</v>
      </c>
      <c r="DX98" s="1689">
        <f t="shared" ref="DX98" si="199">DX88/DS88-1</f>
        <v>3.6971235194585672E-2</v>
      </c>
      <c r="DY98" s="1689">
        <f t="shared" ref="DY98" si="200">DY88/DT88-1</f>
        <v>3.6959459459459554E-2</v>
      </c>
      <c r="DZ98" s="1689">
        <f t="shared" ref="DZ98" si="201">DZ88/DU88-1</f>
        <v>3.6924379989878853E-2</v>
      </c>
      <c r="EA98" s="1689">
        <f t="shared" ref="EA98" si="202">EA88/DV88-1</f>
        <v>3.6947723440134972E-2</v>
      </c>
      <c r="EB98" s="1689">
        <f t="shared" ref="EB98" si="203">EB88/DW88-1</f>
        <v>3.6936026936027044E-2</v>
      </c>
      <c r="EC98" s="1689">
        <f t="shared" ref="EC98" si="204">EC88/DX88-1</f>
        <v>3.6924369747899144E-2</v>
      </c>
      <c r="ED98" s="1689">
        <f t="shared" ref="ED98" si="205">ED88/DY88-1</f>
        <v>3.6912751677852462E-2</v>
      </c>
      <c r="EE98" s="1689">
        <f t="shared" ref="EE98" si="206">EE88/DZ88-1</f>
        <v>3.6930276920347449E-2</v>
      </c>
    </row>
    <row r="99" spans="2:135" s="2132" customFormat="1">
      <c r="B99" s="2143" t="s">
        <v>291</v>
      </c>
      <c r="DH99" s="1689">
        <f>DH90/DC90-1</f>
        <v>1.0132802124833997</v>
      </c>
      <c r="DI99" s="1689">
        <f t="shared" ref="DI99:DU99" si="207">DI90/DD90-1</f>
        <v>-2.2254127781765942E-2</v>
      </c>
      <c r="DJ99" s="1689">
        <f t="shared" si="207"/>
        <v>-0.13811780636425186</v>
      </c>
      <c r="DK99" s="1689">
        <f t="shared" si="207"/>
        <v>0.56113717913331485</v>
      </c>
      <c r="DL99" s="1689">
        <f t="shared" si="207"/>
        <v>-0.21926910299003322</v>
      </c>
      <c r="DM99" s="1689">
        <f t="shared" si="207"/>
        <v>-0.20580474934036941</v>
      </c>
      <c r="DN99" s="1689">
        <f t="shared" si="207"/>
        <v>-0.15712187958883994</v>
      </c>
      <c r="DO99" s="1689">
        <f t="shared" si="207"/>
        <v>-3.6920659858601712E-2</v>
      </c>
      <c r="DP99" s="1689">
        <f t="shared" si="207"/>
        <v>-0.15965346534653468</v>
      </c>
      <c r="DQ99" s="1689">
        <f t="shared" si="207"/>
        <v>4.1702127659574373E-2</v>
      </c>
      <c r="DR99" s="1689">
        <f t="shared" si="207"/>
        <v>0.12287964728898126</v>
      </c>
      <c r="DS99" s="1689">
        <f t="shared" si="207"/>
        <v>0.10665540418514352</v>
      </c>
      <c r="DT99" s="1689">
        <f t="shared" si="207"/>
        <v>7.557736809719362E-2</v>
      </c>
      <c r="DU99" s="1689">
        <f t="shared" si="207"/>
        <v>8.6691637413767619E-2</v>
      </c>
      <c r="DV99" s="1689">
        <f t="shared" ref="DV99" si="208">DV90/DQ90-1</f>
        <v>3.6774877997029387E-2</v>
      </c>
      <c r="DW99" s="1689">
        <f t="shared" ref="DW99" si="209">DW90/DR90-1</f>
        <v>3.6983050847457566E-2</v>
      </c>
      <c r="DX99" s="1689">
        <f t="shared" ref="DX99" si="210">DX90/DS90-1</f>
        <v>3.697123519458545E-2</v>
      </c>
      <c r="DY99" s="1689">
        <f t="shared" ref="DY99" si="211">DY90/DT90-1</f>
        <v>3.6959459459459554E-2</v>
      </c>
      <c r="DZ99" s="1689">
        <f t="shared" ref="DZ99" si="212">DZ90/DU90-1</f>
        <v>3.6924789283377946E-2</v>
      </c>
      <c r="EA99" s="1689">
        <f t="shared" ref="EA99" si="213">EA90/DV90-1</f>
        <v>3.6947723440135194E-2</v>
      </c>
      <c r="EB99" s="1689">
        <f t="shared" ref="EB99" si="214">EB90/DW90-1</f>
        <v>3.6936026936027044E-2</v>
      </c>
      <c r="EC99" s="1689">
        <f t="shared" ref="EC99" si="215">EC90/DX90-1</f>
        <v>3.6924369747898922E-2</v>
      </c>
      <c r="ED99" s="1689">
        <f t="shared" ref="ED99" si="216">ED90/DY90-1</f>
        <v>3.6912751677852462E-2</v>
      </c>
      <c r="EE99" s="1689">
        <f t="shared" ref="EE99" si="217">EE90/DZ90-1</f>
        <v>3.6929988440531858E-2</v>
      </c>
    </row>
    <row r="100" spans="2:135" s="2132" customFormat="1">
      <c r="B100" s="2143" t="s">
        <v>99</v>
      </c>
      <c r="DH100" s="1689">
        <f>DH92/DC92-1</f>
        <v>0.88057324840764339</v>
      </c>
      <c r="DI100" s="1689">
        <f t="shared" ref="DI100:DU100" si="218">DI92/DD92-1</f>
        <v>-3.4965034965035002E-2</v>
      </c>
      <c r="DJ100" s="1689">
        <f t="shared" si="218"/>
        <v>-0.16923076923076918</v>
      </c>
      <c r="DK100" s="1689">
        <f t="shared" si="218"/>
        <v>0.49684070502161615</v>
      </c>
      <c r="DL100" s="1689">
        <f t="shared" si="218"/>
        <v>-0.19159663865546217</v>
      </c>
      <c r="DM100" s="1689">
        <f t="shared" si="218"/>
        <v>-0.18543607112616423</v>
      </c>
      <c r="DN100" s="1689">
        <f t="shared" si="218"/>
        <v>-0.13496376811594202</v>
      </c>
      <c r="DO100" s="1689">
        <f t="shared" si="218"/>
        <v>-5.9454191033138426E-2</v>
      </c>
      <c r="DP100" s="1689">
        <f t="shared" si="218"/>
        <v>-0.14596756276383027</v>
      </c>
      <c r="DQ100" s="1689">
        <f t="shared" si="218"/>
        <v>5.4054054054053946E-2</v>
      </c>
      <c r="DR100" s="1689">
        <f t="shared" si="218"/>
        <v>0.16530891278994897</v>
      </c>
      <c r="DS100" s="1689">
        <f t="shared" si="218"/>
        <v>0.12225378163190981</v>
      </c>
      <c r="DT100" s="1689">
        <f t="shared" si="218"/>
        <v>7.9057040907777099E-2</v>
      </c>
      <c r="DU100" s="1689">
        <f t="shared" si="218"/>
        <v>0.10511695630551765</v>
      </c>
      <c r="DV100" s="1689">
        <f t="shared" ref="DV100" si="219">DV92/DQ92-1</f>
        <v>3.7717823586696841E-2</v>
      </c>
      <c r="DW100" s="1689">
        <f t="shared" ref="DW100" si="220">DW92/DR92-1</f>
        <v>3.7840799298383798E-2</v>
      </c>
      <c r="DX100" s="1689">
        <f t="shared" ref="DX100" si="221">DX92/DS92-1</f>
        <v>3.7868132789241837E-2</v>
      </c>
      <c r="DY100" s="1689">
        <f t="shared" ref="DY100" si="222">DY92/DT92-1</f>
        <v>3.7882301227748494E-2</v>
      </c>
      <c r="DZ100" s="1689">
        <f t="shared" ref="DZ100" si="223">DZ92/DU92-1</f>
        <v>3.7828514402522329E-2</v>
      </c>
      <c r="EA100" s="1689">
        <f t="shared" ref="EA100" si="224">EA92/DV92-1</f>
        <v>3.7860666730278769E-2</v>
      </c>
      <c r="EB100" s="1689">
        <f t="shared" ref="EB100" si="225">EB92/DW92-1</f>
        <v>3.7761450088811932E-2</v>
      </c>
      <c r="EC100" s="1689">
        <f t="shared" ref="EC100" si="226">EC92/DX92-1</f>
        <v>3.7787447283249342E-2</v>
      </c>
      <c r="ED100" s="1689">
        <f t="shared" ref="ED100" si="227">ED92/DY92-1</f>
        <v>3.7800786399423858E-2</v>
      </c>
      <c r="EE100" s="1689">
        <f t="shared" ref="EE100" si="228">EE92/DZ92-1</f>
        <v>3.7801332014157696E-2</v>
      </c>
    </row>
    <row r="101" spans="2:135" s="2132" customFormat="1">
      <c r="B101" s="2143" t="s">
        <v>584</v>
      </c>
      <c r="DH101" s="1689"/>
      <c r="DV101" s="2161"/>
      <c r="DW101" s="2161"/>
      <c r="DX101" s="2161"/>
      <c r="DY101" s="2161"/>
      <c r="DZ101" s="2161"/>
      <c r="EA101" s="2248"/>
      <c r="EB101" s="2248"/>
      <c r="EC101" s="2248"/>
      <c r="ED101" s="2248"/>
      <c r="EE101" s="2248"/>
    </row>
    <row r="102" spans="2:135" s="2132" customFormat="1">
      <c r="B102" s="39"/>
      <c r="DH102" s="1689"/>
      <c r="DV102" s="2161"/>
      <c r="DW102" s="2161"/>
      <c r="DX102" s="2161"/>
      <c r="DY102" s="2161"/>
      <c r="DZ102" s="2161"/>
      <c r="EA102" s="2248"/>
      <c r="EB102" s="2248"/>
      <c r="EC102" s="2248"/>
      <c r="ED102" s="2248"/>
      <c r="EE102" s="2248"/>
    </row>
    <row r="103" spans="2:135" s="2132" customFormat="1">
      <c r="B103" s="17" t="s">
        <v>405</v>
      </c>
      <c r="DH103" s="1689"/>
      <c r="DV103" s="2161"/>
      <c r="DW103" s="2161"/>
      <c r="DX103" s="2161"/>
      <c r="DY103" s="2161"/>
      <c r="DZ103" s="2161"/>
      <c r="EA103" s="2248"/>
      <c r="EB103" s="2248"/>
      <c r="EC103" s="2248"/>
      <c r="ED103" s="2248"/>
      <c r="EE103" s="2248"/>
    </row>
    <row r="104" spans="2:135" s="2132" customFormat="1">
      <c r="B104" s="2143" t="s">
        <v>291</v>
      </c>
      <c r="DC104" s="1689">
        <f>DC90/DC88</f>
        <v>0.37332672285572632</v>
      </c>
      <c r="DD104" s="1689">
        <f t="shared" ref="DD104:DU104" si="229">DD90/DD88</f>
        <v>0.43113587124729186</v>
      </c>
      <c r="DE104" s="1689">
        <f t="shared" si="229"/>
        <v>0.43326488706365501</v>
      </c>
      <c r="DF104" s="1689">
        <f t="shared" si="229"/>
        <v>0.41850525586230797</v>
      </c>
      <c r="DG104" s="1689">
        <f t="shared" si="229"/>
        <v>0.43509684880023131</v>
      </c>
      <c r="DH104" s="1689">
        <f t="shared" si="229"/>
        <v>0.41797628894403088</v>
      </c>
      <c r="DI104" s="1689">
        <f t="shared" si="229"/>
        <v>0.43486590038314177</v>
      </c>
      <c r="DJ104" s="1689">
        <f t="shared" si="229"/>
        <v>0.42789915966386555</v>
      </c>
      <c r="DK104" s="1689">
        <f t="shared" si="229"/>
        <v>0.42871219586144166</v>
      </c>
      <c r="DL104" s="1689">
        <f t="shared" si="229"/>
        <v>0.39669142471303176</v>
      </c>
      <c r="DM104" s="1689">
        <f t="shared" si="229"/>
        <v>0.38826185101580135</v>
      </c>
      <c r="DN104" s="1689">
        <f t="shared" si="229"/>
        <v>0.408686365254539</v>
      </c>
      <c r="DO104" s="1689">
        <f t="shared" si="229"/>
        <v>0.41686501190071407</v>
      </c>
      <c r="DP104" s="1689">
        <f t="shared" si="229"/>
        <v>0.40235333954118346</v>
      </c>
      <c r="DQ104" s="1689">
        <f t="shared" si="229"/>
        <v>0.39701589361012002</v>
      </c>
      <c r="DR104" s="1689">
        <f t="shared" si="229"/>
        <v>0.38826185101580135</v>
      </c>
      <c r="DS104" s="1689">
        <f t="shared" si="229"/>
        <v>0.40868636525453905</v>
      </c>
      <c r="DT104" s="1689">
        <f t="shared" si="229"/>
        <v>0.41686501190071401</v>
      </c>
      <c r="DU104" s="1689">
        <f t="shared" si="229"/>
        <v>0.40235868223958909</v>
      </c>
      <c r="DV104" s="1689">
        <f t="shared" ref="DV104:DZ104" si="230">DV90/DV88</f>
        <v>0.39701589361011996</v>
      </c>
      <c r="DW104" s="1689">
        <f t="shared" si="230"/>
        <v>0.38826185101580135</v>
      </c>
      <c r="DX104" s="1689">
        <f t="shared" si="230"/>
        <v>0.408686365254539</v>
      </c>
      <c r="DY104" s="1689">
        <f t="shared" si="230"/>
        <v>0.41686501190071401</v>
      </c>
      <c r="DZ104" s="1689">
        <f t="shared" si="230"/>
        <v>0.40235884105810671</v>
      </c>
      <c r="EA104" s="1689">
        <f t="shared" ref="EA104:EE104" si="231">EA90/EA88</f>
        <v>0.39701589361012002</v>
      </c>
      <c r="EB104" s="1689">
        <f t="shared" si="231"/>
        <v>0.3882618510158013</v>
      </c>
      <c r="EC104" s="1689">
        <f t="shared" si="231"/>
        <v>0.408686365254539</v>
      </c>
      <c r="ED104" s="1689">
        <f t="shared" si="231"/>
        <v>0.41686501190071407</v>
      </c>
      <c r="EE104" s="1689">
        <f t="shared" si="231"/>
        <v>0.40235872911962173</v>
      </c>
    </row>
    <row r="105" spans="2:135" s="2132" customFormat="1">
      <c r="B105" s="2143" t="s">
        <v>99</v>
      </c>
      <c r="DC105" s="1689">
        <f>DC92/DC88</f>
        <v>0.3113534952900347</v>
      </c>
      <c r="DD105" s="1689">
        <f t="shared" ref="DD105:DU105" si="232">DD92/DD88</f>
        <v>0.35406994738471059</v>
      </c>
      <c r="DE105" s="1689">
        <f t="shared" si="232"/>
        <v>0.36227632736872983</v>
      </c>
      <c r="DF105" s="1689">
        <f t="shared" si="232"/>
        <v>0.34734896615455702</v>
      </c>
      <c r="DG105" s="1689">
        <f t="shared" si="232"/>
        <v>0.34403006649320611</v>
      </c>
      <c r="DH105" s="1689">
        <f t="shared" si="232"/>
        <v>0.32561345464571273</v>
      </c>
      <c r="DI105" s="1689">
        <f t="shared" si="232"/>
        <v>0.35249042145593867</v>
      </c>
      <c r="DJ105" s="1689">
        <f t="shared" si="232"/>
        <v>0.34487394957983192</v>
      </c>
      <c r="DK105" s="1689">
        <f t="shared" si="232"/>
        <v>0.34116576972637003</v>
      </c>
      <c r="DL105" s="1689">
        <f t="shared" si="232"/>
        <v>0.32478055367994596</v>
      </c>
      <c r="DM105" s="1689">
        <f t="shared" si="232"/>
        <v>0.31022250886810704</v>
      </c>
      <c r="DN105" s="1689">
        <f t="shared" si="232"/>
        <v>0.33997864008543965</v>
      </c>
      <c r="DO105" s="1689">
        <f t="shared" si="232"/>
        <v>0.32811968718123086</v>
      </c>
      <c r="DP105" s="1689">
        <f t="shared" si="232"/>
        <v>0.32540421569457378</v>
      </c>
      <c r="DQ105" s="1689">
        <f t="shared" si="232"/>
        <v>0.32890042166720729</v>
      </c>
      <c r="DR105" s="1689">
        <f t="shared" si="232"/>
        <v>0.32194461392622264</v>
      </c>
      <c r="DS105" s="1689">
        <f t="shared" si="232"/>
        <v>0.34477066037634119</v>
      </c>
      <c r="DT105" s="1689">
        <f t="shared" si="232"/>
        <v>0.32918120928830302</v>
      </c>
      <c r="DU105" s="1689">
        <f t="shared" si="232"/>
        <v>0.33092597675193419</v>
      </c>
      <c r="DV105" s="1689">
        <f t="shared" ref="DV105:DZ105" si="233">DV92/DV88</f>
        <v>0.32919955623212843</v>
      </c>
      <c r="DW105" s="1689">
        <f t="shared" si="233"/>
        <v>0.32221091287262643</v>
      </c>
      <c r="DX105" s="1689">
        <f t="shared" si="233"/>
        <v>0.34506885956018024</v>
      </c>
      <c r="DY105" s="1689">
        <f t="shared" si="233"/>
        <v>0.32947416400943114</v>
      </c>
      <c r="DZ105" s="1689">
        <f t="shared" si="233"/>
        <v>0.3312145238913331</v>
      </c>
      <c r="EA105" s="1689">
        <f t="shared" ref="EA105:EE105" si="234">EA92/EA88</f>
        <v>0.32948938812932704</v>
      </c>
      <c r="EB105" s="1689">
        <f t="shared" si="234"/>
        <v>0.32246739961882515</v>
      </c>
      <c r="EC105" s="1689">
        <f t="shared" si="234"/>
        <v>0.34535607547440145</v>
      </c>
      <c r="ED105" s="1689">
        <f t="shared" si="234"/>
        <v>0.32975633287757139</v>
      </c>
      <c r="EE105" s="1689">
        <f t="shared" si="234"/>
        <v>0.33149275484340474</v>
      </c>
    </row>
    <row r="106" spans="2:135" s="2132" customFormat="1">
      <c r="B106" s="2143" t="s">
        <v>584</v>
      </c>
      <c r="DC106" s="1689">
        <f>DC94/DC88</f>
        <v>6.1973227565691624E-2</v>
      </c>
      <c r="DD106" s="1689">
        <f t="shared" ref="DD106:DU106" si="235">DD94/DD88</f>
        <v>7.7065923862581251E-2</v>
      </c>
      <c r="DE106" s="1689">
        <f t="shared" si="235"/>
        <v>7.0988559694925193E-2</v>
      </c>
      <c r="DF106" s="1689">
        <f t="shared" si="235"/>
        <v>7.1156289707750953E-2</v>
      </c>
      <c r="DG106" s="1689">
        <f t="shared" si="235"/>
        <v>9.1066782307025154E-2</v>
      </c>
      <c r="DH106" s="1689">
        <f t="shared" si="235"/>
        <v>9.2362834298318167E-2</v>
      </c>
      <c r="DI106" s="1689">
        <f t="shared" si="235"/>
        <v>8.2375478927203066E-2</v>
      </c>
      <c r="DJ106" s="1689">
        <f t="shared" si="235"/>
        <v>8.3025210084033615E-2</v>
      </c>
      <c r="DK106" s="1689">
        <f t="shared" si="235"/>
        <v>8.7546426135071631E-2</v>
      </c>
      <c r="DL106" s="1689">
        <f t="shared" si="235"/>
        <v>7.1910871033085758E-2</v>
      </c>
      <c r="DM106" s="1689">
        <f t="shared" si="235"/>
        <v>7.8039342147694299E-2</v>
      </c>
      <c r="DN106" s="1689">
        <f t="shared" si="235"/>
        <v>6.8707725169099329E-2</v>
      </c>
      <c r="DO106" s="1689">
        <f t="shared" si="235"/>
        <v>8.8745324719483168E-2</v>
      </c>
      <c r="DP106" s="1689">
        <f t="shared" si="235"/>
        <v>7.6949123846609666E-2</v>
      </c>
      <c r="DQ106" s="1689">
        <f t="shared" si="235"/>
        <v>6.8115471942912745E-2</v>
      </c>
      <c r="DR106" s="1689">
        <f t="shared" si="235"/>
        <v>6.6317237089578679E-2</v>
      </c>
      <c r="DS106" s="1689">
        <f t="shared" si="235"/>
        <v>6.3915704878197838E-2</v>
      </c>
      <c r="DT106" s="1689">
        <f t="shared" si="235"/>
        <v>8.768380261241103E-2</v>
      </c>
      <c r="DU106" s="1689">
        <f t="shared" si="235"/>
        <v>7.1432705487654929E-2</v>
      </c>
      <c r="DV106" s="1689">
        <f t="shared" ref="DV106:DZ106" si="236">DV94/DV88</f>
        <v>6.7816337377991545E-2</v>
      </c>
      <c r="DW106" s="1689">
        <f t="shared" si="236"/>
        <v>6.6050938143174892E-2</v>
      </c>
      <c r="DX106" s="1689">
        <f t="shared" si="236"/>
        <v>6.3617505694358756E-2</v>
      </c>
      <c r="DY106" s="1689">
        <f t="shared" si="236"/>
        <v>8.7390847891282902E-2</v>
      </c>
      <c r="DZ106" s="1689">
        <f t="shared" si="236"/>
        <v>7.1144317166773649E-2</v>
      </c>
      <c r="EA106" s="1689">
        <f t="shared" ref="EA106:EE106" si="237">EA94/EA88</f>
        <v>6.7526505480792975E-2</v>
      </c>
      <c r="EB106" s="1689">
        <f t="shared" si="237"/>
        <v>6.579445139697615E-2</v>
      </c>
      <c r="EC106" s="1689">
        <f t="shared" si="237"/>
        <v>6.3330289780137564E-2</v>
      </c>
      <c r="ED106" s="1689">
        <f t="shared" si="237"/>
        <v>8.7108679023142677E-2</v>
      </c>
      <c r="EE106" s="1689">
        <f t="shared" si="237"/>
        <v>7.086597427621702E-2</v>
      </c>
    </row>
    <row r="109" spans="2:135" s="2132" customFormat="1">
      <c r="B109" s="2137" t="s">
        <v>581</v>
      </c>
      <c r="C109" s="2138"/>
      <c r="D109" s="2138"/>
      <c r="E109" s="2138"/>
      <c r="F109" s="2138"/>
      <c r="G109" s="2138"/>
      <c r="H109" s="2138"/>
      <c r="I109" s="2138"/>
      <c r="J109" s="2138"/>
      <c r="K109" s="2138"/>
      <c r="L109" s="2138"/>
      <c r="M109" s="2138"/>
      <c r="N109" s="2138"/>
      <c r="O109" s="2138"/>
      <c r="P109" s="2138"/>
      <c r="Q109" s="2138"/>
      <c r="R109" s="2138"/>
      <c r="S109" s="2138"/>
      <c r="T109" s="2138"/>
      <c r="U109" s="2138"/>
      <c r="V109" s="2138"/>
      <c r="W109" s="2138"/>
      <c r="X109" s="2138"/>
      <c r="Y109" s="2138"/>
      <c r="Z109" s="2138"/>
      <c r="AA109" s="2138"/>
      <c r="AB109" s="2138"/>
      <c r="AC109" s="2138"/>
      <c r="AD109" s="2138"/>
      <c r="AE109" s="2138"/>
      <c r="AF109" s="2138"/>
      <c r="AG109" s="2138"/>
      <c r="AH109" s="2138"/>
      <c r="AI109" s="2138"/>
      <c r="AJ109" s="2138"/>
      <c r="AK109" s="2138"/>
      <c r="AL109" s="2138"/>
      <c r="AM109" s="2138"/>
      <c r="AN109" s="2138"/>
      <c r="AO109" s="2138"/>
      <c r="AP109" s="2138"/>
      <c r="AQ109" s="2138"/>
      <c r="AR109" s="2138"/>
      <c r="AS109" s="2138"/>
      <c r="AT109" s="2138"/>
      <c r="AU109" s="2138"/>
      <c r="AV109" s="2138"/>
      <c r="AW109" s="2138"/>
      <c r="AX109" s="2138"/>
      <c r="AY109" s="2138"/>
      <c r="AZ109" s="2138"/>
      <c r="BA109" s="2138"/>
      <c r="BB109" s="2138"/>
      <c r="BC109" s="2138"/>
      <c r="BD109" s="2138"/>
      <c r="BE109" s="2138"/>
      <c r="BF109" s="2138"/>
      <c r="BG109" s="2138"/>
      <c r="BH109" s="2138"/>
      <c r="BI109" s="2138"/>
      <c r="BJ109" s="2138"/>
      <c r="BK109" s="2138"/>
      <c r="BL109" s="2138"/>
      <c r="BM109" s="2138"/>
      <c r="BN109" s="2138"/>
      <c r="BO109" s="2138"/>
      <c r="BP109" s="2138"/>
      <c r="BQ109" s="2138"/>
      <c r="BR109" s="2138"/>
      <c r="BS109" s="2138"/>
      <c r="BT109" s="2138"/>
      <c r="BU109" s="2138"/>
      <c r="BV109" s="2138"/>
      <c r="BW109" s="2138"/>
      <c r="BX109" s="2138"/>
      <c r="BY109" s="2138"/>
      <c r="BZ109" s="2138"/>
      <c r="CA109" s="2138"/>
      <c r="CB109" s="2138"/>
      <c r="CC109" s="2138"/>
      <c r="CD109" s="2138"/>
      <c r="CE109" s="2138"/>
      <c r="CF109" s="2138"/>
      <c r="CG109" s="2138"/>
      <c r="CH109" s="2138"/>
      <c r="CI109" s="2138"/>
      <c r="CJ109" s="2138"/>
      <c r="CK109" s="2138"/>
      <c r="CL109" s="2138"/>
      <c r="CM109" s="2138"/>
      <c r="CN109" s="2138"/>
      <c r="CO109" s="2138"/>
      <c r="CP109" s="2138"/>
      <c r="CQ109" s="2138"/>
      <c r="CR109" s="2138"/>
      <c r="CS109" s="2138"/>
      <c r="CT109" s="2138"/>
      <c r="CU109" s="2138"/>
      <c r="CV109" s="2138"/>
      <c r="CW109" s="2138"/>
      <c r="CX109" s="2138"/>
      <c r="CY109" s="2138"/>
      <c r="CZ109" s="2138"/>
      <c r="DA109" s="2138"/>
      <c r="DB109" s="2138"/>
      <c r="DC109" s="2138"/>
      <c r="DD109" s="2138"/>
      <c r="DE109" s="2138"/>
      <c r="DF109" s="2138"/>
      <c r="DG109" s="2138"/>
      <c r="DH109" s="2138"/>
      <c r="DI109" s="2138"/>
      <c r="DJ109" s="2138"/>
      <c r="DK109" s="2138"/>
      <c r="DL109" s="2138"/>
      <c r="DM109" s="2138"/>
      <c r="DN109" s="2138"/>
      <c r="DO109" s="2138"/>
      <c r="DP109" s="2138"/>
      <c r="DQ109" s="2138"/>
      <c r="DR109" s="2138"/>
      <c r="DS109" s="2138"/>
      <c r="DT109" s="2138"/>
      <c r="DU109" s="2139"/>
      <c r="DV109" s="2138"/>
      <c r="DW109" s="2138"/>
      <c r="DX109" s="2138"/>
      <c r="DY109" s="2138"/>
      <c r="DZ109" s="2139"/>
      <c r="EA109" s="2138"/>
      <c r="EB109" s="2138"/>
      <c r="EC109" s="2138"/>
      <c r="ED109" s="2138"/>
      <c r="EE109" s="2139"/>
    </row>
    <row r="110" spans="2:135" s="2132" customFormat="1">
      <c r="B110" s="2132" t="s">
        <v>455</v>
      </c>
      <c r="DC110" s="2132">
        <f>'International Wholesale'!DC12</f>
        <v>3508</v>
      </c>
      <c r="DD110" s="2132">
        <f>'International Wholesale'!DD12</f>
        <v>5139</v>
      </c>
      <c r="DE110" s="2132">
        <f>'International Wholesale'!DE12</f>
        <v>5166</v>
      </c>
      <c r="DF110" s="2132">
        <f>'International Wholesale'!DF12</f>
        <v>13813</v>
      </c>
      <c r="DG110" s="2132">
        <f>'International Wholesale'!DG12</f>
        <v>5204</v>
      </c>
      <c r="DH110" s="2132">
        <f>'International Wholesale'!DH12</f>
        <v>5057</v>
      </c>
      <c r="DI110" s="2132">
        <f>'International Wholesale'!DI12</f>
        <v>5181</v>
      </c>
      <c r="DJ110" s="2132">
        <f>'International Wholesale'!DJ12</f>
        <v>4914</v>
      </c>
      <c r="DK110" s="2132">
        <f>'International Wholesale'!DK12</f>
        <v>20356</v>
      </c>
      <c r="DL110" s="2132">
        <f>'International Wholesale'!DL12</f>
        <v>4880</v>
      </c>
      <c r="DM110" s="2132">
        <f>'International Wholesale'!DM12</f>
        <v>4431</v>
      </c>
      <c r="DN110" s="2132">
        <f>'International Wholesale'!DN12</f>
        <v>4781</v>
      </c>
      <c r="DO110" s="2132">
        <f>'International Wholesale'!DO12</f>
        <v>4907</v>
      </c>
      <c r="DP110" s="2132">
        <f>'International Wholesale'!DP12</f>
        <v>18999</v>
      </c>
      <c r="DQ110" s="2132">
        <f>'International Wholesale'!DQ12</f>
        <v>5168</v>
      </c>
      <c r="DR110" s="2132">
        <f>'International Wholesale'!DR12</f>
        <v>4497.4649999999992</v>
      </c>
      <c r="DS110" s="2132">
        <f>'International Wholesale'!DS12</f>
        <v>4852.7149999999992</v>
      </c>
      <c r="DT110" s="2132">
        <f>'International Wholesale'!DT12</f>
        <v>4980.6049999999996</v>
      </c>
      <c r="DU110" s="2132">
        <f>'International Wholesale'!DU12</f>
        <v>19498.785</v>
      </c>
      <c r="DV110" s="2161">
        <f>'International Wholesale'!DV12</f>
        <v>5245.5199999999995</v>
      </c>
      <c r="DW110" s="2161">
        <f>'International Wholesale'!DW12</f>
        <v>4564.9269749999985</v>
      </c>
      <c r="DX110" s="2161">
        <f>'International Wholesale'!DX12</f>
        <v>4925.5057249999991</v>
      </c>
      <c r="DY110" s="2161">
        <f>'International Wholesale'!DY12</f>
        <v>5055.3140749999993</v>
      </c>
      <c r="DZ110" s="2161">
        <f>'International Wholesale'!DZ12</f>
        <v>19791.266774999996</v>
      </c>
      <c r="EA110" s="2248">
        <f>'International Wholesale'!EA12</f>
        <v>5324.2027999999991</v>
      </c>
      <c r="EB110" s="2248">
        <f>'International Wholesale'!EB12</f>
        <v>4633.4008796249982</v>
      </c>
      <c r="EC110" s="2248">
        <f>'International Wholesale'!EC12</f>
        <v>4999.3883108749988</v>
      </c>
      <c r="ED110" s="2248">
        <f>'International Wholesale'!ED12</f>
        <v>5131.1437861249988</v>
      </c>
      <c r="EE110" s="2248">
        <f>'International Wholesale'!EE12</f>
        <v>20088.135776624993</v>
      </c>
    </row>
    <row r="111" spans="2:135" s="2132" customFormat="1">
      <c r="B111" s="2132" t="s">
        <v>288</v>
      </c>
      <c r="DC111" s="2132">
        <f>DC110-DC112</f>
        <v>3121</v>
      </c>
      <c r="DD111" s="2132">
        <f t="shared" ref="DD111:DU111" si="238">DD110-DD112</f>
        <v>4579</v>
      </c>
      <c r="DE111" s="2132">
        <f t="shared" si="238"/>
        <v>4627</v>
      </c>
      <c r="DF111" s="2132">
        <f t="shared" si="238"/>
        <v>12117.557076923076</v>
      </c>
      <c r="DG111" s="2132">
        <f t="shared" si="238"/>
        <v>4647</v>
      </c>
      <c r="DH111" s="2132">
        <f t="shared" si="238"/>
        <v>4522</v>
      </c>
      <c r="DI111" s="2132">
        <f t="shared" si="238"/>
        <v>4644</v>
      </c>
      <c r="DJ111" s="2132">
        <f t="shared" si="238"/>
        <v>4412</v>
      </c>
      <c r="DK111" s="2132">
        <f t="shared" si="238"/>
        <v>18153</v>
      </c>
      <c r="DL111" s="2132">
        <f t="shared" si="238"/>
        <v>4378</v>
      </c>
      <c r="DM111" s="2132">
        <f t="shared" si="238"/>
        <v>3946</v>
      </c>
      <c r="DN111" s="2132">
        <f t="shared" si="238"/>
        <v>4296</v>
      </c>
      <c r="DO111" s="2132">
        <f t="shared" si="238"/>
        <v>4421</v>
      </c>
      <c r="DP111" s="2132">
        <f t="shared" si="238"/>
        <v>17035</v>
      </c>
      <c r="DQ111" s="2132">
        <f t="shared" si="238"/>
        <v>4646</v>
      </c>
      <c r="DR111" s="2132">
        <f t="shared" si="238"/>
        <v>3982.7026749999995</v>
      </c>
      <c r="DS111" s="2132">
        <f t="shared" si="238"/>
        <v>4330.0864249999995</v>
      </c>
      <c r="DT111" s="2132">
        <f t="shared" si="238"/>
        <v>4462.4119749999991</v>
      </c>
      <c r="DU111" s="2132">
        <f t="shared" si="238"/>
        <v>17421.201075000001</v>
      </c>
      <c r="DV111" s="2161">
        <f t="shared" ref="DV111:DZ111" si="239">DV110-DV112</f>
        <v>4715.6899999999996</v>
      </c>
      <c r="DW111" s="2161">
        <f t="shared" si="239"/>
        <v>4042.4432151249985</v>
      </c>
      <c r="DX111" s="2161">
        <f t="shared" si="239"/>
        <v>4395.0377213749989</v>
      </c>
      <c r="DY111" s="2161">
        <f t="shared" si="239"/>
        <v>4529.3481546249996</v>
      </c>
      <c r="DZ111" s="2161">
        <f t="shared" si="239"/>
        <v>17682.519091124996</v>
      </c>
      <c r="EA111" s="2248">
        <f t="shared" ref="EA111:EE111" si="240">EA110-EA112</f>
        <v>4786.4253499999995</v>
      </c>
      <c r="EB111" s="2248">
        <f t="shared" si="240"/>
        <v>4103.0798633518734</v>
      </c>
      <c r="EC111" s="2248">
        <f t="shared" si="240"/>
        <v>4460.9632871956237</v>
      </c>
      <c r="ED111" s="2248">
        <f t="shared" si="240"/>
        <v>4597.2883769443742</v>
      </c>
      <c r="EE111" s="2248">
        <f t="shared" si="240"/>
        <v>17947.756877491869</v>
      </c>
    </row>
    <row r="112" spans="2:135" s="2132" customFormat="1">
      <c r="B112" s="2135" t="s">
        <v>232</v>
      </c>
      <c r="C112" s="2135"/>
      <c r="D112" s="2135"/>
      <c r="E112" s="2135"/>
      <c r="F112" s="2135"/>
      <c r="G112" s="2135"/>
      <c r="H112" s="2135"/>
      <c r="I112" s="2135"/>
      <c r="J112" s="2135"/>
      <c r="K112" s="2135"/>
      <c r="L112" s="2135"/>
      <c r="M112" s="2135"/>
      <c r="N112" s="2135"/>
      <c r="O112" s="2135"/>
      <c r="P112" s="2135"/>
      <c r="Q112" s="2135"/>
      <c r="R112" s="2135"/>
      <c r="S112" s="2135"/>
      <c r="T112" s="2135"/>
      <c r="U112" s="2135"/>
      <c r="V112" s="2135"/>
      <c r="W112" s="2135"/>
      <c r="X112" s="2135"/>
      <c r="Y112" s="2135"/>
      <c r="Z112" s="2135"/>
      <c r="AA112" s="2135"/>
      <c r="AB112" s="2135"/>
      <c r="AC112" s="2135"/>
      <c r="AD112" s="2135"/>
      <c r="AE112" s="2135"/>
      <c r="AF112" s="2135"/>
      <c r="AG112" s="2135"/>
      <c r="AH112" s="2135"/>
      <c r="AI112" s="2135"/>
      <c r="AJ112" s="2135"/>
      <c r="AK112" s="2135"/>
      <c r="AL112" s="2135"/>
      <c r="AM112" s="2135"/>
      <c r="AN112" s="2135"/>
      <c r="AO112" s="2135"/>
      <c r="AP112" s="2135"/>
      <c r="AQ112" s="2135"/>
      <c r="AR112" s="2135"/>
      <c r="AS112" s="2135"/>
      <c r="AT112" s="2135"/>
      <c r="AU112" s="2135"/>
      <c r="AV112" s="2135"/>
      <c r="AW112" s="2135"/>
      <c r="AX112" s="2135"/>
      <c r="AY112" s="2135"/>
      <c r="AZ112" s="2135"/>
      <c r="BA112" s="2135"/>
      <c r="BB112" s="2135"/>
      <c r="BC112" s="2135"/>
      <c r="BD112" s="2135"/>
      <c r="BE112" s="2135"/>
      <c r="BF112" s="2135"/>
      <c r="BG112" s="2135"/>
      <c r="BH112" s="2135"/>
      <c r="BI112" s="2135"/>
      <c r="BJ112" s="2135"/>
      <c r="BK112" s="2135"/>
      <c r="BL112" s="2135"/>
      <c r="BM112" s="2135"/>
      <c r="BN112" s="2135"/>
      <c r="BO112" s="2135"/>
      <c r="BP112" s="2135"/>
      <c r="BQ112" s="2135"/>
      <c r="BR112" s="2135"/>
      <c r="BS112" s="2135"/>
      <c r="BT112" s="2135"/>
      <c r="BU112" s="2135"/>
      <c r="BV112" s="2135"/>
      <c r="BW112" s="2135"/>
      <c r="BX112" s="2135"/>
      <c r="BY112" s="2135"/>
      <c r="BZ112" s="2135"/>
      <c r="CA112" s="2135"/>
      <c r="CB112" s="2135"/>
      <c r="CC112" s="2135"/>
      <c r="CD112" s="2135"/>
      <c r="CE112" s="2135"/>
      <c r="CF112" s="2135"/>
      <c r="CG112" s="2135"/>
      <c r="CH112" s="2135"/>
      <c r="CI112" s="2135"/>
      <c r="CJ112" s="2135"/>
      <c r="CK112" s="2135"/>
      <c r="CL112" s="2135"/>
      <c r="CM112" s="2135"/>
      <c r="CN112" s="2135"/>
      <c r="CO112" s="2135"/>
      <c r="CP112" s="2135"/>
      <c r="CQ112" s="2135"/>
      <c r="CR112" s="2135"/>
      <c r="CS112" s="2135"/>
      <c r="CT112" s="2135"/>
      <c r="CU112" s="2135"/>
      <c r="CV112" s="2135"/>
      <c r="CW112" s="2135"/>
      <c r="CX112" s="2135"/>
      <c r="CY112" s="2135"/>
      <c r="CZ112" s="2135"/>
      <c r="DA112" s="2135"/>
      <c r="DB112" s="2135"/>
      <c r="DC112" s="2135">
        <f>'International Wholesale'!DC16</f>
        <v>387</v>
      </c>
      <c r="DD112" s="2135">
        <f>'International Wholesale'!DD16</f>
        <v>560</v>
      </c>
      <c r="DE112" s="2135">
        <f>'International Wholesale'!DE16</f>
        <v>539</v>
      </c>
      <c r="DF112" s="2135">
        <f>'International Wholesale'!DF16</f>
        <v>1695.4429230769231</v>
      </c>
      <c r="DG112" s="2135">
        <f>'International Wholesale'!DG16</f>
        <v>557</v>
      </c>
      <c r="DH112" s="2135">
        <f>'International Wholesale'!DH16</f>
        <v>535</v>
      </c>
      <c r="DI112" s="2135">
        <f>'International Wholesale'!DI16</f>
        <v>537</v>
      </c>
      <c r="DJ112" s="2135">
        <f>'International Wholesale'!DJ16</f>
        <v>502</v>
      </c>
      <c r="DK112" s="2135">
        <f>'International Wholesale'!DK16</f>
        <v>2203</v>
      </c>
      <c r="DL112" s="2135">
        <f>'International Wholesale'!DL16</f>
        <v>502</v>
      </c>
      <c r="DM112" s="2135">
        <f>'International Wholesale'!DM16</f>
        <v>485</v>
      </c>
      <c r="DN112" s="2135">
        <f>'International Wholesale'!DN16</f>
        <v>485</v>
      </c>
      <c r="DO112" s="2135">
        <f>'International Wholesale'!DO16</f>
        <v>486</v>
      </c>
      <c r="DP112" s="2135">
        <f>'International Wholesale'!DP16</f>
        <v>1964</v>
      </c>
      <c r="DQ112" s="2135">
        <f>'International Wholesale'!DQ16</f>
        <v>522</v>
      </c>
      <c r="DR112" s="2135">
        <f>'International Wholesale'!DR16</f>
        <v>514.76232499999992</v>
      </c>
      <c r="DS112" s="2135">
        <f>'International Wholesale'!DS16</f>
        <v>522.62857499999996</v>
      </c>
      <c r="DT112" s="2135">
        <f>'International Wholesale'!DT16</f>
        <v>518.19302500000003</v>
      </c>
      <c r="DU112" s="2135">
        <f>'International Wholesale'!DU16</f>
        <v>2077.5839249999999</v>
      </c>
      <c r="DV112" s="2135">
        <f>'International Wholesale'!DV16</f>
        <v>529.82999999999993</v>
      </c>
      <c r="DW112" s="2135">
        <f>'International Wholesale'!DW16</f>
        <v>522.48375987499981</v>
      </c>
      <c r="DX112" s="2135">
        <f>'International Wholesale'!DX16</f>
        <v>530.46800362499994</v>
      </c>
      <c r="DY112" s="2135">
        <f>'International Wholesale'!DY16</f>
        <v>525.965920375</v>
      </c>
      <c r="DZ112" s="2135">
        <f>'International Wholesale'!DZ16</f>
        <v>2108.7476838749999</v>
      </c>
      <c r="EA112" s="2135">
        <f>'International Wholesale'!EA16</f>
        <v>537.77744999999993</v>
      </c>
      <c r="EB112" s="2135">
        <f>'International Wholesale'!EB16</f>
        <v>530.32101627312488</v>
      </c>
      <c r="EC112" s="2135">
        <f>'International Wholesale'!EC16</f>
        <v>538.42502367937493</v>
      </c>
      <c r="ED112" s="2135">
        <f>'International Wholesale'!ED16</f>
        <v>533.85540918062486</v>
      </c>
      <c r="EE112" s="2135">
        <f>'International Wholesale'!EE16</f>
        <v>2140.3788991331248</v>
      </c>
    </row>
    <row r="113" spans="2:135" s="2132" customFormat="1">
      <c r="DV113" s="2161"/>
      <c r="DW113" s="2161"/>
      <c r="DX113" s="2161"/>
      <c r="DY113" s="2161"/>
      <c r="DZ113" s="2161"/>
      <c r="EA113" s="2248"/>
      <c r="EB113" s="2248"/>
      <c r="EC113" s="2248"/>
      <c r="ED113" s="2248"/>
      <c r="EE113" s="2248"/>
    </row>
    <row r="114" spans="2:135" s="2132" customFormat="1">
      <c r="B114" s="2132" t="s">
        <v>233</v>
      </c>
      <c r="DC114" s="2132">
        <f>DC112-DC116</f>
        <v>270</v>
      </c>
      <c r="DD114" s="2132">
        <f t="shared" ref="DD114:DU114" si="241">DD112-DD116</f>
        <v>388</v>
      </c>
      <c r="DE114" s="2132">
        <f t="shared" si="241"/>
        <v>385</v>
      </c>
      <c r="DF114" s="2132">
        <f t="shared" si="241"/>
        <v>1252.4429230769231</v>
      </c>
      <c r="DG114" s="2132">
        <f t="shared" si="241"/>
        <v>396</v>
      </c>
      <c r="DH114" s="2132">
        <f t="shared" si="241"/>
        <v>382</v>
      </c>
      <c r="DI114" s="2132">
        <f t="shared" si="241"/>
        <v>366</v>
      </c>
      <c r="DJ114" s="2132">
        <f t="shared" si="241"/>
        <v>344</v>
      </c>
      <c r="DK114" s="2132">
        <f t="shared" si="241"/>
        <v>1560</v>
      </c>
      <c r="DL114" s="2132">
        <f t="shared" si="241"/>
        <v>336</v>
      </c>
      <c r="DM114" s="2132">
        <f t="shared" si="241"/>
        <v>338</v>
      </c>
      <c r="DN114" s="2132">
        <f t="shared" si="241"/>
        <v>333</v>
      </c>
      <c r="DO114" s="2132">
        <f t="shared" si="241"/>
        <v>350</v>
      </c>
      <c r="DP114" s="2132">
        <f t="shared" si="241"/>
        <v>1363</v>
      </c>
      <c r="DQ114" s="2132">
        <f t="shared" si="241"/>
        <v>375</v>
      </c>
      <c r="DR114" s="2132">
        <f t="shared" si="241"/>
        <v>355.4249299999999</v>
      </c>
      <c r="DS114" s="2132">
        <f t="shared" si="241"/>
        <v>359.62499999999994</v>
      </c>
      <c r="DT114" s="2132">
        <f t="shared" si="241"/>
        <v>367.74499999999995</v>
      </c>
      <c r="DU114" s="2132">
        <f t="shared" si="241"/>
        <v>1457.7949299999998</v>
      </c>
      <c r="DV114" s="2161">
        <f t="shared" ref="DV114:DZ114" si="242">DV112-DV116</f>
        <v>369.93999999999994</v>
      </c>
      <c r="DW114" s="2161">
        <f t="shared" si="242"/>
        <v>350.07130394999984</v>
      </c>
      <c r="DX114" s="2161">
        <f t="shared" si="242"/>
        <v>354.33437499999997</v>
      </c>
      <c r="DY114" s="2161">
        <f t="shared" si="242"/>
        <v>362.57617499999992</v>
      </c>
      <c r="DZ114" s="2161">
        <f t="shared" si="242"/>
        <v>1436.9218539499998</v>
      </c>
      <c r="EA114" s="2248">
        <f t="shared" ref="EA114:EE114" si="243">EA112-EA116</f>
        <v>375.96909999999991</v>
      </c>
      <c r="EB114" s="2248">
        <f t="shared" si="243"/>
        <v>355.80237350924983</v>
      </c>
      <c r="EC114" s="2248">
        <f t="shared" si="243"/>
        <v>360.12939062499993</v>
      </c>
      <c r="ED114" s="2248">
        <f t="shared" si="243"/>
        <v>368.49481762499988</v>
      </c>
      <c r="EE114" s="2248">
        <f t="shared" si="243"/>
        <v>1460.3956817592498</v>
      </c>
    </row>
    <row r="115" spans="2:135" s="2132" customFormat="1">
      <c r="DV115" s="2161"/>
      <c r="DW115" s="2161"/>
      <c r="DX115" s="2161"/>
      <c r="DY115" s="2161"/>
      <c r="DZ115" s="2161"/>
      <c r="EA115" s="2248"/>
      <c r="EB115" s="2248"/>
      <c r="EC115" s="2248"/>
      <c r="ED115" s="2248"/>
      <c r="EE115" s="2248"/>
    </row>
    <row r="116" spans="2:135" s="2132" customFormat="1">
      <c r="B116" s="2132" t="s">
        <v>579</v>
      </c>
      <c r="DC116" s="2132">
        <f>'International Wholesale'!DC25</f>
        <v>117</v>
      </c>
      <c r="DD116" s="2132">
        <f>'International Wholesale'!DD25</f>
        <v>172</v>
      </c>
      <c r="DE116" s="2132">
        <f>'International Wholesale'!DE25</f>
        <v>154</v>
      </c>
      <c r="DF116" s="2132">
        <f>'International Wholesale'!DF25</f>
        <v>443</v>
      </c>
      <c r="DG116" s="2132">
        <f>'International Wholesale'!DG25</f>
        <v>161</v>
      </c>
      <c r="DH116" s="2132">
        <f>'International Wholesale'!DH25</f>
        <v>153</v>
      </c>
      <c r="DI116" s="2132">
        <f>'International Wholesale'!DI25</f>
        <v>171</v>
      </c>
      <c r="DJ116" s="2132">
        <f>'International Wholesale'!DJ25</f>
        <v>158</v>
      </c>
      <c r="DK116" s="2132">
        <f>'International Wholesale'!DK25</f>
        <v>643</v>
      </c>
      <c r="DL116" s="2132">
        <f>'International Wholesale'!DL25</f>
        <v>166</v>
      </c>
      <c r="DM116" s="2132">
        <f>'International Wholesale'!DM25</f>
        <v>147</v>
      </c>
      <c r="DN116" s="2132">
        <f>'International Wholesale'!DN25</f>
        <v>152</v>
      </c>
      <c r="DO116" s="2132">
        <f>'International Wholesale'!DO25</f>
        <v>136</v>
      </c>
      <c r="DP116" s="2132">
        <f>'International Wholesale'!DP25</f>
        <v>601</v>
      </c>
      <c r="DQ116" s="2132">
        <f>'International Wholesale'!DQ25</f>
        <v>147</v>
      </c>
      <c r="DR116" s="2132">
        <f>'International Wholesale'!DR25</f>
        <v>159.33739500000001</v>
      </c>
      <c r="DS116" s="2132">
        <f>'International Wholesale'!DS25</f>
        <v>163.00357500000001</v>
      </c>
      <c r="DT116" s="2132">
        <f>'International Wholesale'!DT25</f>
        <v>150.44802500000009</v>
      </c>
      <c r="DU116" s="2132">
        <f>'International Wholesale'!DU25</f>
        <v>619.78899500000011</v>
      </c>
      <c r="DV116" s="2161">
        <f>'International Wholesale'!DV25</f>
        <v>159.88999999999999</v>
      </c>
      <c r="DW116" s="2161">
        <f>'International Wholesale'!DW25</f>
        <v>172.41245592499996</v>
      </c>
      <c r="DX116" s="2161">
        <f>'International Wholesale'!DX25</f>
        <v>176.13362862499997</v>
      </c>
      <c r="DY116" s="2161">
        <f>'International Wholesale'!DY25</f>
        <v>163.38974537500008</v>
      </c>
      <c r="DZ116" s="2161">
        <f>'International Wholesale'!DZ25</f>
        <v>671.82582992499999</v>
      </c>
      <c r="EA116" s="2248">
        <f>'International Wholesale'!EA25</f>
        <v>161.80835000000002</v>
      </c>
      <c r="EB116" s="2248">
        <f>'International Wholesale'!EB25</f>
        <v>174.51864276387505</v>
      </c>
      <c r="EC116" s="2248">
        <f>'International Wholesale'!EC25</f>
        <v>178.295633054375</v>
      </c>
      <c r="ED116" s="2248">
        <f>'International Wholesale'!ED25</f>
        <v>165.36059155562498</v>
      </c>
      <c r="EE116" s="2248">
        <f>'International Wholesale'!EE25</f>
        <v>679.98321737387505</v>
      </c>
    </row>
    <row r="119" spans="2:135">
      <c r="B119" s="17" t="s">
        <v>441</v>
      </c>
      <c r="DF119" s="2085"/>
    </row>
    <row r="120" spans="2:135">
      <c r="B120" s="2143" t="s">
        <v>25</v>
      </c>
      <c r="DC120" s="2145"/>
      <c r="DD120" s="2145"/>
      <c r="DE120" s="2145"/>
      <c r="DF120" s="2145"/>
      <c r="DG120" s="2145"/>
      <c r="DH120" s="1689">
        <f>DH110/DC110-1</f>
        <v>0.44156214367160773</v>
      </c>
      <c r="DI120" s="1689">
        <f t="shared" ref="DI120" si="244">DI110/DD110-1</f>
        <v>8.172796263864468E-3</v>
      </c>
      <c r="DJ120" s="1689">
        <f t="shared" ref="DJ120" si="245">DJ110/DE110-1</f>
        <v>-4.8780487804878092E-2</v>
      </c>
      <c r="DK120" s="1689">
        <f t="shared" ref="DK120" si="246">DK110/DF110-1</f>
        <v>0.47368421052631571</v>
      </c>
      <c r="DL120" s="1689">
        <f t="shared" ref="DL120" si="247">DL110/DG110-1</f>
        <v>-6.2259800153727896E-2</v>
      </c>
      <c r="DM120" s="1689">
        <f t="shared" ref="DM120" si="248">DM110/DH110-1</f>
        <v>-0.1237888075934348</v>
      </c>
      <c r="DN120" s="1689">
        <f t="shared" ref="DN120" si="249">DN110/DI110-1</f>
        <v>-7.7205172746574013E-2</v>
      </c>
      <c r="DO120" s="1689">
        <f t="shared" ref="DO120" si="250">DO110/DJ110-1</f>
        <v>-1.4245014245014564E-3</v>
      </c>
      <c r="DP120" s="1689">
        <f t="shared" ref="DP120" si="251">DP110/DK110-1</f>
        <v>-6.6663391629003699E-2</v>
      </c>
      <c r="DQ120" s="1689">
        <f t="shared" ref="DQ120" si="252">DQ110/DL110-1</f>
        <v>5.9016393442622883E-2</v>
      </c>
      <c r="DR120" s="1689">
        <f t="shared" ref="DR120" si="253">DR110/DM110-1</f>
        <v>1.4999999999999902E-2</v>
      </c>
      <c r="DS120" s="1689">
        <f t="shared" ref="DS120" si="254">DS110/DN110-1</f>
        <v>1.4999999999999902E-2</v>
      </c>
      <c r="DT120" s="1689">
        <f t="shared" ref="DT120" si="255">DT110/DO110-1</f>
        <v>1.4999999999999902E-2</v>
      </c>
      <c r="DU120" s="1689">
        <f t="shared" ref="DU120" si="256">DU110/DP110-1</f>
        <v>2.6305858203063304E-2</v>
      </c>
      <c r="DV120" s="1689">
        <f t="shared" ref="DV120" si="257">DV110/DQ110-1</f>
        <v>1.4999999999999902E-2</v>
      </c>
      <c r="DW120" s="1689">
        <f t="shared" ref="DW120" si="258">DW110/DR110-1</f>
        <v>1.4999999999999902E-2</v>
      </c>
      <c r="DX120" s="1689">
        <f t="shared" ref="DX120" si="259">DX110/DS110-1</f>
        <v>1.4999999999999902E-2</v>
      </c>
      <c r="DY120" s="1689">
        <f t="shared" ref="DY120" si="260">DY110/DT110-1</f>
        <v>1.4999999999999902E-2</v>
      </c>
      <c r="DZ120" s="1689">
        <f t="shared" ref="DZ120" si="261">DZ110/DU110-1</f>
        <v>1.4999999999999902E-2</v>
      </c>
      <c r="EA120" s="1689">
        <f t="shared" ref="EA120" si="262">EA110/DV110-1</f>
        <v>1.4999999999999902E-2</v>
      </c>
      <c r="EB120" s="1689">
        <f t="shared" ref="EB120" si="263">EB110/DW110-1</f>
        <v>1.4999999999999902E-2</v>
      </c>
      <c r="EC120" s="1689">
        <f t="shared" ref="EC120" si="264">EC110/DX110-1</f>
        <v>1.4999999999999902E-2</v>
      </c>
      <c r="ED120" s="1689">
        <f t="shared" ref="ED120" si="265">ED110/DY110-1</f>
        <v>1.4999999999999902E-2</v>
      </c>
      <c r="EE120" s="1689">
        <f t="shared" ref="EE120" si="266">EE110/DZ110-1</f>
        <v>1.4999999999999902E-2</v>
      </c>
    </row>
    <row r="121" spans="2:135">
      <c r="B121" s="2143" t="s">
        <v>291</v>
      </c>
      <c r="DC121" s="2145"/>
      <c r="DD121" s="2145"/>
      <c r="DE121" s="2145"/>
      <c r="DF121" s="2145"/>
      <c r="DG121" s="2145"/>
      <c r="DH121" s="1689">
        <f>DH112/DC112-1</f>
        <v>0.38242894056847554</v>
      </c>
      <c r="DI121" s="1689">
        <f t="shared" ref="DI121" si="267">DI112/DD112-1</f>
        <v>-4.1071428571428537E-2</v>
      </c>
      <c r="DJ121" s="1689">
        <f t="shared" ref="DJ121" si="268">DJ112/DE112-1</f>
        <v>-6.8645640074211478E-2</v>
      </c>
      <c r="DK121" s="1689">
        <f t="shared" ref="DK121" si="269">DK112/DF112-1</f>
        <v>0.29936547554308257</v>
      </c>
      <c r="DL121" s="1689">
        <f t="shared" ref="DL121" si="270">DL112/DG112-1</f>
        <v>-9.8743267504488363E-2</v>
      </c>
      <c r="DM121" s="1689">
        <f t="shared" ref="DM121" si="271">DM112/DH112-1</f>
        <v>-9.3457943925233655E-2</v>
      </c>
      <c r="DN121" s="1689">
        <f t="shared" ref="DN121" si="272">DN112/DI112-1</f>
        <v>-9.6834264432029804E-2</v>
      </c>
      <c r="DO121" s="1689">
        <f t="shared" ref="DO121" si="273">DO112/DJ112-1</f>
        <v>-3.1872509960159334E-2</v>
      </c>
      <c r="DP121" s="1689">
        <f t="shared" ref="DP121" si="274">DP112/DK112-1</f>
        <v>-0.10848842487517019</v>
      </c>
      <c r="DQ121" s="1689">
        <f t="shared" ref="DQ121" si="275">DQ112/DL112-1</f>
        <v>3.9840637450199168E-2</v>
      </c>
      <c r="DR121" s="1689">
        <f t="shared" ref="DR121" si="276">DR112/DM112-1</f>
        <v>6.1365618556700863E-2</v>
      </c>
      <c r="DS121" s="1689">
        <f t="shared" ref="DS121" si="277">DS112/DN112-1</f>
        <v>7.7584690721649308E-2</v>
      </c>
      <c r="DT121" s="1689">
        <f t="shared" ref="DT121" si="278">DT112/DO112-1</f>
        <v>6.624079218106993E-2</v>
      </c>
      <c r="DU121" s="1689">
        <f t="shared" ref="DU121" si="279">DU112/DP112-1</f>
        <v>5.783295570264757E-2</v>
      </c>
      <c r="DV121" s="1689">
        <f t="shared" ref="DV121" si="280">DV112/DQ112-1</f>
        <v>1.4999999999999902E-2</v>
      </c>
      <c r="DW121" s="1689">
        <f t="shared" ref="DW121" si="281">DW112/DR112-1</f>
        <v>1.499999999999968E-2</v>
      </c>
      <c r="DX121" s="1689">
        <f t="shared" ref="DX121" si="282">DX112/DS112-1</f>
        <v>1.4999999999999902E-2</v>
      </c>
      <c r="DY121" s="1689">
        <f t="shared" ref="DY121" si="283">DY112/DT112-1</f>
        <v>1.4999999999999902E-2</v>
      </c>
      <c r="DZ121" s="1689">
        <f t="shared" ref="DZ121" si="284">DZ112/DU112-1</f>
        <v>1.4999999999999902E-2</v>
      </c>
      <c r="EA121" s="1689">
        <f t="shared" ref="EA121" si="285">EA112/DV112-1</f>
        <v>1.4999999999999902E-2</v>
      </c>
      <c r="EB121" s="1689">
        <f t="shared" ref="EB121" si="286">EB112/DW112-1</f>
        <v>1.5000000000000124E-2</v>
      </c>
      <c r="EC121" s="1689">
        <f t="shared" ref="EC121" si="287">EC112/DX112-1</f>
        <v>1.4999999999999902E-2</v>
      </c>
      <c r="ED121" s="1689">
        <f t="shared" ref="ED121" si="288">ED112/DY112-1</f>
        <v>1.499999999999968E-2</v>
      </c>
      <c r="EE121" s="1689">
        <f t="shared" ref="EE121" si="289">EE112/DZ112-1</f>
        <v>1.4999999999999902E-2</v>
      </c>
    </row>
    <row r="122" spans="2:135">
      <c r="B122" s="2143" t="s">
        <v>99</v>
      </c>
      <c r="DC122" s="2145"/>
      <c r="DD122" s="2145"/>
      <c r="DE122" s="2145"/>
      <c r="DF122" s="2145"/>
      <c r="DG122" s="2145"/>
      <c r="DH122" s="1689">
        <f>DH114/DC114-1</f>
        <v>0.41481481481481475</v>
      </c>
      <c r="DI122" s="1689">
        <f t="shared" ref="DI122" si="290">DI114/DD114-1</f>
        <v>-5.6701030927835072E-2</v>
      </c>
      <c r="DJ122" s="1689">
        <f t="shared" ref="DJ122" si="291">DJ114/DE114-1</f>
        <v>-0.10649350649350653</v>
      </c>
      <c r="DK122" s="1689">
        <f t="shared" ref="DK122" si="292">DK114/DF114-1</f>
        <v>0.24556574296215428</v>
      </c>
      <c r="DL122" s="1689">
        <f t="shared" ref="DL122" si="293">DL114/DG114-1</f>
        <v>-0.15151515151515149</v>
      </c>
      <c r="DM122" s="1689">
        <f t="shared" ref="DM122" si="294">DM114/DH114-1</f>
        <v>-0.11518324607329844</v>
      </c>
      <c r="DN122" s="1689">
        <f t="shared" ref="DN122" si="295">DN114/DI114-1</f>
        <v>-9.0163934426229497E-2</v>
      </c>
      <c r="DO122" s="1689">
        <f t="shared" ref="DO122" si="296">DO114/DJ114-1</f>
        <v>1.744186046511631E-2</v>
      </c>
      <c r="DP122" s="1689">
        <f t="shared" ref="DP122" si="297">DP114/DK114-1</f>
        <v>-0.12628205128205128</v>
      </c>
      <c r="DQ122" s="1689">
        <f t="shared" ref="DQ122" si="298">DQ114/DL114-1</f>
        <v>0.1160714285714286</v>
      </c>
      <c r="DR122" s="1689">
        <f t="shared" ref="DR122" si="299">DR114/DM114-1</f>
        <v>5.1553047337277835E-2</v>
      </c>
      <c r="DS122" s="1689">
        <f t="shared" ref="DS122" si="300">DS114/DN114-1</f>
        <v>7.9954954954954749E-2</v>
      </c>
      <c r="DT122" s="1689">
        <f t="shared" ref="DT122" si="301">DT114/DO114-1</f>
        <v>5.0699999999999745E-2</v>
      </c>
      <c r="DU122" s="1689">
        <f t="shared" ref="DU122" si="302">DU114/DP114-1</f>
        <v>6.9548738077769512E-2</v>
      </c>
      <c r="DV122" s="1689">
        <f t="shared" ref="DV122" si="303">DV114/DQ114-1</f>
        <v>-1.3493333333333468E-2</v>
      </c>
      <c r="DW122" s="1689">
        <f t="shared" ref="DW122" si="304">DW114/DR114-1</f>
        <v>-1.5062607032095499E-2</v>
      </c>
      <c r="DX122" s="1689">
        <f t="shared" ref="DX122" si="305">DX114/DS114-1</f>
        <v>-1.4711505039972095E-2</v>
      </c>
      <c r="DY122" s="1689">
        <f t="shared" ref="DY122" si="306">DY114/DT114-1</f>
        <v>-1.4055459625555877E-2</v>
      </c>
      <c r="DZ122" s="1689">
        <f t="shared" ref="DZ122" si="307">DZ114/DU114-1</f>
        <v>-1.4318252602236736E-2</v>
      </c>
      <c r="EA122" s="1689">
        <f t="shared" ref="EA122" si="308">EA114/DV114-1</f>
        <v>1.6297507703951997E-2</v>
      </c>
      <c r="EB122" s="1689">
        <f t="shared" ref="EB122" si="309">EB114/DW114-1</f>
        <v>1.6371149233267435E-2</v>
      </c>
      <c r="EC122" s="1689">
        <f t="shared" ref="EC122" si="310">EC114/DX114-1</f>
        <v>1.6354652649774648E-2</v>
      </c>
      <c r="ED122" s="1689">
        <f t="shared" ref="ED122" si="311">ED114/DY114-1</f>
        <v>1.632385973788808E-2</v>
      </c>
      <c r="EE122" s="1689">
        <f t="shared" ref="EE122" si="312">EE114/DZ114-1</f>
        <v>1.6336189574069016E-2</v>
      </c>
    </row>
    <row r="123" spans="2:135">
      <c r="B123" s="2143" t="s">
        <v>584</v>
      </c>
      <c r="DC123" s="2145"/>
      <c r="DD123" s="2145"/>
      <c r="DE123" s="2145"/>
      <c r="DF123" s="2145"/>
      <c r="DG123" s="2145"/>
      <c r="DH123" s="1689"/>
      <c r="DI123" s="2145"/>
      <c r="DJ123" s="2145"/>
      <c r="DK123" s="2145"/>
      <c r="DL123" s="2145"/>
      <c r="DM123" s="2145"/>
      <c r="DN123" s="2145"/>
      <c r="DO123" s="2145"/>
      <c r="DP123" s="2145"/>
      <c r="DQ123" s="2145"/>
      <c r="DR123" s="2145"/>
      <c r="DS123" s="2145"/>
      <c r="DT123" s="2145"/>
      <c r="DU123" s="2145"/>
    </row>
    <row r="124" spans="2:135">
      <c r="B124" s="39"/>
      <c r="DC124" s="2145"/>
      <c r="DD124" s="2145"/>
      <c r="DE124" s="2145"/>
      <c r="DF124" s="2145"/>
      <c r="DG124" s="2145"/>
      <c r="DH124" s="1689"/>
      <c r="DI124" s="2145"/>
      <c r="DJ124" s="2145"/>
      <c r="DK124" s="2145"/>
      <c r="DL124" s="2145"/>
      <c r="DM124" s="2145"/>
      <c r="DN124" s="2145"/>
      <c r="DO124" s="2145"/>
      <c r="DP124" s="2145"/>
      <c r="DQ124" s="2145"/>
      <c r="DR124" s="2145"/>
      <c r="DS124" s="2145"/>
      <c r="DT124" s="2145"/>
      <c r="DU124" s="2145"/>
    </row>
    <row r="125" spans="2:135">
      <c r="B125" s="17" t="s">
        <v>405</v>
      </c>
      <c r="DC125" s="2145"/>
      <c r="DD125" s="2145"/>
      <c r="DE125" s="2145"/>
      <c r="DF125" s="2145"/>
      <c r="DG125" s="2145"/>
      <c r="DH125" s="1689"/>
      <c r="DI125" s="2145"/>
      <c r="DJ125" s="2145"/>
      <c r="DK125" s="2145"/>
      <c r="DL125" s="2145"/>
      <c r="DM125" s="2145"/>
      <c r="DN125" s="2145"/>
      <c r="DO125" s="2145"/>
      <c r="DP125" s="2145"/>
      <c r="DQ125" s="2145"/>
      <c r="DR125" s="2145"/>
      <c r="DS125" s="2145"/>
      <c r="DT125" s="2145"/>
      <c r="DU125" s="2145"/>
    </row>
    <row r="126" spans="2:135">
      <c r="B126" s="2143" t="s">
        <v>291</v>
      </c>
      <c r="DC126" s="1689">
        <f>DC112/DC110</f>
        <v>0.11031927023945268</v>
      </c>
      <c r="DD126" s="1689">
        <f t="shared" ref="DD126:DU126" si="313">DD112/DD110</f>
        <v>0.10897061685152754</v>
      </c>
      <c r="DE126" s="1689">
        <f t="shared" si="313"/>
        <v>0.1043360433604336</v>
      </c>
      <c r="DF126" s="1689">
        <f t="shared" si="313"/>
        <v>0.12274255578635511</v>
      </c>
      <c r="DG126" s="1689">
        <f t="shared" si="313"/>
        <v>0.10703305149884704</v>
      </c>
      <c r="DH126" s="1689">
        <f t="shared" si="313"/>
        <v>0.10579394898160965</v>
      </c>
      <c r="DI126" s="1689">
        <f t="shared" si="313"/>
        <v>0.10364794441227562</v>
      </c>
      <c r="DJ126" s="1689">
        <f t="shared" si="313"/>
        <v>0.10215710215710215</v>
      </c>
      <c r="DK126" s="1689">
        <f t="shared" si="313"/>
        <v>0.10822361957162507</v>
      </c>
      <c r="DL126" s="1689">
        <f t="shared" si="313"/>
        <v>0.10286885245901639</v>
      </c>
      <c r="DM126" s="1689">
        <f t="shared" si="313"/>
        <v>0.10945610471676823</v>
      </c>
      <c r="DN126" s="1689">
        <f t="shared" si="313"/>
        <v>0.10144321271700481</v>
      </c>
      <c r="DO126" s="1689">
        <f t="shared" si="313"/>
        <v>9.9042184634196048E-2</v>
      </c>
      <c r="DP126" s="1689">
        <f t="shared" si="313"/>
        <v>0.10337386178219907</v>
      </c>
      <c r="DQ126" s="1689">
        <f t="shared" si="313"/>
        <v>0.1010061919504644</v>
      </c>
      <c r="DR126" s="1689">
        <f t="shared" si="313"/>
        <v>0.11445610471676823</v>
      </c>
      <c r="DS126" s="1689">
        <f t="shared" si="313"/>
        <v>0.10769818029700901</v>
      </c>
      <c r="DT126" s="1689">
        <f t="shared" si="313"/>
        <v>0.10404218463419607</v>
      </c>
      <c r="DU126" s="1689">
        <f t="shared" si="313"/>
        <v>0.10654940423210985</v>
      </c>
      <c r="DV126" s="1689">
        <f t="shared" ref="DV126:DZ126" si="314">DV112/DV110</f>
        <v>0.1010061919504644</v>
      </c>
      <c r="DW126" s="1689">
        <f t="shared" si="314"/>
        <v>0.11445610471676822</v>
      </c>
      <c r="DX126" s="1689">
        <f t="shared" si="314"/>
        <v>0.10769818029700901</v>
      </c>
      <c r="DY126" s="1689">
        <f t="shared" si="314"/>
        <v>0.10404218463419607</v>
      </c>
      <c r="DZ126" s="1689">
        <f t="shared" si="314"/>
        <v>0.10654940423210986</v>
      </c>
      <c r="EA126" s="1689">
        <f t="shared" ref="EA126:EE126" si="315">EA112/EA110</f>
        <v>0.1010061919504644</v>
      </c>
      <c r="EB126" s="1689">
        <f t="shared" si="315"/>
        <v>0.11445610471676824</v>
      </c>
      <c r="EC126" s="1689">
        <f t="shared" si="315"/>
        <v>0.10769818029700901</v>
      </c>
      <c r="ED126" s="1689">
        <f t="shared" si="315"/>
        <v>0.10404218463419604</v>
      </c>
      <c r="EE126" s="1689">
        <f t="shared" si="315"/>
        <v>0.10654940423210987</v>
      </c>
    </row>
    <row r="127" spans="2:135">
      <c r="B127" s="2143" t="s">
        <v>99</v>
      </c>
      <c r="DC127" s="1689">
        <f>DC114/DC110</f>
        <v>7.6966932725199541E-2</v>
      </c>
      <c r="DD127" s="1689">
        <f t="shared" ref="DD127:DU127" si="316">DD114/DD110</f>
        <v>7.5501070247129792E-2</v>
      </c>
      <c r="DE127" s="1689">
        <f t="shared" si="316"/>
        <v>7.4525745257452577E-2</v>
      </c>
      <c r="DF127" s="1689">
        <f t="shared" si="316"/>
        <v>9.0671318546074214E-2</v>
      </c>
      <c r="DG127" s="1689">
        <f t="shared" si="316"/>
        <v>7.6095311299000767E-2</v>
      </c>
      <c r="DH127" s="1689">
        <f t="shared" si="316"/>
        <v>7.5538857029859602E-2</v>
      </c>
      <c r="DI127" s="1689">
        <f t="shared" si="316"/>
        <v>7.0642733063115234E-2</v>
      </c>
      <c r="DJ127" s="1689">
        <f t="shared" si="316"/>
        <v>7.000407000407001E-2</v>
      </c>
      <c r="DK127" s="1689">
        <f t="shared" si="316"/>
        <v>7.6635881312635101E-2</v>
      </c>
      <c r="DL127" s="1689">
        <f t="shared" si="316"/>
        <v>6.8852459016393447E-2</v>
      </c>
      <c r="DM127" s="1689">
        <f t="shared" si="316"/>
        <v>7.628074926653125E-2</v>
      </c>
      <c r="DN127" s="1689">
        <f t="shared" si="316"/>
        <v>6.9650700690232173E-2</v>
      </c>
      <c r="DO127" s="1689">
        <f t="shared" si="316"/>
        <v>7.1326676176890161E-2</v>
      </c>
      <c r="DP127" s="1689">
        <f t="shared" si="316"/>
        <v>7.1740617927259331E-2</v>
      </c>
      <c r="DQ127" s="1689">
        <f t="shared" si="316"/>
        <v>7.2561919504643968E-2</v>
      </c>
      <c r="DR127" s="1689">
        <f t="shared" si="316"/>
        <v>7.9027836792504219E-2</v>
      </c>
      <c r="DS127" s="1689">
        <f t="shared" si="316"/>
        <v>7.4107999336453928E-2</v>
      </c>
      <c r="DT127" s="1689">
        <f t="shared" si="316"/>
        <v>7.3835407545870424E-2</v>
      </c>
      <c r="DU127" s="1689">
        <f t="shared" si="316"/>
        <v>7.4763372692195934E-2</v>
      </c>
      <c r="DV127" s="1689">
        <f t="shared" ref="DV127:DZ127" si="317">DV114/DV110</f>
        <v>7.0524943189617037E-2</v>
      </c>
      <c r="DW127" s="1689">
        <f t="shared" si="317"/>
        <v>7.6687164081085862E-2</v>
      </c>
      <c r="DX127" s="1689">
        <f t="shared" si="317"/>
        <v>7.1938678946515691E-2</v>
      </c>
      <c r="DY127" s="1689">
        <f t="shared" si="317"/>
        <v>7.172179010460393E-2</v>
      </c>
      <c r="DZ127" s="1689">
        <f t="shared" si="317"/>
        <v>7.260383432176741E-2</v>
      </c>
      <c r="EA127" s="1689">
        <f t="shared" ref="EA127:EE127" si="318">EA114/EA110</f>
        <v>7.0615097531596657E-2</v>
      </c>
      <c r="EB127" s="1689">
        <f t="shared" si="318"/>
        <v>7.6790759693136354E-2</v>
      </c>
      <c r="EC127" s="1689">
        <f t="shared" si="318"/>
        <v>7.2034690692383857E-2</v>
      </c>
      <c r="ED127" s="1689">
        <f t="shared" si="318"/>
        <v>7.1815336498937676E-2</v>
      </c>
      <c r="EE127" s="1689">
        <f t="shared" si="318"/>
        <v>7.2699413126159726E-2</v>
      </c>
    </row>
    <row r="128" spans="2:135">
      <c r="B128" s="2143" t="s">
        <v>584</v>
      </c>
      <c r="DC128" s="1689">
        <f>DC116/DC110</f>
        <v>3.3352337514253136E-2</v>
      </c>
      <c r="DD128" s="1689">
        <f t="shared" ref="DD128:DU128" si="319">DD116/DD110</f>
        <v>3.3469546604397743E-2</v>
      </c>
      <c r="DE128" s="1689">
        <f t="shared" si="319"/>
        <v>2.9810298102981029E-2</v>
      </c>
      <c r="DF128" s="1689">
        <f t="shared" si="319"/>
        <v>3.2071237240280895E-2</v>
      </c>
      <c r="DG128" s="1689">
        <f t="shared" si="319"/>
        <v>3.0937740199846273E-2</v>
      </c>
      <c r="DH128" s="1689">
        <f t="shared" si="319"/>
        <v>3.0255091951750048E-2</v>
      </c>
      <c r="DI128" s="1689">
        <f t="shared" si="319"/>
        <v>3.3005211349160395E-2</v>
      </c>
      <c r="DJ128" s="1689">
        <f t="shared" si="319"/>
        <v>3.2153032153032154E-2</v>
      </c>
      <c r="DK128" s="1689">
        <f t="shared" si="319"/>
        <v>3.1587738258989979E-2</v>
      </c>
      <c r="DL128" s="1689">
        <f t="shared" si="319"/>
        <v>3.4016393442622951E-2</v>
      </c>
      <c r="DM128" s="1689">
        <f t="shared" si="319"/>
        <v>3.3175355450236969E-2</v>
      </c>
      <c r="DN128" s="1689">
        <f t="shared" si="319"/>
        <v>3.1792512026772642E-2</v>
      </c>
      <c r="DO128" s="1689">
        <f t="shared" si="319"/>
        <v>2.7715508457305891E-2</v>
      </c>
      <c r="DP128" s="1689">
        <f t="shared" si="319"/>
        <v>3.1633243854939735E-2</v>
      </c>
      <c r="DQ128" s="1689">
        <f t="shared" si="319"/>
        <v>2.8444272445820432E-2</v>
      </c>
      <c r="DR128" s="1689">
        <f t="shared" si="319"/>
        <v>3.5428267924264012E-2</v>
      </c>
      <c r="DS128" s="1689">
        <f t="shared" si="319"/>
        <v>3.3590180960555077E-2</v>
      </c>
      <c r="DT128" s="1689">
        <f t="shared" si="319"/>
        <v>3.0206777088325636E-2</v>
      </c>
      <c r="DU128" s="1689">
        <f t="shared" si="319"/>
        <v>3.1786031539913905E-2</v>
      </c>
      <c r="DV128" s="1689">
        <f t="shared" ref="DV128:DZ128" si="320">DV116/DV110</f>
        <v>3.0481248760847353E-2</v>
      </c>
      <c r="DW128" s="1689">
        <f t="shared" si="320"/>
        <v>3.7768940635682355E-2</v>
      </c>
      <c r="DX128" s="1689">
        <f t="shared" si="320"/>
        <v>3.5759501350493307E-2</v>
      </c>
      <c r="DY128" s="1689">
        <f t="shared" si="320"/>
        <v>3.2320394529592129E-2</v>
      </c>
      <c r="DZ128" s="1689">
        <f t="shared" si="320"/>
        <v>3.3945569910342442E-2</v>
      </c>
      <c r="EA128" s="1689">
        <f t="shared" ref="EA128:EE128" si="321">EA116/EA110</f>
        <v>3.039109441886775E-2</v>
      </c>
      <c r="EB128" s="1689">
        <f t="shared" si="321"/>
        <v>3.7665345023631891E-2</v>
      </c>
      <c r="EC128" s="1689">
        <f t="shared" si="321"/>
        <v>3.5663489604625148E-2</v>
      </c>
      <c r="ED128" s="1689">
        <f t="shared" si="321"/>
        <v>3.2226848135258369E-2</v>
      </c>
      <c r="EE128" s="1689">
        <f t="shared" si="321"/>
        <v>3.3849991105950154E-2</v>
      </c>
    </row>
    <row r="131" spans="116:130">
      <c r="DL131" s="2227"/>
      <c r="DM131" s="2227"/>
      <c r="DN131" s="2227"/>
      <c r="DO131" s="2227"/>
      <c r="DP131" s="2227"/>
      <c r="DQ131" s="2227"/>
      <c r="DR131" s="2227"/>
      <c r="DS131" s="2227"/>
      <c r="DT131" s="2227"/>
      <c r="DU131" s="2227"/>
      <c r="DV131" s="2227"/>
      <c r="DW131" s="2227"/>
      <c r="DX131" s="2227"/>
      <c r="DY131" s="2227"/>
      <c r="DZ131" s="2227"/>
    </row>
    <row r="132" spans="116:130">
      <c r="DL132" s="2227"/>
      <c r="DM132" s="2227"/>
      <c r="DN132" s="2227"/>
      <c r="DO132" s="2227"/>
      <c r="DP132" s="2227"/>
      <c r="DQ132" s="2227"/>
      <c r="DR132" s="2227"/>
      <c r="DS132" s="2227"/>
      <c r="DT132" s="2227"/>
      <c r="DU132" s="2227"/>
      <c r="DV132" s="2227"/>
      <c r="DW132" s="2227"/>
      <c r="DX132" s="2227"/>
      <c r="DY132" s="2227"/>
      <c r="DZ132" s="2227"/>
    </row>
    <row r="133" spans="116:130">
      <c r="DL133" s="2227"/>
      <c r="DM133" s="2227"/>
      <c r="DN133" s="2227"/>
      <c r="DO133" s="2227"/>
      <c r="DP133" s="2227"/>
      <c r="DQ133" s="2227"/>
      <c r="DR133" s="2227"/>
      <c r="DS133" s="2227"/>
      <c r="DT133" s="2227"/>
      <c r="DU133" s="2227"/>
      <c r="DV133" s="2227"/>
      <c r="DW133" s="2227"/>
      <c r="DX133" s="2227"/>
      <c r="DY133" s="2227"/>
      <c r="DZ133" s="2227"/>
    </row>
    <row r="134" spans="116:130">
      <c r="DL134" s="2227"/>
      <c r="DM134" s="2227"/>
      <c r="DN134" s="2227"/>
      <c r="DO134" s="2227"/>
      <c r="DP134" s="2227"/>
      <c r="DQ134" s="2227"/>
      <c r="DR134" s="2227"/>
      <c r="DS134" s="2227"/>
      <c r="DT134" s="2227"/>
      <c r="DU134" s="2227"/>
      <c r="DV134" s="2227"/>
      <c r="DW134" s="2227"/>
      <c r="DX134" s="2227"/>
      <c r="DY134" s="2227"/>
      <c r="DZ134" s="2227"/>
    </row>
    <row r="135" spans="116:130">
      <c r="DL135" s="2227"/>
      <c r="DM135" s="2227"/>
      <c r="DN135" s="2227"/>
      <c r="DO135" s="2227"/>
      <c r="DP135" s="2227"/>
      <c r="DQ135" s="2227"/>
      <c r="DR135" s="2227"/>
      <c r="DS135" s="2227"/>
      <c r="DT135" s="2227"/>
      <c r="DU135" s="2227"/>
      <c r="DV135" s="2227"/>
      <c r="DW135" s="2227"/>
      <c r="DX135" s="2227"/>
      <c r="DY135" s="2227"/>
      <c r="DZ135" s="2227"/>
    </row>
    <row r="138" spans="116:130">
      <c r="DL138" s="2227"/>
      <c r="DM138" s="2227"/>
      <c r="DN138" s="2227"/>
      <c r="DO138" s="2227"/>
      <c r="DP138" s="2227"/>
      <c r="DQ138" s="2227"/>
      <c r="DR138" s="2227"/>
      <c r="DS138" s="2227"/>
      <c r="DT138" s="2227"/>
      <c r="DU138" s="2227"/>
      <c r="DV138" s="2227"/>
      <c r="DW138" s="2227"/>
      <c r="DX138" s="2227"/>
      <c r="DY138" s="2227"/>
      <c r="DZ138" s="2227"/>
    </row>
    <row r="139" spans="116:130">
      <c r="DL139" s="2227"/>
      <c r="DM139" s="2227"/>
      <c r="DN139" s="2227"/>
      <c r="DO139" s="2227"/>
      <c r="DP139" s="2227"/>
      <c r="DQ139" s="2227"/>
      <c r="DR139" s="2227"/>
      <c r="DS139" s="2227"/>
      <c r="DT139" s="2227"/>
      <c r="DU139" s="2227"/>
      <c r="DV139" s="2227"/>
      <c r="DW139" s="2227"/>
      <c r="DX139" s="2227"/>
      <c r="DY139" s="2227"/>
      <c r="DZ139" s="2227"/>
    </row>
    <row r="140" spans="116:130">
      <c r="DL140" s="2227"/>
      <c r="DM140" s="2227"/>
      <c r="DN140" s="2227"/>
      <c r="DO140" s="2227"/>
      <c r="DP140" s="2227"/>
      <c r="DQ140" s="2227"/>
      <c r="DR140" s="2227"/>
      <c r="DS140" s="2227"/>
      <c r="DT140" s="2227"/>
      <c r="DU140" s="2227"/>
      <c r="DV140" s="2227"/>
      <c r="DW140" s="2227"/>
      <c r="DX140" s="2227"/>
      <c r="DY140" s="2227"/>
      <c r="DZ140" s="2227"/>
    </row>
  </sheetData>
  <pageMargins left="0" right="0" top="0" bottom="0" header="0" footer="0"/>
  <pageSetup fitToHeight="3" orientation="landscape" r:id="rId1"/>
  <rowBreaks count="1" manualBreakCount="1">
    <brk id="86" max="119"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ID253"/>
  <sheetViews>
    <sheetView showGridLines="0" zoomScaleNormal="100" workbookViewId="0">
      <pane xSplit="3" ySplit="7" topLeftCell="DG166" activePane="bottomRight" state="frozen"/>
      <selection activeCell="DM46" sqref="DM46"/>
      <selection pane="topRight" activeCell="DM46" sqref="DM46"/>
      <selection pane="bottomLeft" activeCell="DM46" sqref="DM46"/>
      <selection pane="bottomRight" activeCell="DR187" sqref="DR187"/>
    </sheetView>
  </sheetViews>
  <sheetFormatPr defaultColWidth="9.83203125" defaultRowHeight="11.25" outlineLevelRow="1" outlineLevelCol="1"/>
  <cols>
    <col min="1" max="1" width="2.33203125" customWidth="1"/>
    <col min="2" max="2" width="38.33203125" customWidth="1"/>
    <col min="3" max="3" width="2.33203125" customWidth="1"/>
    <col min="4" max="84" width="9.33203125" hidden="1" customWidth="1" outlineLevel="1"/>
    <col min="85" max="85" width="9.33203125" hidden="1" customWidth="1" collapsed="1"/>
    <col min="86" max="89" width="9.33203125" hidden="1" customWidth="1" outlineLevel="1"/>
    <col min="90" max="90" width="9.33203125" hidden="1" customWidth="1" collapsed="1"/>
    <col min="91" max="94" width="9.33203125" hidden="1" customWidth="1" outlineLevel="1"/>
    <col min="95" max="95" width="9.33203125" hidden="1" customWidth="1" collapsed="1"/>
    <col min="96" max="99" width="9.33203125" hidden="1" customWidth="1" outlineLevel="1"/>
    <col min="100" max="100" width="9.33203125" hidden="1" customWidth="1" collapsed="1"/>
    <col min="101" max="104" width="9.33203125" hidden="1" customWidth="1" outlineLevel="1"/>
    <col min="105" max="105" width="9.33203125" hidden="1" customWidth="1" collapsed="1"/>
    <col min="106" max="109" width="9.33203125" hidden="1" customWidth="1" outlineLevel="1"/>
    <col min="110" max="110" width="9.33203125" hidden="1" customWidth="1" collapsed="1"/>
    <col min="111" max="111" width="9.33203125" style="2125" hidden="1" customWidth="1" outlineLevel="1"/>
    <col min="112" max="114" width="9.33203125" hidden="1" customWidth="1" outlineLevel="1"/>
    <col min="115" max="115" width="9.33203125" hidden="1" customWidth="1" collapsed="1"/>
    <col min="116" max="119" width="9.33203125" customWidth="1" outlineLevel="1"/>
    <col min="120" max="120" width="9.33203125" customWidth="1"/>
    <col min="121" max="124" width="9.33203125" customWidth="1" outlineLevel="1"/>
    <col min="125" max="125" width="9.33203125" customWidth="1"/>
    <col min="126" max="129" width="9.33203125" style="2161" hidden="1" customWidth="1" outlineLevel="1"/>
    <col min="130" max="130" width="9.33203125" style="2161" customWidth="1" collapsed="1"/>
    <col min="131" max="134" width="9.33203125" style="2248" hidden="1" customWidth="1" outlineLevel="1"/>
    <col min="135" max="135" width="9.33203125" style="2248" customWidth="1" collapsed="1"/>
    <col min="137" max="137" width="11.83203125" bestFit="1" customWidth="1"/>
  </cols>
  <sheetData>
    <row r="1" spans="1:238">
      <c r="CY1" s="1237"/>
      <c r="CZ1" s="1237"/>
      <c r="DB1" s="1616"/>
      <c r="DC1" s="1616"/>
      <c r="DD1" s="1616"/>
      <c r="DE1" s="1616"/>
      <c r="DG1" s="1616"/>
    </row>
    <row r="2" spans="1:238">
      <c r="CK2">
        <v>42978</v>
      </c>
      <c r="CM2" s="2197" t="s">
        <v>596</v>
      </c>
      <c r="CN2" s="2197" t="s">
        <v>597</v>
      </c>
      <c r="CO2" s="2197" t="s">
        <v>598</v>
      </c>
      <c r="CP2" s="2197" t="s">
        <v>599</v>
      </c>
      <c r="CR2" s="2197" t="s">
        <v>596</v>
      </c>
      <c r="CS2" s="2197" t="s">
        <v>597</v>
      </c>
      <c r="CT2" s="2197" t="s">
        <v>598</v>
      </c>
      <c r="CU2" s="2197" t="s">
        <v>599</v>
      </c>
      <c r="CV2" s="63">
        <f>Model!CV46</f>
        <v>3.121121765911012</v>
      </c>
      <c r="CW2" s="63">
        <f>Model!CW46</f>
        <v>0.71554862194487778</v>
      </c>
      <c r="CX2" s="63">
        <f>Model!CX46</f>
        <v>0.91314724499325528</v>
      </c>
      <c r="CY2" s="63">
        <f>Model!CY46</f>
        <v>0.91256717651922292</v>
      </c>
      <c r="CZ2" s="63">
        <f>Model!CZ46</f>
        <v>0.73767951234631679</v>
      </c>
      <c r="DA2" s="63">
        <f>Model!DA46</f>
        <v>3.2789425558036727</v>
      </c>
      <c r="DB2" s="63">
        <f>Model!DB46</f>
        <v>0.78347280334728031</v>
      </c>
      <c r="DC2" s="63">
        <f>Model!DC46</f>
        <v>1.1794823172466107</v>
      </c>
      <c r="DD2" s="63">
        <f>Model!DD46</f>
        <v>1.0186865021770681</v>
      </c>
      <c r="DE2" s="63">
        <f>Model!DE46</f>
        <v>0.87891156462585029</v>
      </c>
      <c r="DF2" s="63">
        <f>Model!DF46</f>
        <v>3.8760793244140808</v>
      </c>
      <c r="DG2" s="63">
        <f>Model!DG46</f>
        <v>1.0304023302384855</v>
      </c>
      <c r="DH2" s="63"/>
      <c r="DI2" s="63"/>
      <c r="DJ2" s="63"/>
      <c r="DK2" s="63">
        <f>Model!DK46</f>
        <v>4.5921390970048703</v>
      </c>
      <c r="DL2" s="63"/>
      <c r="DM2" s="63"/>
      <c r="DN2" s="63"/>
      <c r="DO2" s="63"/>
      <c r="DP2" s="63">
        <f>Model!DP46</f>
        <v>5.1015733140165009</v>
      </c>
      <c r="DQ2" s="63"/>
      <c r="DR2" s="63"/>
      <c r="DS2" s="63"/>
      <c r="DT2" s="63"/>
      <c r="DU2" s="63">
        <f ca="1">Model!DU46</f>
        <v>5.7689336700130847</v>
      </c>
      <c r="DV2" s="63"/>
      <c r="DW2" s="63"/>
      <c r="DX2" s="63"/>
      <c r="DY2" s="63"/>
      <c r="DZ2" s="63">
        <f ca="1">Model!DZ46</f>
        <v>6.5619782360225836</v>
      </c>
      <c r="EA2" s="63"/>
      <c r="EB2" s="63"/>
      <c r="EC2" s="63"/>
      <c r="ED2" s="63"/>
      <c r="EE2" s="63">
        <f ca="1">Model!EE46</f>
        <v>7.0691959944911762</v>
      </c>
    </row>
    <row r="3" spans="1:238" ht="12" thickBot="1">
      <c r="CM3">
        <v>2011</v>
      </c>
      <c r="CN3" s="2196">
        <v>2012</v>
      </c>
      <c r="CO3" s="2196">
        <v>2012</v>
      </c>
      <c r="CP3">
        <v>2012</v>
      </c>
      <c r="CR3" s="2196">
        <v>2012</v>
      </c>
      <c r="CS3" s="2196">
        <v>2013</v>
      </c>
      <c r="CT3" s="2196">
        <v>2013</v>
      </c>
      <c r="CU3" s="2196">
        <v>2013</v>
      </c>
      <c r="CV3" s="1658"/>
      <c r="CW3" s="1658"/>
      <c r="CX3" s="1658"/>
      <c r="CY3" s="1658"/>
      <c r="CZ3" s="1658"/>
      <c r="DA3" s="1658"/>
      <c r="DB3" s="1658"/>
      <c r="DC3" s="1658"/>
      <c r="DD3" s="1658"/>
      <c r="DE3" s="1658"/>
      <c r="DF3" s="1658"/>
      <c r="DG3" s="1658"/>
      <c r="DH3" s="1658"/>
      <c r="DI3" s="1658"/>
      <c r="DJ3" s="1658"/>
      <c r="DK3" s="1658"/>
      <c r="DL3" s="1658"/>
      <c r="DM3" s="1658"/>
      <c r="DN3" s="1658"/>
      <c r="DO3" s="1658"/>
      <c r="DP3" s="1658"/>
      <c r="DQ3" s="2203"/>
      <c r="DR3" s="1658"/>
      <c r="DS3" s="1658"/>
      <c r="DT3" s="1658"/>
      <c r="DU3" s="1658"/>
      <c r="DV3" s="1658"/>
      <c r="DW3" s="1658"/>
      <c r="DX3" s="1658"/>
      <c r="DY3" s="1658"/>
      <c r="DZ3" s="1658"/>
      <c r="EA3" s="1658"/>
      <c r="EB3" s="1658"/>
      <c r="EC3" s="1658"/>
      <c r="ED3" s="1658"/>
      <c r="EE3" s="1658"/>
    </row>
    <row r="4" spans="1:238" s="54" customFormat="1" ht="18.75">
      <c r="B4" s="508" t="s">
        <v>52</v>
      </c>
      <c r="C4" s="509"/>
      <c r="D4" s="509"/>
      <c r="E4" s="509"/>
      <c r="F4" s="509"/>
      <c r="G4" s="509"/>
      <c r="H4" s="509"/>
      <c r="I4" s="509"/>
      <c r="J4" s="509"/>
      <c r="K4" s="509"/>
      <c r="L4" s="509"/>
      <c r="M4" s="509"/>
      <c r="N4" s="509"/>
      <c r="O4" s="509"/>
      <c r="P4" s="509"/>
      <c r="Q4" s="509"/>
      <c r="R4" s="509"/>
      <c r="S4" s="509"/>
      <c r="T4" s="509"/>
      <c r="U4" s="509"/>
      <c r="V4" s="509"/>
      <c r="W4" s="509"/>
      <c r="X4" s="509"/>
      <c r="Y4" s="509"/>
      <c r="Z4" s="509"/>
      <c r="AA4" s="509"/>
      <c r="AB4" s="509"/>
      <c r="AC4" s="509"/>
      <c r="AD4" s="509"/>
      <c r="AE4" s="509"/>
      <c r="AF4" s="509"/>
      <c r="AG4" s="509"/>
      <c r="AH4" s="509"/>
      <c r="AI4" s="509"/>
      <c r="AJ4" s="509"/>
      <c r="AK4" s="509"/>
      <c r="AL4" s="509"/>
      <c r="AM4" s="509"/>
      <c r="AN4" s="509"/>
      <c r="AO4" s="509"/>
      <c r="AP4" s="509"/>
      <c r="AQ4" s="509"/>
      <c r="AR4" s="509"/>
      <c r="AS4" s="509"/>
      <c r="AT4" s="509"/>
      <c r="AU4" s="509"/>
      <c r="AV4" s="509"/>
      <c r="AW4" s="509"/>
      <c r="AX4" s="509"/>
      <c r="AY4" s="509"/>
      <c r="AZ4" s="509"/>
      <c r="BA4" s="509"/>
      <c r="BB4" s="509"/>
      <c r="BC4" s="509"/>
      <c r="BD4" s="509"/>
      <c r="BE4" s="509"/>
      <c r="BF4" s="509"/>
      <c r="BG4" s="509"/>
      <c r="BH4" s="509"/>
      <c r="BI4" s="509"/>
      <c r="BJ4" s="509"/>
      <c r="BK4" s="509"/>
      <c r="BL4" s="509"/>
      <c r="BM4" s="509"/>
      <c r="BN4" s="509"/>
      <c r="BO4" s="509"/>
      <c r="BP4" s="509"/>
      <c r="BQ4" s="509"/>
      <c r="BR4" s="509"/>
      <c r="BS4" s="509"/>
      <c r="BT4" s="509"/>
      <c r="BU4" s="509"/>
      <c r="BV4" s="509"/>
      <c r="BW4" s="509"/>
      <c r="BX4" s="509"/>
      <c r="BY4" s="509"/>
      <c r="BZ4" s="509"/>
      <c r="CA4" s="509"/>
      <c r="CB4" s="509"/>
      <c r="CC4" s="509"/>
      <c r="CD4" s="509"/>
      <c r="CE4" s="510"/>
      <c r="CF4" s="511"/>
      <c r="CG4" s="512"/>
      <c r="CH4" s="513"/>
      <c r="CI4" s="513"/>
      <c r="CJ4" s="513"/>
      <c r="CK4" s="513"/>
      <c r="CL4" s="514"/>
      <c r="CM4" s="514"/>
      <c r="CN4" s="514"/>
      <c r="CO4" s="514"/>
      <c r="CP4" s="514"/>
      <c r="CQ4" s="515"/>
      <c r="CR4" s="516"/>
      <c r="CS4" s="509"/>
      <c r="CT4" s="517"/>
      <c r="CU4" s="518"/>
      <c r="CV4" s="509"/>
      <c r="CW4" s="517"/>
      <c r="CX4" s="517"/>
      <c r="CY4" s="519"/>
      <c r="CZ4" s="517"/>
      <c r="DA4" s="509"/>
      <c r="DB4" s="517"/>
      <c r="DC4" s="517"/>
      <c r="DD4" s="517"/>
      <c r="DE4" s="517"/>
      <c r="DF4" s="509"/>
      <c r="DG4" s="517"/>
      <c r="DH4" s="509"/>
      <c r="DI4" s="509"/>
      <c r="DJ4" s="509"/>
      <c r="DK4" s="509"/>
      <c r="DL4" s="509"/>
      <c r="DM4" s="509"/>
      <c r="DN4" s="509"/>
      <c r="DO4" s="509"/>
      <c r="DP4" s="509"/>
      <c r="DQ4" s="509"/>
      <c r="DR4" s="509"/>
      <c r="DS4" s="509"/>
      <c r="DT4" s="509"/>
      <c r="DU4" s="509"/>
      <c r="DV4" s="509"/>
      <c r="DW4" s="509"/>
      <c r="DX4" s="509"/>
      <c r="DY4" s="509"/>
      <c r="DZ4" s="509"/>
      <c r="EA4" s="509"/>
      <c r="EB4" s="509"/>
      <c r="EC4" s="509"/>
      <c r="ED4" s="509"/>
      <c r="EE4" s="509"/>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row>
    <row r="5" spans="1:238" s="54" customFormat="1" ht="12.75" customHeight="1" thickBot="1">
      <c r="B5" s="65" t="s">
        <v>439</v>
      </c>
      <c r="C5" s="66"/>
      <c r="D5" s="66"/>
      <c r="E5" s="66"/>
      <c r="F5" s="66"/>
      <c r="G5" s="66"/>
      <c r="H5" s="66"/>
      <c r="I5" s="66"/>
      <c r="J5" s="66"/>
      <c r="K5" s="66"/>
      <c r="L5" s="66"/>
      <c r="M5" s="66"/>
      <c r="N5" s="66"/>
      <c r="O5" s="66"/>
      <c r="P5" s="66"/>
      <c r="Q5" s="66"/>
      <c r="R5" s="66"/>
      <c r="S5" s="66"/>
      <c r="T5" s="66"/>
      <c r="U5" s="66"/>
      <c r="V5" s="66"/>
      <c r="W5" s="66"/>
      <c r="X5" s="66"/>
      <c r="Y5" s="66"/>
      <c r="Z5" s="66"/>
      <c r="AA5" s="66"/>
      <c r="AB5" s="66"/>
      <c r="AC5" s="66"/>
      <c r="AD5" s="66"/>
      <c r="AE5" s="66"/>
      <c r="AF5" s="66"/>
      <c r="AG5" s="66"/>
      <c r="AH5" s="66"/>
      <c r="AI5" s="66"/>
      <c r="AJ5" s="66"/>
      <c r="AK5" s="66"/>
      <c r="AL5" s="66"/>
      <c r="AM5" s="66"/>
      <c r="AN5" s="66"/>
      <c r="AO5" s="66"/>
      <c r="AP5" s="66"/>
      <c r="AQ5" s="66"/>
      <c r="AR5" s="66"/>
      <c r="AS5" s="66"/>
      <c r="AT5" s="66"/>
      <c r="AU5" s="66"/>
      <c r="AV5" s="66"/>
      <c r="AW5" s="66"/>
      <c r="AX5" s="66"/>
      <c r="AY5" s="66"/>
      <c r="AZ5" s="66"/>
      <c r="BA5" s="66"/>
      <c r="BB5" s="66"/>
      <c r="BC5" s="66"/>
      <c r="BD5" s="66"/>
      <c r="BE5" s="66"/>
      <c r="BF5" s="66"/>
      <c r="BG5" s="66"/>
      <c r="BH5" s="66"/>
      <c r="BI5" s="66"/>
      <c r="BJ5" s="66"/>
      <c r="BK5" s="66"/>
      <c r="BL5" s="66"/>
      <c r="BM5" s="66"/>
      <c r="BN5" s="66"/>
      <c r="BO5" s="66"/>
      <c r="BP5" s="66"/>
      <c r="BQ5" s="66"/>
      <c r="BR5" s="66"/>
      <c r="BS5" s="66"/>
      <c r="BT5" s="66"/>
      <c r="BU5" s="66"/>
      <c r="BV5" s="66"/>
      <c r="BW5" s="66"/>
      <c r="BX5" s="66"/>
      <c r="BY5" s="66"/>
      <c r="BZ5" s="66"/>
      <c r="CA5" s="66"/>
      <c r="CB5" s="66"/>
      <c r="CC5" s="66"/>
      <c r="CD5" s="66"/>
      <c r="CE5" s="66"/>
      <c r="CF5" s="66"/>
      <c r="CG5" s="66"/>
      <c r="CH5" s="66"/>
      <c r="CI5" s="66"/>
      <c r="CJ5" s="66"/>
      <c r="CK5" s="66"/>
      <c r="CL5" s="66"/>
      <c r="CM5" s="66"/>
      <c r="CN5" s="66"/>
      <c r="CO5" s="66"/>
      <c r="CP5" s="66"/>
      <c r="CQ5" s="66"/>
      <c r="CR5" s="66"/>
      <c r="CS5" s="66"/>
      <c r="CT5" s="66"/>
      <c r="CU5" s="66"/>
      <c r="CV5" s="66"/>
      <c r="CW5" s="67"/>
      <c r="CX5" s="67"/>
      <c r="CY5" s="67"/>
      <c r="CZ5" s="67"/>
      <c r="DA5" s="66"/>
      <c r="DB5" s="67"/>
      <c r="DC5" s="66"/>
      <c r="DD5" s="66"/>
      <c r="DE5" s="67"/>
      <c r="DF5" s="66"/>
      <c r="DG5" s="67"/>
      <c r="DH5" s="66"/>
      <c r="DI5" s="66"/>
      <c r="DJ5" s="66"/>
      <c r="DK5" s="66"/>
      <c r="DL5" s="66"/>
      <c r="DM5" s="66"/>
      <c r="DN5" s="66"/>
      <c r="DO5" s="66"/>
      <c r="DP5" s="66"/>
      <c r="DQ5" s="66"/>
      <c r="DR5" s="66"/>
      <c r="DS5" s="66"/>
      <c r="DT5" s="66"/>
      <c r="DU5" s="66"/>
      <c r="DV5" s="66"/>
      <c r="DW5" s="66"/>
      <c r="DX5" s="66"/>
      <c r="DY5" s="66"/>
      <c r="DZ5" s="66"/>
      <c r="EA5" s="66"/>
      <c r="EB5" s="66"/>
      <c r="EC5" s="66"/>
      <c r="ED5" s="66"/>
      <c r="EE5" s="66"/>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row>
    <row r="6" spans="1:238" s="69" customFormat="1" ht="12.75" customHeight="1" thickBot="1">
      <c r="A6" s="68"/>
      <c r="B6" s="520" t="s">
        <v>440</v>
      </c>
      <c r="C6" s="521"/>
      <c r="D6" s="522"/>
      <c r="E6" s="522"/>
      <c r="F6" s="522"/>
      <c r="G6" s="522"/>
      <c r="H6" s="522"/>
      <c r="I6" s="522"/>
      <c r="J6" s="522"/>
      <c r="K6" s="527" t="s">
        <v>143</v>
      </c>
      <c r="L6" s="528"/>
      <c r="M6" s="528"/>
      <c r="N6" s="528"/>
      <c r="O6" s="529"/>
      <c r="P6" s="527" t="s">
        <v>143</v>
      </c>
      <c r="Q6" s="528"/>
      <c r="R6" s="528"/>
      <c r="S6" s="528"/>
      <c r="T6" s="529"/>
      <c r="U6" s="527" t="s">
        <v>143</v>
      </c>
      <c r="V6" s="528"/>
      <c r="W6" s="528"/>
      <c r="X6" s="528"/>
      <c r="Y6" s="529"/>
      <c r="Z6" s="527" t="s">
        <v>143</v>
      </c>
      <c r="AA6" s="528"/>
      <c r="AB6" s="528"/>
      <c r="AC6" s="528"/>
      <c r="AD6" s="529"/>
      <c r="AE6" s="527" t="s">
        <v>143</v>
      </c>
      <c r="AF6" s="528"/>
      <c r="AG6" s="528"/>
      <c r="AH6" s="528"/>
      <c r="AI6" s="529"/>
      <c r="AJ6" s="527" t="s">
        <v>143</v>
      </c>
      <c r="AK6" s="528"/>
      <c r="AL6" s="528"/>
      <c r="AM6" s="528"/>
      <c r="AN6" s="529"/>
      <c r="AO6" s="527" t="s">
        <v>143</v>
      </c>
      <c r="AP6" s="528"/>
      <c r="AQ6" s="528"/>
      <c r="AR6" s="528"/>
      <c r="AS6" s="529"/>
      <c r="AT6" s="527" t="s">
        <v>143</v>
      </c>
      <c r="AU6" s="528"/>
      <c r="AV6" s="528"/>
      <c r="AW6" s="528"/>
      <c r="AX6" s="529"/>
      <c r="AY6" s="527" t="s">
        <v>143</v>
      </c>
      <c r="AZ6" s="528"/>
      <c r="BA6" s="528"/>
      <c r="BB6" s="528"/>
      <c r="BC6" s="529"/>
      <c r="BD6" s="527" t="s">
        <v>143</v>
      </c>
      <c r="BE6" s="528"/>
      <c r="BF6" s="528"/>
      <c r="BG6" s="528"/>
      <c r="BH6" s="529"/>
      <c r="BI6" s="527" t="s">
        <v>143</v>
      </c>
      <c r="BJ6" s="528"/>
      <c r="BK6" s="528"/>
      <c r="BL6" s="528"/>
      <c r="BM6" s="529"/>
      <c r="BN6" s="527" t="s">
        <v>143</v>
      </c>
      <c r="BO6" s="528"/>
      <c r="BP6" s="528"/>
      <c r="BQ6" s="528"/>
      <c r="BR6" s="529"/>
      <c r="BS6" s="527" t="s">
        <v>143</v>
      </c>
      <c r="BT6" s="528"/>
      <c r="BU6" s="528"/>
      <c r="BV6" s="528"/>
      <c r="BW6" s="529"/>
      <c r="BX6" s="527" t="s">
        <v>143</v>
      </c>
      <c r="BY6" s="528"/>
      <c r="BZ6" s="528"/>
      <c r="CA6" s="528"/>
      <c r="CB6" s="529"/>
      <c r="CC6" s="527" t="s">
        <v>143</v>
      </c>
      <c r="CD6" s="528"/>
      <c r="CE6" s="528"/>
      <c r="CF6" s="528"/>
      <c r="CG6" s="529"/>
      <c r="CH6" s="528" t="s">
        <v>143</v>
      </c>
      <c r="CI6" s="528"/>
      <c r="CJ6" s="528"/>
      <c r="CK6" s="528"/>
      <c r="CL6" s="529"/>
      <c r="CM6" s="528" t="s">
        <v>143</v>
      </c>
      <c r="CN6" s="528"/>
      <c r="CO6" s="528"/>
      <c r="CP6" s="528"/>
      <c r="CQ6" s="529"/>
      <c r="CR6" s="528" t="s">
        <v>143</v>
      </c>
      <c r="CS6" s="528"/>
      <c r="CT6" s="528"/>
      <c r="CU6" s="528"/>
      <c r="CV6" s="529"/>
      <c r="CW6" s="528" t="s">
        <v>143</v>
      </c>
      <c r="CX6" s="528"/>
      <c r="CY6" s="528"/>
      <c r="CZ6" s="528"/>
      <c r="DA6" s="529"/>
      <c r="DB6" s="528" t="s">
        <v>143</v>
      </c>
      <c r="DC6" s="528"/>
      <c r="DD6" s="528"/>
      <c r="DE6" s="528"/>
      <c r="DF6" s="529"/>
      <c r="DG6" s="528"/>
      <c r="DH6" s="528"/>
      <c r="DI6" s="528"/>
      <c r="DJ6" s="528"/>
      <c r="DK6" s="529"/>
      <c r="DL6" s="528" t="s">
        <v>143</v>
      </c>
      <c r="DM6" s="528"/>
      <c r="DN6" s="528"/>
      <c r="DO6" s="528"/>
      <c r="DP6" s="529"/>
      <c r="DQ6" s="528" t="s">
        <v>143</v>
      </c>
      <c r="DR6" s="528"/>
      <c r="DS6" s="528"/>
      <c r="DT6" s="528"/>
      <c r="DU6" s="529"/>
      <c r="DV6" s="528" t="s">
        <v>143</v>
      </c>
      <c r="DW6" s="528"/>
      <c r="DX6" s="528"/>
      <c r="DY6" s="528"/>
      <c r="DZ6" s="529"/>
      <c r="EA6" s="528" t="s">
        <v>143</v>
      </c>
      <c r="EB6" s="528"/>
      <c r="EC6" s="528"/>
      <c r="ED6" s="528"/>
      <c r="EE6" s="529"/>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row>
    <row r="7" spans="1:238" s="69" customFormat="1" ht="12.75" customHeight="1" thickBot="1">
      <c r="A7" s="68"/>
      <c r="B7" s="523" t="s">
        <v>406</v>
      </c>
      <c r="C7" s="524"/>
      <c r="D7" s="525">
        <v>1989</v>
      </c>
      <c r="E7" s="525">
        <f t="shared" ref="E7:J7" si="0">D7+1</f>
        <v>1990</v>
      </c>
      <c r="F7" s="525">
        <f t="shared" si="0"/>
        <v>1991</v>
      </c>
      <c r="G7" s="525">
        <f t="shared" si="0"/>
        <v>1992</v>
      </c>
      <c r="H7" s="525">
        <f t="shared" si="0"/>
        <v>1993</v>
      </c>
      <c r="I7" s="525">
        <f t="shared" si="0"/>
        <v>1994</v>
      </c>
      <c r="J7" s="526">
        <f t="shared" si="0"/>
        <v>1995</v>
      </c>
      <c r="K7" s="531" t="s">
        <v>144</v>
      </c>
      <c r="L7" s="532" t="s">
        <v>145</v>
      </c>
      <c r="M7" s="532" t="s">
        <v>146</v>
      </c>
      <c r="N7" s="533" t="s">
        <v>147</v>
      </c>
      <c r="O7" s="534">
        <f>J7+1</f>
        <v>1996</v>
      </c>
      <c r="P7" s="531" t="s">
        <v>144</v>
      </c>
      <c r="Q7" s="532" t="s">
        <v>145</v>
      </c>
      <c r="R7" s="532" t="s">
        <v>146</v>
      </c>
      <c r="S7" s="533" t="s">
        <v>147</v>
      </c>
      <c r="T7" s="534">
        <f>O7+1</f>
        <v>1997</v>
      </c>
      <c r="U7" s="531" t="s">
        <v>144</v>
      </c>
      <c r="V7" s="532" t="s">
        <v>145</v>
      </c>
      <c r="W7" s="532" t="s">
        <v>146</v>
      </c>
      <c r="X7" s="533" t="s">
        <v>147</v>
      </c>
      <c r="Y7" s="534">
        <f>T7+1</f>
        <v>1998</v>
      </c>
      <c r="Z7" s="531" t="s">
        <v>144</v>
      </c>
      <c r="AA7" s="532" t="s">
        <v>145</v>
      </c>
      <c r="AB7" s="532" t="s">
        <v>146</v>
      </c>
      <c r="AC7" s="533" t="s">
        <v>147</v>
      </c>
      <c r="AD7" s="534">
        <f>Y7+1</f>
        <v>1999</v>
      </c>
      <c r="AE7" s="531" t="s">
        <v>144</v>
      </c>
      <c r="AF7" s="532" t="s">
        <v>145</v>
      </c>
      <c r="AG7" s="532" t="s">
        <v>146</v>
      </c>
      <c r="AH7" s="533" t="s">
        <v>147</v>
      </c>
      <c r="AI7" s="534">
        <f>AD7+1</f>
        <v>2000</v>
      </c>
      <c r="AJ7" s="531" t="s">
        <v>144</v>
      </c>
      <c r="AK7" s="532" t="s">
        <v>145</v>
      </c>
      <c r="AL7" s="532" t="s">
        <v>146</v>
      </c>
      <c r="AM7" s="533" t="s">
        <v>147</v>
      </c>
      <c r="AN7" s="534">
        <f>AI7+1</f>
        <v>2001</v>
      </c>
      <c r="AO7" s="531" t="s">
        <v>144</v>
      </c>
      <c r="AP7" s="532" t="s">
        <v>145</v>
      </c>
      <c r="AQ7" s="532" t="s">
        <v>146</v>
      </c>
      <c r="AR7" s="533" t="s">
        <v>147</v>
      </c>
      <c r="AS7" s="534">
        <f>AN7+1</f>
        <v>2002</v>
      </c>
      <c r="AT7" s="531" t="s">
        <v>144</v>
      </c>
      <c r="AU7" s="532" t="s">
        <v>145</v>
      </c>
      <c r="AV7" s="532" t="s">
        <v>146</v>
      </c>
      <c r="AW7" s="533" t="s">
        <v>147</v>
      </c>
      <c r="AX7" s="534">
        <f>AS7+1</f>
        <v>2003</v>
      </c>
      <c r="AY7" s="531" t="s">
        <v>144</v>
      </c>
      <c r="AZ7" s="532" t="s">
        <v>145</v>
      </c>
      <c r="BA7" s="532" t="s">
        <v>146</v>
      </c>
      <c r="BB7" s="533" t="s">
        <v>147</v>
      </c>
      <c r="BC7" s="534">
        <f>AX7+1</f>
        <v>2004</v>
      </c>
      <c r="BD7" s="531" t="s">
        <v>144</v>
      </c>
      <c r="BE7" s="532" t="s">
        <v>145</v>
      </c>
      <c r="BF7" s="532" t="s">
        <v>146</v>
      </c>
      <c r="BG7" s="533" t="s">
        <v>147</v>
      </c>
      <c r="BH7" s="534">
        <f>BC7+1</f>
        <v>2005</v>
      </c>
      <c r="BI7" s="531" t="s">
        <v>144</v>
      </c>
      <c r="BJ7" s="532" t="s">
        <v>145</v>
      </c>
      <c r="BK7" s="532" t="s">
        <v>146</v>
      </c>
      <c r="BL7" s="533" t="s">
        <v>147</v>
      </c>
      <c r="BM7" s="534">
        <f>BH7+1</f>
        <v>2006</v>
      </c>
      <c r="BN7" s="531" t="s">
        <v>144</v>
      </c>
      <c r="BO7" s="532" t="s">
        <v>145</v>
      </c>
      <c r="BP7" s="532" t="s">
        <v>146</v>
      </c>
      <c r="BQ7" s="533" t="s">
        <v>147</v>
      </c>
      <c r="BR7" s="534">
        <f>BM7+1</f>
        <v>2007</v>
      </c>
      <c r="BS7" s="531" t="s">
        <v>144</v>
      </c>
      <c r="BT7" s="532" t="s">
        <v>145</v>
      </c>
      <c r="BU7" s="532" t="s">
        <v>146</v>
      </c>
      <c r="BV7" s="533" t="s">
        <v>147</v>
      </c>
      <c r="BW7" s="534">
        <f>BR7+1</f>
        <v>2008</v>
      </c>
      <c r="BX7" s="531" t="s">
        <v>144</v>
      </c>
      <c r="BY7" s="532" t="s">
        <v>145</v>
      </c>
      <c r="BZ7" s="532" t="s">
        <v>146</v>
      </c>
      <c r="CA7" s="533" t="s">
        <v>147</v>
      </c>
      <c r="CB7" s="534">
        <f>BW7+1</f>
        <v>2009</v>
      </c>
      <c r="CC7" s="531" t="s">
        <v>144</v>
      </c>
      <c r="CD7" s="532" t="s">
        <v>145</v>
      </c>
      <c r="CE7" s="532" t="s">
        <v>146</v>
      </c>
      <c r="CF7" s="532" t="s">
        <v>147</v>
      </c>
      <c r="CG7" s="534">
        <f>CB7+1</f>
        <v>2010</v>
      </c>
      <c r="CH7" s="532" t="s">
        <v>144</v>
      </c>
      <c r="CI7" s="532" t="s">
        <v>145</v>
      </c>
      <c r="CJ7" s="532" t="s">
        <v>146</v>
      </c>
      <c r="CK7" s="532" t="s">
        <v>147</v>
      </c>
      <c r="CL7" s="534">
        <f>CG7+1</f>
        <v>2011</v>
      </c>
      <c r="CM7" s="532" t="s">
        <v>144</v>
      </c>
      <c r="CN7" s="532" t="s">
        <v>145</v>
      </c>
      <c r="CO7" s="532" t="s">
        <v>146</v>
      </c>
      <c r="CP7" s="532" t="s">
        <v>147</v>
      </c>
      <c r="CQ7" s="534">
        <f>CL7+1</f>
        <v>2012</v>
      </c>
      <c r="CR7" s="530" t="s">
        <v>144</v>
      </c>
      <c r="CS7" s="530" t="s">
        <v>145</v>
      </c>
      <c r="CT7" s="530" t="s">
        <v>146</v>
      </c>
      <c r="CU7" s="530" t="s">
        <v>147</v>
      </c>
      <c r="CV7" s="534">
        <f>CQ7+1</f>
        <v>2013</v>
      </c>
      <c r="CW7" s="530" t="s">
        <v>144</v>
      </c>
      <c r="CX7" s="530" t="s">
        <v>145</v>
      </c>
      <c r="CY7" s="530" t="s">
        <v>146</v>
      </c>
      <c r="CZ7" s="530" t="s">
        <v>147</v>
      </c>
      <c r="DA7" s="534">
        <f>CV7+1</f>
        <v>2014</v>
      </c>
      <c r="DB7" s="530" t="s">
        <v>144</v>
      </c>
      <c r="DC7" s="530" t="s">
        <v>145</v>
      </c>
      <c r="DD7" s="530" t="s">
        <v>146</v>
      </c>
      <c r="DE7" s="530" t="s">
        <v>147</v>
      </c>
      <c r="DF7" s="534">
        <f>DA7+1</f>
        <v>2015</v>
      </c>
      <c r="DG7" s="530" t="s">
        <v>144</v>
      </c>
      <c r="DH7" s="530" t="s">
        <v>145</v>
      </c>
      <c r="DI7" s="530" t="s">
        <v>146</v>
      </c>
      <c r="DJ7" s="530" t="s">
        <v>147</v>
      </c>
      <c r="DK7" s="534">
        <f>DF7+1</f>
        <v>2016</v>
      </c>
      <c r="DL7" s="530" t="s">
        <v>144</v>
      </c>
      <c r="DM7" s="530" t="s">
        <v>145</v>
      </c>
      <c r="DN7" s="530" t="s">
        <v>146</v>
      </c>
      <c r="DO7" s="530" t="s">
        <v>147</v>
      </c>
      <c r="DP7" s="534">
        <f>DK7+1</f>
        <v>2017</v>
      </c>
      <c r="DQ7" s="530" t="str">
        <f>Model!DQ7</f>
        <v>1QA</v>
      </c>
      <c r="DR7" s="530" t="s">
        <v>148</v>
      </c>
      <c r="DS7" s="530" t="s">
        <v>149</v>
      </c>
      <c r="DT7" s="530" t="s">
        <v>150</v>
      </c>
      <c r="DU7" s="682">
        <f>DP7+1</f>
        <v>2018</v>
      </c>
      <c r="DV7" s="530" t="s">
        <v>482</v>
      </c>
      <c r="DW7" s="530" t="s">
        <v>148</v>
      </c>
      <c r="DX7" s="530" t="s">
        <v>149</v>
      </c>
      <c r="DY7" s="530" t="s">
        <v>150</v>
      </c>
      <c r="DZ7" s="682">
        <f>DU7+1</f>
        <v>2019</v>
      </c>
      <c r="EA7" s="530" t="s">
        <v>482</v>
      </c>
      <c r="EB7" s="530" t="s">
        <v>148</v>
      </c>
      <c r="EC7" s="530" t="s">
        <v>149</v>
      </c>
      <c r="ED7" s="530" t="s">
        <v>150</v>
      </c>
      <c r="EE7" s="682">
        <f>DZ7+1</f>
        <v>2020</v>
      </c>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row>
    <row r="8" spans="1:238" s="54" customFormat="1" ht="12.75" customHeight="1" outlineLevel="1">
      <c r="B8" s="1104"/>
      <c r="C8" s="1105"/>
      <c r="D8" s="1106"/>
      <c r="E8" s="1106"/>
      <c r="F8" s="1107"/>
      <c r="G8" s="1107"/>
      <c r="H8" s="1107"/>
      <c r="I8" s="1107"/>
      <c r="J8" s="1108"/>
      <c r="K8" s="535"/>
      <c r="L8" s="536"/>
      <c r="M8" s="536"/>
      <c r="N8" s="537"/>
      <c r="O8" s="1108"/>
      <c r="P8" s="535"/>
      <c r="Q8" s="536"/>
      <c r="R8" s="536"/>
      <c r="S8" s="537"/>
      <c r="T8" s="1108"/>
      <c r="U8" s="535"/>
      <c r="V8" s="536"/>
      <c r="W8" s="536"/>
      <c r="X8" s="537"/>
      <c r="Y8" s="1108"/>
      <c r="Z8" s="535"/>
      <c r="AA8" s="536"/>
      <c r="AB8" s="536"/>
      <c r="AC8" s="537"/>
      <c r="AD8" s="1108"/>
      <c r="AE8" s="535"/>
      <c r="AF8" s="536"/>
      <c r="AG8" s="536"/>
      <c r="AH8" s="537"/>
      <c r="AI8" s="1109"/>
      <c r="AJ8" s="535"/>
      <c r="AK8" s="536"/>
      <c r="AL8" s="536"/>
      <c r="AM8" s="537"/>
      <c r="AN8" s="1109"/>
      <c r="AO8" s="535"/>
      <c r="AP8" s="536"/>
      <c r="AQ8" s="536"/>
      <c r="AR8" s="537"/>
      <c r="AS8" s="1106"/>
      <c r="AT8" s="535"/>
      <c r="AU8" s="536"/>
      <c r="AV8" s="536"/>
      <c r="AW8" s="537"/>
      <c r="AX8" s="1106"/>
      <c r="AY8" s="535"/>
      <c r="AZ8" s="536"/>
      <c r="BA8" s="536"/>
      <c r="BB8" s="537"/>
      <c r="BC8" s="1106"/>
      <c r="BD8" s="535"/>
      <c r="BE8" s="536"/>
      <c r="BF8" s="536"/>
      <c r="BG8" s="537"/>
      <c r="BH8" s="1106"/>
      <c r="BI8" s="535"/>
      <c r="BJ8" s="536"/>
      <c r="BK8" s="536"/>
      <c r="BL8" s="537"/>
      <c r="BM8" s="1106"/>
      <c r="BN8" s="535"/>
      <c r="BO8" s="536"/>
      <c r="BP8" s="536"/>
      <c r="BQ8" s="537"/>
      <c r="BR8" s="1106"/>
      <c r="BS8" s="535">
        <v>39416</v>
      </c>
      <c r="BT8" s="536">
        <v>39507</v>
      </c>
      <c r="BU8" s="536">
        <v>39599</v>
      </c>
      <c r="BV8" s="537">
        <v>39691</v>
      </c>
      <c r="BW8" s="1106"/>
      <c r="BX8" s="535">
        <v>39782</v>
      </c>
      <c r="BY8" s="536">
        <v>39872</v>
      </c>
      <c r="BZ8" s="536">
        <v>39964</v>
      </c>
      <c r="CA8" s="537">
        <v>40056</v>
      </c>
      <c r="CB8" s="1106"/>
      <c r="CC8" s="535">
        <v>40147</v>
      </c>
      <c r="CD8" s="536">
        <v>40237</v>
      </c>
      <c r="CE8" s="536">
        <v>40329</v>
      </c>
      <c r="CF8" s="536">
        <v>40421</v>
      </c>
      <c r="CG8" s="1110"/>
      <c r="CH8" s="536">
        <v>40512</v>
      </c>
      <c r="CI8" s="536">
        <v>40602</v>
      </c>
      <c r="CJ8" s="536">
        <v>40694</v>
      </c>
      <c r="CK8" s="1077">
        <v>40786</v>
      </c>
      <c r="CL8" s="1078">
        <f>CK8</f>
        <v>40786</v>
      </c>
      <c r="CM8" s="536">
        <v>40877</v>
      </c>
      <c r="CN8" s="536">
        <v>40968</v>
      </c>
      <c r="CO8" s="536">
        <v>41060</v>
      </c>
      <c r="CP8" s="536">
        <v>41152</v>
      </c>
      <c r="CQ8" s="1078">
        <f>CP8</f>
        <v>41152</v>
      </c>
      <c r="CR8" s="536">
        <v>41243</v>
      </c>
      <c r="CS8" s="536">
        <v>41333</v>
      </c>
      <c r="CT8" s="536">
        <v>41425</v>
      </c>
      <c r="CU8" s="536">
        <v>41517</v>
      </c>
      <c r="CV8" s="1078">
        <f>CU8</f>
        <v>41517</v>
      </c>
      <c r="CW8" s="536">
        <f>EOMONTH(CU8,3)</f>
        <v>41608</v>
      </c>
      <c r="CX8" s="536">
        <f>EOMONTH(CW8,3)</f>
        <v>41698</v>
      </c>
      <c r="CY8" s="536">
        <f>EOMONTH(CX8,3)</f>
        <v>41790</v>
      </c>
      <c r="CZ8" s="536">
        <f>EOMONTH(CY8,3)</f>
        <v>41882</v>
      </c>
      <c r="DA8" s="1078">
        <f>CZ8</f>
        <v>41882</v>
      </c>
      <c r="DB8" s="536">
        <f>EOMONTH(CZ8,3)</f>
        <v>41973</v>
      </c>
      <c r="DC8" s="536">
        <f>EOMONTH(DB8,3)</f>
        <v>42063</v>
      </c>
      <c r="DD8" s="536">
        <f>EOMONTH(DC8,3)</f>
        <v>42155</v>
      </c>
      <c r="DE8" s="536">
        <f>EOMONTH(DD8,3)</f>
        <v>42247</v>
      </c>
      <c r="DF8" s="1078">
        <f>DE8</f>
        <v>42247</v>
      </c>
      <c r="DG8" s="536">
        <f>EOMONTH(DF8,3)</f>
        <v>42338</v>
      </c>
      <c r="DH8" s="536">
        <f>EOMONTH(DG8,3)</f>
        <v>42429</v>
      </c>
      <c r="DI8" s="536">
        <f>EOMONTH(DH8,3)</f>
        <v>42521</v>
      </c>
      <c r="DJ8" s="536">
        <f>EOMONTH(DI8,3)</f>
        <v>42613</v>
      </c>
      <c r="DK8" s="1078">
        <f>EOMONTH(DF8,12)</f>
        <v>42613</v>
      </c>
      <c r="DL8" s="536">
        <f>EOMONTH(DJ8,3)</f>
        <v>42704</v>
      </c>
      <c r="DM8" s="536">
        <f>EOMONTH(DL8,3)</f>
        <v>42794</v>
      </c>
      <c r="DN8" s="536">
        <f>EOMONTH(DM8,3)</f>
        <v>42886</v>
      </c>
      <c r="DO8" s="536">
        <f>EOMONTH(DN8,3)</f>
        <v>42978</v>
      </c>
      <c r="DP8" s="1078">
        <f>EOMONTH(DK8,12)</f>
        <v>42978</v>
      </c>
      <c r="DQ8" s="536">
        <f>EOMONTH(DO8,3)</f>
        <v>43069</v>
      </c>
      <c r="DR8" s="536">
        <f>EOMONTH(DQ8,3)</f>
        <v>43159</v>
      </c>
      <c r="DS8" s="536">
        <f>EOMONTH(DR8,3)</f>
        <v>43251</v>
      </c>
      <c r="DT8" s="536">
        <f>EOMONTH(DS8,3)</f>
        <v>43343</v>
      </c>
      <c r="DU8" s="1078">
        <f>EOMONTH(DP8,12)</f>
        <v>43343</v>
      </c>
      <c r="DV8" s="536">
        <f>EOMONTH(DT8,3)</f>
        <v>43434</v>
      </c>
      <c r="DW8" s="536">
        <f>EOMONTH(DV8,3)</f>
        <v>43524</v>
      </c>
      <c r="DX8" s="536">
        <f>EOMONTH(DW8,3)</f>
        <v>43616</v>
      </c>
      <c r="DY8" s="536">
        <f>EOMONTH(DX8,3)</f>
        <v>43708</v>
      </c>
      <c r="DZ8" s="1078">
        <f>EOMONTH(DU8,12)</f>
        <v>43708</v>
      </c>
      <c r="EA8" s="536">
        <f>EOMONTH(DY8,3)</f>
        <v>43799</v>
      </c>
      <c r="EB8" s="536">
        <f>EOMONTH(EA8,3)</f>
        <v>43890</v>
      </c>
      <c r="EC8" s="536">
        <f>EOMONTH(EB8,3)</f>
        <v>43982</v>
      </c>
      <c r="ED8" s="536">
        <f>EOMONTH(EC8,3)</f>
        <v>44074</v>
      </c>
      <c r="EE8" s="1078">
        <f>EOMONTH(DZ8,12)</f>
        <v>44074</v>
      </c>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row>
    <row r="9" spans="1:238" s="54" customFormat="1" ht="5.25" customHeight="1">
      <c r="B9" s="538"/>
      <c r="C9" s="64"/>
      <c r="D9" s="64"/>
      <c r="E9" s="64"/>
      <c r="F9" s="64"/>
      <c r="G9" s="64"/>
      <c r="H9" s="77"/>
      <c r="I9" s="64"/>
      <c r="J9" s="64"/>
      <c r="K9" s="121"/>
      <c r="L9" s="73"/>
      <c r="M9" s="73"/>
      <c r="N9" s="75"/>
      <c r="O9" s="64"/>
      <c r="P9" s="121"/>
      <c r="Q9" s="73"/>
      <c r="R9" s="73"/>
      <c r="S9" s="75"/>
      <c r="T9" s="64"/>
      <c r="U9" s="121"/>
      <c r="V9" s="73"/>
      <c r="W9" s="73"/>
      <c r="X9" s="75"/>
      <c r="Y9" s="64"/>
      <c r="Z9" s="121"/>
      <c r="AA9" s="73"/>
      <c r="AB9" s="73"/>
      <c r="AC9" s="75"/>
      <c r="AD9" s="64"/>
      <c r="AE9" s="121"/>
      <c r="AF9" s="73"/>
      <c r="AG9" s="73"/>
      <c r="AH9" s="75"/>
      <c r="AI9" s="64"/>
      <c r="AJ9" s="121"/>
      <c r="AK9" s="73"/>
      <c r="AL9" s="73"/>
      <c r="AM9" s="75"/>
      <c r="AN9" s="64"/>
      <c r="AO9" s="121"/>
      <c r="AP9" s="73"/>
      <c r="AQ9" s="73"/>
      <c r="AR9" s="75"/>
      <c r="AS9" s="64"/>
      <c r="AT9" s="121"/>
      <c r="AU9" s="73"/>
      <c r="AV9" s="73"/>
      <c r="AW9" s="75"/>
      <c r="AX9" s="64"/>
      <c r="AY9" s="121"/>
      <c r="AZ9" s="73"/>
      <c r="BA9" s="73"/>
      <c r="BB9" s="75"/>
      <c r="BC9" s="64"/>
      <c r="BD9" s="121"/>
      <c r="BE9" s="73"/>
      <c r="BF9" s="73"/>
      <c r="BG9" s="75"/>
      <c r="BH9" s="64"/>
      <c r="BI9" s="121"/>
      <c r="BJ9" s="73"/>
      <c r="BK9" s="73"/>
      <c r="BL9" s="75"/>
      <c r="BM9" s="64"/>
      <c r="BN9" s="121"/>
      <c r="BO9" s="73"/>
      <c r="BP9" s="73"/>
      <c r="BQ9" s="75"/>
      <c r="BR9" s="64"/>
      <c r="BS9" s="121"/>
      <c r="BT9" s="73"/>
      <c r="BU9" s="73"/>
      <c r="BV9" s="75"/>
      <c r="BW9" s="64"/>
      <c r="BX9" s="121"/>
      <c r="BY9" s="73"/>
      <c r="BZ9" s="73"/>
      <c r="CA9" s="75"/>
      <c r="CB9" s="64"/>
      <c r="CC9" s="121"/>
      <c r="CD9" s="73"/>
      <c r="CE9" s="73"/>
      <c r="CF9" s="73"/>
      <c r="CG9" s="619"/>
      <c r="CH9" s="73"/>
      <c r="CI9" s="73"/>
      <c r="CJ9" s="73"/>
      <c r="CK9" s="73"/>
      <c r="CL9" s="619"/>
      <c r="CM9" s="73"/>
      <c r="CN9" s="73"/>
      <c r="CO9" s="73"/>
      <c r="CP9" s="73"/>
      <c r="CQ9" s="619"/>
      <c r="CR9" s="73"/>
      <c r="CS9" s="73"/>
      <c r="CT9" s="73"/>
      <c r="CU9" s="73"/>
      <c r="CV9" s="619"/>
      <c r="CW9" s="73"/>
      <c r="CX9" s="73"/>
      <c r="CY9" s="73"/>
      <c r="CZ9" s="73"/>
      <c r="DA9" s="619"/>
      <c r="DB9" s="73"/>
      <c r="DC9" s="73"/>
      <c r="DD9" s="73"/>
      <c r="DE9" s="73"/>
      <c r="DF9" s="619"/>
      <c r="DG9" s="73"/>
      <c r="DH9" s="467"/>
      <c r="DI9" s="467"/>
      <c r="DJ9" s="1731"/>
      <c r="DK9" s="619"/>
      <c r="DL9" s="1662"/>
      <c r="DM9" s="467"/>
      <c r="DN9" s="467"/>
      <c r="DO9" s="1731"/>
      <c r="DP9" s="619"/>
      <c r="DQ9" s="1662"/>
      <c r="DR9" s="467"/>
      <c r="DS9" s="467"/>
      <c r="DT9" s="1731"/>
      <c r="DU9" s="619"/>
      <c r="DV9" s="1662"/>
      <c r="DW9" s="467"/>
      <c r="DX9" s="467"/>
      <c r="DY9" s="1731"/>
      <c r="DZ9" s="619"/>
      <c r="EA9" s="1662"/>
      <c r="EB9" s="467"/>
      <c r="EC9" s="467"/>
      <c r="ED9" s="1731"/>
      <c r="EE9" s="61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row>
    <row r="10" spans="1:238" s="68" customFormat="1" ht="12.75" customHeight="1">
      <c r="B10" s="540" t="s">
        <v>155</v>
      </c>
      <c r="C10" s="83"/>
      <c r="D10" s="83"/>
      <c r="E10" s="83"/>
      <c r="F10" s="83"/>
      <c r="G10" s="83"/>
      <c r="H10" s="84"/>
      <c r="I10" s="83"/>
      <c r="J10" s="83"/>
      <c r="K10" s="85"/>
      <c r="L10" s="86"/>
      <c r="M10" s="86"/>
      <c r="N10" s="87"/>
      <c r="O10" s="83"/>
      <c r="P10" s="85"/>
      <c r="Q10" s="86"/>
      <c r="R10" s="86"/>
      <c r="S10" s="87"/>
      <c r="T10" s="83"/>
      <c r="U10" s="85"/>
      <c r="V10" s="86"/>
      <c r="W10" s="86"/>
      <c r="X10" s="87"/>
      <c r="Y10" s="83"/>
      <c r="Z10" s="85"/>
      <c r="AA10" s="86"/>
      <c r="AB10" s="86"/>
      <c r="AC10" s="87"/>
      <c r="AD10" s="83"/>
      <c r="AE10" s="85"/>
      <c r="AF10" s="86"/>
      <c r="AG10" s="86"/>
      <c r="AH10" s="87"/>
      <c r="AI10" s="83"/>
      <c r="AJ10" s="85"/>
      <c r="AK10" s="86"/>
      <c r="AL10" s="86"/>
      <c r="AM10" s="87"/>
      <c r="AN10" s="83"/>
      <c r="AO10" s="85"/>
      <c r="AP10" s="86"/>
      <c r="AQ10" s="86"/>
      <c r="AR10" s="87"/>
      <c r="AS10" s="83"/>
      <c r="AT10" s="85"/>
      <c r="AU10" s="86"/>
      <c r="AV10" s="86"/>
      <c r="AW10" s="87"/>
      <c r="AX10" s="83"/>
      <c r="AY10" s="85"/>
      <c r="AZ10" s="86"/>
      <c r="BA10" s="86"/>
      <c r="BB10" s="87"/>
      <c r="BC10" s="83"/>
      <c r="BD10" s="85"/>
      <c r="BE10" s="86"/>
      <c r="BF10" s="86"/>
      <c r="BG10" s="87"/>
      <c r="BH10" s="83"/>
      <c r="BI10" s="85"/>
      <c r="BJ10" s="86"/>
      <c r="BK10" s="86"/>
      <c r="BL10" s="87"/>
      <c r="BM10" s="83"/>
      <c r="BN10" s="85"/>
      <c r="BO10" s="86"/>
      <c r="BP10" s="86"/>
      <c r="BQ10" s="87"/>
      <c r="BR10" s="83"/>
      <c r="BS10" s="85"/>
      <c r="BT10" s="86"/>
      <c r="BU10" s="86"/>
      <c r="BV10" s="87"/>
      <c r="BW10" s="83"/>
      <c r="BX10" s="85"/>
      <c r="BY10" s="86"/>
      <c r="BZ10" s="86"/>
      <c r="CA10" s="87"/>
      <c r="CB10" s="83"/>
      <c r="CC10" s="85"/>
      <c r="CD10" s="86"/>
      <c r="CE10" s="86"/>
      <c r="CF10" s="86"/>
      <c r="CG10" s="795"/>
      <c r="CH10" s="86"/>
      <c r="CI10" s="86"/>
      <c r="CJ10" s="86"/>
      <c r="CK10" s="86"/>
      <c r="CL10" s="795"/>
      <c r="CM10" s="86"/>
      <c r="CN10" s="86"/>
      <c r="CO10" s="86"/>
      <c r="CP10" s="86"/>
      <c r="CQ10" s="795"/>
      <c r="CR10" s="86"/>
      <c r="CS10" s="86"/>
      <c r="CT10" s="86"/>
      <c r="CU10" s="86"/>
      <c r="CV10" s="795"/>
      <c r="CW10" s="86"/>
      <c r="CX10" s="86"/>
      <c r="CY10" s="86"/>
      <c r="CZ10" s="86"/>
      <c r="DA10" s="795"/>
      <c r="DB10" s="86"/>
      <c r="DC10" s="86"/>
      <c r="DD10" s="86"/>
      <c r="DE10" s="86"/>
      <c r="DF10" s="795"/>
      <c r="DG10" s="86"/>
      <c r="DH10" s="83"/>
      <c r="DI10" s="83"/>
      <c r="DJ10" s="1732"/>
      <c r="DK10" s="1409"/>
      <c r="DL10" s="1745"/>
      <c r="DM10" s="86"/>
      <c r="DN10" s="86"/>
      <c r="DO10" s="1746"/>
      <c r="DP10" s="1409"/>
      <c r="DQ10" s="1745"/>
      <c r="DR10" s="86"/>
      <c r="DS10" s="86"/>
      <c r="DT10" s="1746"/>
      <c r="DU10" s="1409"/>
      <c r="DV10" s="1745"/>
      <c r="DW10" s="86"/>
      <c r="DX10" s="86"/>
      <c r="DY10" s="1746"/>
      <c r="DZ10" s="1409"/>
      <c r="EA10" s="1745"/>
      <c r="EB10" s="86"/>
      <c r="EC10" s="86"/>
      <c r="ED10" s="1746"/>
      <c r="EE10" s="1409"/>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row>
    <row r="11" spans="1:238" s="69" customFormat="1">
      <c r="B11" s="541"/>
      <c r="C11" s="70"/>
      <c r="D11" s="70"/>
      <c r="E11" s="70"/>
      <c r="F11" s="70"/>
      <c r="G11" s="70"/>
      <c r="H11" s="89"/>
      <c r="I11" s="70"/>
      <c r="J11" s="70"/>
      <c r="K11" s="90"/>
      <c r="L11" s="71"/>
      <c r="M11" s="71"/>
      <c r="N11" s="91"/>
      <c r="O11" s="70"/>
      <c r="P11" s="90"/>
      <c r="Q11" s="71"/>
      <c r="R11" s="71"/>
      <c r="S11" s="91"/>
      <c r="T11" s="70"/>
      <c r="U11" s="90"/>
      <c r="V11" s="71"/>
      <c r="W11" s="71"/>
      <c r="X11" s="91"/>
      <c r="Y11" s="70"/>
      <c r="Z11" s="90"/>
      <c r="AA11" s="71"/>
      <c r="AB11" s="71"/>
      <c r="AC11" s="91"/>
      <c r="AD11" s="70"/>
      <c r="AE11" s="90"/>
      <c r="AF11" s="71"/>
      <c r="AG11" s="71"/>
      <c r="AH11" s="91"/>
      <c r="AI11" s="70"/>
      <c r="AJ11" s="90"/>
      <c r="AK11" s="71"/>
      <c r="AL11" s="71"/>
      <c r="AM11" s="91"/>
      <c r="AN11" s="70"/>
      <c r="AO11" s="90"/>
      <c r="AP11" s="71"/>
      <c r="AQ11" s="71"/>
      <c r="AR11" s="91"/>
      <c r="AS11" s="70"/>
      <c r="AT11" s="90"/>
      <c r="AU11" s="71"/>
      <c r="AV11" s="71"/>
      <c r="AW11" s="91"/>
      <c r="AX11" s="70"/>
      <c r="AY11" s="90"/>
      <c r="AZ11" s="71"/>
      <c r="BA11" s="71"/>
      <c r="BB11" s="91"/>
      <c r="BC11" s="70"/>
      <c r="BD11" s="90"/>
      <c r="BE11" s="71"/>
      <c r="BF11" s="71"/>
      <c r="BG11" s="91"/>
      <c r="BH11" s="70"/>
      <c r="BI11" s="90"/>
      <c r="BJ11" s="71"/>
      <c r="BK11" s="71"/>
      <c r="BL11" s="91"/>
      <c r="BM11" s="70"/>
      <c r="BN11" s="90"/>
      <c r="BO11" s="71"/>
      <c r="BP11" s="71"/>
      <c r="BQ11" s="91"/>
      <c r="BR11" s="70"/>
      <c r="BS11" s="90"/>
      <c r="BT11" s="71"/>
      <c r="BU11" s="71"/>
      <c r="BV11" s="91"/>
      <c r="BW11" s="70"/>
      <c r="BX11" s="90"/>
      <c r="BY11" s="71"/>
      <c r="BZ11" s="71"/>
      <c r="CA11" s="91"/>
      <c r="CB11" s="70"/>
      <c r="CC11" s="90"/>
      <c r="CD11" s="71"/>
      <c r="CE11" s="71"/>
      <c r="CF11" s="794"/>
      <c r="CG11" s="796"/>
      <c r="CH11" s="71"/>
      <c r="CI11" s="71"/>
      <c r="CJ11" s="71"/>
      <c r="CK11" s="71"/>
      <c r="CL11" s="796"/>
      <c r="CM11" s="71"/>
      <c r="CN11" s="71"/>
      <c r="CO11" s="71"/>
      <c r="CP11" s="71"/>
      <c r="CQ11" s="796"/>
      <c r="CR11" s="71"/>
      <c r="CS11" s="71"/>
      <c r="CT11" s="71"/>
      <c r="CU11" s="71"/>
      <c r="CV11" s="796"/>
      <c r="CW11" s="71"/>
      <c r="CX11" s="71"/>
      <c r="CY11" s="71"/>
      <c r="CZ11" s="71"/>
      <c r="DA11" s="796"/>
      <c r="DB11" s="71"/>
      <c r="DC11" s="71"/>
      <c r="DD11" s="71"/>
      <c r="DE11" s="71"/>
      <c r="DF11" s="796"/>
      <c r="DG11" s="71"/>
      <c r="DH11" s="70"/>
      <c r="DI11" s="70"/>
      <c r="DJ11" s="542"/>
      <c r="DK11" s="1410"/>
      <c r="DL11" s="1747"/>
      <c r="DM11" s="71"/>
      <c r="DN11" s="71"/>
      <c r="DO11" s="1748"/>
      <c r="DP11" s="1410"/>
      <c r="DQ11" s="1747"/>
      <c r="DR11" s="71"/>
      <c r="DS11" s="71"/>
      <c r="DT11" s="1748"/>
      <c r="DU11" s="1410"/>
      <c r="DV11" s="1747"/>
      <c r="DW11" s="71"/>
      <c r="DX11" s="71"/>
      <c r="DY11" s="1748"/>
      <c r="DZ11" s="1410"/>
      <c r="EA11" s="1747"/>
      <c r="EB11" s="71"/>
      <c r="EC11" s="71"/>
      <c r="ED11" s="1748"/>
      <c r="EE11" s="1410"/>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row>
    <row r="12" spans="1:238" s="94" customFormat="1" ht="12.75" customHeight="1">
      <c r="B12" s="1969" t="s">
        <v>561</v>
      </c>
      <c r="C12" s="95"/>
      <c r="D12" s="96">
        <v>1484</v>
      </c>
      <c r="E12" s="96">
        <v>1564</v>
      </c>
      <c r="F12" s="96">
        <v>1646</v>
      </c>
      <c r="G12" s="96">
        <v>1736</v>
      </c>
      <c r="H12" s="96">
        <v>1836</v>
      </c>
      <c r="I12" s="96">
        <v>1968</v>
      </c>
      <c r="J12" s="96">
        <v>2085</v>
      </c>
      <c r="K12" s="97">
        <v>2110</v>
      </c>
      <c r="L12" s="98">
        <v>2131</v>
      </c>
      <c r="M12" s="98">
        <v>2149</v>
      </c>
      <c r="N12" s="99">
        <v>2193</v>
      </c>
      <c r="O12" s="95">
        <f>N12</f>
        <v>2193</v>
      </c>
      <c r="P12" s="97">
        <f>2228</f>
        <v>2228</v>
      </c>
      <c r="Q12" s="98">
        <v>2256</v>
      </c>
      <c r="R12" s="98">
        <v>2289</v>
      </c>
      <c r="S12" s="99">
        <v>2358</v>
      </c>
      <c r="T12" s="95">
        <f>S12</f>
        <v>2358</v>
      </c>
      <c r="U12" s="97">
        <v>2390</v>
      </c>
      <c r="V12" s="98">
        <v>2432</v>
      </c>
      <c r="W12" s="98">
        <v>2470</v>
      </c>
      <c r="X12" s="99">
        <v>2549</v>
      </c>
      <c r="Y12" s="95">
        <f>X12</f>
        <v>2549</v>
      </c>
      <c r="Z12" s="97">
        <v>2626</v>
      </c>
      <c r="AA12" s="98">
        <v>2667</v>
      </c>
      <c r="AB12" s="98">
        <v>2738</v>
      </c>
      <c r="AC12" s="99">
        <v>2821</v>
      </c>
      <c r="AD12" s="95">
        <f>AC12</f>
        <v>2821</v>
      </c>
      <c r="AE12" s="97">
        <v>2894</v>
      </c>
      <c r="AF12" s="98">
        <v>2967</v>
      </c>
      <c r="AG12" s="98">
        <v>3051</v>
      </c>
      <c r="AH12" s="99">
        <v>3165</v>
      </c>
      <c r="AI12" s="95">
        <f>AH12</f>
        <v>3165</v>
      </c>
      <c r="AJ12" s="97">
        <v>3259</v>
      </c>
      <c r="AK12" s="98">
        <v>3343</v>
      </c>
      <c r="AL12" s="98">
        <v>3424</v>
      </c>
      <c r="AM12" s="99">
        <v>3520</v>
      </c>
      <c r="AN12" s="95">
        <f>AM12</f>
        <v>3520</v>
      </c>
      <c r="AO12" s="97">
        <v>3623</v>
      </c>
      <c r="AP12" s="98">
        <v>3678</v>
      </c>
      <c r="AQ12" s="98">
        <v>3766</v>
      </c>
      <c r="AR12" s="99">
        <v>3883</v>
      </c>
      <c r="AS12" s="95">
        <f>AR12</f>
        <v>3883</v>
      </c>
      <c r="AT12" s="97">
        <f>Model!AT166</f>
        <v>3954</v>
      </c>
      <c r="AU12" s="98">
        <f>Model!AU166</f>
        <v>3998</v>
      </c>
      <c r="AV12" s="98">
        <f>Model!AV166</f>
        <v>4050</v>
      </c>
      <c r="AW12" s="99">
        <f>Model!AW166</f>
        <v>4227</v>
      </c>
      <c r="AX12" s="95">
        <f>AW12</f>
        <v>4227</v>
      </c>
      <c r="AY12" s="97">
        <f>Model!AY166</f>
        <v>4291</v>
      </c>
      <c r="AZ12" s="98">
        <f>Model!AZ166</f>
        <v>4336</v>
      </c>
      <c r="BA12" s="98">
        <f>Model!BA166</f>
        <v>4414</v>
      </c>
      <c r="BB12" s="99">
        <f>Model!BB166</f>
        <v>4582</v>
      </c>
      <c r="BC12" s="95">
        <f>BB12</f>
        <v>4582</v>
      </c>
      <c r="BD12" s="97">
        <f>Model!BD166</f>
        <v>4680</v>
      </c>
      <c r="BE12" s="98">
        <f>Model!BE166</f>
        <v>4738</v>
      </c>
      <c r="BF12" s="98">
        <f>Model!BF166</f>
        <v>4805</v>
      </c>
      <c r="BG12" s="99">
        <f>Model!BG166</f>
        <v>4953</v>
      </c>
      <c r="BH12" s="95">
        <f>BG12</f>
        <v>4953</v>
      </c>
      <c r="BI12" s="97">
        <f>Model!BI166</f>
        <v>5068</v>
      </c>
      <c r="BJ12" s="98">
        <f>Model!BJ166</f>
        <v>5156</v>
      </c>
      <c r="BK12" s="98">
        <f>Model!BK166</f>
        <v>5251</v>
      </c>
      <c r="BL12" s="99">
        <f>Model!BL166</f>
        <v>5461</v>
      </c>
      <c r="BM12" s="95">
        <f>BL12</f>
        <v>5461</v>
      </c>
      <c r="BN12" s="97">
        <v>5580</v>
      </c>
      <c r="BO12" s="98">
        <v>5641</v>
      </c>
      <c r="BP12" s="98">
        <v>5751</v>
      </c>
      <c r="BQ12" s="99">
        <v>5997</v>
      </c>
      <c r="BR12" s="95">
        <f>BQ12</f>
        <v>5997</v>
      </c>
      <c r="BS12" s="97">
        <v>6032</v>
      </c>
      <c r="BT12" s="98">
        <v>6129</v>
      </c>
      <c r="BU12" s="98">
        <v>6252</v>
      </c>
      <c r="BV12" s="99">
        <v>6443</v>
      </c>
      <c r="BW12" s="95">
        <f>BV12</f>
        <v>6443</v>
      </c>
      <c r="BX12" s="97">
        <v>6630</v>
      </c>
      <c r="BY12" s="98">
        <v>6678</v>
      </c>
      <c r="BZ12" s="98">
        <v>6857</v>
      </c>
      <c r="CA12" s="99">
        <v>6996</v>
      </c>
      <c r="CB12" s="95">
        <f>CA12</f>
        <v>6996</v>
      </c>
      <c r="CC12" s="97">
        <v>7147</v>
      </c>
      <c r="CD12" s="100">
        <v>7180</v>
      </c>
      <c r="CE12" s="100">
        <v>7522</v>
      </c>
      <c r="CF12" s="100">
        <v>7563</v>
      </c>
      <c r="CG12" s="797">
        <f>CF12</f>
        <v>7563</v>
      </c>
      <c r="CH12" s="100">
        <v>7651</v>
      </c>
      <c r="CI12" s="100">
        <v>7690</v>
      </c>
      <c r="CJ12" s="100">
        <v>7715</v>
      </c>
      <c r="CK12" s="100">
        <v>7761</v>
      </c>
      <c r="CL12" s="797">
        <f>CK12</f>
        <v>7761</v>
      </c>
      <c r="CM12" s="109">
        <v>7812</v>
      </c>
      <c r="CN12" s="109">
        <v>7840</v>
      </c>
      <c r="CO12" s="109">
        <v>7890</v>
      </c>
      <c r="CP12" s="109">
        <v>7930</v>
      </c>
      <c r="CQ12" s="797">
        <f>CP12</f>
        <v>7930</v>
      </c>
      <c r="CR12" s="1501">
        <v>8058</v>
      </c>
      <c r="CS12" s="109">
        <v>8072</v>
      </c>
      <c r="CT12" s="109">
        <v>8097</v>
      </c>
      <c r="CU12" s="109">
        <v>8116</v>
      </c>
      <c r="CV12" s="797">
        <f>CU12</f>
        <v>8116</v>
      </c>
      <c r="CW12" s="109">
        <v>8200</v>
      </c>
      <c r="CX12" s="109">
        <v>8210</v>
      </c>
      <c r="CY12" s="109">
        <v>8217</v>
      </c>
      <c r="CZ12" s="109">
        <v>8207</v>
      </c>
      <c r="DA12" s="797">
        <f>CZ12</f>
        <v>8207</v>
      </c>
      <c r="DB12" s="109">
        <v>8229</v>
      </c>
      <c r="DC12" s="1722">
        <v>8232</v>
      </c>
      <c r="DD12" s="1722">
        <v>8240</v>
      </c>
      <c r="DE12" s="1722">
        <v>8173</v>
      </c>
      <c r="DF12" s="797">
        <f>DE12</f>
        <v>8173</v>
      </c>
      <c r="DG12" s="2153">
        <v>8192</v>
      </c>
      <c r="DH12" s="2153">
        <v>8192</v>
      </c>
      <c r="DI12" s="2153">
        <v>8199</v>
      </c>
      <c r="DJ12" s="2153">
        <v>8175</v>
      </c>
      <c r="DK12" s="1411">
        <f>DJ12</f>
        <v>8175</v>
      </c>
      <c r="DL12" s="2153">
        <v>8185</v>
      </c>
      <c r="DM12" s="2153">
        <v>8126</v>
      </c>
      <c r="DN12" s="2153">
        <v>8138</v>
      </c>
      <c r="DO12" s="2153">
        <v>8109</v>
      </c>
      <c r="DP12" s="1411">
        <f>DO12</f>
        <v>8109</v>
      </c>
      <c r="DQ12" s="2354">
        <v>8201</v>
      </c>
      <c r="DR12" s="100">
        <f>DQ12+DR14-DR15</f>
        <v>9852</v>
      </c>
      <c r="DS12" s="100">
        <f>DR12+DS14-DS15</f>
        <v>10133</v>
      </c>
      <c r="DT12" s="100">
        <f>DS12+DT14-DT15</f>
        <v>10000</v>
      </c>
      <c r="DU12" s="1411">
        <f>DT12</f>
        <v>10000</v>
      </c>
      <c r="DV12" s="100">
        <f>DU12+DV14-DV15</f>
        <v>9900</v>
      </c>
      <c r="DW12" s="100">
        <f>DV12+DW14-DW15</f>
        <v>9800</v>
      </c>
      <c r="DX12" s="100">
        <f>DW12+DX14-DX15</f>
        <v>9700</v>
      </c>
      <c r="DY12" s="100">
        <f>DX12+DY14-DY15</f>
        <v>9600</v>
      </c>
      <c r="DZ12" s="1411">
        <f>DY12</f>
        <v>9600</v>
      </c>
      <c r="EA12" s="100">
        <f>DZ12+EA14-EA15</f>
        <v>9533</v>
      </c>
      <c r="EB12" s="100">
        <f>EA12+EB14-EB15</f>
        <v>9533</v>
      </c>
      <c r="EC12" s="100">
        <f>EB12+EC14-EC15</f>
        <v>9533</v>
      </c>
      <c r="ED12" s="100">
        <f>EC12+ED14-ED15</f>
        <v>9533</v>
      </c>
      <c r="EE12" s="1411">
        <f>ED12</f>
        <v>9533</v>
      </c>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row>
    <row r="13" spans="1:238" s="101" customFormat="1" ht="12.75" customHeight="1">
      <c r="B13" s="544" t="s">
        <v>450</v>
      </c>
      <c r="C13" s="102"/>
      <c r="D13" s="103"/>
      <c r="E13" s="102">
        <f t="shared" ref="E13:J13" si="1">E12/D12-1</f>
        <v>5.3908355795148299E-2</v>
      </c>
      <c r="F13" s="102">
        <f t="shared" si="1"/>
        <v>5.2429667519181544E-2</v>
      </c>
      <c r="G13" s="102">
        <f t="shared" si="1"/>
        <v>5.4678007290400954E-2</v>
      </c>
      <c r="H13" s="102">
        <f t="shared" si="1"/>
        <v>5.7603686635944618E-2</v>
      </c>
      <c r="I13" s="102">
        <f t="shared" si="1"/>
        <v>7.1895424836601274E-2</v>
      </c>
      <c r="J13" s="102">
        <f t="shared" si="1"/>
        <v>5.945121951219523E-2</v>
      </c>
      <c r="K13" s="104"/>
      <c r="L13" s="103"/>
      <c r="M13" s="103"/>
      <c r="N13" s="105"/>
      <c r="O13" s="102">
        <f t="shared" ref="O13:AT13" si="2">O12/J12-1</f>
        <v>5.179856115107917E-2</v>
      </c>
      <c r="P13" s="104">
        <f t="shared" si="2"/>
        <v>5.5924170616113766E-2</v>
      </c>
      <c r="Q13" s="103">
        <f t="shared" si="2"/>
        <v>5.865790708587526E-2</v>
      </c>
      <c r="R13" s="103">
        <f t="shared" si="2"/>
        <v>6.514657980456029E-2</v>
      </c>
      <c r="S13" s="105">
        <f t="shared" si="2"/>
        <v>7.523939808481539E-2</v>
      </c>
      <c r="T13" s="102">
        <f t="shared" si="2"/>
        <v>7.523939808481539E-2</v>
      </c>
      <c r="U13" s="104">
        <f t="shared" si="2"/>
        <v>7.2710951526032241E-2</v>
      </c>
      <c r="V13" s="103">
        <f t="shared" si="2"/>
        <v>7.8014184397163122E-2</v>
      </c>
      <c r="W13" s="103">
        <f t="shared" si="2"/>
        <v>7.9073831367409309E-2</v>
      </c>
      <c r="X13" s="105">
        <f t="shared" si="2"/>
        <v>8.1000848176420615E-2</v>
      </c>
      <c r="Y13" s="102">
        <f t="shared" si="2"/>
        <v>8.1000848176420615E-2</v>
      </c>
      <c r="Z13" s="104">
        <f t="shared" si="2"/>
        <v>9.8744769874477001E-2</v>
      </c>
      <c r="AA13" s="103">
        <f t="shared" si="2"/>
        <v>9.6628289473684292E-2</v>
      </c>
      <c r="AB13" s="103">
        <f t="shared" si="2"/>
        <v>0.10850202429149802</v>
      </c>
      <c r="AC13" s="105">
        <f t="shared" si="2"/>
        <v>0.10670851314240881</v>
      </c>
      <c r="AD13" s="102">
        <f t="shared" si="2"/>
        <v>0.10670851314240881</v>
      </c>
      <c r="AE13" s="104">
        <f t="shared" si="2"/>
        <v>0.10205635948210201</v>
      </c>
      <c r="AF13" s="103">
        <f t="shared" si="2"/>
        <v>0.11248593925759276</v>
      </c>
      <c r="AG13" s="103">
        <f t="shared" si="2"/>
        <v>0.11431701972242503</v>
      </c>
      <c r="AH13" s="105">
        <f t="shared" si="2"/>
        <v>0.12194257355547689</v>
      </c>
      <c r="AI13" s="102">
        <f t="shared" si="2"/>
        <v>0.12194257355547689</v>
      </c>
      <c r="AJ13" s="104">
        <f t="shared" si="2"/>
        <v>0.12612301313061502</v>
      </c>
      <c r="AK13" s="103">
        <f t="shared" si="2"/>
        <v>0.12672733400741487</v>
      </c>
      <c r="AL13" s="103">
        <f t="shared" si="2"/>
        <v>0.12225499836119313</v>
      </c>
      <c r="AM13" s="105">
        <f t="shared" si="2"/>
        <v>0.11216429699842023</v>
      </c>
      <c r="AN13" s="102">
        <f t="shared" si="2"/>
        <v>0.11216429699842023</v>
      </c>
      <c r="AO13" s="104">
        <f t="shared" si="2"/>
        <v>0.11169070266953063</v>
      </c>
      <c r="AP13" s="103">
        <f t="shared" si="2"/>
        <v>0.10020939276099305</v>
      </c>
      <c r="AQ13" s="103">
        <f t="shared" si="2"/>
        <v>9.9883177570093462E-2</v>
      </c>
      <c r="AR13" s="105">
        <f t="shared" si="2"/>
        <v>0.10312499999999991</v>
      </c>
      <c r="AS13" s="102">
        <f t="shared" si="2"/>
        <v>0.10312499999999991</v>
      </c>
      <c r="AT13" s="104">
        <f t="shared" si="2"/>
        <v>9.1360750759039488E-2</v>
      </c>
      <c r="AU13" s="103">
        <f t="shared" ref="AU13:BZ13" si="3">AU12/AP12-1</f>
        <v>8.7003806416530827E-2</v>
      </c>
      <c r="AV13" s="103">
        <f t="shared" si="3"/>
        <v>7.5411577270313224E-2</v>
      </c>
      <c r="AW13" s="105">
        <f t="shared" si="3"/>
        <v>8.8591295390162195E-2</v>
      </c>
      <c r="AX13" s="102">
        <f t="shared" si="3"/>
        <v>8.8591295390162195E-2</v>
      </c>
      <c r="AY13" s="104">
        <f t="shared" si="3"/>
        <v>8.5230146686899433E-2</v>
      </c>
      <c r="AZ13" s="103">
        <f t="shared" si="3"/>
        <v>8.4542271135567892E-2</v>
      </c>
      <c r="BA13" s="103">
        <f t="shared" si="3"/>
        <v>8.987654320987648E-2</v>
      </c>
      <c r="BB13" s="105">
        <f t="shared" si="3"/>
        <v>8.3983912940619909E-2</v>
      </c>
      <c r="BC13" s="102">
        <f t="shared" si="3"/>
        <v>8.3983912940619909E-2</v>
      </c>
      <c r="BD13" s="104">
        <f t="shared" si="3"/>
        <v>9.0654859007224475E-2</v>
      </c>
      <c r="BE13" s="103">
        <f t="shared" si="3"/>
        <v>9.2712177121771155E-2</v>
      </c>
      <c r="BF13" s="103">
        <f t="shared" si="3"/>
        <v>8.8581785228817322E-2</v>
      </c>
      <c r="BG13" s="105">
        <f t="shared" si="3"/>
        <v>8.0969009166302897E-2</v>
      </c>
      <c r="BH13" s="102">
        <f t="shared" si="3"/>
        <v>8.0969009166302897E-2</v>
      </c>
      <c r="BI13" s="104">
        <f t="shared" si="3"/>
        <v>8.2905982905982833E-2</v>
      </c>
      <c r="BJ13" s="103">
        <f t="shared" si="3"/>
        <v>8.8222878851836217E-2</v>
      </c>
      <c r="BK13" s="103">
        <f t="shared" si="3"/>
        <v>9.2819979188345503E-2</v>
      </c>
      <c r="BL13" s="105">
        <f t="shared" si="3"/>
        <v>0.10256410256410264</v>
      </c>
      <c r="BM13" s="102">
        <f t="shared" si="3"/>
        <v>0.10256410256410264</v>
      </c>
      <c r="BN13" s="104">
        <f t="shared" si="3"/>
        <v>0.10102604577742702</v>
      </c>
      <c r="BO13" s="103">
        <f t="shared" si="3"/>
        <v>9.4065166795965771E-2</v>
      </c>
      <c r="BP13" s="103">
        <f t="shared" si="3"/>
        <v>9.5219958103218483E-2</v>
      </c>
      <c r="BQ13" s="105">
        <f t="shared" si="3"/>
        <v>9.8150521882439223E-2</v>
      </c>
      <c r="BR13" s="102">
        <f t="shared" si="3"/>
        <v>9.8150521882439223E-2</v>
      </c>
      <c r="BS13" s="104">
        <f t="shared" si="3"/>
        <v>8.1003584229390579E-2</v>
      </c>
      <c r="BT13" s="103">
        <f t="shared" si="3"/>
        <v>8.6509484134018821E-2</v>
      </c>
      <c r="BU13" s="103">
        <f t="shared" si="3"/>
        <v>8.7115284298382889E-2</v>
      </c>
      <c r="BV13" s="105">
        <f t="shared" si="3"/>
        <v>7.4370518592629553E-2</v>
      </c>
      <c r="BW13" s="102">
        <f t="shared" si="3"/>
        <v>7.4370518592629553E-2</v>
      </c>
      <c r="BX13" s="104">
        <f t="shared" si="3"/>
        <v>9.9137931034482651E-2</v>
      </c>
      <c r="BY13" s="103">
        <f t="shared" si="3"/>
        <v>8.9574155653450838E-2</v>
      </c>
      <c r="BZ13" s="103">
        <f t="shared" si="3"/>
        <v>9.6769033909149149E-2</v>
      </c>
      <c r="CA13" s="105">
        <f t="shared" ref="CA13:DQ13" si="4">CA12/BV12-1</f>
        <v>8.5829582492627621E-2</v>
      </c>
      <c r="CB13" s="102">
        <f t="shared" si="4"/>
        <v>8.5829582492627621E-2</v>
      </c>
      <c r="CC13" s="104">
        <f t="shared" si="4"/>
        <v>7.7978883861236747E-2</v>
      </c>
      <c r="CD13" s="103">
        <f t="shared" si="4"/>
        <v>7.5172207247679035E-2</v>
      </c>
      <c r="CE13" s="103">
        <f t="shared" si="4"/>
        <v>9.6981187108064804E-2</v>
      </c>
      <c r="CF13" s="103">
        <f t="shared" si="4"/>
        <v>8.1046312178387758E-2</v>
      </c>
      <c r="CG13" s="798">
        <f t="shared" si="4"/>
        <v>8.1046312178387758E-2</v>
      </c>
      <c r="CH13" s="103">
        <f t="shared" si="4"/>
        <v>7.0519098922624979E-2</v>
      </c>
      <c r="CI13" s="103">
        <f t="shared" si="4"/>
        <v>7.1030640668523715E-2</v>
      </c>
      <c r="CJ13" s="103">
        <f t="shared" si="4"/>
        <v>2.5658069662323868E-2</v>
      </c>
      <c r="CK13" s="103">
        <f t="shared" si="4"/>
        <v>2.618008726695753E-2</v>
      </c>
      <c r="CL13" s="798">
        <f t="shared" si="4"/>
        <v>2.618008726695753E-2</v>
      </c>
      <c r="CM13" s="103">
        <f t="shared" si="4"/>
        <v>2.1043000914913179E-2</v>
      </c>
      <c r="CN13" s="103">
        <f t="shared" si="4"/>
        <v>1.950585175552666E-2</v>
      </c>
      <c r="CO13" s="103">
        <f t="shared" si="4"/>
        <v>2.2683084899546291E-2</v>
      </c>
      <c r="CP13" s="103">
        <f t="shared" si="4"/>
        <v>2.1775544388609624E-2</v>
      </c>
      <c r="CQ13" s="798">
        <f t="shared" si="4"/>
        <v>2.1775544388609624E-2</v>
      </c>
      <c r="CR13" s="103">
        <f t="shared" si="4"/>
        <v>3.149001536098317E-2</v>
      </c>
      <c r="CS13" s="103">
        <f t="shared" si="4"/>
        <v>2.9591836734693899E-2</v>
      </c>
      <c r="CT13" s="103">
        <f t="shared" si="4"/>
        <v>2.6235741444866845E-2</v>
      </c>
      <c r="CU13" s="103">
        <f t="shared" si="4"/>
        <v>2.3455233291298949E-2</v>
      </c>
      <c r="CV13" s="798">
        <f t="shared" si="4"/>
        <v>2.3455233291298949E-2</v>
      </c>
      <c r="CW13" s="103">
        <f t="shared" si="4"/>
        <v>1.7622238768925325E-2</v>
      </c>
      <c r="CX13" s="103">
        <f t="shared" si="4"/>
        <v>1.7096134786917849E-2</v>
      </c>
      <c r="CY13" s="103">
        <f t="shared" si="4"/>
        <v>1.4820303816228231E-2</v>
      </c>
      <c r="CZ13" s="103">
        <f t="shared" si="4"/>
        <v>1.1212419911286409E-2</v>
      </c>
      <c r="DA13" s="798">
        <f t="shared" si="4"/>
        <v>1.1212419911286409E-2</v>
      </c>
      <c r="DB13" s="103">
        <f t="shared" si="4"/>
        <v>3.5365853658535507E-3</v>
      </c>
      <c r="DC13" s="103">
        <f t="shared" si="4"/>
        <v>2.6796589524968883E-3</v>
      </c>
      <c r="DD13" s="103">
        <f t="shared" si="4"/>
        <v>2.7990750882316284E-3</v>
      </c>
      <c r="DE13" s="103">
        <f t="shared" si="4"/>
        <v>-4.1428049226269748E-3</v>
      </c>
      <c r="DF13" s="798">
        <f t="shared" si="4"/>
        <v>-4.1428049226269748E-3</v>
      </c>
      <c r="DG13" s="103">
        <f t="shared" si="4"/>
        <v>-4.4962935958197114E-3</v>
      </c>
      <c r="DH13" s="103">
        <f t="shared" si="4"/>
        <v>-4.8590864917396059E-3</v>
      </c>
      <c r="DI13" s="103">
        <f t="shared" si="4"/>
        <v>-4.9757281553397537E-3</v>
      </c>
      <c r="DJ13" s="103">
        <f t="shared" si="4"/>
        <v>2.4470818548882889E-4</v>
      </c>
      <c r="DK13" s="826">
        <f t="shared" si="4"/>
        <v>2.4470818548882889E-4</v>
      </c>
      <c r="DL13" s="103">
        <f t="shared" si="4"/>
        <v>-8.544921875E-4</v>
      </c>
      <c r="DM13" s="103">
        <f t="shared" si="4"/>
        <v>-8.056640625E-3</v>
      </c>
      <c r="DN13" s="103">
        <f t="shared" si="4"/>
        <v>-7.4399316989877118E-3</v>
      </c>
      <c r="DO13" s="103">
        <f t="shared" si="4"/>
        <v>-8.0733944954128889E-3</v>
      </c>
      <c r="DP13" s="826">
        <f t="shared" ref="DP13:DU13" si="5">DP12/DK12-1</f>
        <v>-8.0733944954128889E-3</v>
      </c>
      <c r="DQ13" s="103">
        <f t="shared" si="4"/>
        <v>1.9547953573610943E-3</v>
      </c>
      <c r="DR13" s="103">
        <f t="shared" si="5"/>
        <v>0.21240462712281571</v>
      </c>
      <c r="DS13" s="103">
        <f t="shared" si="5"/>
        <v>0.24514622757434257</v>
      </c>
      <c r="DT13" s="103">
        <f t="shared" si="5"/>
        <v>0.23319768158835852</v>
      </c>
      <c r="DU13" s="826">
        <f t="shared" si="5"/>
        <v>0.23319768158835852</v>
      </c>
      <c r="DV13" s="103">
        <f t="shared" ref="DV13" si="6">DV12/DQ12-1</f>
        <v>0.20716985733447135</v>
      </c>
      <c r="DW13" s="103">
        <f t="shared" ref="DW13" si="7">DW12/DR12-1</f>
        <v>-5.2781161185545544E-3</v>
      </c>
      <c r="DX13" s="103">
        <f t="shared" ref="DX13" si="8">DX12/DS12-1</f>
        <v>-4.2731668804894873E-2</v>
      </c>
      <c r="DY13" s="103">
        <f t="shared" ref="DY13" si="9">DY12/DT12-1</f>
        <v>-4.0000000000000036E-2</v>
      </c>
      <c r="DZ13" s="826">
        <f t="shared" ref="DZ13" si="10">DZ12/DU12-1</f>
        <v>-4.0000000000000036E-2</v>
      </c>
      <c r="EA13" s="103">
        <f t="shared" ref="EA13" si="11">EA12/DV12-1</f>
        <v>-3.7070707070707032E-2</v>
      </c>
      <c r="EB13" s="103">
        <f t="shared" ref="EB13" si="12">EB12/DW12-1</f>
        <v>-2.7244897959183723E-2</v>
      </c>
      <c r="EC13" s="103">
        <f t="shared" ref="EC13" si="13">EC12/DX12-1</f>
        <v>-1.7216494845360808E-2</v>
      </c>
      <c r="ED13" s="103">
        <f t="shared" ref="ED13" si="14">ED12/DY12-1</f>
        <v>-6.9791666666666474E-3</v>
      </c>
      <c r="EE13" s="826">
        <f t="shared" ref="EE13" si="15">EE12/DZ12-1</f>
        <v>-6.9791666666666474E-3</v>
      </c>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row>
    <row r="14" spans="1:238" s="101" customFormat="1" ht="12.75" customHeight="1">
      <c r="B14" s="2223" t="s">
        <v>609</v>
      </c>
      <c r="C14" s="102"/>
      <c r="D14" s="103"/>
      <c r="E14" s="102"/>
      <c r="F14" s="102"/>
      <c r="G14" s="102"/>
      <c r="H14" s="102"/>
      <c r="I14" s="102"/>
      <c r="J14" s="102"/>
      <c r="K14" s="104"/>
      <c r="L14" s="103"/>
      <c r="M14" s="103"/>
      <c r="N14" s="105"/>
      <c r="O14" s="102"/>
      <c r="P14" s="104"/>
      <c r="Q14" s="103"/>
      <c r="R14" s="103"/>
      <c r="S14" s="105"/>
      <c r="T14" s="102"/>
      <c r="U14" s="104"/>
      <c r="V14" s="103"/>
      <c r="W14" s="103"/>
      <c r="X14" s="105"/>
      <c r="Y14" s="102"/>
      <c r="Z14" s="104"/>
      <c r="AA14" s="103"/>
      <c r="AB14" s="103"/>
      <c r="AC14" s="105"/>
      <c r="AD14" s="102"/>
      <c r="AE14" s="104"/>
      <c r="AF14" s="103"/>
      <c r="AG14" s="103"/>
      <c r="AH14" s="105"/>
      <c r="AI14" s="102"/>
      <c r="AJ14" s="104"/>
      <c r="AK14" s="103"/>
      <c r="AL14" s="103"/>
      <c r="AM14" s="105"/>
      <c r="AN14" s="102"/>
      <c r="AO14" s="104"/>
      <c r="AP14" s="103"/>
      <c r="AQ14" s="103"/>
      <c r="AR14" s="105"/>
      <c r="AS14" s="102"/>
      <c r="AT14" s="104"/>
      <c r="AU14" s="103"/>
      <c r="AV14" s="103"/>
      <c r="AW14" s="105"/>
      <c r="AX14" s="102"/>
      <c r="AY14" s="104"/>
      <c r="AZ14" s="103"/>
      <c r="BA14" s="103"/>
      <c r="BB14" s="105"/>
      <c r="BC14" s="102"/>
      <c r="BD14" s="104"/>
      <c r="BE14" s="103"/>
      <c r="BF14" s="103"/>
      <c r="BG14" s="105"/>
      <c r="BH14" s="102"/>
      <c r="BI14" s="104"/>
      <c r="BJ14" s="103"/>
      <c r="BK14" s="103"/>
      <c r="BL14" s="105"/>
      <c r="BM14" s="102"/>
      <c r="BN14" s="104"/>
      <c r="BO14" s="103"/>
      <c r="BP14" s="103"/>
      <c r="BQ14" s="105"/>
      <c r="BR14" s="102"/>
      <c r="BS14" s="104"/>
      <c r="BT14" s="103"/>
      <c r="BU14" s="103"/>
      <c r="BV14" s="105"/>
      <c r="BW14" s="102"/>
      <c r="BX14" s="104"/>
      <c r="BY14" s="103"/>
      <c r="BZ14" s="103"/>
      <c r="CA14" s="105"/>
      <c r="CB14" s="102"/>
      <c r="CC14" s="104"/>
      <c r="CD14" s="103"/>
      <c r="CE14" s="103"/>
      <c r="CF14" s="103"/>
      <c r="CG14" s="798"/>
      <c r="CH14" s="103"/>
      <c r="CI14" s="103"/>
      <c r="CJ14" s="103"/>
      <c r="CK14" s="103"/>
      <c r="CL14" s="798"/>
      <c r="CM14" s="103"/>
      <c r="CN14" s="103"/>
      <c r="CO14" s="103"/>
      <c r="CP14" s="103"/>
      <c r="CQ14" s="798"/>
      <c r="CR14" s="103"/>
      <c r="CS14" s="103"/>
      <c r="CT14" s="103"/>
      <c r="CU14" s="103"/>
      <c r="CV14" s="798"/>
      <c r="CW14" s="103"/>
      <c r="CX14" s="103"/>
      <c r="CY14" s="103"/>
      <c r="CZ14" s="103"/>
      <c r="DA14" s="798"/>
      <c r="DB14" s="103"/>
      <c r="DC14" s="103"/>
      <c r="DD14" s="103"/>
      <c r="DE14" s="103"/>
      <c r="DF14" s="798"/>
      <c r="DG14" s="103"/>
      <c r="DH14" s="103"/>
      <c r="DI14" s="103"/>
      <c r="DJ14" s="103"/>
      <c r="DK14" s="826"/>
      <c r="DL14" s="103"/>
      <c r="DM14" s="103"/>
      <c r="DN14" s="103"/>
      <c r="DO14" s="103"/>
      <c r="DP14" s="2226">
        <f>SUM(DL14:DO14)</f>
        <v>0</v>
      </c>
      <c r="DQ14" s="103"/>
      <c r="DR14" s="2225">
        <v>1651</v>
      </c>
      <c r="DS14" s="2225">
        <f>1932-DR14</f>
        <v>281</v>
      </c>
      <c r="DT14" s="2225">
        <v>0</v>
      </c>
      <c r="DU14" s="2226">
        <f>SUM(DQ14:DT14)</f>
        <v>1932</v>
      </c>
      <c r="DV14" s="2225">
        <v>0</v>
      </c>
      <c r="DW14" s="2225">
        <v>0</v>
      </c>
      <c r="DX14" s="2225">
        <v>0</v>
      </c>
      <c r="DY14" s="2225">
        <v>0</v>
      </c>
      <c r="DZ14" s="2226">
        <f>SUM(DV14:DY14)</f>
        <v>0</v>
      </c>
      <c r="EA14" s="2225">
        <v>0</v>
      </c>
      <c r="EB14" s="2225">
        <v>0</v>
      </c>
      <c r="EC14" s="2225">
        <v>0</v>
      </c>
      <c r="ED14" s="2225">
        <v>0</v>
      </c>
      <c r="EE14" s="2226">
        <f>SUM(EA14:ED14)</f>
        <v>0</v>
      </c>
      <c r="EF14" s="2221"/>
      <c r="EG14" s="2221"/>
      <c r="EH14" s="2221"/>
      <c r="EI14" s="2221"/>
      <c r="EJ14"/>
      <c r="EK14"/>
      <c r="EL14"/>
      <c r="EM14"/>
      <c r="EN14"/>
      <c r="EO14"/>
      <c r="EP14" s="2221"/>
      <c r="EQ14" s="2221"/>
      <c r="ER14" s="2221"/>
      <c r="ES14" s="2221"/>
      <c r="ET14" s="2221"/>
      <c r="EU14" s="2221"/>
      <c r="EV14" s="2221"/>
      <c r="EW14" s="2221"/>
      <c r="EX14" s="2221"/>
      <c r="EY14" s="2221"/>
      <c r="EZ14" s="2221"/>
      <c r="FA14" s="2221"/>
      <c r="FB14" s="2221"/>
      <c r="FC14" s="2221"/>
      <c r="FD14" s="2221"/>
      <c r="FE14" s="2221"/>
      <c r="FF14" s="2221"/>
      <c r="FG14" s="2221"/>
      <c r="FH14" s="2221"/>
      <c r="FI14" s="2221"/>
      <c r="FJ14" s="2221"/>
      <c r="FK14" s="2221"/>
      <c r="FL14" s="2221"/>
      <c r="FM14" s="2221"/>
      <c r="FN14" s="2221"/>
      <c r="FO14" s="2221"/>
      <c r="FP14" s="2221"/>
      <c r="FQ14" s="2221"/>
      <c r="FR14" s="2221"/>
      <c r="FS14" s="2221"/>
      <c r="FT14" s="2221"/>
      <c r="FU14" s="2221"/>
      <c r="FV14" s="2221"/>
      <c r="FW14" s="2221"/>
      <c r="FX14" s="2221"/>
      <c r="FY14" s="2221"/>
      <c r="FZ14" s="2221"/>
      <c r="GA14" s="2221"/>
      <c r="GB14" s="2221"/>
      <c r="GC14" s="2221"/>
      <c r="GD14" s="2221"/>
      <c r="GE14" s="2221"/>
      <c r="GF14" s="2221"/>
      <c r="GG14" s="2221"/>
      <c r="GH14" s="2221"/>
      <c r="GI14" s="2221"/>
      <c r="GJ14" s="2221"/>
      <c r="GK14" s="2221"/>
      <c r="GL14" s="2221"/>
      <c r="GM14" s="2221"/>
      <c r="GN14" s="2221"/>
      <c r="GO14" s="2221"/>
      <c r="GP14" s="2221"/>
      <c r="GQ14" s="2221"/>
      <c r="GR14" s="2221"/>
      <c r="GS14" s="2221"/>
      <c r="GT14" s="2221"/>
      <c r="GU14" s="2221"/>
      <c r="GV14" s="2221"/>
      <c r="GW14" s="2221"/>
      <c r="GX14" s="2221"/>
      <c r="GY14" s="2221"/>
      <c r="GZ14" s="2221"/>
      <c r="HA14" s="2221"/>
      <c r="HB14" s="2221"/>
      <c r="HC14" s="2221"/>
      <c r="HD14" s="2221"/>
      <c r="HE14" s="2221"/>
      <c r="HF14" s="2221"/>
      <c r="HG14" s="2221"/>
      <c r="HH14" s="2221"/>
      <c r="HI14" s="2221"/>
      <c r="HJ14" s="2221"/>
      <c r="HK14" s="2221"/>
      <c r="HL14" s="2221"/>
      <c r="HM14" s="2221"/>
      <c r="HN14" s="2221"/>
      <c r="HO14" s="2221"/>
      <c r="HP14" s="2221"/>
      <c r="HQ14" s="2221"/>
      <c r="HR14" s="2221"/>
      <c r="HS14" s="2221"/>
      <c r="HT14" s="2221"/>
      <c r="HU14" s="2221"/>
      <c r="HV14" s="2221"/>
      <c r="HW14" s="2221"/>
      <c r="HX14" s="2221"/>
      <c r="HY14" s="2221"/>
      <c r="HZ14" s="2221"/>
      <c r="IA14" s="2221"/>
      <c r="IB14" s="2221"/>
      <c r="IC14" s="2221"/>
      <c r="ID14" s="2221"/>
    </row>
    <row r="15" spans="1:238" s="101" customFormat="1" ht="12.75" customHeight="1">
      <c r="B15" s="2223" t="s">
        <v>610</v>
      </c>
      <c r="C15" s="102"/>
      <c r="D15" s="103"/>
      <c r="E15" s="102"/>
      <c r="F15" s="102"/>
      <c r="G15" s="102"/>
      <c r="H15" s="102"/>
      <c r="I15" s="102"/>
      <c r="J15" s="102"/>
      <c r="K15" s="104"/>
      <c r="L15" s="103"/>
      <c r="M15" s="103"/>
      <c r="N15" s="105"/>
      <c r="O15" s="102"/>
      <c r="P15" s="104"/>
      <c r="Q15" s="103"/>
      <c r="R15" s="103"/>
      <c r="S15" s="105"/>
      <c r="T15" s="102"/>
      <c r="U15" s="104"/>
      <c r="V15" s="103"/>
      <c r="W15" s="103"/>
      <c r="X15" s="105"/>
      <c r="Y15" s="102"/>
      <c r="Z15" s="104"/>
      <c r="AA15" s="103"/>
      <c r="AB15" s="103"/>
      <c r="AC15" s="105"/>
      <c r="AD15" s="102"/>
      <c r="AE15" s="104"/>
      <c r="AF15" s="103"/>
      <c r="AG15" s="103"/>
      <c r="AH15" s="105"/>
      <c r="AI15" s="102"/>
      <c r="AJ15" s="104"/>
      <c r="AK15" s="103"/>
      <c r="AL15" s="103"/>
      <c r="AM15" s="105"/>
      <c r="AN15" s="102"/>
      <c r="AO15" s="104"/>
      <c r="AP15" s="103"/>
      <c r="AQ15" s="103"/>
      <c r="AR15" s="105"/>
      <c r="AS15" s="102"/>
      <c r="AT15" s="104"/>
      <c r="AU15" s="103"/>
      <c r="AV15" s="103"/>
      <c r="AW15" s="105"/>
      <c r="AX15" s="102"/>
      <c r="AY15" s="104"/>
      <c r="AZ15" s="103"/>
      <c r="BA15" s="103"/>
      <c r="BB15" s="105"/>
      <c r="BC15" s="102"/>
      <c r="BD15" s="104"/>
      <c r="BE15" s="103"/>
      <c r="BF15" s="103"/>
      <c r="BG15" s="105"/>
      <c r="BH15" s="102"/>
      <c r="BI15" s="104"/>
      <c r="BJ15" s="103"/>
      <c r="BK15" s="103"/>
      <c r="BL15" s="105"/>
      <c r="BM15" s="102"/>
      <c r="BN15" s="104"/>
      <c r="BO15" s="103"/>
      <c r="BP15" s="103"/>
      <c r="BQ15" s="105"/>
      <c r="BR15" s="102"/>
      <c r="BS15" s="104"/>
      <c r="BT15" s="103"/>
      <c r="BU15" s="103"/>
      <c r="BV15" s="105"/>
      <c r="BW15" s="102"/>
      <c r="BX15" s="104"/>
      <c r="BY15" s="103"/>
      <c r="BZ15" s="103"/>
      <c r="CA15" s="105"/>
      <c r="CB15" s="102"/>
      <c r="CC15" s="104"/>
      <c r="CD15" s="103"/>
      <c r="CE15" s="103"/>
      <c r="CF15" s="103"/>
      <c r="CG15" s="798"/>
      <c r="CH15" s="103"/>
      <c r="CI15" s="103"/>
      <c r="CJ15" s="103"/>
      <c r="CK15" s="103"/>
      <c r="CL15" s="798"/>
      <c r="CM15" s="103"/>
      <c r="CN15" s="103"/>
      <c r="CO15" s="103"/>
      <c r="CP15" s="103"/>
      <c r="CQ15" s="798"/>
      <c r="CR15" s="103"/>
      <c r="CS15" s="103"/>
      <c r="CT15" s="103"/>
      <c r="CU15" s="103"/>
      <c r="CV15" s="798"/>
      <c r="CW15" s="103"/>
      <c r="CX15" s="103"/>
      <c r="CY15" s="103"/>
      <c r="CZ15" s="103"/>
      <c r="DA15" s="798"/>
      <c r="DB15" s="103"/>
      <c r="DC15" s="103"/>
      <c r="DD15" s="103"/>
      <c r="DE15" s="103"/>
      <c r="DF15" s="798"/>
      <c r="DG15" s="103"/>
      <c r="DH15" s="103"/>
      <c r="DI15" s="103"/>
      <c r="DJ15" s="103"/>
      <c r="DK15" s="826"/>
      <c r="DL15" s="103"/>
      <c r="DM15" s="103"/>
      <c r="DN15" s="103"/>
      <c r="DO15" s="103"/>
      <c r="DP15" s="2226">
        <f>SUM(DL15:DO15)</f>
        <v>0</v>
      </c>
      <c r="DQ15" s="103"/>
      <c r="DR15" s="2224">
        <v>0</v>
      </c>
      <c r="DS15" s="2224">
        <v>0</v>
      </c>
      <c r="DT15" s="2224">
        <v>133</v>
      </c>
      <c r="DU15" s="2226">
        <f>SUM(DQ15:DT15)</f>
        <v>133</v>
      </c>
      <c r="DV15" s="2224">
        <v>100</v>
      </c>
      <c r="DW15" s="2224">
        <v>100</v>
      </c>
      <c r="DX15" s="2224">
        <v>100</v>
      </c>
      <c r="DY15" s="2224">
        <v>100</v>
      </c>
      <c r="DZ15" s="2226">
        <f>SUM(DV15:DY15)</f>
        <v>400</v>
      </c>
      <c r="EA15" s="2224">
        <v>67</v>
      </c>
      <c r="EB15" s="2224">
        <v>0</v>
      </c>
      <c r="EC15" s="2224">
        <v>0</v>
      </c>
      <c r="ED15" s="2224">
        <v>0</v>
      </c>
      <c r="EE15" s="2226">
        <f>SUM(EA15:ED15)</f>
        <v>67</v>
      </c>
      <c r="EF15" s="2221"/>
      <c r="EG15" s="2221"/>
      <c r="EH15" s="2221"/>
      <c r="EI15"/>
      <c r="EJ15"/>
      <c r="EK15"/>
      <c r="EL15"/>
      <c r="EM15"/>
      <c r="EN15"/>
      <c r="EO15"/>
      <c r="EP15"/>
      <c r="EQ15"/>
      <c r="ER15"/>
      <c r="ES15"/>
      <c r="ET15" s="2221"/>
      <c r="EU15" s="2221"/>
      <c r="EV15" s="2221"/>
      <c r="EW15" s="2221"/>
      <c r="EX15" s="2221"/>
      <c r="EY15" s="2221"/>
      <c r="EZ15" s="2221"/>
      <c r="FA15" s="2221"/>
      <c r="FB15" s="2221"/>
      <c r="FC15" s="2221"/>
      <c r="FD15" s="2221"/>
      <c r="FE15" s="2221"/>
      <c r="FF15" s="2221"/>
      <c r="FG15" s="2221"/>
      <c r="FH15" s="2221"/>
      <c r="FI15" s="2221"/>
      <c r="FJ15" s="2221"/>
      <c r="FK15" s="2221"/>
      <c r="FL15" s="2221"/>
      <c r="FM15" s="2221"/>
      <c r="FN15" s="2221"/>
      <c r="FO15" s="2221"/>
      <c r="FP15" s="2221"/>
      <c r="FQ15" s="2221"/>
      <c r="FR15" s="2221"/>
      <c r="FS15" s="2221"/>
      <c r="FT15" s="2221"/>
      <c r="FU15" s="2221"/>
      <c r="FV15" s="2221"/>
      <c r="FW15" s="2221"/>
      <c r="FX15" s="2221"/>
      <c r="FY15" s="2221"/>
      <c r="FZ15" s="2221"/>
      <c r="GA15" s="2221"/>
      <c r="GB15" s="2221"/>
      <c r="GC15" s="2221"/>
      <c r="GD15" s="2221"/>
      <c r="GE15" s="2221"/>
      <c r="GF15" s="2221"/>
      <c r="GG15" s="2221"/>
      <c r="GH15" s="2221"/>
      <c r="GI15" s="2221"/>
      <c r="GJ15" s="2221"/>
      <c r="GK15" s="2221"/>
      <c r="GL15" s="2221"/>
      <c r="GM15" s="2221"/>
      <c r="GN15" s="2221"/>
      <c r="GO15" s="2221"/>
      <c r="GP15" s="2221"/>
      <c r="GQ15" s="2221"/>
      <c r="GR15" s="2221"/>
      <c r="GS15" s="2221"/>
      <c r="GT15" s="2221"/>
      <c r="GU15" s="2221"/>
      <c r="GV15" s="2221"/>
      <c r="GW15" s="2221"/>
      <c r="GX15" s="2221"/>
      <c r="GY15" s="2221"/>
      <c r="GZ15" s="2221"/>
      <c r="HA15" s="2221"/>
      <c r="HB15" s="2221"/>
      <c r="HC15" s="2221"/>
      <c r="HD15" s="2221"/>
      <c r="HE15" s="2221"/>
      <c r="HF15" s="2221"/>
      <c r="HG15" s="2221"/>
      <c r="HH15" s="2221"/>
      <c r="HI15" s="2221"/>
      <c r="HJ15" s="2221"/>
      <c r="HK15" s="2221"/>
      <c r="HL15" s="2221"/>
      <c r="HM15" s="2221"/>
      <c r="HN15" s="2221"/>
      <c r="HO15" s="2221"/>
      <c r="HP15" s="2221"/>
      <c r="HQ15" s="2221"/>
      <c r="HR15" s="2221"/>
      <c r="HS15" s="2221"/>
      <c r="HT15" s="2221"/>
      <c r="HU15" s="2221"/>
      <c r="HV15" s="2221"/>
      <c r="HW15" s="2221"/>
      <c r="HX15" s="2221"/>
      <c r="HY15" s="2221"/>
      <c r="HZ15" s="2221"/>
      <c r="IA15" s="2221"/>
      <c r="IB15" s="2221"/>
      <c r="IC15" s="2221"/>
      <c r="ID15" s="2221"/>
    </row>
    <row r="16" spans="1:238" s="101" customFormat="1" ht="12.75" customHeight="1">
      <c r="B16" s="544"/>
      <c r="C16" s="102"/>
      <c r="D16" s="103"/>
      <c r="E16" s="103"/>
      <c r="F16" s="103"/>
      <c r="G16" s="103"/>
      <c r="H16" s="103"/>
      <c r="I16" s="103"/>
      <c r="J16" s="103"/>
      <c r="K16" s="104"/>
      <c r="L16" s="103"/>
      <c r="M16" s="103"/>
      <c r="N16" s="105"/>
      <c r="O16" s="102"/>
      <c r="P16" s="104"/>
      <c r="Q16" s="103"/>
      <c r="R16" s="103"/>
      <c r="S16" s="105"/>
      <c r="T16" s="102"/>
      <c r="U16" s="104"/>
      <c r="V16" s="103"/>
      <c r="W16" s="103"/>
      <c r="X16" s="105"/>
      <c r="Y16" s="102"/>
      <c r="Z16" s="104"/>
      <c r="AA16" s="103"/>
      <c r="AB16" s="103"/>
      <c r="AC16" s="105"/>
      <c r="AD16" s="102"/>
      <c r="AE16" s="104"/>
      <c r="AF16" s="103"/>
      <c r="AG16" s="103"/>
      <c r="AH16" s="105"/>
      <c r="AI16" s="102"/>
      <c r="AJ16" s="104"/>
      <c r="AK16" s="103"/>
      <c r="AL16" s="103"/>
      <c r="AM16" s="105"/>
      <c r="AN16" s="102"/>
      <c r="AO16" s="104"/>
      <c r="AP16" s="103"/>
      <c r="AQ16" s="103"/>
      <c r="AR16" s="105"/>
      <c r="AS16" s="102"/>
      <c r="AT16" s="104"/>
      <c r="AU16" s="103"/>
      <c r="AV16" s="103"/>
      <c r="AW16" s="105"/>
      <c r="AX16" s="102"/>
      <c r="AY16" s="104"/>
      <c r="AZ16" s="103"/>
      <c r="BA16" s="103"/>
      <c r="BB16" s="105"/>
      <c r="BC16" s="102"/>
      <c r="BD16" s="104"/>
      <c r="BE16" s="103"/>
      <c r="BF16" s="103"/>
      <c r="BG16" s="105"/>
      <c r="BH16" s="102"/>
      <c r="BI16" s="104"/>
      <c r="BJ16" s="103"/>
      <c r="BK16" s="103"/>
      <c r="BL16" s="105"/>
      <c r="BM16" s="102"/>
      <c r="BN16" s="104"/>
      <c r="BO16" s="103"/>
      <c r="BP16" s="103"/>
      <c r="BQ16" s="105"/>
      <c r="BR16" s="102"/>
      <c r="BS16" s="104"/>
      <c r="BT16" s="103"/>
      <c r="BU16" s="103"/>
      <c r="BV16" s="105"/>
      <c r="BW16" s="102"/>
      <c r="BX16" s="104"/>
      <c r="BY16" s="103"/>
      <c r="BZ16" s="103"/>
      <c r="CA16" s="105"/>
      <c r="CB16" s="102"/>
      <c r="CC16" s="104"/>
      <c r="CD16" s="103"/>
      <c r="CE16" s="103"/>
      <c r="CF16" s="103"/>
      <c r="CG16" s="798"/>
      <c r="CH16" s="103"/>
      <c r="CI16" s="103"/>
      <c r="CJ16" s="103"/>
      <c r="CK16" s="103"/>
      <c r="CL16" s="798"/>
      <c r="CM16" s="108"/>
      <c r="CN16" s="108"/>
      <c r="CO16" s="108"/>
      <c r="CP16" s="103"/>
      <c r="CQ16" s="798"/>
      <c r="CR16" s="103"/>
      <c r="CS16" s="108"/>
      <c r="CT16" s="108"/>
      <c r="CU16" s="103"/>
      <c r="CV16" s="798"/>
      <c r="CW16" s="103"/>
      <c r="CX16" s="103"/>
      <c r="CY16" s="103"/>
      <c r="CZ16" s="103"/>
      <c r="DA16" s="798"/>
      <c r="DB16" s="103"/>
      <c r="DC16" s="103"/>
      <c r="DD16" s="103"/>
      <c r="DE16" s="103"/>
      <c r="DF16" s="798"/>
      <c r="DG16" s="103"/>
      <c r="DH16" s="103"/>
      <c r="DI16" s="103"/>
      <c r="DJ16" s="76"/>
      <c r="DK16" s="826"/>
      <c r="DL16" s="76"/>
      <c r="DM16" s="76"/>
      <c r="DN16" s="76"/>
      <c r="DO16" s="76"/>
      <c r="DP16" s="826"/>
      <c r="DQ16" s="76"/>
      <c r="DR16" s="103"/>
      <c r="DS16" s="103"/>
      <c r="DT16" s="103"/>
      <c r="DU16" s="826"/>
      <c r="DV16" s="103"/>
      <c r="DW16" s="103"/>
      <c r="DX16" s="103"/>
      <c r="DY16" s="103"/>
      <c r="DZ16" s="826"/>
      <c r="EA16" s="103"/>
      <c r="EB16" s="103"/>
      <c r="EC16" s="103"/>
      <c r="ED16" s="103"/>
      <c r="EE16" s="82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row>
    <row r="17" spans="2:238" s="94" customFormat="1" ht="12.75" customHeight="1" outlineLevel="1">
      <c r="B17" s="543" t="s">
        <v>451</v>
      </c>
      <c r="C17" s="95"/>
      <c r="D17" s="96">
        <f t="shared" ref="D17:J17" si="16">D18/D12*1000000</f>
        <v>9617.2506738544471</v>
      </c>
      <c r="E17" s="96">
        <f t="shared" si="16"/>
        <v>9657.9283887468027</v>
      </c>
      <c r="F17" s="96">
        <f t="shared" si="16"/>
        <v>9645.8080194410686</v>
      </c>
      <c r="G17" s="96">
        <f t="shared" si="16"/>
        <v>9683.7557603686637</v>
      </c>
      <c r="H17" s="96">
        <f t="shared" si="16"/>
        <v>9776.6884531590404</v>
      </c>
      <c r="I17" s="96">
        <f t="shared" si="16"/>
        <v>9828.2520325203241</v>
      </c>
      <c r="J17" s="96">
        <f t="shared" si="16"/>
        <v>9942.9256594724229</v>
      </c>
      <c r="K17" s="97"/>
      <c r="L17" s="98"/>
      <c r="M17" s="98"/>
      <c r="N17" s="99"/>
      <c r="O17" s="95">
        <f>O18/O12*1000000</f>
        <v>10088.46329229366</v>
      </c>
      <c r="P17" s="97"/>
      <c r="Q17" s="98"/>
      <c r="R17" s="98"/>
      <c r="S17" s="99"/>
      <c r="T17" s="95">
        <f>T18/T12*1000000</f>
        <v>10150.551314673452</v>
      </c>
      <c r="U17" s="97"/>
      <c r="V17" s="98"/>
      <c r="W17" s="98"/>
      <c r="X17" s="99"/>
      <c r="Y17" s="95">
        <f>Y18/Y12*1000000</f>
        <v>10209.493919183995</v>
      </c>
      <c r="Z17" s="97"/>
      <c r="AA17" s="98"/>
      <c r="AB17" s="98"/>
      <c r="AC17" s="99"/>
      <c r="AD17" s="95">
        <f>AD18/AD12*1000000</f>
        <v>10361.573909961007</v>
      </c>
      <c r="AE17" s="97"/>
      <c r="AF17" s="98"/>
      <c r="AG17" s="98"/>
      <c r="AH17" s="99"/>
      <c r="AI17" s="95">
        <f>AI18/AI12*1000000</f>
        <v>10642.654028436018</v>
      </c>
      <c r="AJ17" s="97"/>
      <c r="AK17" s="98"/>
      <c r="AL17" s="98"/>
      <c r="AM17" s="99"/>
      <c r="AN17" s="95">
        <f>AN18/AN12*1000000</f>
        <v>10859.65909090909</v>
      </c>
      <c r="AO17" s="97"/>
      <c r="AP17" s="98"/>
      <c r="AQ17" s="98"/>
      <c r="AR17" s="99"/>
      <c r="AS17" s="95">
        <f>AS18/AS12*1000000</f>
        <v>10995.879474633017</v>
      </c>
      <c r="AT17" s="97"/>
      <c r="AU17" s="98"/>
      <c r="AV17" s="98"/>
      <c r="AW17" s="99"/>
      <c r="AX17" s="95">
        <f>AX18/AX12*1000000</f>
        <v>10984.777856635912</v>
      </c>
      <c r="AY17" s="97"/>
      <c r="AZ17" s="98"/>
      <c r="BA17" s="98"/>
      <c r="BB17" s="99"/>
      <c r="BC17" s="95">
        <f>BC18/BC12*1000000</f>
        <v>11037.609777389787</v>
      </c>
      <c r="BD17" s="97"/>
      <c r="BE17" s="98"/>
      <c r="BF17" s="98"/>
      <c r="BG17" s="99"/>
      <c r="BH17" s="95">
        <f>BH18/BH12*1000000</f>
        <v>11082.045427013931</v>
      </c>
      <c r="BI17" s="97"/>
      <c r="BJ17" s="98"/>
      <c r="BK17" s="98"/>
      <c r="BL17" s="99"/>
      <c r="BM17" s="95">
        <f>BM18/BM12*1000000</f>
        <v>11037.052188243912</v>
      </c>
      <c r="BN17" s="97"/>
      <c r="BO17" s="98"/>
      <c r="BP17" s="98"/>
      <c r="BQ17" s="99"/>
      <c r="BR17" s="95">
        <f t="shared" ref="BR17:DB17" si="17">BR18/BR12*1000000</f>
        <v>10895.385359346339</v>
      </c>
      <c r="BS17" s="97">
        <f t="shared" si="17"/>
        <v>11105.74452917772</v>
      </c>
      <c r="BT17" s="98">
        <f t="shared" si="17"/>
        <v>11096.27998042095</v>
      </c>
      <c r="BU17" s="98">
        <f t="shared" si="17"/>
        <v>11090.353166986564</v>
      </c>
      <c r="BV17" s="99">
        <f t="shared" si="17"/>
        <v>11095.364736923791</v>
      </c>
      <c r="BW17" s="95">
        <f t="shared" si="17"/>
        <v>11095.364736923791</v>
      </c>
      <c r="BX17" s="97">
        <f t="shared" si="17"/>
        <v>11088.438009049774</v>
      </c>
      <c r="BY17" s="98">
        <f t="shared" si="17"/>
        <v>11066.698113207549</v>
      </c>
      <c r="BZ17" s="98">
        <f t="shared" si="17"/>
        <v>11151.529531865246</v>
      </c>
      <c r="CA17" s="99">
        <f t="shared" si="17"/>
        <v>11261.056603773584</v>
      </c>
      <c r="CB17" s="95">
        <f t="shared" si="17"/>
        <v>11261.056603773584</v>
      </c>
      <c r="CC17" s="97">
        <f t="shared" si="17"/>
        <v>11246.631733594515</v>
      </c>
      <c r="CD17" s="100">
        <f t="shared" si="17"/>
        <v>11228.896657381616</v>
      </c>
      <c r="CE17" s="100">
        <f t="shared" si="17"/>
        <v>11075.6393246477</v>
      </c>
      <c r="CF17" s="100">
        <f t="shared" si="17"/>
        <v>11069.613645378817</v>
      </c>
      <c r="CG17" s="797">
        <f t="shared" si="17"/>
        <v>11069.613645378817</v>
      </c>
      <c r="CH17" s="100">
        <f t="shared" si="17"/>
        <v>11052.145079074629</v>
      </c>
      <c r="CI17" s="100">
        <f t="shared" si="17"/>
        <v>11052.145079074631</v>
      </c>
      <c r="CJ17" s="100">
        <f t="shared" si="17"/>
        <v>11022.439792611798</v>
      </c>
      <c r="CK17" s="100">
        <f t="shared" si="17"/>
        <v>11031.978868702487</v>
      </c>
      <c r="CL17" s="797">
        <f t="shared" si="17"/>
        <v>11031.978868702487</v>
      </c>
      <c r="CM17" s="100">
        <f t="shared" si="17"/>
        <v>11022.948924731183</v>
      </c>
      <c r="CN17" s="100">
        <f t="shared" si="17"/>
        <v>11017.463647959183</v>
      </c>
      <c r="CO17" s="100">
        <f t="shared" si="17"/>
        <v>10955.221166032952</v>
      </c>
      <c r="CP17" s="100">
        <f t="shared" si="17"/>
        <v>10977.256116015131</v>
      </c>
      <c r="CQ17" s="797">
        <f>CQ18/CQ12*1000000</f>
        <v>10977.256116015131</v>
      </c>
      <c r="CR17" s="100">
        <f t="shared" si="17"/>
        <v>10919.598535616778</v>
      </c>
      <c r="CS17" s="1514">
        <f t="shared" si="17"/>
        <v>10913.341427155599</v>
      </c>
      <c r="CT17" s="1514">
        <f t="shared" si="17"/>
        <v>10905.319377547241</v>
      </c>
      <c r="CU17" s="1514">
        <f t="shared" si="17"/>
        <v>10941.545835386891</v>
      </c>
      <c r="CV17" s="797">
        <f>CV18/CV12*1000000</f>
        <v>10941.545835386891</v>
      </c>
      <c r="CW17" s="100">
        <f t="shared" si="17"/>
        <v>10924.689878048781</v>
      </c>
      <c r="CX17" s="1514">
        <f t="shared" si="17"/>
        <v>10913.341427155601</v>
      </c>
      <c r="CY17" s="1514">
        <f t="shared" si="17"/>
        <v>10905.319377547239</v>
      </c>
      <c r="CZ17" s="1514">
        <f t="shared" si="17"/>
        <v>10941.545835386891</v>
      </c>
      <c r="DA17" s="797">
        <f>DA18/DA12*1000000</f>
        <v>10941.545835386891</v>
      </c>
      <c r="DB17" s="1514">
        <f t="shared" si="17"/>
        <v>10924.689878048779</v>
      </c>
      <c r="DC17" s="1514">
        <f t="shared" ref="DC17:DH17" si="18">DC18/DC12*1000000</f>
        <v>10913.341427155599</v>
      </c>
      <c r="DD17" s="1514">
        <f t="shared" si="18"/>
        <v>10905.319377547239</v>
      </c>
      <c r="DE17" s="1514">
        <f t="shared" si="18"/>
        <v>10941.545835386891</v>
      </c>
      <c r="DF17" s="797">
        <f t="shared" si="18"/>
        <v>10941.545835386891</v>
      </c>
      <c r="DG17" s="1514">
        <f t="shared" si="18"/>
        <v>10924.689878048779</v>
      </c>
      <c r="DH17" s="1514">
        <f t="shared" si="18"/>
        <v>10913.341427155599</v>
      </c>
      <c r="DI17" s="1514">
        <f t="shared" ref="DI17" si="19">DI18/DI12*1000000</f>
        <v>10905.319377547239</v>
      </c>
      <c r="DJ17" s="1514"/>
      <c r="DK17" s="797"/>
      <c r="DL17" s="1514"/>
      <c r="DM17" s="1514"/>
      <c r="DN17" s="1514"/>
      <c r="DO17" s="1514"/>
      <c r="DP17" s="797">
        <f>DP18/DP12*1000000</f>
        <v>0</v>
      </c>
      <c r="DQ17" s="1514"/>
      <c r="DR17" s="109">
        <f>DQ17</f>
        <v>0</v>
      </c>
      <c r="DS17" s="109">
        <f>DR17</f>
        <v>0</v>
      </c>
      <c r="DT17" s="109">
        <f>DS17</f>
        <v>0</v>
      </c>
      <c r="DU17" s="797">
        <f>DU18/DU12*1000000</f>
        <v>0</v>
      </c>
      <c r="DV17" s="109">
        <f>DU17</f>
        <v>0</v>
      </c>
      <c r="DW17" s="109">
        <f>DV17</f>
        <v>0</v>
      </c>
      <c r="DX17" s="109">
        <f>DW17</f>
        <v>0</v>
      </c>
      <c r="DY17" s="109">
        <f>DX17</f>
        <v>0</v>
      </c>
      <c r="DZ17" s="797">
        <f>DZ18/DZ12*1000000</f>
        <v>0</v>
      </c>
      <c r="EA17" s="109">
        <f>DZ17</f>
        <v>0</v>
      </c>
      <c r="EB17" s="109">
        <f>EA17</f>
        <v>0</v>
      </c>
      <c r="EC17" s="109">
        <f>EB17</f>
        <v>0</v>
      </c>
      <c r="ED17" s="109">
        <f>EC17</f>
        <v>0</v>
      </c>
      <c r="EE17" s="797">
        <f>EE18/EE12*1000000</f>
        <v>0</v>
      </c>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row>
    <row r="18" spans="2:238" s="54" customFormat="1" ht="12.75" customHeight="1" outlineLevel="1">
      <c r="B18" s="538" t="s">
        <v>154</v>
      </c>
      <c r="C18" s="64"/>
      <c r="D18" s="95">
        <v>14.272</v>
      </c>
      <c r="E18" s="95">
        <v>15.105</v>
      </c>
      <c r="F18" s="95">
        <v>15.877000000000001</v>
      </c>
      <c r="G18" s="95">
        <v>16.811</v>
      </c>
      <c r="H18" s="95">
        <v>17.95</v>
      </c>
      <c r="I18" s="95">
        <v>19.341999999999999</v>
      </c>
      <c r="J18" s="95">
        <v>20.731000000000002</v>
      </c>
      <c r="K18" s="110">
        <v>20.888999999999999</v>
      </c>
      <c r="L18" s="111">
        <v>21.096900000000002</v>
      </c>
      <c r="M18" s="111">
        <v>21.275099999999998</v>
      </c>
      <c r="N18" s="112">
        <v>22.123999999999999</v>
      </c>
      <c r="O18" s="95">
        <v>22.123999999999999</v>
      </c>
      <c r="P18" s="110">
        <v>22.477177999999999</v>
      </c>
      <c r="Q18" s="111">
        <v>22.759656</v>
      </c>
      <c r="R18" s="111">
        <v>23.0925765</v>
      </c>
      <c r="S18" s="112">
        <v>23.934999999999999</v>
      </c>
      <c r="T18" s="95">
        <v>23.934999999999999</v>
      </c>
      <c r="U18" s="110">
        <v>24.138999999999999</v>
      </c>
      <c r="V18" s="111">
        <v>24.563200000000002</v>
      </c>
      <c r="W18" s="111">
        <v>24.946999999999999</v>
      </c>
      <c r="X18" s="112">
        <v>26.024000000000001</v>
      </c>
      <c r="Y18" s="95">
        <v>26.024000000000001</v>
      </c>
      <c r="Z18" s="110">
        <v>26.7852</v>
      </c>
      <c r="AA18" s="111">
        <v>27.203400000000002</v>
      </c>
      <c r="AB18" s="111">
        <v>28.064499999999999</v>
      </c>
      <c r="AC18" s="112">
        <v>29.23</v>
      </c>
      <c r="AD18" s="95">
        <v>29.23</v>
      </c>
      <c r="AE18" s="110">
        <v>30.0976</v>
      </c>
      <c r="AF18" s="111">
        <v>30.8568</v>
      </c>
      <c r="AG18" s="111">
        <v>31.730400000000003</v>
      </c>
      <c r="AH18" s="112">
        <v>33.683999999999997</v>
      </c>
      <c r="AI18" s="95">
        <v>33.683999999999997</v>
      </c>
      <c r="AJ18" s="110">
        <v>33.782599999999995</v>
      </c>
      <c r="AK18" s="111">
        <v>34.767199999999995</v>
      </c>
      <c r="AL18" s="111">
        <v>35.6096</v>
      </c>
      <c r="AM18" s="112">
        <v>38.225999999999999</v>
      </c>
      <c r="AN18" s="95">
        <v>38.225999999999999</v>
      </c>
      <c r="AO18" s="110">
        <v>39.347999999999999</v>
      </c>
      <c r="AP18" s="111">
        <v>39.963999999999999</v>
      </c>
      <c r="AQ18" s="111">
        <v>40.975999999999999</v>
      </c>
      <c r="AR18" s="112">
        <v>42.697000000000003</v>
      </c>
      <c r="AS18" s="95">
        <v>42.697000000000003</v>
      </c>
      <c r="AT18" s="110">
        <v>43.098999999999997</v>
      </c>
      <c r="AU18" s="111">
        <v>43.098999999999997</v>
      </c>
      <c r="AV18" s="111">
        <v>43.098999999999997</v>
      </c>
      <c r="AW18" s="112">
        <v>46.433</v>
      </c>
      <c r="AX18" s="95">
        <v>46.432656000000001</v>
      </c>
      <c r="AY18" s="110">
        <v>47.137</v>
      </c>
      <c r="AZ18" s="111">
        <v>47.695999999999998</v>
      </c>
      <c r="BA18" s="111">
        <v>48.554000000000002</v>
      </c>
      <c r="BB18" s="112">
        <v>50.927127999999996</v>
      </c>
      <c r="BC18" s="95">
        <v>50.574328000000001</v>
      </c>
      <c r="BD18" s="110">
        <v>51.948</v>
      </c>
      <c r="BE18" s="111">
        <v>52.591999999999999</v>
      </c>
      <c r="BF18" s="111">
        <v>53.336569000000004</v>
      </c>
      <c r="BG18" s="112">
        <v>55.2</v>
      </c>
      <c r="BH18" s="95">
        <v>54.889370999999997</v>
      </c>
      <c r="BI18" s="110">
        <v>56.465000000000003</v>
      </c>
      <c r="BJ18" s="111">
        <v>57.433</v>
      </c>
      <c r="BK18" s="111">
        <v>58.478000000000002</v>
      </c>
      <c r="BL18" s="112">
        <v>60.6</v>
      </c>
      <c r="BM18" s="95">
        <v>60.273342</v>
      </c>
      <c r="BN18" s="110">
        <v>61.908999999999999</v>
      </c>
      <c r="BO18" s="111">
        <v>62.58</v>
      </c>
      <c r="BP18" s="111">
        <v>63.79</v>
      </c>
      <c r="BQ18" s="112">
        <v>66.2</v>
      </c>
      <c r="BR18" s="95">
        <v>65.339625999999996</v>
      </c>
      <c r="BS18" s="110">
        <v>66.989851000000002</v>
      </c>
      <c r="BT18" s="111">
        <v>68.009100000000004</v>
      </c>
      <c r="BU18" s="111">
        <v>69.336888000000002</v>
      </c>
      <c r="BV18" s="112">
        <v>71.487434999999991</v>
      </c>
      <c r="BW18" s="95">
        <v>71.487434999999991</v>
      </c>
      <c r="BX18" s="110">
        <v>73.516344000000004</v>
      </c>
      <c r="BY18" s="111">
        <v>73.903410000000008</v>
      </c>
      <c r="BZ18" s="111">
        <v>76.466037999999998</v>
      </c>
      <c r="CA18" s="112">
        <v>78.782352000000003</v>
      </c>
      <c r="CB18" s="95">
        <f>CA18</f>
        <v>78.782352000000003</v>
      </c>
      <c r="CC18" s="110">
        <v>80.379677000000001</v>
      </c>
      <c r="CD18" s="111">
        <v>80.623478000000006</v>
      </c>
      <c r="CE18" s="111">
        <v>83.310958999999997</v>
      </c>
      <c r="CF18" s="111">
        <v>83.719487999999998</v>
      </c>
      <c r="CG18" s="797">
        <v>83.719487999999998</v>
      </c>
      <c r="CH18" s="1498">
        <v>84.559961999999999</v>
      </c>
      <c r="CI18" s="1498">
        <v>84.990995658083918</v>
      </c>
      <c r="CJ18" s="1498">
        <v>85.038123000000013</v>
      </c>
      <c r="CK18" s="1498">
        <v>85.619187999999994</v>
      </c>
      <c r="CL18" s="797">
        <f>CK18</f>
        <v>85.619187999999994</v>
      </c>
      <c r="CM18" s="1498">
        <v>86.111277000000001</v>
      </c>
      <c r="CN18" s="1498">
        <v>86.376914999999997</v>
      </c>
      <c r="CO18" s="1498">
        <v>86.436695</v>
      </c>
      <c r="CP18" s="1498">
        <v>87.049640999999994</v>
      </c>
      <c r="CQ18" s="1499">
        <f>CP18</f>
        <v>87.049640999999994</v>
      </c>
      <c r="CR18" s="1498">
        <v>87.990125000000006</v>
      </c>
      <c r="CS18" s="1498">
        <v>88.092491999999993</v>
      </c>
      <c r="CT18" s="1498">
        <v>88.300370999999998</v>
      </c>
      <c r="CU18" s="1498">
        <v>88.801586</v>
      </c>
      <c r="CV18" s="797">
        <f>CU18</f>
        <v>88.801586</v>
      </c>
      <c r="CW18" s="1498">
        <v>89.582457000000005</v>
      </c>
      <c r="CX18" s="111">
        <f>CS18*(1+CX22)</f>
        <v>89.598533116947479</v>
      </c>
      <c r="CY18" s="111">
        <f>CT18*(1+CY22)</f>
        <v>89.609009325305664</v>
      </c>
      <c r="CZ18" s="111">
        <f>CU18*(1+CZ22)</f>
        <v>89.797266671020211</v>
      </c>
      <c r="DA18" s="797">
        <f>CZ18</f>
        <v>89.797266671020211</v>
      </c>
      <c r="DB18" s="111">
        <f>CW18*(1+DB22)</f>
        <v>89.899273006463403</v>
      </c>
      <c r="DC18" s="111">
        <f>CX18*(1+DC22)</f>
        <v>89.838626628344898</v>
      </c>
      <c r="DD18" s="111">
        <f>CY18*(1+DD22)</f>
        <v>89.859831670989237</v>
      </c>
      <c r="DE18" s="111">
        <f>CZ18*(1+DE22)</f>
        <v>89.425254112617054</v>
      </c>
      <c r="DF18" s="797">
        <f>DE18</f>
        <v>89.425254112617054</v>
      </c>
      <c r="DG18" s="111">
        <f>DB18*(1+DG22)</f>
        <v>89.495059480975598</v>
      </c>
      <c r="DH18" s="111">
        <f>DC18*(1+DH22)</f>
        <v>89.402092971258668</v>
      </c>
      <c r="DI18" s="111">
        <f>DD18*(1+DI22)</f>
        <v>89.412713576509802</v>
      </c>
      <c r="DJ18" s="111"/>
      <c r="DK18" s="1412"/>
      <c r="DL18" s="111"/>
      <c r="DM18" s="111"/>
      <c r="DN18" s="111"/>
      <c r="DO18" s="111"/>
      <c r="DP18" s="1412">
        <f>DO18</f>
        <v>0</v>
      </c>
      <c r="DQ18" s="111"/>
      <c r="DR18" s="111">
        <f>DM18*(1+DR22)</f>
        <v>0</v>
      </c>
      <c r="DS18" s="111">
        <f>DN18*(1+DS22)</f>
        <v>0</v>
      </c>
      <c r="DT18" s="111">
        <f>DO18*(1+DT22)</f>
        <v>0</v>
      </c>
      <c r="DU18" s="1412">
        <f>DT18</f>
        <v>0</v>
      </c>
      <c r="DV18" s="111">
        <f>DQ18*(1+DV22)</f>
        <v>0</v>
      </c>
      <c r="DW18" s="111">
        <f>DR18*(1+DW22)</f>
        <v>0</v>
      </c>
      <c r="DX18" s="111">
        <f>DS18*(1+DX22)</f>
        <v>0</v>
      </c>
      <c r="DY18" s="111">
        <f>DT18*(1+DY22)</f>
        <v>0</v>
      </c>
      <c r="DZ18" s="1412">
        <f>DY18</f>
        <v>0</v>
      </c>
      <c r="EA18" s="111">
        <f>DV18*(1+EA22)</f>
        <v>0</v>
      </c>
      <c r="EB18" s="111">
        <f>DW18*(1+EB22)</f>
        <v>0</v>
      </c>
      <c r="EC18" s="111">
        <f>DX18*(1+EC22)</f>
        <v>0</v>
      </c>
      <c r="ED18" s="111">
        <f>DY18*(1+ED22)</f>
        <v>0</v>
      </c>
      <c r="EE18" s="1412">
        <f>ED18</f>
        <v>0</v>
      </c>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row>
    <row r="19" spans="2:238" s="55" customFormat="1" ht="12.75" customHeight="1" outlineLevel="1">
      <c r="B19" s="545" t="s">
        <v>70</v>
      </c>
      <c r="C19" s="72"/>
      <c r="D19" s="113">
        <v>0.8</v>
      </c>
      <c r="E19" s="113">
        <v>0.8</v>
      </c>
      <c r="F19" s="113">
        <v>0.8</v>
      </c>
      <c r="G19" s="113">
        <v>0.8</v>
      </c>
      <c r="H19" s="113">
        <v>0.8</v>
      </c>
      <c r="I19" s="113">
        <v>0.8</v>
      </c>
      <c r="J19" s="113">
        <v>0.8</v>
      </c>
      <c r="K19" s="114">
        <v>0.8</v>
      </c>
      <c r="L19" s="115">
        <v>0.8</v>
      </c>
      <c r="M19" s="115">
        <v>0.8</v>
      </c>
      <c r="N19" s="116">
        <v>0.8</v>
      </c>
      <c r="O19" s="113">
        <v>0.8</v>
      </c>
      <c r="P19" s="114">
        <v>0.8</v>
      </c>
      <c r="Q19" s="115">
        <v>0.8</v>
      </c>
      <c r="R19" s="115">
        <v>0.8</v>
      </c>
      <c r="S19" s="116">
        <v>0.8</v>
      </c>
      <c r="T19" s="113">
        <v>0.8</v>
      </c>
      <c r="U19" s="114">
        <v>0.8</v>
      </c>
      <c r="V19" s="115">
        <v>0.8</v>
      </c>
      <c r="W19" s="115">
        <v>0.8</v>
      </c>
      <c r="X19" s="116">
        <v>0.8</v>
      </c>
      <c r="Y19" s="113">
        <v>0.8</v>
      </c>
      <c r="Z19" s="114">
        <v>0.8</v>
      </c>
      <c r="AA19" s="115">
        <v>0.8</v>
      </c>
      <c r="AB19" s="115">
        <v>0.8</v>
      </c>
      <c r="AC19" s="116">
        <v>0.8</v>
      </c>
      <c r="AD19" s="113">
        <v>0.8</v>
      </c>
      <c r="AE19" s="114">
        <v>0.8</v>
      </c>
      <c r="AF19" s="115">
        <v>0.8</v>
      </c>
      <c r="AG19" s="115">
        <v>0.8</v>
      </c>
      <c r="AH19" s="116">
        <v>0.8</v>
      </c>
      <c r="AI19" s="113">
        <v>0.8</v>
      </c>
      <c r="AJ19" s="114">
        <v>0.8</v>
      </c>
      <c r="AK19" s="115">
        <v>0.8</v>
      </c>
      <c r="AL19" s="115">
        <v>0.8</v>
      </c>
      <c r="AM19" s="116">
        <v>0.8</v>
      </c>
      <c r="AN19" s="113">
        <v>0.8</v>
      </c>
      <c r="AO19" s="114">
        <v>0.8</v>
      </c>
      <c r="AP19" s="115">
        <v>0.8</v>
      </c>
      <c r="AQ19" s="115">
        <v>0.8</v>
      </c>
      <c r="AR19" s="116">
        <v>0.8</v>
      </c>
      <c r="AS19" s="113">
        <v>0.8</v>
      </c>
      <c r="AT19" s="114">
        <v>0.8</v>
      </c>
      <c r="AU19" s="115">
        <v>0.8</v>
      </c>
      <c r="AV19" s="115">
        <v>0.8</v>
      </c>
      <c r="AW19" s="116">
        <v>0.8</v>
      </c>
      <c r="AX19" s="113">
        <v>0.8</v>
      </c>
      <c r="AY19" s="114">
        <v>0.8</v>
      </c>
      <c r="AZ19" s="115">
        <v>0.8</v>
      </c>
      <c r="BA19" s="115">
        <v>0.8</v>
      </c>
      <c r="BB19" s="116">
        <v>0.8</v>
      </c>
      <c r="BC19" s="113">
        <v>0.8</v>
      </c>
      <c r="BD19" s="114">
        <v>0.8</v>
      </c>
      <c r="BE19" s="115">
        <v>0.8</v>
      </c>
      <c r="BF19" s="115">
        <v>0.8</v>
      </c>
      <c r="BG19" s="116">
        <v>0.8</v>
      </c>
      <c r="BH19" s="113">
        <v>0.8</v>
      </c>
      <c r="BI19" s="114">
        <v>0.8</v>
      </c>
      <c r="BJ19" s="115">
        <v>0.8</v>
      </c>
      <c r="BK19" s="115">
        <v>0.8</v>
      </c>
      <c r="BL19" s="116">
        <v>0.8</v>
      </c>
      <c r="BM19" s="113">
        <v>0.8</v>
      </c>
      <c r="BN19" s="114">
        <v>0.8</v>
      </c>
      <c r="BO19" s="115">
        <v>0.8</v>
      </c>
      <c r="BP19" s="115">
        <v>0.8</v>
      </c>
      <c r="BQ19" s="116">
        <v>0.8</v>
      </c>
      <c r="BR19" s="117">
        <v>0.8</v>
      </c>
      <c r="BS19" s="114">
        <v>0.8</v>
      </c>
      <c r="BT19" s="115">
        <v>0.8</v>
      </c>
      <c r="BU19" s="115">
        <v>0.8</v>
      </c>
      <c r="BV19" s="116">
        <v>0.8</v>
      </c>
      <c r="BW19" s="117">
        <v>0.8</v>
      </c>
      <c r="BX19" s="114">
        <v>0.8</v>
      </c>
      <c r="BY19" s="115">
        <v>0.8</v>
      </c>
      <c r="BZ19" s="115">
        <v>0.8</v>
      </c>
      <c r="CA19" s="116">
        <v>0.8</v>
      </c>
      <c r="CB19" s="117">
        <v>0.8</v>
      </c>
      <c r="CC19" s="114">
        <v>0.8</v>
      </c>
      <c r="CD19" s="115">
        <v>0.8</v>
      </c>
      <c r="CE19" s="115">
        <v>0.8</v>
      </c>
      <c r="CF19" s="115">
        <v>0.8</v>
      </c>
      <c r="CG19" s="799">
        <v>0.8</v>
      </c>
      <c r="CH19" s="115">
        <v>0.8</v>
      </c>
      <c r="CI19" s="115">
        <v>0.8</v>
      </c>
      <c r="CJ19" s="115">
        <v>0.8</v>
      </c>
      <c r="CK19" s="115">
        <v>0.8</v>
      </c>
      <c r="CL19" s="799">
        <v>0.8</v>
      </c>
      <c r="CM19" s="1500">
        <v>0.8</v>
      </c>
      <c r="CN19" s="1500">
        <v>0.8</v>
      </c>
      <c r="CO19" s="1500">
        <v>0.8</v>
      </c>
      <c r="CP19" s="1500">
        <v>0.8</v>
      </c>
      <c r="CQ19" s="799">
        <v>0.8</v>
      </c>
      <c r="CR19" s="115">
        <f>CV19</f>
        <v>0.8</v>
      </c>
      <c r="CS19" s="115">
        <f>CV19</f>
        <v>0.8</v>
      </c>
      <c r="CT19" s="115">
        <f>CV19</f>
        <v>0.8</v>
      </c>
      <c r="CU19" s="115">
        <f>CV19</f>
        <v>0.8</v>
      </c>
      <c r="CV19" s="799">
        <v>0.8</v>
      </c>
      <c r="CW19" s="115">
        <f>DA19</f>
        <v>0.8</v>
      </c>
      <c r="CX19" s="115">
        <f>DA19</f>
        <v>0.8</v>
      </c>
      <c r="CY19" s="115">
        <f>DA19</f>
        <v>0.8</v>
      </c>
      <c r="CZ19" s="115">
        <f>DA19</f>
        <v>0.8</v>
      </c>
      <c r="DA19" s="799">
        <v>0.8</v>
      </c>
      <c r="DB19" s="115">
        <f>DF19</f>
        <v>0.8</v>
      </c>
      <c r="DC19" s="115">
        <f>DF19</f>
        <v>0.8</v>
      </c>
      <c r="DD19" s="115">
        <f>DF19</f>
        <v>0.8</v>
      </c>
      <c r="DE19" s="115">
        <f>DG19</f>
        <v>0</v>
      </c>
      <c r="DF19" s="799">
        <v>0.8</v>
      </c>
      <c r="DG19" s="115">
        <f>DI19</f>
        <v>0</v>
      </c>
      <c r="DH19" s="115">
        <f>DJ19</f>
        <v>0</v>
      </c>
      <c r="DI19" s="115">
        <f>DK19</f>
        <v>0</v>
      </c>
      <c r="DJ19" s="115"/>
      <c r="DK19" s="1429"/>
      <c r="DL19" s="115"/>
      <c r="DM19" s="115"/>
      <c r="DN19" s="115"/>
      <c r="DO19" s="115"/>
      <c r="DP19" s="1429">
        <v>0.8</v>
      </c>
      <c r="DQ19" s="115"/>
      <c r="DR19" s="115">
        <f>DS19</f>
        <v>0.8</v>
      </c>
      <c r="DS19" s="115">
        <f>DT19</f>
        <v>0.8</v>
      </c>
      <c r="DT19" s="115">
        <f>DU19</f>
        <v>0.8</v>
      </c>
      <c r="DU19" s="1429">
        <v>0.8</v>
      </c>
      <c r="DV19" s="115">
        <f>DW19</f>
        <v>0.8</v>
      </c>
      <c r="DW19" s="115">
        <f>DX19</f>
        <v>0.8</v>
      </c>
      <c r="DX19" s="115">
        <f>DY19</f>
        <v>0.8</v>
      </c>
      <c r="DY19" s="115">
        <f>DZ19</f>
        <v>0.8</v>
      </c>
      <c r="DZ19" s="1429">
        <v>0.8</v>
      </c>
      <c r="EA19" s="115">
        <f>EB19</f>
        <v>0.8</v>
      </c>
      <c r="EB19" s="115">
        <f>EC19</f>
        <v>0.8</v>
      </c>
      <c r="EC19" s="115">
        <f>ED19</f>
        <v>0.8</v>
      </c>
      <c r="ED19" s="115">
        <f>EE19</f>
        <v>0.8</v>
      </c>
      <c r="EE19" s="1429">
        <v>0.8</v>
      </c>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row>
    <row r="20" spans="2:238" s="54" customFormat="1" ht="12.75" customHeight="1" outlineLevel="1">
      <c r="B20" s="538" t="s">
        <v>71</v>
      </c>
      <c r="C20" s="64"/>
      <c r="D20" s="95"/>
      <c r="E20" s="95">
        <f t="shared" ref="E20:AJ20" si="20">E18/E19</f>
        <v>18.881249999999998</v>
      </c>
      <c r="F20" s="95">
        <f t="shared" si="20"/>
        <v>19.846250000000001</v>
      </c>
      <c r="G20" s="95">
        <f t="shared" si="20"/>
        <v>21.013749999999998</v>
      </c>
      <c r="H20" s="95">
        <f t="shared" si="20"/>
        <v>22.437499999999996</v>
      </c>
      <c r="I20" s="95">
        <f t="shared" si="20"/>
        <v>24.177499999999998</v>
      </c>
      <c r="J20" s="95">
        <f t="shared" si="20"/>
        <v>25.91375</v>
      </c>
      <c r="K20" s="110">
        <f t="shared" si="20"/>
        <v>26.111249999999998</v>
      </c>
      <c r="L20" s="111">
        <f t="shared" si="20"/>
        <v>26.371124999999999</v>
      </c>
      <c r="M20" s="111">
        <f t="shared" si="20"/>
        <v>26.593874999999997</v>
      </c>
      <c r="N20" s="112">
        <f t="shared" si="20"/>
        <v>27.654999999999998</v>
      </c>
      <c r="O20" s="95">
        <f t="shared" si="20"/>
        <v>27.654999999999998</v>
      </c>
      <c r="P20" s="110">
        <f t="shared" si="20"/>
        <v>28.096472499999997</v>
      </c>
      <c r="Q20" s="111">
        <f t="shared" si="20"/>
        <v>28.449569999999998</v>
      </c>
      <c r="R20" s="111">
        <f t="shared" si="20"/>
        <v>28.865720624999998</v>
      </c>
      <c r="S20" s="112">
        <f t="shared" si="20"/>
        <v>29.918749999999996</v>
      </c>
      <c r="T20" s="95">
        <f t="shared" si="20"/>
        <v>29.918749999999996</v>
      </c>
      <c r="U20" s="110">
        <f t="shared" si="20"/>
        <v>30.173749999999998</v>
      </c>
      <c r="V20" s="111">
        <f t="shared" si="20"/>
        <v>30.704000000000001</v>
      </c>
      <c r="W20" s="111">
        <f t="shared" si="20"/>
        <v>31.183749999999996</v>
      </c>
      <c r="X20" s="112">
        <f t="shared" si="20"/>
        <v>32.53</v>
      </c>
      <c r="Y20" s="95">
        <f t="shared" si="20"/>
        <v>32.53</v>
      </c>
      <c r="Z20" s="110">
        <f t="shared" si="20"/>
        <v>33.481499999999997</v>
      </c>
      <c r="AA20" s="111">
        <f t="shared" si="20"/>
        <v>34.004249999999999</v>
      </c>
      <c r="AB20" s="111">
        <f t="shared" si="20"/>
        <v>35.080624999999998</v>
      </c>
      <c r="AC20" s="112">
        <f t="shared" si="20"/>
        <v>36.537500000000001</v>
      </c>
      <c r="AD20" s="95">
        <f t="shared" si="20"/>
        <v>36.537500000000001</v>
      </c>
      <c r="AE20" s="110">
        <f t="shared" si="20"/>
        <v>37.622</v>
      </c>
      <c r="AF20" s="111">
        <f t="shared" si="20"/>
        <v>38.570999999999998</v>
      </c>
      <c r="AG20" s="111">
        <f t="shared" si="20"/>
        <v>39.663000000000004</v>
      </c>
      <c r="AH20" s="112">
        <f t="shared" si="20"/>
        <v>42.104999999999997</v>
      </c>
      <c r="AI20" s="95">
        <f t="shared" si="20"/>
        <v>42.104999999999997</v>
      </c>
      <c r="AJ20" s="110">
        <f t="shared" si="20"/>
        <v>42.228249999999989</v>
      </c>
      <c r="AK20" s="111">
        <f t="shared" ref="AK20:BP20" si="21">AK18/AK19</f>
        <v>43.458999999999989</v>
      </c>
      <c r="AL20" s="111">
        <f t="shared" si="21"/>
        <v>44.512</v>
      </c>
      <c r="AM20" s="112">
        <f t="shared" si="21"/>
        <v>47.782499999999999</v>
      </c>
      <c r="AN20" s="95">
        <f t="shared" si="21"/>
        <v>47.782499999999999</v>
      </c>
      <c r="AO20" s="110">
        <f t="shared" si="21"/>
        <v>49.184999999999995</v>
      </c>
      <c r="AP20" s="111">
        <f t="shared" si="21"/>
        <v>49.954999999999998</v>
      </c>
      <c r="AQ20" s="111">
        <f t="shared" si="21"/>
        <v>51.22</v>
      </c>
      <c r="AR20" s="112">
        <f t="shared" si="21"/>
        <v>53.371250000000003</v>
      </c>
      <c r="AS20" s="95">
        <f t="shared" si="21"/>
        <v>53.371250000000003</v>
      </c>
      <c r="AT20" s="110">
        <f t="shared" si="21"/>
        <v>53.873749999999994</v>
      </c>
      <c r="AU20" s="111">
        <f t="shared" si="21"/>
        <v>53.873749999999994</v>
      </c>
      <c r="AV20" s="111">
        <f t="shared" si="21"/>
        <v>53.873749999999994</v>
      </c>
      <c r="AW20" s="112">
        <f t="shared" si="21"/>
        <v>58.041249999999998</v>
      </c>
      <c r="AX20" s="95">
        <f t="shared" si="21"/>
        <v>58.040819999999997</v>
      </c>
      <c r="AY20" s="110">
        <f t="shared" si="21"/>
        <v>58.921250000000001</v>
      </c>
      <c r="AZ20" s="111">
        <f t="shared" si="21"/>
        <v>59.62</v>
      </c>
      <c r="BA20" s="111">
        <f t="shared" si="21"/>
        <v>60.692500000000003</v>
      </c>
      <c r="BB20" s="112">
        <f t="shared" si="21"/>
        <v>63.658909999999992</v>
      </c>
      <c r="BC20" s="95">
        <f t="shared" si="21"/>
        <v>63.217909999999996</v>
      </c>
      <c r="BD20" s="110">
        <f t="shared" si="21"/>
        <v>64.935000000000002</v>
      </c>
      <c r="BE20" s="111">
        <f t="shared" si="21"/>
        <v>65.739999999999995</v>
      </c>
      <c r="BF20" s="111">
        <f t="shared" si="21"/>
        <v>66.670711249999997</v>
      </c>
      <c r="BG20" s="112">
        <f t="shared" si="21"/>
        <v>69</v>
      </c>
      <c r="BH20" s="95">
        <f t="shared" si="21"/>
        <v>68.611713749999993</v>
      </c>
      <c r="BI20" s="110">
        <f t="shared" si="21"/>
        <v>70.581249999999997</v>
      </c>
      <c r="BJ20" s="111">
        <f t="shared" si="21"/>
        <v>71.791249999999991</v>
      </c>
      <c r="BK20" s="111">
        <f t="shared" si="21"/>
        <v>73.097499999999997</v>
      </c>
      <c r="BL20" s="112">
        <f t="shared" si="21"/>
        <v>75.75</v>
      </c>
      <c r="BM20" s="95">
        <f t="shared" si="21"/>
        <v>75.341677499999989</v>
      </c>
      <c r="BN20" s="110">
        <f t="shared" si="21"/>
        <v>77.38624999999999</v>
      </c>
      <c r="BO20" s="111">
        <f t="shared" si="21"/>
        <v>78.224999999999994</v>
      </c>
      <c r="BP20" s="111">
        <f t="shared" si="21"/>
        <v>79.737499999999997</v>
      </c>
      <c r="BQ20" s="112">
        <f t="shared" ref="BQ20:CV20" si="22">BQ18/BQ19</f>
        <v>82.75</v>
      </c>
      <c r="BR20" s="95">
        <f t="shared" si="22"/>
        <v>81.674532499999984</v>
      </c>
      <c r="BS20" s="110">
        <f t="shared" si="22"/>
        <v>83.737313749999998</v>
      </c>
      <c r="BT20" s="111">
        <f t="shared" si="22"/>
        <v>85.011375000000001</v>
      </c>
      <c r="BU20" s="111">
        <f t="shared" si="22"/>
        <v>86.671109999999999</v>
      </c>
      <c r="BV20" s="112">
        <f t="shared" si="22"/>
        <v>89.359293749999978</v>
      </c>
      <c r="BW20" s="95">
        <f t="shared" si="22"/>
        <v>89.359293749999978</v>
      </c>
      <c r="BX20" s="110">
        <f t="shared" si="22"/>
        <v>91.895430000000005</v>
      </c>
      <c r="BY20" s="111">
        <f t="shared" si="22"/>
        <v>92.37926250000001</v>
      </c>
      <c r="BZ20" s="111">
        <f t="shared" si="22"/>
        <v>95.58254749999999</v>
      </c>
      <c r="CA20" s="112">
        <f t="shared" si="22"/>
        <v>98.477940000000004</v>
      </c>
      <c r="CB20" s="95">
        <f t="shared" si="22"/>
        <v>98.477940000000004</v>
      </c>
      <c r="CC20" s="110">
        <f t="shared" si="22"/>
        <v>100.47459624999999</v>
      </c>
      <c r="CD20" s="111">
        <f t="shared" si="22"/>
        <v>100.7793475</v>
      </c>
      <c r="CE20" s="111">
        <f t="shared" si="22"/>
        <v>104.13869874999999</v>
      </c>
      <c r="CF20" s="111">
        <f t="shared" si="22"/>
        <v>104.64935999999999</v>
      </c>
      <c r="CG20" s="797">
        <f t="shared" si="22"/>
        <v>104.64935999999999</v>
      </c>
      <c r="CH20" s="111">
        <f t="shared" si="22"/>
        <v>105.69995249999999</v>
      </c>
      <c r="CI20" s="111">
        <f t="shared" si="22"/>
        <v>106.23874457260489</v>
      </c>
      <c r="CJ20" s="111">
        <f t="shared" si="22"/>
        <v>106.29765375000001</v>
      </c>
      <c r="CK20" s="111">
        <f t="shared" si="22"/>
        <v>107.02398499999998</v>
      </c>
      <c r="CL20" s="797">
        <f t="shared" si="22"/>
        <v>107.02398499999998</v>
      </c>
      <c r="CM20" s="111">
        <f t="shared" si="22"/>
        <v>107.63909624999999</v>
      </c>
      <c r="CN20" s="111">
        <f t="shared" si="22"/>
        <v>107.97114375</v>
      </c>
      <c r="CO20" s="111">
        <f t="shared" si="22"/>
        <v>108.04586875</v>
      </c>
      <c r="CP20" s="111">
        <f t="shared" si="22"/>
        <v>108.81205124999998</v>
      </c>
      <c r="CQ20" s="797">
        <f t="shared" si="22"/>
        <v>108.81205124999998</v>
      </c>
      <c r="CR20" s="111">
        <f t="shared" si="22"/>
        <v>109.98765625</v>
      </c>
      <c r="CS20" s="111">
        <f t="shared" si="22"/>
        <v>110.11561499999999</v>
      </c>
      <c r="CT20" s="111">
        <f t="shared" si="22"/>
        <v>110.37546374999999</v>
      </c>
      <c r="CU20" s="111">
        <f t="shared" si="22"/>
        <v>111.0019825</v>
      </c>
      <c r="CV20" s="797">
        <f t="shared" si="22"/>
        <v>111.0019825</v>
      </c>
      <c r="CW20" s="111">
        <f t="shared" ref="CW20:DF20" si="23">CW18/CW19</f>
        <v>111.97807125</v>
      </c>
      <c r="CX20" s="111">
        <f t="shared" si="23"/>
        <v>111.99816639618435</v>
      </c>
      <c r="CY20" s="111">
        <f t="shared" si="23"/>
        <v>112.01126165663207</v>
      </c>
      <c r="CZ20" s="111">
        <f t="shared" si="23"/>
        <v>112.24658333877525</v>
      </c>
      <c r="DA20" s="797">
        <f t="shared" si="23"/>
        <v>112.24658333877525</v>
      </c>
      <c r="DB20" s="111">
        <f t="shared" si="23"/>
        <v>112.37409125807925</v>
      </c>
      <c r="DC20" s="111">
        <f>DC18/DC19</f>
        <v>112.29828328543111</v>
      </c>
      <c r="DD20" s="111">
        <f t="shared" si="23"/>
        <v>112.32478958873654</v>
      </c>
      <c r="DE20" s="111" t="e">
        <f>DE18/DE19</f>
        <v>#DIV/0!</v>
      </c>
      <c r="DF20" s="797">
        <f t="shared" si="23"/>
        <v>111.78156764077131</v>
      </c>
      <c r="DG20" s="111"/>
      <c r="DH20" s="111"/>
      <c r="DI20" s="111"/>
      <c r="DJ20" s="111"/>
      <c r="DK20" s="1412"/>
      <c r="DL20" s="111"/>
      <c r="DM20" s="111"/>
      <c r="DN20" s="111"/>
      <c r="DO20" s="111"/>
      <c r="DP20" s="1412">
        <f t="shared" ref="DP20:DU20" si="24">DP18/DP19</f>
        <v>0</v>
      </c>
      <c r="DQ20" s="111"/>
      <c r="DR20" s="111">
        <f t="shared" si="24"/>
        <v>0</v>
      </c>
      <c r="DS20" s="111">
        <f t="shared" si="24"/>
        <v>0</v>
      </c>
      <c r="DT20" s="111">
        <f t="shared" si="24"/>
        <v>0</v>
      </c>
      <c r="DU20" s="1412">
        <f t="shared" si="24"/>
        <v>0</v>
      </c>
      <c r="DV20" s="111">
        <f t="shared" ref="DV20:DZ20" si="25">DV18/DV19</f>
        <v>0</v>
      </c>
      <c r="DW20" s="111">
        <f t="shared" si="25"/>
        <v>0</v>
      </c>
      <c r="DX20" s="111">
        <f t="shared" si="25"/>
        <v>0</v>
      </c>
      <c r="DY20" s="111">
        <f t="shared" si="25"/>
        <v>0</v>
      </c>
      <c r="DZ20" s="1412">
        <f t="shared" si="25"/>
        <v>0</v>
      </c>
      <c r="EA20" s="111">
        <f t="shared" ref="EA20:EE20" si="26">EA18/EA19</f>
        <v>0</v>
      </c>
      <c r="EB20" s="111">
        <f t="shared" si="26"/>
        <v>0</v>
      </c>
      <c r="EC20" s="111">
        <f t="shared" si="26"/>
        <v>0</v>
      </c>
      <c r="ED20" s="111">
        <f t="shared" si="26"/>
        <v>0</v>
      </c>
      <c r="EE20" s="1412">
        <f t="shared" si="26"/>
        <v>0</v>
      </c>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row>
    <row r="21" spans="2:238" s="54" customFormat="1" ht="12.75" customHeight="1" outlineLevel="1">
      <c r="B21" s="538"/>
      <c r="C21" s="64"/>
      <c r="D21" s="64"/>
      <c r="E21" s="64"/>
      <c r="F21" s="64"/>
      <c r="G21" s="64"/>
      <c r="H21" s="77"/>
      <c r="I21" s="64"/>
      <c r="J21" s="64"/>
      <c r="K21" s="118"/>
      <c r="L21" s="119"/>
      <c r="M21" s="119"/>
      <c r="N21" s="120"/>
      <c r="O21" s="64"/>
      <c r="P21" s="118"/>
      <c r="Q21" s="119"/>
      <c r="R21" s="119"/>
      <c r="S21" s="120"/>
      <c r="T21" s="64"/>
      <c r="U21" s="118"/>
      <c r="V21" s="119"/>
      <c r="W21" s="119"/>
      <c r="X21" s="120"/>
      <c r="Y21" s="64"/>
      <c r="Z21" s="118"/>
      <c r="AA21" s="119"/>
      <c r="AB21" s="119"/>
      <c r="AC21" s="120"/>
      <c r="AD21" s="64"/>
      <c r="AE21" s="118"/>
      <c r="AF21" s="119"/>
      <c r="AG21" s="119"/>
      <c r="AH21" s="120"/>
      <c r="AI21" s="64"/>
      <c r="AJ21" s="118"/>
      <c r="AK21" s="119"/>
      <c r="AL21" s="119"/>
      <c r="AM21" s="120"/>
      <c r="AN21" s="64"/>
      <c r="AO21" s="118"/>
      <c r="AP21" s="119"/>
      <c r="AQ21" s="119"/>
      <c r="AR21" s="120"/>
      <c r="AS21" s="64"/>
      <c r="AT21" s="118"/>
      <c r="AU21" s="119"/>
      <c r="AV21" s="119"/>
      <c r="AW21" s="120"/>
      <c r="AX21" s="64"/>
      <c r="AY21" s="118"/>
      <c r="AZ21" s="119"/>
      <c r="BA21" s="119"/>
      <c r="BB21" s="120"/>
      <c r="BC21" s="64"/>
      <c r="BD21" s="118"/>
      <c r="BE21" s="119"/>
      <c r="BF21" s="119"/>
      <c r="BG21" s="120"/>
      <c r="BH21" s="64"/>
      <c r="BI21" s="118"/>
      <c r="BJ21" s="119"/>
      <c r="BK21" s="119"/>
      <c r="BL21" s="120"/>
      <c r="BM21" s="64"/>
      <c r="BN21" s="118"/>
      <c r="BO21" s="119"/>
      <c r="BP21" s="119"/>
      <c r="BQ21" s="120"/>
      <c r="BR21" s="64"/>
      <c r="BS21" s="118"/>
      <c r="BT21" s="119"/>
      <c r="BU21" s="119"/>
      <c r="BV21" s="120"/>
      <c r="BW21" s="64"/>
      <c r="BX21" s="118"/>
      <c r="BY21" s="119"/>
      <c r="BZ21" s="119"/>
      <c r="CA21" s="120"/>
      <c r="CB21" s="64"/>
      <c r="CC21" s="118"/>
      <c r="CD21" s="119"/>
      <c r="CE21" s="73"/>
      <c r="CF21" s="73"/>
      <c r="CG21" s="619"/>
      <c r="CH21" s="73"/>
      <c r="CI21" s="73"/>
      <c r="CJ21" s="73"/>
      <c r="CK21" s="73"/>
      <c r="CL21" s="619"/>
      <c r="CM21" s="73"/>
      <c r="CN21" s="73"/>
      <c r="CO21" s="73"/>
      <c r="CP21" s="73"/>
      <c r="CQ21" s="619"/>
      <c r="CR21" s="73"/>
      <c r="CS21" s="73"/>
      <c r="CT21" s="73"/>
      <c r="CU21" s="73"/>
      <c r="CV21" s="619"/>
      <c r="CW21" s="73"/>
      <c r="CX21" s="73"/>
      <c r="CY21" s="73"/>
      <c r="CZ21" s="73"/>
      <c r="DA21" s="619"/>
      <c r="DB21" s="73"/>
      <c r="DC21" s="73"/>
      <c r="DD21" s="73"/>
      <c r="DE21" s="73"/>
      <c r="DF21" s="619"/>
      <c r="DG21" s="73"/>
      <c r="DH21" s="73"/>
      <c r="DI21" s="73"/>
      <c r="DJ21" s="73"/>
      <c r="DK21" s="777"/>
      <c r="DL21" s="73"/>
      <c r="DM21" s="73"/>
      <c r="DN21" s="73"/>
      <c r="DO21" s="73"/>
      <c r="DP21" s="777"/>
      <c r="DQ21" s="73"/>
      <c r="DR21" s="73"/>
      <c r="DS21" s="73"/>
      <c r="DT21" s="73"/>
      <c r="DU21" s="777"/>
      <c r="DV21" s="73"/>
      <c r="DW21" s="73"/>
      <c r="DX21" s="73"/>
      <c r="DY21" s="73"/>
      <c r="DZ21" s="777"/>
      <c r="EA21" s="73"/>
      <c r="EB21" s="73"/>
      <c r="EC21" s="73"/>
      <c r="ED21" s="73"/>
      <c r="EE21" s="777"/>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row>
    <row r="22" spans="2:238" s="82" customFormat="1" ht="12.75" customHeight="1" outlineLevel="1">
      <c r="B22" s="546" t="s">
        <v>156</v>
      </c>
      <c r="C22" s="80"/>
      <c r="D22" s="80"/>
      <c r="E22" s="122">
        <f t="shared" ref="E22:J22" si="27">E18/D18-1</f>
        <v>5.8366031390134632E-2</v>
      </c>
      <c r="F22" s="122">
        <f t="shared" si="27"/>
        <v>5.1108904336312433E-2</v>
      </c>
      <c r="G22" s="122">
        <f t="shared" si="27"/>
        <v>5.8827234364174474E-2</v>
      </c>
      <c r="H22" s="122">
        <f t="shared" si="27"/>
        <v>6.7753256796145411E-2</v>
      </c>
      <c r="I22" s="122">
        <f t="shared" si="27"/>
        <v>7.7548746518105727E-2</v>
      </c>
      <c r="J22" s="122">
        <f t="shared" si="27"/>
        <v>7.1812635715024387E-2</v>
      </c>
      <c r="K22" s="123"/>
      <c r="L22" s="124"/>
      <c r="M22" s="124"/>
      <c r="N22" s="125"/>
      <c r="O22" s="122">
        <f t="shared" ref="O22:AT22" si="28">O18/J18-1</f>
        <v>6.7194057209010616E-2</v>
      </c>
      <c r="P22" s="123">
        <f t="shared" si="28"/>
        <v>7.6029393460673056E-2</v>
      </c>
      <c r="Q22" s="124">
        <f t="shared" si="28"/>
        <v>7.8815181377358767E-2</v>
      </c>
      <c r="R22" s="124">
        <f t="shared" si="28"/>
        <v>8.542740104629365E-2</v>
      </c>
      <c r="S22" s="125">
        <f t="shared" si="28"/>
        <v>8.1856807087326011E-2</v>
      </c>
      <c r="T22" s="122">
        <f t="shared" si="28"/>
        <v>8.1856807087326011E-2</v>
      </c>
      <c r="U22" s="123">
        <f t="shared" si="28"/>
        <v>7.3933747377006087E-2</v>
      </c>
      <c r="V22" s="124">
        <f t="shared" si="28"/>
        <v>7.9243025465762784E-2</v>
      </c>
      <c r="W22" s="124">
        <f t="shared" si="28"/>
        <v>8.0303880340073741E-2</v>
      </c>
      <c r="X22" s="125">
        <f t="shared" si="28"/>
        <v>8.727804470440792E-2</v>
      </c>
      <c r="Y22" s="122">
        <f t="shared" si="28"/>
        <v>8.727804470440792E-2</v>
      </c>
      <c r="Z22" s="123">
        <f t="shared" si="28"/>
        <v>0.10962343096234317</v>
      </c>
      <c r="AA22" s="124">
        <f t="shared" si="28"/>
        <v>0.10748599531005731</v>
      </c>
      <c r="AB22" s="124">
        <f t="shared" si="28"/>
        <v>0.12496492564236172</v>
      </c>
      <c r="AC22" s="125">
        <f t="shared" si="28"/>
        <v>0.12319397479249927</v>
      </c>
      <c r="AD22" s="122">
        <f t="shared" si="28"/>
        <v>0.12319397479249927</v>
      </c>
      <c r="AE22" s="123">
        <f t="shared" si="28"/>
        <v>0.12366530770724138</v>
      </c>
      <c r="AF22" s="124">
        <f t="shared" si="28"/>
        <v>0.13429938904695726</v>
      </c>
      <c r="AG22" s="124">
        <f t="shared" si="28"/>
        <v>0.13062409805982655</v>
      </c>
      <c r="AH22" s="125">
        <f t="shared" si="28"/>
        <v>0.15237769414984603</v>
      </c>
      <c r="AI22" s="122">
        <f t="shared" si="28"/>
        <v>0.15237769414984603</v>
      </c>
      <c r="AJ22" s="123">
        <f t="shared" si="28"/>
        <v>0.12243501142948254</v>
      </c>
      <c r="AK22" s="124">
        <f t="shared" si="28"/>
        <v>0.12672733400741465</v>
      </c>
      <c r="AL22" s="124">
        <f t="shared" si="28"/>
        <v>0.12225499836119291</v>
      </c>
      <c r="AM22" s="125">
        <f t="shared" si="28"/>
        <v>0.13484146775917361</v>
      </c>
      <c r="AN22" s="122">
        <f t="shared" si="28"/>
        <v>0.13484146775917361</v>
      </c>
      <c r="AO22" s="123">
        <f t="shared" si="28"/>
        <v>0.16474161254610364</v>
      </c>
      <c r="AP22" s="124">
        <f t="shared" si="28"/>
        <v>0.14947421707816577</v>
      </c>
      <c r="AQ22" s="124">
        <f t="shared" si="28"/>
        <v>0.15070093457943923</v>
      </c>
      <c r="AR22" s="125">
        <f t="shared" si="28"/>
        <v>0.11696227698425155</v>
      </c>
      <c r="AS22" s="122">
        <f t="shared" si="28"/>
        <v>0.11696227698425155</v>
      </c>
      <c r="AT22" s="123">
        <f t="shared" si="28"/>
        <v>9.5328860424926276E-2</v>
      </c>
      <c r="AU22" s="124">
        <f t="shared" ref="AU22:BZ22" si="29">AU18/AP18-1</f>
        <v>7.8445601040936896E-2</v>
      </c>
      <c r="AV22" s="124">
        <f t="shared" si="29"/>
        <v>5.1810816087465739E-2</v>
      </c>
      <c r="AW22" s="125">
        <f t="shared" si="29"/>
        <v>8.7500292760615439E-2</v>
      </c>
      <c r="AX22" s="122">
        <f t="shared" si="29"/>
        <v>8.7492235988476885E-2</v>
      </c>
      <c r="AY22" s="123">
        <f t="shared" si="29"/>
        <v>9.369126893895463E-2</v>
      </c>
      <c r="AZ22" s="124">
        <f t="shared" si="29"/>
        <v>0.10666140745724961</v>
      </c>
      <c r="BA22" s="124">
        <f t="shared" si="29"/>
        <v>0.12656906192719108</v>
      </c>
      <c r="BB22" s="125">
        <f t="shared" si="29"/>
        <v>9.6787371050761184E-2</v>
      </c>
      <c r="BC22" s="122">
        <f t="shared" si="29"/>
        <v>8.9197395901711829E-2</v>
      </c>
      <c r="BD22" s="123">
        <f t="shared" si="29"/>
        <v>0.10206419585463644</v>
      </c>
      <c r="BE22" s="124">
        <f t="shared" si="29"/>
        <v>0.10265011741026497</v>
      </c>
      <c r="BF22" s="124">
        <f t="shared" si="29"/>
        <v>9.8500000000000032E-2</v>
      </c>
      <c r="BG22" s="125">
        <f t="shared" si="29"/>
        <v>8.3901687917685264E-2</v>
      </c>
      <c r="BH22" s="122">
        <f t="shared" si="29"/>
        <v>8.5320817312688702E-2</v>
      </c>
      <c r="BI22" s="123">
        <f t="shared" si="29"/>
        <v>8.6952336952337062E-2</v>
      </c>
      <c r="BJ22" s="124">
        <f t="shared" si="29"/>
        <v>9.2048220261636837E-2</v>
      </c>
      <c r="BK22" s="124">
        <f t="shared" si="29"/>
        <v>9.6395983026204668E-2</v>
      </c>
      <c r="BL22" s="125">
        <f t="shared" si="29"/>
        <v>9.7826086956521729E-2</v>
      </c>
      <c r="BM22" s="122">
        <f t="shared" si="29"/>
        <v>9.8087678942431422E-2</v>
      </c>
      <c r="BN22" s="123">
        <f t="shared" si="29"/>
        <v>9.6413707606481713E-2</v>
      </c>
      <c r="BO22" s="124">
        <f t="shared" si="29"/>
        <v>8.9617467309734744E-2</v>
      </c>
      <c r="BP22" s="124">
        <f t="shared" si="29"/>
        <v>9.0837579944594404E-2</v>
      </c>
      <c r="BQ22" s="125">
        <f t="shared" si="29"/>
        <v>9.2409240924092417E-2</v>
      </c>
      <c r="BR22" s="122">
        <f t="shared" si="29"/>
        <v>8.405513668049136E-2</v>
      </c>
      <c r="BS22" s="123">
        <f t="shared" si="29"/>
        <v>8.206966676896732E-2</v>
      </c>
      <c r="BT22" s="124">
        <f t="shared" si="29"/>
        <v>8.675455417066158E-2</v>
      </c>
      <c r="BU22" s="124">
        <f t="shared" si="29"/>
        <v>8.6955447562313992E-2</v>
      </c>
      <c r="BV22" s="125">
        <f t="shared" si="29"/>
        <v>7.9870619335347337E-2</v>
      </c>
      <c r="BW22" s="122">
        <f t="shared" si="29"/>
        <v>9.4090054938483991E-2</v>
      </c>
      <c r="BX22" s="123">
        <f t="shared" si="29"/>
        <v>9.742510100522539E-2</v>
      </c>
      <c r="BY22" s="124">
        <f t="shared" si="29"/>
        <v>8.6669431002615926E-2</v>
      </c>
      <c r="BZ22" s="124">
        <f t="shared" si="29"/>
        <v>0.10281900739473615</v>
      </c>
      <c r="CA22" s="125">
        <f t="shared" ref="CA22:CW22" si="30">CA18/BV18-1</f>
        <v>0.10204474394696095</v>
      </c>
      <c r="CB22" s="122">
        <f t="shared" si="30"/>
        <v>0.10204474394696095</v>
      </c>
      <c r="CC22" s="126">
        <f t="shared" si="30"/>
        <v>9.3357920519007376E-2</v>
      </c>
      <c r="CD22" s="127">
        <f t="shared" si="30"/>
        <v>9.0930418501663057E-2</v>
      </c>
      <c r="CE22" s="127">
        <f t="shared" si="30"/>
        <v>8.9515831852043926E-2</v>
      </c>
      <c r="CF22" s="124">
        <f t="shared" si="30"/>
        <v>6.2668045249524962E-2</v>
      </c>
      <c r="CG22" s="800">
        <f t="shared" si="30"/>
        <v>6.2668045249524962E-2</v>
      </c>
      <c r="CH22" s="127">
        <f t="shared" si="30"/>
        <v>5.200674046002951E-2</v>
      </c>
      <c r="CI22" s="127">
        <f t="shared" si="30"/>
        <v>5.417178427956082E-2</v>
      </c>
      <c r="CJ22" s="127">
        <f t="shared" si="30"/>
        <v>2.0731534251094308E-2</v>
      </c>
      <c r="CK22" s="124">
        <f t="shared" si="30"/>
        <v>2.2691252005745621E-2</v>
      </c>
      <c r="CL22" s="800">
        <f t="shared" si="30"/>
        <v>2.2691252005745621E-2</v>
      </c>
      <c r="CM22" s="127">
        <f t="shared" si="30"/>
        <v>1.8345739086306656E-2</v>
      </c>
      <c r="CN22" s="128">
        <f t="shared" si="30"/>
        <v>1.6306660854893185E-2</v>
      </c>
      <c r="CO22" s="128">
        <f t="shared" si="30"/>
        <v>1.6446411922802939E-2</v>
      </c>
      <c r="CP22" s="128">
        <f t="shared" si="30"/>
        <v>1.6707154475700037E-2</v>
      </c>
      <c r="CQ22" s="800">
        <f t="shared" si="30"/>
        <v>1.6707154475700037E-2</v>
      </c>
      <c r="CR22" s="127">
        <f t="shared" si="30"/>
        <v>2.1818837967064519E-2</v>
      </c>
      <c r="CS22" s="128">
        <f t="shared" si="30"/>
        <v>1.9861522028194578E-2</v>
      </c>
      <c r="CT22" s="128">
        <f t="shared" si="30"/>
        <v>2.1561166816940425E-2</v>
      </c>
      <c r="CU22" s="188">
        <f t="shared" si="30"/>
        <v>2.0125815337940445E-2</v>
      </c>
      <c r="CV22" s="800">
        <f>CV18/CQ18-1</f>
        <v>2.0125815337940445E-2</v>
      </c>
      <c r="CW22" s="127">
        <f t="shared" si="30"/>
        <v>1.8096712557232886E-2</v>
      </c>
      <c r="CX22" s="1525">
        <f>CX13</f>
        <v>1.7096134786917849E-2</v>
      </c>
      <c r="CY22" s="1525">
        <f>CY13</f>
        <v>1.4820303816228231E-2</v>
      </c>
      <c r="CZ22" s="1525">
        <f>CZ13</f>
        <v>1.1212419911286409E-2</v>
      </c>
      <c r="DA22" s="800">
        <f>DA18/CV18-1</f>
        <v>1.1212419911286409E-2</v>
      </c>
      <c r="DB22" s="1525">
        <f>DB13</f>
        <v>3.5365853658535507E-3</v>
      </c>
      <c r="DC22" s="1525">
        <f>DC13</f>
        <v>2.6796589524968883E-3</v>
      </c>
      <c r="DD22" s="1525">
        <f>DD13</f>
        <v>2.7990750882316284E-3</v>
      </c>
      <c r="DE22" s="1525">
        <f>DE13</f>
        <v>-4.1428049226269748E-3</v>
      </c>
      <c r="DF22" s="800">
        <f>DF18/DA18-1</f>
        <v>-4.1428049226270858E-3</v>
      </c>
      <c r="DG22" s="1525">
        <f>DG13</f>
        <v>-4.4962935958197114E-3</v>
      </c>
      <c r="DH22" s="1525">
        <f>DH13</f>
        <v>-4.8590864917396059E-3</v>
      </c>
      <c r="DI22" s="1525">
        <f>DI13</f>
        <v>-4.9757281553397537E-3</v>
      </c>
      <c r="DJ22" s="1525"/>
      <c r="DK22" s="1371"/>
      <c r="DL22" s="1525"/>
      <c r="DM22" s="1525"/>
      <c r="DN22" s="1525"/>
      <c r="DO22" s="1525"/>
      <c r="DP22" s="1371"/>
      <c r="DQ22" s="1525"/>
      <c r="DR22" s="129"/>
      <c r="DS22" s="129"/>
      <c r="DT22" s="129"/>
      <c r="DU22" s="1371"/>
      <c r="DV22" s="129"/>
      <c r="DW22" s="129"/>
      <c r="DX22" s="129"/>
      <c r="DY22" s="129"/>
      <c r="DZ22" s="1371"/>
      <c r="EA22" s="129"/>
      <c r="EB22" s="129"/>
      <c r="EC22" s="129"/>
      <c r="ED22" s="129"/>
      <c r="EE22" s="1371"/>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row>
    <row r="23" spans="2:238" s="130" customFormat="1" ht="12.75" customHeight="1" outlineLevel="1">
      <c r="B23" s="547"/>
      <c r="E23" s="131"/>
      <c r="F23" s="131"/>
      <c r="G23" s="131"/>
      <c r="H23" s="131"/>
      <c r="I23" s="131"/>
      <c r="J23" s="131"/>
      <c r="K23" s="126"/>
      <c r="L23" s="127"/>
      <c r="M23" s="127"/>
      <c r="N23" s="132"/>
      <c r="O23" s="131"/>
      <c r="P23" s="126"/>
      <c r="Q23" s="127"/>
      <c r="R23" s="127"/>
      <c r="S23" s="132"/>
      <c r="T23" s="131"/>
      <c r="U23" s="126"/>
      <c r="V23" s="127"/>
      <c r="W23" s="127"/>
      <c r="X23" s="132"/>
      <c r="Y23" s="131"/>
      <c r="Z23" s="126"/>
      <c r="AA23" s="127"/>
      <c r="AB23" s="127"/>
      <c r="AC23" s="132"/>
      <c r="AD23" s="131"/>
      <c r="AE23" s="126"/>
      <c r="AF23" s="127"/>
      <c r="AG23" s="127"/>
      <c r="AH23" s="132"/>
      <c r="AI23" s="131"/>
      <c r="AJ23" s="126"/>
      <c r="AK23" s="127"/>
      <c r="AL23" s="127"/>
      <c r="AM23" s="132"/>
      <c r="AN23" s="131"/>
      <c r="AO23" s="126"/>
      <c r="AP23" s="127"/>
      <c r="AQ23" s="127"/>
      <c r="AR23" s="132"/>
      <c r="AS23" s="131"/>
      <c r="AT23" s="126"/>
      <c r="AU23" s="127"/>
      <c r="AV23" s="127"/>
      <c r="AW23" s="132"/>
      <c r="AX23" s="131"/>
      <c r="AY23" s="126"/>
      <c r="AZ23" s="127"/>
      <c r="BA23" s="127"/>
      <c r="BB23" s="132"/>
      <c r="BC23" s="131"/>
      <c r="BD23" s="126"/>
      <c r="BE23" s="127"/>
      <c r="BF23" s="127"/>
      <c r="BG23" s="132"/>
      <c r="BH23" s="131"/>
      <c r="BI23" s="126"/>
      <c r="BJ23" s="127"/>
      <c r="BK23" s="127"/>
      <c r="BL23" s="132"/>
      <c r="BM23" s="131"/>
      <c r="BN23" s="126"/>
      <c r="BO23" s="127"/>
      <c r="BP23" s="127"/>
      <c r="BQ23" s="132"/>
      <c r="BR23" s="131"/>
      <c r="BS23" s="126"/>
      <c r="BT23" s="127"/>
      <c r="BU23" s="127"/>
      <c r="BV23" s="132"/>
      <c r="BW23" s="131"/>
      <c r="BX23" s="126"/>
      <c r="BY23" s="127"/>
      <c r="BZ23" s="127"/>
      <c r="CA23" s="132"/>
      <c r="CB23" s="131"/>
      <c r="CC23" s="126"/>
      <c r="CD23" s="127"/>
      <c r="CE23" s="127"/>
      <c r="CF23" s="127"/>
      <c r="CG23" s="613"/>
      <c r="CH23" s="127"/>
      <c r="CI23" s="127"/>
      <c r="CJ23" s="127"/>
      <c r="CK23" s="129"/>
      <c r="CL23" s="613"/>
      <c r="CM23" s="129"/>
      <c r="CN23" s="129"/>
      <c r="CO23" s="129"/>
      <c r="CP23" s="129"/>
      <c r="CQ23" s="831"/>
      <c r="CR23" s="129"/>
      <c r="CS23" s="129"/>
      <c r="CT23" s="129"/>
      <c r="CU23" s="129"/>
      <c r="CV23" s="831"/>
      <c r="CW23" s="129"/>
      <c r="CX23" s="129"/>
      <c r="CY23" s="129"/>
      <c r="CZ23" s="129"/>
      <c r="DA23" s="831"/>
      <c r="DB23" s="129"/>
      <c r="DC23" s="129"/>
      <c r="DD23" s="129"/>
      <c r="DE23" s="129"/>
      <c r="DF23" s="831"/>
      <c r="DG23" s="129"/>
      <c r="DH23" s="129"/>
      <c r="DI23" s="129"/>
      <c r="DJ23" s="129"/>
      <c r="DK23" s="1371"/>
      <c r="DL23" s="129"/>
      <c r="DM23" s="129"/>
      <c r="DN23" s="129"/>
      <c r="DO23" s="129"/>
      <c r="DP23" s="1371"/>
      <c r="DQ23" s="129"/>
      <c r="DR23" s="129"/>
      <c r="DS23" s="129"/>
      <c r="DT23" s="129"/>
      <c r="DU23" s="1371"/>
      <c r="DV23" s="129"/>
      <c r="DW23" s="129"/>
      <c r="DX23" s="129"/>
      <c r="DY23" s="129"/>
      <c r="DZ23" s="1371"/>
      <c r="EA23" s="129"/>
      <c r="EB23" s="129"/>
      <c r="EC23" s="129"/>
      <c r="ED23" s="129"/>
      <c r="EE23" s="1371"/>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row>
    <row r="24" spans="2:238" s="134" customFormat="1" ht="12.75" customHeight="1" outlineLevel="1">
      <c r="B24" s="548"/>
      <c r="E24" s="135"/>
      <c r="F24" s="135"/>
      <c r="G24" s="135"/>
      <c r="H24" s="135"/>
      <c r="I24" s="135"/>
      <c r="J24" s="135"/>
      <c r="K24" s="136"/>
      <c r="L24" s="137"/>
      <c r="M24" s="137"/>
      <c r="N24" s="138"/>
      <c r="O24" s="135"/>
      <c r="P24" s="136"/>
      <c r="Q24" s="137"/>
      <c r="R24" s="137"/>
      <c r="S24" s="138"/>
      <c r="T24" s="135"/>
      <c r="U24" s="136"/>
      <c r="V24" s="137"/>
      <c r="W24" s="137"/>
      <c r="X24" s="138"/>
      <c r="Y24" s="135"/>
      <c r="Z24" s="136"/>
      <c r="AA24" s="137"/>
      <c r="AB24" s="137"/>
      <c r="AC24" s="138"/>
      <c r="AD24" s="135"/>
      <c r="AE24" s="136"/>
      <c r="AF24" s="137"/>
      <c r="AG24" s="137"/>
      <c r="AH24" s="138"/>
      <c r="AI24" s="135"/>
      <c r="AJ24" s="136"/>
      <c r="AK24" s="137"/>
      <c r="AL24" s="137"/>
      <c r="AM24" s="138"/>
      <c r="AN24" s="135"/>
      <c r="AO24" s="136"/>
      <c r="AP24" s="137"/>
      <c r="AQ24" s="137"/>
      <c r="AR24" s="138"/>
      <c r="AS24" s="135"/>
      <c r="AT24" s="136"/>
      <c r="AU24" s="137"/>
      <c r="AV24" s="137"/>
      <c r="AW24" s="138"/>
      <c r="AX24" s="135"/>
      <c r="AY24" s="136"/>
      <c r="AZ24" s="137"/>
      <c r="BA24" s="137"/>
      <c r="BB24" s="138"/>
      <c r="BC24" s="135"/>
      <c r="BD24" s="136"/>
      <c r="BE24" s="137"/>
      <c r="BF24" s="137"/>
      <c r="BG24" s="138"/>
      <c r="BH24" s="135"/>
      <c r="BI24" s="136"/>
      <c r="BJ24" s="137"/>
      <c r="BK24" s="137"/>
      <c r="BL24" s="138"/>
      <c r="BM24" s="135"/>
      <c r="BN24" s="136"/>
      <c r="BO24" s="137"/>
      <c r="BP24" s="137"/>
      <c r="BQ24" s="138"/>
      <c r="BR24" s="135"/>
      <c r="BS24" s="136"/>
      <c r="BT24" s="137"/>
      <c r="BU24" s="137"/>
      <c r="BV24" s="138"/>
      <c r="BW24" s="135"/>
      <c r="BX24" s="136"/>
      <c r="BY24" s="137"/>
      <c r="BZ24" s="137"/>
      <c r="CA24" s="138"/>
      <c r="CB24" s="135"/>
      <c r="CC24" s="136"/>
      <c r="CD24" s="137"/>
      <c r="CE24" s="137"/>
      <c r="CF24" s="137"/>
      <c r="CG24" s="801"/>
      <c r="CH24" s="137"/>
      <c r="CI24" s="137"/>
      <c r="CJ24" s="137"/>
      <c r="CK24" s="139"/>
      <c r="CL24" s="801"/>
      <c r="CM24" s="139"/>
      <c r="CN24" s="139"/>
      <c r="CO24" s="139"/>
      <c r="CP24" s="139"/>
      <c r="CQ24" s="832"/>
      <c r="CR24" s="139"/>
      <c r="CS24" s="139"/>
      <c r="CT24" s="139"/>
      <c r="CU24" s="139"/>
      <c r="CV24" s="832"/>
      <c r="CW24" s="139"/>
      <c r="CX24" s="139"/>
      <c r="CY24" s="139"/>
      <c r="CZ24" s="139"/>
      <c r="DA24" s="832"/>
      <c r="DB24" s="139"/>
      <c r="DC24" s="139"/>
      <c r="DD24" s="139"/>
      <c r="DE24" s="139"/>
      <c r="DF24" s="832"/>
      <c r="DG24" s="139"/>
      <c r="DH24" s="139"/>
      <c r="DI24" s="139"/>
      <c r="DJ24" s="139"/>
      <c r="DK24" s="1413"/>
      <c r="DL24" s="139"/>
      <c r="DM24" s="139"/>
      <c r="DN24" s="139"/>
      <c r="DO24" s="139"/>
      <c r="DP24" s="1413"/>
      <c r="DQ24" s="139"/>
      <c r="DR24" s="139"/>
      <c r="DS24" s="139"/>
      <c r="DT24" s="139"/>
      <c r="DU24" s="1413"/>
      <c r="DV24" s="139"/>
      <c r="DW24" s="139"/>
      <c r="DX24" s="139"/>
      <c r="DY24" s="139"/>
      <c r="DZ24" s="1413"/>
      <c r="EA24" s="139"/>
      <c r="EB24" s="139"/>
      <c r="EC24" s="139"/>
      <c r="ED24" s="139"/>
      <c r="EE24" s="1413"/>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row>
    <row r="25" spans="2:238" s="62" customFormat="1" ht="12.75" customHeight="1" outlineLevel="1">
      <c r="B25" s="549"/>
      <c r="K25" s="140"/>
      <c r="L25" s="76"/>
      <c r="M25" s="76"/>
      <c r="N25" s="141"/>
      <c r="P25" s="140"/>
      <c r="Q25" s="76"/>
      <c r="R25" s="76"/>
      <c r="S25" s="141"/>
      <c r="U25" s="140"/>
      <c r="V25" s="76"/>
      <c r="W25" s="76"/>
      <c r="X25" s="141"/>
      <c r="Z25" s="140"/>
      <c r="AA25" s="76"/>
      <c r="AB25" s="76"/>
      <c r="AC25" s="141"/>
      <c r="AE25" s="140"/>
      <c r="AF25" s="76"/>
      <c r="AG25" s="76"/>
      <c r="AH25" s="141"/>
      <c r="AJ25" s="140"/>
      <c r="AK25" s="76"/>
      <c r="AL25" s="76"/>
      <c r="AM25" s="141"/>
      <c r="AO25" s="140"/>
      <c r="AP25" s="76"/>
      <c r="AQ25" s="76"/>
      <c r="AR25" s="141"/>
      <c r="AT25" s="140"/>
      <c r="AU25" s="76"/>
      <c r="AV25" s="76"/>
      <c r="AW25" s="141"/>
      <c r="AY25" s="140"/>
      <c r="AZ25" s="76"/>
      <c r="BA25" s="76"/>
      <c r="BB25" s="141"/>
      <c r="BD25" s="140"/>
      <c r="BE25" s="76"/>
      <c r="BF25" s="76"/>
      <c r="BG25" s="141"/>
      <c r="BI25" s="140"/>
      <c r="BJ25" s="76"/>
      <c r="BK25" s="76"/>
      <c r="BL25" s="141"/>
      <c r="BN25" s="140"/>
      <c r="BO25" s="76"/>
      <c r="BP25" s="76"/>
      <c r="BQ25" s="141"/>
      <c r="BS25" s="140"/>
      <c r="BT25" s="76"/>
      <c r="BU25" s="76"/>
      <c r="BV25" s="141"/>
      <c r="BX25" s="140"/>
      <c r="BY25" s="76"/>
      <c r="BZ25" s="76"/>
      <c r="CA25" s="141"/>
      <c r="CC25" s="140"/>
      <c r="CD25" s="76"/>
      <c r="CE25" s="76"/>
      <c r="CF25" s="76"/>
      <c r="CG25" s="802"/>
      <c r="CH25" s="76"/>
      <c r="CI25" s="76"/>
      <c r="CJ25" s="76"/>
      <c r="CK25" s="76"/>
      <c r="CL25" s="802"/>
      <c r="CM25" s="76"/>
      <c r="CN25" s="76"/>
      <c r="CO25" s="76"/>
      <c r="CP25" s="76"/>
      <c r="CQ25" s="802"/>
      <c r="CR25" s="76"/>
      <c r="CS25" s="76"/>
      <c r="CT25" s="76"/>
      <c r="CU25" s="76"/>
      <c r="CV25" s="802"/>
      <c r="CW25" s="76"/>
      <c r="CX25" s="76"/>
      <c r="CY25" s="76"/>
      <c r="CZ25" s="76"/>
      <c r="DA25" s="802"/>
      <c r="DB25" s="76"/>
      <c r="DC25" s="76"/>
      <c r="DD25" s="76"/>
      <c r="DE25" s="76"/>
      <c r="DF25" s="802"/>
      <c r="DG25" s="76"/>
      <c r="DH25" s="76"/>
      <c r="DI25" s="76"/>
      <c r="DJ25" s="76"/>
      <c r="DK25" s="807"/>
      <c r="DL25" s="76"/>
      <c r="DM25" s="76"/>
      <c r="DN25" s="76"/>
      <c r="DO25" s="76"/>
      <c r="DP25" s="807"/>
      <c r="DQ25" s="76"/>
      <c r="DR25" s="76"/>
      <c r="DS25" s="76"/>
      <c r="DT25" s="76"/>
      <c r="DU25" s="807"/>
      <c r="DV25" s="76"/>
      <c r="DW25" s="76"/>
      <c r="DX25" s="76"/>
      <c r="DY25" s="76"/>
      <c r="DZ25" s="807"/>
      <c r="EA25" s="76"/>
      <c r="EB25" s="76"/>
      <c r="EC25" s="76"/>
      <c r="ED25" s="76"/>
      <c r="EE25" s="807"/>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row>
    <row r="26" spans="2:238" s="62" customFormat="1" ht="12.75" customHeight="1" outlineLevel="1">
      <c r="B26" s="549"/>
      <c r="K26" s="140"/>
      <c r="L26" s="76"/>
      <c r="M26" s="76"/>
      <c r="N26" s="141"/>
      <c r="P26" s="140"/>
      <c r="Q26" s="76"/>
      <c r="R26" s="76"/>
      <c r="S26" s="141"/>
      <c r="U26" s="140"/>
      <c r="V26" s="76"/>
      <c r="W26" s="76"/>
      <c r="X26" s="141"/>
      <c r="Z26" s="140"/>
      <c r="AA26" s="76"/>
      <c r="AB26" s="76"/>
      <c r="AC26" s="141"/>
      <c r="AE26" s="140"/>
      <c r="AF26" s="76"/>
      <c r="AG26" s="76"/>
      <c r="AH26" s="141"/>
      <c r="AJ26" s="140"/>
      <c r="AK26" s="76"/>
      <c r="AL26" s="76"/>
      <c r="AM26" s="141"/>
      <c r="AO26" s="140"/>
      <c r="AP26" s="76"/>
      <c r="AQ26" s="76"/>
      <c r="AR26" s="141"/>
      <c r="AT26" s="140"/>
      <c r="AU26" s="76"/>
      <c r="AV26" s="76"/>
      <c r="AW26" s="141"/>
      <c r="AY26" s="140"/>
      <c r="AZ26" s="76"/>
      <c r="BA26" s="76"/>
      <c r="BB26" s="141"/>
      <c r="BD26" s="140"/>
      <c r="BE26" s="76"/>
      <c r="BF26" s="76"/>
      <c r="BG26" s="141"/>
      <c r="BI26" s="140"/>
      <c r="BJ26" s="76"/>
      <c r="BK26" s="76"/>
      <c r="BL26" s="141"/>
      <c r="BN26" s="140"/>
      <c r="BO26" s="76"/>
      <c r="BP26" s="76"/>
      <c r="BQ26" s="141"/>
      <c r="BS26" s="140"/>
      <c r="BT26" s="76"/>
      <c r="BU26" s="76"/>
      <c r="BV26" s="141"/>
      <c r="BX26" s="140"/>
      <c r="BY26" s="76"/>
      <c r="BZ26" s="76"/>
      <c r="CA26" s="141"/>
      <c r="CC26" s="140"/>
      <c r="CD26" s="76"/>
      <c r="CE26" s="76"/>
      <c r="CF26" s="76"/>
      <c r="CG26" s="802"/>
      <c r="CH26" s="76"/>
      <c r="CI26" s="76"/>
      <c r="CJ26" s="76"/>
      <c r="CK26" s="76"/>
      <c r="CL26" s="802"/>
      <c r="CM26" s="76"/>
      <c r="CN26" s="76"/>
      <c r="CO26" s="76"/>
      <c r="CP26" s="76"/>
      <c r="CQ26" s="802"/>
      <c r="CR26" s="76"/>
      <c r="CS26" s="76"/>
      <c r="CT26" s="76"/>
      <c r="CU26" s="76"/>
      <c r="CV26" s="802"/>
      <c r="CW26" s="76"/>
      <c r="CX26" s="76"/>
      <c r="CY26" s="76"/>
      <c r="CZ26" s="76"/>
      <c r="DA26" s="802"/>
      <c r="DB26" s="76"/>
      <c r="DC26" s="76"/>
      <c r="DD26" s="76"/>
      <c r="DE26" s="76"/>
      <c r="DF26" s="802"/>
      <c r="DG26" s="76"/>
      <c r="DH26" s="76"/>
      <c r="DI26" s="76"/>
      <c r="DJ26" s="76"/>
      <c r="DK26" s="807"/>
      <c r="DL26" s="76"/>
      <c r="DM26" s="76"/>
      <c r="DN26" s="76"/>
      <c r="DO26" s="76"/>
      <c r="DP26" s="807"/>
      <c r="DQ26" s="76"/>
      <c r="DR26" s="76"/>
      <c r="DS26" s="76"/>
      <c r="DT26" s="76"/>
      <c r="DU26" s="807"/>
      <c r="DV26" s="76"/>
      <c r="DW26" s="76"/>
      <c r="DX26" s="76"/>
      <c r="DY26" s="76"/>
      <c r="DZ26" s="807"/>
      <c r="EA26" s="76"/>
      <c r="EB26" s="76"/>
      <c r="EC26" s="76"/>
      <c r="ED26" s="76"/>
      <c r="EE26" s="807"/>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row>
    <row r="27" spans="2:238" s="62" customFormat="1" ht="12.75" customHeight="1" outlineLevel="1">
      <c r="B27" s="549"/>
      <c r="K27" s="140"/>
      <c r="L27" s="76"/>
      <c r="M27" s="76"/>
      <c r="N27" s="141"/>
      <c r="P27" s="140"/>
      <c r="Q27" s="76"/>
      <c r="R27" s="76"/>
      <c r="S27" s="141"/>
      <c r="U27" s="140"/>
      <c r="V27" s="76"/>
      <c r="W27" s="76"/>
      <c r="X27" s="141"/>
      <c r="Z27" s="140"/>
      <c r="AA27" s="76"/>
      <c r="AB27" s="76"/>
      <c r="AC27" s="141"/>
      <c r="AE27" s="140"/>
      <c r="AF27" s="76"/>
      <c r="AG27" s="76"/>
      <c r="AH27" s="141"/>
      <c r="AJ27" s="140"/>
      <c r="AK27" s="76"/>
      <c r="AL27" s="76"/>
      <c r="AM27" s="141"/>
      <c r="AO27" s="140"/>
      <c r="AP27" s="76"/>
      <c r="AQ27" s="76"/>
      <c r="AR27" s="141"/>
      <c r="AT27" s="140"/>
      <c r="AU27" s="76"/>
      <c r="AV27" s="76"/>
      <c r="AW27" s="141"/>
      <c r="AY27" s="140"/>
      <c r="AZ27" s="76"/>
      <c r="BA27" s="76"/>
      <c r="BB27" s="141"/>
      <c r="BD27" s="140"/>
      <c r="BE27" s="76"/>
      <c r="BF27" s="76"/>
      <c r="BG27" s="141"/>
      <c r="BI27" s="140"/>
      <c r="BJ27" s="76"/>
      <c r="BK27" s="76"/>
      <c r="BL27" s="141"/>
      <c r="BN27" s="140"/>
      <c r="BO27" s="76"/>
      <c r="BP27" s="76"/>
      <c r="BQ27" s="141"/>
      <c r="BS27" s="140"/>
      <c r="BT27" s="76"/>
      <c r="BU27" s="76"/>
      <c r="BV27" s="141"/>
      <c r="BX27" s="140"/>
      <c r="BY27" s="76"/>
      <c r="BZ27" s="76"/>
      <c r="CA27" s="141"/>
      <c r="CC27" s="140"/>
      <c r="CD27" s="76"/>
      <c r="CE27" s="76"/>
      <c r="CF27" s="76"/>
      <c r="CG27" s="802"/>
      <c r="CH27" s="76"/>
      <c r="CI27" s="76"/>
      <c r="CJ27" s="76"/>
      <c r="CK27" s="76"/>
      <c r="CL27" s="802"/>
      <c r="CM27" s="76"/>
      <c r="CN27" s="76"/>
      <c r="CO27" s="76"/>
      <c r="CP27" s="76"/>
      <c r="CQ27" s="802"/>
      <c r="CR27" s="76"/>
      <c r="CS27" s="76"/>
      <c r="CT27" s="76"/>
      <c r="CU27" s="76"/>
      <c r="CV27" s="802"/>
      <c r="CW27" s="76"/>
      <c r="CX27" s="76"/>
      <c r="CY27" s="76"/>
      <c r="CZ27" s="76"/>
      <c r="DA27" s="802"/>
      <c r="DB27" s="76"/>
      <c r="DC27" s="76"/>
      <c r="DD27" s="76"/>
      <c r="DE27" s="76"/>
      <c r="DF27" s="802"/>
      <c r="DG27" s="76"/>
      <c r="DH27" s="76"/>
      <c r="DI27" s="76"/>
      <c r="DJ27" s="76"/>
      <c r="DK27" s="807"/>
      <c r="DL27" s="76"/>
      <c r="DM27" s="76"/>
      <c r="DN27" s="76"/>
      <c r="DO27" s="76"/>
      <c r="DP27" s="807"/>
      <c r="DQ27" s="76"/>
      <c r="DR27" s="76"/>
      <c r="DS27" s="76"/>
      <c r="DT27" s="76"/>
      <c r="DU27" s="807"/>
      <c r="DV27" s="76"/>
      <c r="DW27" s="76"/>
      <c r="DX27" s="76"/>
      <c r="DY27" s="76"/>
      <c r="DZ27" s="807"/>
      <c r="EA27" s="76"/>
      <c r="EB27" s="76"/>
      <c r="EC27" s="76"/>
      <c r="ED27" s="76"/>
      <c r="EE27" s="80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row>
    <row r="28" spans="2:238" s="107" customFormat="1" ht="12.75" customHeight="1" outlineLevel="1">
      <c r="B28" s="551"/>
      <c r="E28" s="143"/>
      <c r="F28" s="143"/>
      <c r="G28" s="143"/>
      <c r="H28" s="143"/>
      <c r="I28" s="143"/>
      <c r="J28" s="143"/>
      <c r="K28" s="144"/>
      <c r="L28" s="145"/>
      <c r="M28" s="145"/>
      <c r="N28" s="146"/>
      <c r="O28" s="143"/>
      <c r="P28" s="144"/>
      <c r="Q28" s="145"/>
      <c r="R28" s="145"/>
      <c r="S28" s="146"/>
      <c r="T28" s="143"/>
      <c r="U28" s="144"/>
      <c r="V28" s="145"/>
      <c r="W28" s="145"/>
      <c r="X28" s="146"/>
      <c r="Y28" s="143"/>
      <c r="Z28" s="144"/>
      <c r="AA28" s="145"/>
      <c r="AB28" s="145"/>
      <c r="AC28" s="146"/>
      <c r="AD28" s="143"/>
      <c r="AE28" s="144"/>
      <c r="AF28" s="145"/>
      <c r="AG28" s="145"/>
      <c r="AH28" s="146"/>
      <c r="AI28" s="143"/>
      <c r="AJ28" s="144"/>
      <c r="AK28" s="145"/>
      <c r="AL28" s="145"/>
      <c r="AM28" s="146"/>
      <c r="AN28" s="143"/>
      <c r="AO28" s="144"/>
      <c r="AP28" s="145"/>
      <c r="AQ28" s="145"/>
      <c r="AR28" s="146"/>
      <c r="AS28" s="143"/>
      <c r="AT28" s="144"/>
      <c r="AU28" s="145"/>
      <c r="AV28" s="145"/>
      <c r="AW28" s="146"/>
      <c r="AX28" s="143"/>
      <c r="AY28" s="144"/>
      <c r="AZ28" s="145"/>
      <c r="BA28" s="145"/>
      <c r="BB28" s="146"/>
      <c r="BC28" s="143"/>
      <c r="BD28" s="144"/>
      <c r="BE28" s="145"/>
      <c r="BF28" s="145"/>
      <c r="BG28" s="146"/>
      <c r="BH28" s="143"/>
      <c r="BI28" s="144"/>
      <c r="BJ28" s="145"/>
      <c r="BK28" s="145"/>
      <c r="BL28" s="146"/>
      <c r="BM28" s="143"/>
      <c r="BN28" s="144"/>
      <c r="BO28" s="145"/>
      <c r="BP28" s="145"/>
      <c r="BQ28" s="146"/>
      <c r="BR28" s="143"/>
      <c r="BS28" s="144"/>
      <c r="BT28" s="145"/>
      <c r="BU28" s="145"/>
      <c r="BV28" s="146"/>
      <c r="BW28" s="143"/>
      <c r="BX28" s="144"/>
      <c r="BY28" s="145"/>
      <c r="BZ28" s="145"/>
      <c r="CA28" s="146"/>
      <c r="CB28" s="143"/>
      <c r="CC28" s="144"/>
      <c r="CD28" s="145"/>
      <c r="CE28" s="145"/>
      <c r="CF28" s="145"/>
      <c r="CG28" s="803"/>
      <c r="CH28" s="145"/>
      <c r="CI28" s="145"/>
      <c r="CJ28" s="145"/>
      <c r="CK28" s="147"/>
      <c r="CL28" s="803"/>
      <c r="CM28" s="147"/>
      <c r="CN28" s="147"/>
      <c r="CO28" s="147"/>
      <c r="CP28" s="147"/>
      <c r="CQ28" s="833"/>
      <c r="CR28" s="147"/>
      <c r="CS28" s="147"/>
      <c r="CT28" s="147"/>
      <c r="CU28" s="147"/>
      <c r="CV28" s="833"/>
      <c r="CW28" s="147"/>
      <c r="CX28" s="147"/>
      <c r="CY28" s="147"/>
      <c r="CZ28" s="147"/>
      <c r="DA28" s="833"/>
      <c r="DB28" s="147"/>
      <c r="DC28" s="147"/>
      <c r="DD28" s="147"/>
      <c r="DE28" s="147"/>
      <c r="DF28" s="833"/>
      <c r="DG28" s="147"/>
      <c r="DH28" s="147"/>
      <c r="DI28" s="147"/>
      <c r="DJ28" s="147"/>
      <c r="DK28" s="1414"/>
      <c r="DL28" s="147"/>
      <c r="DM28" s="147"/>
      <c r="DN28" s="147"/>
      <c r="DO28" s="147"/>
      <c r="DP28" s="1414"/>
      <c r="DQ28" s="147"/>
      <c r="DR28" s="147"/>
      <c r="DS28" s="147"/>
      <c r="DT28" s="147"/>
      <c r="DU28" s="1414"/>
      <c r="DV28" s="147"/>
      <c r="DW28" s="147"/>
      <c r="DX28" s="147"/>
      <c r="DY28" s="147"/>
      <c r="DZ28" s="1414"/>
      <c r="EA28" s="147"/>
      <c r="EB28" s="147"/>
      <c r="EC28" s="147"/>
      <c r="ED28" s="147"/>
      <c r="EE28" s="1414"/>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row>
    <row r="29" spans="2:238" s="80" customFormat="1" ht="12.75" customHeight="1" outlineLevel="1">
      <c r="B29" s="546"/>
      <c r="E29" s="122"/>
      <c r="F29" s="122"/>
      <c r="G29" s="122"/>
      <c r="H29" s="122"/>
      <c r="I29" s="122"/>
      <c r="J29" s="122"/>
      <c r="K29" s="123"/>
      <c r="L29" s="124"/>
      <c r="M29" s="124"/>
      <c r="N29" s="125"/>
      <c r="O29" s="122"/>
      <c r="P29" s="123"/>
      <c r="Q29" s="124"/>
      <c r="R29" s="124"/>
      <c r="S29" s="125"/>
      <c r="T29" s="122"/>
      <c r="U29" s="123"/>
      <c r="V29" s="124"/>
      <c r="W29" s="124"/>
      <c r="X29" s="125"/>
      <c r="Y29" s="122"/>
      <c r="Z29" s="123"/>
      <c r="AA29" s="124"/>
      <c r="AB29" s="124"/>
      <c r="AC29" s="125"/>
      <c r="AD29" s="122"/>
      <c r="AE29" s="123"/>
      <c r="AF29" s="124"/>
      <c r="AG29" s="124"/>
      <c r="AH29" s="125"/>
      <c r="AI29" s="122"/>
      <c r="AJ29" s="123"/>
      <c r="AK29" s="124"/>
      <c r="AL29" s="124"/>
      <c r="AM29" s="125"/>
      <c r="AN29" s="122"/>
      <c r="AO29" s="123"/>
      <c r="AP29" s="124"/>
      <c r="AQ29" s="124"/>
      <c r="AR29" s="125"/>
      <c r="AS29" s="122"/>
      <c r="AT29" s="123"/>
      <c r="AU29" s="124"/>
      <c r="AV29" s="124"/>
      <c r="AW29" s="125"/>
      <c r="AX29" s="122"/>
      <c r="AY29" s="123"/>
      <c r="AZ29" s="124"/>
      <c r="BA29" s="124"/>
      <c r="BB29" s="125"/>
      <c r="BC29" s="122"/>
      <c r="BD29" s="123"/>
      <c r="BE29" s="124"/>
      <c r="BF29" s="124"/>
      <c r="BG29" s="125"/>
      <c r="BH29" s="122"/>
      <c r="BI29" s="123"/>
      <c r="BJ29" s="124"/>
      <c r="BK29" s="124"/>
      <c r="BL29" s="125"/>
      <c r="BM29" s="122"/>
      <c r="BN29" s="123"/>
      <c r="BO29" s="124"/>
      <c r="BP29" s="124"/>
      <c r="BQ29" s="125"/>
      <c r="BR29" s="122"/>
      <c r="BS29" s="123"/>
      <c r="BT29" s="124"/>
      <c r="BU29" s="124"/>
      <c r="BV29" s="125"/>
      <c r="BW29" s="122"/>
      <c r="BX29" s="123"/>
      <c r="BY29" s="124"/>
      <c r="BZ29" s="124"/>
      <c r="CA29" s="125"/>
      <c r="CB29" s="122"/>
      <c r="CC29" s="126"/>
      <c r="CD29" s="127"/>
      <c r="CE29" s="127"/>
      <c r="CF29" s="124"/>
      <c r="CG29" s="800"/>
      <c r="CH29" s="127"/>
      <c r="CI29" s="127"/>
      <c r="CJ29" s="127"/>
      <c r="CK29" s="129"/>
      <c r="CL29" s="800"/>
      <c r="CM29" s="127"/>
      <c r="CN29" s="127"/>
      <c r="CO29" s="127"/>
      <c r="CP29" s="129"/>
      <c r="CQ29" s="831"/>
      <c r="CR29" s="127"/>
      <c r="CS29" s="127"/>
      <c r="CT29" s="127"/>
      <c r="CU29" s="129"/>
      <c r="CV29" s="831"/>
      <c r="CW29" s="127"/>
      <c r="CX29" s="127"/>
      <c r="CY29" s="127"/>
      <c r="CZ29" s="129"/>
      <c r="DA29" s="831"/>
      <c r="DB29" s="127"/>
      <c r="DC29" s="1659"/>
      <c r="DD29" s="1659"/>
      <c r="DE29" s="1659"/>
      <c r="DF29" s="831"/>
      <c r="DG29" s="1659"/>
      <c r="DH29" s="1659"/>
      <c r="DI29" s="1659"/>
      <c r="DJ29" s="1659"/>
      <c r="DK29" s="1371"/>
      <c r="DL29" s="1659"/>
      <c r="DM29" s="1659"/>
      <c r="DN29" s="1659"/>
      <c r="DO29" s="1659"/>
      <c r="DP29" s="1371"/>
      <c r="DQ29" s="1659"/>
      <c r="DR29" s="129"/>
      <c r="DS29" s="129"/>
      <c r="DT29" s="129"/>
      <c r="DU29" s="1371"/>
      <c r="DV29" s="129"/>
      <c r="DW29" s="129"/>
      <c r="DX29" s="129"/>
      <c r="DY29" s="129"/>
      <c r="DZ29" s="1371"/>
      <c r="EA29" s="129"/>
      <c r="EB29" s="129"/>
      <c r="EC29" s="129"/>
      <c r="ED29" s="129"/>
      <c r="EE29" s="1371"/>
      <c r="EF29" s="38"/>
      <c r="EG29" s="38"/>
      <c r="EH29" s="38"/>
      <c r="EI29" s="38"/>
      <c r="EJ29"/>
      <c r="EK29"/>
      <c r="EL29"/>
      <c r="EM29"/>
      <c r="EN29"/>
      <c r="EO29"/>
      <c r="EP29" s="38"/>
      <c r="EQ29" s="38"/>
      <c r="ER29" s="38"/>
      <c r="ES29" s="38"/>
      <c r="ET29" s="38"/>
      <c r="EU29" s="38"/>
      <c r="EV29" s="38"/>
      <c r="EW29" s="38"/>
      <c r="EX29" s="38"/>
      <c r="EY29" s="38"/>
      <c r="EZ29" s="38"/>
      <c r="FA29" s="38"/>
      <c r="FB29" s="38"/>
      <c r="FC29" s="38"/>
      <c r="FD29" s="38"/>
      <c r="FE29" s="38"/>
      <c r="FF29" s="38"/>
      <c r="FG29" s="38"/>
      <c r="FH29" s="38"/>
      <c r="FI29" s="38"/>
      <c r="FJ29" s="38"/>
      <c r="FK29" s="38"/>
      <c r="FL29" s="38"/>
      <c r="FM29" s="38"/>
      <c r="FN29" s="38"/>
      <c r="FO29" s="38"/>
      <c r="FP29" s="38"/>
      <c r="FQ29" s="38"/>
      <c r="FR29" s="38"/>
      <c r="FS29" s="38"/>
      <c r="FT29" s="38"/>
      <c r="FU29" s="38"/>
      <c r="FV29" s="38"/>
      <c r="FW29" s="38"/>
      <c r="FX29" s="38"/>
      <c r="FY29" s="38"/>
      <c r="FZ29" s="38"/>
      <c r="GA29" s="38"/>
      <c r="GB29" s="38"/>
      <c r="GC29" s="38"/>
      <c r="GD29" s="38"/>
      <c r="GE29" s="38"/>
      <c r="GF29" s="38"/>
      <c r="GG29" s="38"/>
      <c r="GH29" s="38"/>
      <c r="GI29" s="38"/>
      <c r="GJ29" s="38"/>
      <c r="GK29" s="38"/>
      <c r="GL29" s="38"/>
      <c r="GM29" s="38"/>
      <c r="GN29" s="38"/>
      <c r="GO29" s="38"/>
      <c r="GP29" s="38"/>
      <c r="GQ29" s="38"/>
      <c r="GR29" s="38"/>
      <c r="GS29" s="38"/>
      <c r="GT29" s="38"/>
      <c r="GU29" s="38"/>
      <c r="GV29" s="38"/>
      <c r="GW29" s="38"/>
      <c r="GX29" s="38"/>
      <c r="GY29" s="38"/>
      <c r="GZ29" s="38"/>
      <c r="HA29" s="38"/>
      <c r="HB29" s="38"/>
      <c r="HC29" s="38"/>
      <c r="HD29" s="38"/>
      <c r="HE29" s="38"/>
      <c r="HF29" s="38"/>
      <c r="HG29" s="38"/>
      <c r="HH29" s="38"/>
      <c r="HI29" s="38"/>
      <c r="HJ29" s="38"/>
      <c r="HK29" s="38"/>
      <c r="HL29" s="38"/>
      <c r="HM29" s="38"/>
      <c r="HN29" s="38"/>
      <c r="HO29" s="38"/>
      <c r="HP29" s="38"/>
      <c r="HQ29" s="38"/>
      <c r="HR29" s="38"/>
      <c r="HS29" s="38"/>
      <c r="HT29" s="38"/>
      <c r="HU29" s="38"/>
      <c r="HV29" s="38"/>
      <c r="HW29" s="38"/>
      <c r="HX29" s="38"/>
      <c r="HY29" s="38"/>
      <c r="HZ29" s="38"/>
      <c r="IA29" s="38"/>
      <c r="IB29" s="38"/>
      <c r="IC29" s="38"/>
      <c r="ID29" s="38"/>
    </row>
    <row r="30" spans="2:238" s="93" customFormat="1" ht="12.75" customHeight="1">
      <c r="B30" s="552" t="s">
        <v>157</v>
      </c>
      <c r="C30" s="151"/>
      <c r="D30" s="151"/>
      <c r="E30" s="152"/>
      <c r="F30" s="152"/>
      <c r="G30" s="152"/>
      <c r="H30" s="152"/>
      <c r="I30" s="152"/>
      <c r="J30" s="152"/>
      <c r="K30" s="153"/>
      <c r="L30" s="154"/>
      <c r="M30" s="154"/>
      <c r="N30" s="155"/>
      <c r="O30" s="152"/>
      <c r="P30" s="153"/>
      <c r="Q30" s="154"/>
      <c r="R30" s="154"/>
      <c r="S30" s="155"/>
      <c r="T30" s="152"/>
      <c r="U30" s="153"/>
      <c r="V30" s="154"/>
      <c r="W30" s="154"/>
      <c r="X30" s="155"/>
      <c r="Y30" s="152"/>
      <c r="Z30" s="153"/>
      <c r="AA30" s="154"/>
      <c r="AB30" s="154"/>
      <c r="AC30" s="155"/>
      <c r="AD30" s="152"/>
      <c r="AE30" s="153"/>
      <c r="AF30" s="154"/>
      <c r="AG30" s="154"/>
      <c r="AH30" s="155"/>
      <c r="AI30" s="152"/>
      <c r="AJ30" s="153"/>
      <c r="AK30" s="154"/>
      <c r="AL30" s="154"/>
      <c r="AM30" s="155"/>
      <c r="AN30" s="152"/>
      <c r="AO30" s="153"/>
      <c r="AP30" s="154"/>
      <c r="AQ30" s="154"/>
      <c r="AR30" s="155"/>
      <c r="AS30" s="152"/>
      <c r="AT30" s="153"/>
      <c r="AU30" s="154"/>
      <c r="AV30" s="154"/>
      <c r="AW30" s="155"/>
      <c r="AX30" s="152"/>
      <c r="AY30" s="153"/>
      <c r="AZ30" s="154"/>
      <c r="BA30" s="154"/>
      <c r="BB30" s="155"/>
      <c r="BC30" s="152"/>
      <c r="BD30" s="153"/>
      <c r="BE30" s="154"/>
      <c r="BF30" s="154"/>
      <c r="BG30" s="155"/>
      <c r="BH30" s="152"/>
      <c r="BI30" s="153"/>
      <c r="BJ30" s="154"/>
      <c r="BK30" s="154"/>
      <c r="BL30" s="155"/>
      <c r="BM30" s="152"/>
      <c r="BN30" s="153"/>
      <c r="BO30" s="154"/>
      <c r="BP30" s="154"/>
      <c r="BQ30" s="155"/>
      <c r="BR30" s="152"/>
      <c r="BS30" s="153"/>
      <c r="BT30" s="154"/>
      <c r="BU30" s="154"/>
      <c r="BV30" s="155"/>
      <c r="BW30" s="152"/>
      <c r="BX30" s="153"/>
      <c r="BY30" s="154"/>
      <c r="BZ30" s="154"/>
      <c r="CA30" s="155"/>
      <c r="CB30" s="152"/>
      <c r="CC30" s="153"/>
      <c r="CD30" s="154"/>
      <c r="CE30" s="154"/>
      <c r="CF30" s="154"/>
      <c r="CG30" s="804"/>
      <c r="CH30" s="154"/>
      <c r="CI30" s="156"/>
      <c r="CJ30" s="156"/>
      <c r="CK30" s="156"/>
      <c r="CL30" s="804"/>
      <c r="CM30" s="157"/>
      <c r="CN30" s="157"/>
      <c r="CO30" s="157"/>
      <c r="CP30" s="157"/>
      <c r="CQ30" s="834"/>
      <c r="CR30" s="157"/>
      <c r="CS30" s="158"/>
      <c r="CT30" s="158"/>
      <c r="CU30" s="158"/>
      <c r="CV30" s="834"/>
      <c r="CW30" s="157"/>
      <c r="CX30" s="158"/>
      <c r="CY30" s="158"/>
      <c r="CZ30" s="158"/>
      <c r="DA30" s="834"/>
      <c r="DB30" s="157"/>
      <c r="DC30" s="158"/>
      <c r="DD30" s="158"/>
      <c r="DE30" s="158"/>
      <c r="DF30" s="834"/>
      <c r="DG30" s="158"/>
      <c r="DH30" s="158"/>
      <c r="DI30" s="158"/>
      <c r="DJ30" s="158"/>
      <c r="DK30" s="1396"/>
      <c r="DL30" s="158"/>
      <c r="DM30" s="158"/>
      <c r="DN30" s="158"/>
      <c r="DO30" s="158"/>
      <c r="DP30" s="1396"/>
      <c r="DQ30" s="158"/>
      <c r="DR30" s="158"/>
      <c r="DS30" s="158"/>
      <c r="DT30" s="158"/>
      <c r="DU30" s="1396"/>
      <c r="DV30" s="158"/>
      <c r="DW30" s="158"/>
      <c r="DX30" s="158"/>
      <c r="DY30" s="158"/>
      <c r="DZ30" s="1396"/>
      <c r="EA30" s="158"/>
      <c r="EB30" s="158"/>
      <c r="EC30" s="158"/>
      <c r="ED30" s="158"/>
      <c r="EE30" s="1396"/>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row>
    <row r="31" spans="2:238" s="161" customFormat="1" ht="12.75" customHeight="1">
      <c r="B31" s="549"/>
      <c r="C31" s="62"/>
      <c r="D31" s="62"/>
      <c r="E31" s="62"/>
      <c r="F31" s="62"/>
      <c r="G31" s="62"/>
      <c r="H31" s="62"/>
      <c r="I31" s="62"/>
      <c r="J31" s="62"/>
      <c r="K31" s="140"/>
      <c r="L31" s="76"/>
      <c r="M31" s="76"/>
      <c r="N31" s="141"/>
      <c r="O31" s="62"/>
      <c r="P31" s="140"/>
      <c r="Q31" s="76"/>
      <c r="R31" s="76"/>
      <c r="S31" s="141"/>
      <c r="T31" s="62"/>
      <c r="U31" s="140"/>
      <c r="V31" s="76"/>
      <c r="W31" s="76"/>
      <c r="X31" s="141"/>
      <c r="Y31" s="62"/>
      <c r="Z31" s="140"/>
      <c r="AA31" s="76"/>
      <c r="AB31" s="76"/>
      <c r="AC31" s="141"/>
      <c r="AD31" s="62"/>
      <c r="AE31" s="140"/>
      <c r="AF31" s="76"/>
      <c r="AG31" s="76"/>
      <c r="AH31" s="141"/>
      <c r="AI31" s="62"/>
      <c r="AJ31" s="140"/>
      <c r="AK31" s="76"/>
      <c r="AL31" s="76"/>
      <c r="AM31" s="141"/>
      <c r="AN31" s="62"/>
      <c r="AO31" s="140"/>
      <c r="AP31" s="76"/>
      <c r="AQ31" s="76"/>
      <c r="AR31" s="141"/>
      <c r="AS31" s="62"/>
      <c r="AT31" s="140"/>
      <c r="AU31" s="76"/>
      <c r="AV31" s="76"/>
      <c r="AW31" s="141"/>
      <c r="AX31" s="62"/>
      <c r="AY31" s="140"/>
      <c r="AZ31" s="76"/>
      <c r="BA31" s="76"/>
      <c r="BB31" s="141"/>
      <c r="BC31" s="62"/>
      <c r="BD31" s="140"/>
      <c r="BE31" s="76"/>
      <c r="BF31" s="76"/>
      <c r="BG31" s="141"/>
      <c r="BH31" s="62"/>
      <c r="BI31" s="140"/>
      <c r="BJ31" s="76"/>
      <c r="BK31" s="76"/>
      <c r="BL31" s="141"/>
      <c r="BM31" s="62"/>
      <c r="BN31" s="140"/>
      <c r="BO31" s="76"/>
      <c r="BP31" s="76"/>
      <c r="BQ31" s="141"/>
      <c r="BR31" s="62"/>
      <c r="BS31" s="140"/>
      <c r="BT31" s="76"/>
      <c r="BU31" s="76"/>
      <c r="BV31" s="141"/>
      <c r="BW31" s="62"/>
      <c r="BX31" s="140"/>
      <c r="BY31" s="76"/>
      <c r="BZ31" s="76"/>
      <c r="CA31" s="141"/>
      <c r="CB31" s="62"/>
      <c r="CC31" s="140"/>
      <c r="CD31" s="76"/>
      <c r="CE31" s="76"/>
      <c r="CF31" s="76"/>
      <c r="CG31" s="802"/>
      <c r="CH31" s="76"/>
      <c r="CI31" s="76"/>
      <c r="CJ31" s="76"/>
      <c r="CK31" s="76"/>
      <c r="CL31" s="802"/>
      <c r="CM31" s="76"/>
      <c r="CN31" s="76"/>
      <c r="CO31" s="76"/>
      <c r="CP31" s="76"/>
      <c r="CQ31" s="802"/>
      <c r="CR31" s="76"/>
      <c r="CS31" s="76"/>
      <c r="CT31" s="76"/>
      <c r="CU31" s="1353"/>
      <c r="CV31" s="802"/>
      <c r="CW31" s="76"/>
      <c r="CX31" s="76"/>
      <c r="CY31" s="76"/>
      <c r="CZ31" s="127"/>
      <c r="DA31" s="802"/>
      <c r="DB31" s="76"/>
      <c r="DC31" s="76"/>
      <c r="DD31" s="76"/>
      <c r="DE31" s="76"/>
      <c r="DF31" s="802"/>
      <c r="DG31" s="76"/>
      <c r="DH31" s="76"/>
      <c r="DI31" s="76"/>
      <c r="DJ31" s="76"/>
      <c r="DK31" s="2160"/>
      <c r="DL31" s="76"/>
      <c r="DM31" s="76"/>
      <c r="DN31" s="76"/>
      <c r="DO31" s="76"/>
      <c r="DP31" s="807"/>
      <c r="DQ31" s="76"/>
      <c r="DR31" s="127"/>
      <c r="DS31" s="127"/>
      <c r="DT31" s="127"/>
      <c r="DU31" s="807"/>
      <c r="DV31" s="127"/>
      <c r="DW31" s="127"/>
      <c r="DX31" s="127"/>
      <c r="DY31" s="127"/>
      <c r="DZ31" s="807"/>
      <c r="EA31" s="127"/>
      <c r="EB31" s="127"/>
      <c r="EC31" s="127"/>
      <c r="ED31" s="127"/>
      <c r="EE31" s="807"/>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row>
    <row r="32" spans="2:238" s="54" customFormat="1">
      <c r="B32" s="553" t="s">
        <v>158</v>
      </c>
      <c r="C32" s="162"/>
      <c r="D32" s="163"/>
      <c r="E32" s="163"/>
      <c r="F32" s="164"/>
      <c r="G32" s="164"/>
      <c r="H32" s="164"/>
      <c r="I32" s="164"/>
      <c r="J32" s="164"/>
      <c r="K32" s="165"/>
      <c r="L32" s="64"/>
      <c r="M32" s="64"/>
      <c r="N32" s="79"/>
      <c r="O32" s="64"/>
      <c r="P32" s="165"/>
      <c r="Q32" s="64"/>
      <c r="R32" s="64"/>
      <c r="S32" s="79"/>
      <c r="T32" s="64"/>
      <c r="U32" s="165"/>
      <c r="V32" s="64"/>
      <c r="W32" s="64"/>
      <c r="X32" s="79"/>
      <c r="Y32" s="64"/>
      <c r="Z32" s="165"/>
      <c r="AA32" s="64"/>
      <c r="AB32" s="64"/>
      <c r="AC32" s="79"/>
      <c r="AD32" s="64"/>
      <c r="AE32" s="165"/>
      <c r="AF32" s="64"/>
      <c r="AG32" s="64"/>
      <c r="AH32" s="79"/>
      <c r="AI32" s="64"/>
      <c r="AJ32" s="165"/>
      <c r="AK32" s="64"/>
      <c r="AL32" s="64"/>
      <c r="AM32" s="79"/>
      <c r="AN32" s="64"/>
      <c r="AO32" s="165"/>
      <c r="AP32" s="64"/>
      <c r="AQ32" s="64"/>
      <c r="AR32" s="79"/>
      <c r="AS32" s="64"/>
      <c r="AT32" s="165"/>
      <c r="AU32" s="64"/>
      <c r="AV32" s="64"/>
      <c r="AW32" s="79"/>
      <c r="AX32" s="64"/>
      <c r="AY32" s="165"/>
      <c r="AZ32" s="64"/>
      <c r="BA32" s="64"/>
      <c r="BB32" s="79"/>
      <c r="BC32" s="64">
        <v>442</v>
      </c>
      <c r="BD32" s="165"/>
      <c r="BE32" s="64"/>
      <c r="BF32" s="64"/>
      <c r="BG32" s="79"/>
      <c r="BH32" s="64">
        <v>489.4</v>
      </c>
      <c r="BI32" s="165"/>
      <c r="BJ32" s="64"/>
      <c r="BK32" s="64"/>
      <c r="BL32" s="79"/>
      <c r="BM32" s="64">
        <v>530</v>
      </c>
      <c r="BN32" s="165">
        <v>140.9</v>
      </c>
      <c r="BO32" s="64">
        <v>147</v>
      </c>
      <c r="BP32" s="64">
        <v>150</v>
      </c>
      <c r="BQ32" s="79">
        <f>BR32-SUM(BN32:BP32)</f>
        <v>145.5</v>
      </c>
      <c r="BR32" s="64">
        <v>583.4</v>
      </c>
      <c r="BS32" s="165">
        <v>151</v>
      </c>
      <c r="BT32" s="64">
        <v>157</v>
      </c>
      <c r="BU32" s="64">
        <v>158</v>
      </c>
      <c r="BV32" s="79">
        <v>151</v>
      </c>
      <c r="BW32" s="64">
        <f>SUM(BS32:BV32)</f>
        <v>617</v>
      </c>
      <c r="BX32" s="165">
        <v>156</v>
      </c>
      <c r="BY32" s="64">
        <v>164</v>
      </c>
      <c r="BZ32" s="64">
        <v>168</v>
      </c>
      <c r="CA32" s="79">
        <f>CB32-SUM(BX32:BZ32)</f>
        <v>163</v>
      </c>
      <c r="CB32" s="64">
        <v>651</v>
      </c>
      <c r="CC32" s="165">
        <v>174</v>
      </c>
      <c r="CD32" s="64">
        <v>172</v>
      </c>
      <c r="CE32" s="64">
        <v>177</v>
      </c>
      <c r="CF32" s="64">
        <f>(CF34/((1-CF40)+(3*CF40)))</f>
        <v>173.30334190231363</v>
      </c>
      <c r="CG32" s="619">
        <v>691</v>
      </c>
      <c r="CH32" s="64">
        <f>(CH34/((1-CH40)+(3*CH40)))</f>
        <v>177.08913308913307</v>
      </c>
      <c r="CI32" s="64">
        <f>(CI34/((1-CI40)+(3*CI40)))</f>
        <v>179.71916971916971</v>
      </c>
      <c r="CJ32" s="64">
        <f>(CJ34/((1-CJ40)+(3*CJ40)))</f>
        <v>184.10256410256409</v>
      </c>
      <c r="CK32" s="64">
        <f>(CK34/((1-CK40)+(3*CK40)))</f>
        <v>177.08913308913307</v>
      </c>
      <c r="CL32" s="825">
        <f>SUM(CH32:CK32)</f>
        <v>717.99999999999989</v>
      </c>
      <c r="CM32" s="64">
        <f>(CM34/((1-CM40)+(3*CM40)))</f>
        <v>176.27118644067795</v>
      </c>
      <c r="CN32" s="64">
        <f>(CN34/((1-CN40)+(3*CN40)))</f>
        <v>166.10169491525423</v>
      </c>
      <c r="CO32" s="64">
        <f>(CO34/((1-CO40)+(3*CO40)))</f>
        <v>162.71186440677963</v>
      </c>
      <c r="CP32" s="64">
        <f>(CP34/((1-CP40)+(3*CP40)))</f>
        <v>159.32203389830505</v>
      </c>
      <c r="CQ32" s="825">
        <f>SUM(CM32:CP32)</f>
        <v>664.4067796610168</v>
      </c>
      <c r="CR32" s="64">
        <f>(CR34/((1-CR40)+(3*CR40)))</f>
        <v>167.49999999999997</v>
      </c>
      <c r="CS32" s="64">
        <f>(CS34/((1-CS40)+(3*CS40)))</f>
        <v>173.33333333333331</v>
      </c>
      <c r="CT32" s="64">
        <f>(CT34/((1-CT40)+(3*CT40)))</f>
        <v>174.16666666666663</v>
      </c>
      <c r="CU32" s="64">
        <f>(CU34/((1-CU40)+(3*CU40)))</f>
        <v>169.16666666666663</v>
      </c>
      <c r="CV32" s="825">
        <f>SUM(CR32:CU32)</f>
        <v>684.16666666666652</v>
      </c>
      <c r="CW32" s="64">
        <f>(CW34/((1-CW40)+(3*CW40)))</f>
        <v>176.03305785123968</v>
      </c>
      <c r="CX32" s="64">
        <f>(CX34/((1-CX40)+(3*CX40)))</f>
        <v>176.85950413223142</v>
      </c>
      <c r="CY32" s="64">
        <f>(CY34/((1-CY40)+(3*CY40)))</f>
        <v>180.16528925619835</v>
      </c>
      <c r="CZ32" s="64">
        <f>(CZ34/((1-CZ40)+(3*CZ40)))</f>
        <v>174.78925619834712</v>
      </c>
      <c r="DA32" s="802">
        <f>SUM(CW32:CZ32)</f>
        <v>707.84710743801656</v>
      </c>
      <c r="DB32" s="64">
        <f>(DB34/((1-DB40)+(3*DB40)))</f>
        <v>182.09754098360656</v>
      </c>
      <c r="DC32" s="64">
        <f>(DC34/((1-DC40)+(3*DC40)))</f>
        <v>183.60655737704917</v>
      </c>
      <c r="DD32" s="64">
        <f>(DD34/((1-DD40)+(3*DD40)))</f>
        <v>185.24590163934425</v>
      </c>
      <c r="DE32" s="64">
        <f>(DE34/((1-DE40)+(3*DE40)))</f>
        <v>181.96721311475412</v>
      </c>
      <c r="DF32" s="619">
        <f>SUM(DB32:DE32)</f>
        <v>732.91721311475419</v>
      </c>
      <c r="DG32" s="64">
        <f>(DG34/((1-DG40)+(3*DG40)))</f>
        <v>189.34426229508196</v>
      </c>
      <c r="DH32" s="64">
        <f>(DH34/((1-DH40)+(3*DH40)))</f>
        <v>190.98360655737704</v>
      </c>
      <c r="DI32" s="64">
        <f>(DI34/((1-DI40)+(3*DI40)))</f>
        <v>192.62295081967213</v>
      </c>
      <c r="DJ32" s="64">
        <f>(DJ34/((1-DJ40)+(3*DJ40)))</f>
        <v>188.11475409836066</v>
      </c>
      <c r="DK32" s="619">
        <f>SUM(DG32:DJ32)</f>
        <v>761.06557377049182</v>
      </c>
      <c r="DL32" s="64">
        <f>(DL34/((1-DL40)+(3*DL40)))</f>
        <v>194.75409836065575</v>
      </c>
      <c r="DM32" s="64">
        <f>(DM34/((1-DM40)+(3*DM40)))</f>
        <v>202.21311475409834</v>
      </c>
      <c r="DN32" s="64">
        <f>(DN34/((1-DN40)+(3*DN40)))</f>
        <v>209.18032786885246</v>
      </c>
      <c r="DO32" s="64">
        <f>(DO34/((1-DO40)+(3*DO40)))</f>
        <v>205.08196721311475</v>
      </c>
      <c r="DP32" s="619">
        <f>SUM(DL32:DO32)</f>
        <v>811.22950819672133</v>
      </c>
      <c r="DQ32" s="64">
        <f>(DQ34/((1-DQ40)+(3*DQ40)))</f>
        <v>213.27868852459017</v>
      </c>
      <c r="DR32" s="64">
        <f ca="1">(DR34/((1-DR40)+(3*DR40)))</f>
        <v>231.0838892029403</v>
      </c>
      <c r="DS32" s="64">
        <f ca="1">(DS34/((1-DS40)+(3*DS40)))</f>
        <v>237.38513284341525</v>
      </c>
      <c r="DT32" s="64">
        <f>(DT34/((1-DT40)+(3*DT40)))</f>
        <v>225.30360655737701</v>
      </c>
      <c r="DU32" s="619">
        <f ca="1">SUM(DQ32:DT32)</f>
        <v>907.05131712832281</v>
      </c>
      <c r="DV32" s="64">
        <f ca="1">(DV34/((1-DV40)+(3*DV40)))</f>
        <v>239.26918032786884</v>
      </c>
      <c r="DW32" s="64">
        <f ca="1">(DW34/((1-DW40)+(3*DW40)))</f>
        <v>238.27582340305338</v>
      </c>
      <c r="DX32" s="64">
        <f ca="1">(DX34/((1-DX40)+(3*DX40)))</f>
        <v>244.77082560768886</v>
      </c>
      <c r="DY32" s="64">
        <f ca="1">(DY34/((1-DY40)+(3*DY40)))</f>
        <v>232.33677377049173</v>
      </c>
      <c r="DZ32" s="619">
        <f ca="1">SUM(DV32:DY32)</f>
        <v>954.65260310910276</v>
      </c>
      <c r="EA32" s="64">
        <f ca="1">(EA34/((1-EA40)+(3*EA40)))</f>
        <v>246.27487213114753</v>
      </c>
      <c r="EB32" s="64">
        <f ca="1">(EB34/((1-EB40)+(3*EB40)))</f>
        <v>245.61969853363567</v>
      </c>
      <c r="EC32" s="64">
        <f ca="1">(EC34/((1-EC40)+(3*EC40)))</f>
        <v>252.71497663510553</v>
      </c>
      <c r="ED32" s="64">
        <f ca="1">(ED34/((1-ED40)+(3*ED40)))</f>
        <v>240.21868380327862</v>
      </c>
      <c r="EE32" s="619">
        <f ca="1">SUM(EA32:ED32)</f>
        <v>984.82823110316735</v>
      </c>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row>
    <row r="33" spans="2:238" s="55" customFormat="1">
      <c r="B33" s="554" t="s">
        <v>20</v>
      </c>
      <c r="C33" s="166"/>
      <c r="D33" s="167"/>
      <c r="E33" s="167"/>
      <c r="F33" s="103"/>
      <c r="G33" s="103"/>
      <c r="H33" s="168"/>
      <c r="I33" s="103"/>
      <c r="J33" s="103"/>
      <c r="K33" s="169"/>
      <c r="L33" s="102"/>
      <c r="M33" s="102"/>
      <c r="N33" s="106"/>
      <c r="O33" s="102"/>
      <c r="P33" s="169"/>
      <c r="Q33" s="102"/>
      <c r="R33" s="102"/>
      <c r="S33" s="106"/>
      <c r="T33" s="102"/>
      <c r="U33" s="169"/>
      <c r="V33" s="102"/>
      <c r="W33" s="102"/>
      <c r="X33" s="106"/>
      <c r="Y33" s="102"/>
      <c r="Z33" s="169"/>
      <c r="AA33" s="102"/>
      <c r="AB33" s="102"/>
      <c r="AC33" s="106"/>
      <c r="AD33" s="102"/>
      <c r="AE33" s="169"/>
      <c r="AF33" s="102"/>
      <c r="AG33" s="102"/>
      <c r="AH33" s="106"/>
      <c r="AI33" s="102"/>
      <c r="AJ33" s="169"/>
      <c r="AK33" s="102"/>
      <c r="AL33" s="102"/>
      <c r="AM33" s="106"/>
      <c r="AN33" s="102"/>
      <c r="AO33" s="169"/>
      <c r="AP33" s="102"/>
      <c r="AQ33" s="102"/>
      <c r="AR33" s="106"/>
      <c r="AS33" s="102"/>
      <c r="AT33" s="169"/>
      <c r="AU33" s="102"/>
      <c r="AV33" s="102"/>
      <c r="AW33" s="106"/>
      <c r="AX33" s="102"/>
      <c r="AY33" s="169"/>
      <c r="AZ33" s="102"/>
      <c r="BA33" s="102"/>
      <c r="BB33" s="106"/>
      <c r="BC33" s="102"/>
      <c r="BD33" s="169"/>
      <c r="BE33" s="102"/>
      <c r="BF33" s="102"/>
      <c r="BG33" s="106"/>
      <c r="BH33" s="102">
        <f>BH32/BC32-1</f>
        <v>0.10723981900452473</v>
      </c>
      <c r="BI33" s="169"/>
      <c r="BJ33" s="102"/>
      <c r="BK33" s="102"/>
      <c r="BL33" s="106"/>
      <c r="BM33" s="102">
        <f>BM32/BH32-1</f>
        <v>8.2958724969350195E-2</v>
      </c>
      <c r="BN33" s="169"/>
      <c r="BO33" s="102"/>
      <c r="BP33" s="102"/>
      <c r="BQ33" s="106"/>
      <c r="BR33" s="102">
        <f t="shared" ref="BR33:DQ33" si="31">BR32/BM32-1</f>
        <v>0.10075471698113203</v>
      </c>
      <c r="BS33" s="169">
        <f t="shared" si="31"/>
        <v>7.1682044002838952E-2</v>
      </c>
      <c r="BT33" s="102">
        <f t="shared" si="31"/>
        <v>6.8027210884353817E-2</v>
      </c>
      <c r="BU33" s="102">
        <f t="shared" si="31"/>
        <v>5.3333333333333233E-2</v>
      </c>
      <c r="BV33" s="106">
        <f t="shared" si="31"/>
        <v>3.7800687285223455E-2</v>
      </c>
      <c r="BW33" s="102">
        <f t="shared" si="31"/>
        <v>5.7593417895097643E-2</v>
      </c>
      <c r="BX33" s="169">
        <f t="shared" si="31"/>
        <v>3.3112582781456901E-2</v>
      </c>
      <c r="BY33" s="102">
        <f t="shared" si="31"/>
        <v>4.4585987261146487E-2</v>
      </c>
      <c r="BZ33" s="102">
        <f t="shared" si="31"/>
        <v>6.3291139240506222E-2</v>
      </c>
      <c r="CA33" s="106">
        <f t="shared" si="31"/>
        <v>7.9470198675496651E-2</v>
      </c>
      <c r="CB33" s="102">
        <f t="shared" si="31"/>
        <v>5.5105348460291692E-2</v>
      </c>
      <c r="CC33" s="169">
        <f t="shared" si="31"/>
        <v>0.11538461538461542</v>
      </c>
      <c r="CD33" s="102">
        <f t="shared" si="31"/>
        <v>4.8780487804878092E-2</v>
      </c>
      <c r="CE33" s="102">
        <f t="shared" si="31"/>
        <v>5.3571428571428603E-2</v>
      </c>
      <c r="CF33" s="102">
        <f t="shared" si="31"/>
        <v>6.3210686517261472E-2</v>
      </c>
      <c r="CG33" s="798">
        <f t="shared" si="31"/>
        <v>6.1443932411674451E-2</v>
      </c>
      <c r="CH33" s="102">
        <f t="shared" si="31"/>
        <v>1.7753638443293474E-2</v>
      </c>
      <c r="CI33" s="102">
        <f t="shared" si="31"/>
        <v>4.4878893716102874E-2</v>
      </c>
      <c r="CJ33" s="102">
        <f t="shared" si="31"/>
        <v>4.0127480805446814E-2</v>
      </c>
      <c r="CK33" s="102">
        <f t="shared" si="31"/>
        <v>2.1844882766042684E-2</v>
      </c>
      <c r="CL33" s="826">
        <f t="shared" si="31"/>
        <v>3.9073806078147477E-2</v>
      </c>
      <c r="CM33" s="102">
        <f t="shared" si="31"/>
        <v>-4.6188415640582292E-3</v>
      </c>
      <c r="CN33" s="102">
        <f t="shared" si="31"/>
        <v>-7.5770853077021472E-2</v>
      </c>
      <c r="CO33" s="102">
        <f t="shared" si="31"/>
        <v>-0.11618903734479025</v>
      </c>
      <c r="CP33" s="102">
        <f t="shared" si="31"/>
        <v>-0.10032856833674497</v>
      </c>
      <c r="CQ33" s="826">
        <f t="shared" si="31"/>
        <v>-7.464236816014358E-2</v>
      </c>
      <c r="CR33" s="102">
        <f t="shared" si="31"/>
        <v>-4.9759615384615485E-2</v>
      </c>
      <c r="CS33" s="102">
        <f t="shared" si="31"/>
        <v>4.3537414965986398E-2</v>
      </c>
      <c r="CT33" s="102">
        <f t="shared" si="31"/>
        <v>7.0399305555555625E-2</v>
      </c>
      <c r="CU33" s="102">
        <f t="shared" si="31"/>
        <v>6.1790780141844026E-2</v>
      </c>
      <c r="CV33" s="826">
        <f t="shared" si="31"/>
        <v>2.9740646258503478E-2</v>
      </c>
      <c r="CW33" s="102">
        <f t="shared" si="31"/>
        <v>5.0943628962625054E-2</v>
      </c>
      <c r="CX33" s="102">
        <f t="shared" si="31"/>
        <v>2.0343293070566038E-2</v>
      </c>
      <c r="CY33" s="102">
        <f t="shared" si="31"/>
        <v>3.4441852188698885E-2</v>
      </c>
      <c r="CZ33" s="102">
        <f t="shared" si="31"/>
        <v>3.3236982453283659E-2</v>
      </c>
      <c r="DA33" s="798">
        <f t="shared" si="31"/>
        <v>3.4612093697466539E-2</v>
      </c>
      <c r="DB33" s="102">
        <f t="shared" si="31"/>
        <v>3.445081967213115E-2</v>
      </c>
      <c r="DC33" s="102">
        <f t="shared" si="31"/>
        <v>3.8149226290791871E-2</v>
      </c>
      <c r="DD33" s="102">
        <f t="shared" si="31"/>
        <v>2.819972928259884E-2</v>
      </c>
      <c r="DE33" s="102">
        <f t="shared" si="31"/>
        <v>4.1066350830291309E-2</v>
      </c>
      <c r="DF33" s="798">
        <f t="shared" si="31"/>
        <v>3.5417402166799006E-2</v>
      </c>
      <c r="DG33" s="102">
        <f t="shared" si="31"/>
        <v>3.9795821911333684E-2</v>
      </c>
      <c r="DH33" s="102">
        <f t="shared" si="31"/>
        <v>4.0178571428571397E-2</v>
      </c>
      <c r="DI33" s="102">
        <f t="shared" si="31"/>
        <v>3.9823008849557473E-2</v>
      </c>
      <c r="DJ33" s="102">
        <f t="shared" si="31"/>
        <v>3.3783783783783772E-2</v>
      </c>
      <c r="DK33" s="798">
        <f t="shared" si="31"/>
        <v>3.8405921094570417E-2</v>
      </c>
      <c r="DL33" s="102">
        <f t="shared" si="31"/>
        <v>2.8571428571428692E-2</v>
      </c>
      <c r="DM33" s="102">
        <f t="shared" si="31"/>
        <v>5.8798283261802586E-2</v>
      </c>
      <c r="DN33" s="102">
        <f t="shared" si="31"/>
        <v>8.5957446808510696E-2</v>
      </c>
      <c r="DO33" s="102">
        <f t="shared" si="31"/>
        <v>9.0196078431372451E-2</v>
      </c>
      <c r="DP33" s="798">
        <f t="shared" ref="DP33:DU33" si="32">DP32/DK32-1</f>
        <v>6.5912762520193846E-2</v>
      </c>
      <c r="DQ33" s="102">
        <f t="shared" si="31"/>
        <v>9.5117845117845157E-2</v>
      </c>
      <c r="DR33" s="102">
        <f t="shared" ca="1" si="32"/>
        <v>0.14277399605831853</v>
      </c>
      <c r="DS33" s="102">
        <f t="shared" ca="1" si="32"/>
        <v>0.13483488271538646</v>
      </c>
      <c r="DT33" s="102">
        <f t="shared" si="32"/>
        <v>9.860271782573915E-2</v>
      </c>
      <c r="DU33" s="798">
        <f t="shared" ca="1" si="32"/>
        <v>0.11811923501723132</v>
      </c>
      <c r="DV33" s="102">
        <f t="shared" ref="DV33" ca="1" si="33">DV32/DQ32-1</f>
        <v>0.12186164488854723</v>
      </c>
      <c r="DW33" s="102">
        <f t="shared" ref="DW33" ca="1" si="34">DW32/DR32-1</f>
        <v>3.1122611900464614E-2</v>
      </c>
      <c r="DX33" s="102">
        <f t="shared" ref="DX33" ca="1" si="35">DX32/DS32-1</f>
        <v>3.1112701439248935E-2</v>
      </c>
      <c r="DY33" s="102">
        <f t="shared" ref="DY33" ca="1" si="36">DY32/DT32-1</f>
        <v>3.121639871008286E-2</v>
      </c>
      <c r="DZ33" s="798">
        <f t="shared" ref="DZ33" ca="1" si="37">DZ32/DU32-1</f>
        <v>5.2479154246182214E-2</v>
      </c>
      <c r="EA33" s="102">
        <f t="shared" ref="EA33" ca="1" si="38">EA32/DV32-1</f>
        <v>2.9279541116322916E-2</v>
      </c>
      <c r="EB33" s="102">
        <f t="shared" ref="EB33" ca="1" si="39">EB32/DW32-1</f>
        <v>3.0820899181868811E-2</v>
      </c>
      <c r="EC33" s="102">
        <f t="shared" ref="EC33" ca="1" si="40">EC32/DX32-1</f>
        <v>3.2455465261000072E-2</v>
      </c>
      <c r="ED33" s="102">
        <f t="shared" ref="ED33" ca="1" si="41">ED32/DY32-1</f>
        <v>3.3924504954057966E-2</v>
      </c>
      <c r="EE33" s="798">
        <f t="shared" ref="EE33" ca="1" si="42">EE32/DZ32-1</f>
        <v>3.1609014520872725E-2</v>
      </c>
      <c r="EF33"/>
      <c r="EG33" s="2296"/>
      <c r="EH33" s="2296"/>
      <c r="EI33" s="2296"/>
      <c r="EJ33"/>
      <c r="EK33"/>
      <c r="EL33"/>
      <c r="EM33"/>
      <c r="EN33"/>
      <c r="EO33"/>
      <c r="EP33" s="2296"/>
      <c r="EQ33" s="2296"/>
      <c r="ER33" s="2296"/>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row>
    <row r="34" spans="2:238" ht="12.75">
      <c r="B34" s="1895" t="s">
        <v>159</v>
      </c>
      <c r="BR34">
        <v>636</v>
      </c>
      <c r="BS34">
        <f>(BS32-BS39)+(BS39*3)</f>
        <v>165.798</v>
      </c>
      <c r="BT34">
        <f>(BT32-BT39)+(BT39*3)</f>
        <v>172.386</v>
      </c>
      <c r="BU34">
        <v>173</v>
      </c>
      <c r="BV34">
        <f>(BV32-BV39)+(BV39*3)</f>
        <v>165.798</v>
      </c>
      <c r="BW34">
        <f>SUM(BS34:BV34)</f>
        <v>676.98199999999997</v>
      </c>
      <c r="BX34">
        <v>173</v>
      </c>
      <c r="BY34">
        <v>181</v>
      </c>
      <c r="BZ34">
        <v>187</v>
      </c>
      <c r="CA34">
        <f>CB34-SUM(BX34:BZ34)</f>
        <v>182</v>
      </c>
      <c r="CB34">
        <v>723</v>
      </c>
      <c r="CC34">
        <v>194</v>
      </c>
      <c r="CD34">
        <v>192</v>
      </c>
      <c r="CE34">
        <v>198</v>
      </c>
      <c r="CF34">
        <v>194</v>
      </c>
      <c r="CG34">
        <v>778</v>
      </c>
      <c r="CH34">
        <v>202</v>
      </c>
      <c r="CI34">
        <v>205</v>
      </c>
      <c r="CJ34">
        <v>210</v>
      </c>
      <c r="CK34">
        <v>202</v>
      </c>
      <c r="CL34">
        <f>SUM(CH34:CK34)</f>
        <v>819</v>
      </c>
      <c r="CM34">
        <v>208</v>
      </c>
      <c r="CN34">
        <v>196</v>
      </c>
      <c r="CO34">
        <v>192</v>
      </c>
      <c r="CP34">
        <f>784-CO34-CN34-CM34</f>
        <v>188</v>
      </c>
      <c r="CQ34">
        <f>SUM(CM34:CP34)</f>
        <v>784</v>
      </c>
      <c r="CR34">
        <v>201</v>
      </c>
      <c r="CS34">
        <v>208</v>
      </c>
      <c r="CT34">
        <v>209</v>
      </c>
      <c r="CU34">
        <v>203</v>
      </c>
      <c r="CV34">
        <f>SUM(CR34:CU34)</f>
        <v>821</v>
      </c>
      <c r="CW34">
        <v>213</v>
      </c>
      <c r="CX34">
        <v>214</v>
      </c>
      <c r="CY34">
        <v>218</v>
      </c>
      <c r="CZ34">
        <v>211.495</v>
      </c>
      <c r="DA34">
        <f>SUM(CW34:CZ34)</f>
        <v>856.495</v>
      </c>
      <c r="DB34" s="2129">
        <f>CW34*(1+DB35)</f>
        <v>222.15899999999999</v>
      </c>
      <c r="DC34" s="2129">
        <v>224</v>
      </c>
      <c r="DD34" s="2129">
        <v>226</v>
      </c>
      <c r="DE34" s="2129">
        <v>222</v>
      </c>
      <c r="DF34" s="1900">
        <f>SUM(DB34:DE34)</f>
        <v>894.15899999999999</v>
      </c>
      <c r="DG34" s="2129">
        <v>231</v>
      </c>
      <c r="DH34" s="2129">
        <v>233</v>
      </c>
      <c r="DI34" s="2129">
        <v>235</v>
      </c>
      <c r="DJ34" s="2129">
        <f>DK34-SUM(DG34:DI34)</f>
        <v>229.5</v>
      </c>
      <c r="DK34" s="2128">
        <v>928.5</v>
      </c>
      <c r="DL34" s="2129">
        <v>237.6</v>
      </c>
      <c r="DM34" s="2129">
        <v>246.7</v>
      </c>
      <c r="DN34" s="2129">
        <v>255.2</v>
      </c>
      <c r="DO34" s="2129">
        <v>250.2</v>
      </c>
      <c r="DP34" s="1900">
        <f>SUM(DL34:DO34)</f>
        <v>989.7</v>
      </c>
      <c r="DQ34" s="2129">
        <v>260.2</v>
      </c>
      <c r="DR34">
        <f ca="1">DR42+DR56</f>
        <v>281.92234482758715</v>
      </c>
      <c r="DS34">
        <f ca="1">DS42+DS56</f>
        <v>289.60986206896661</v>
      </c>
      <c r="DT34">
        <f>DT42+DT56</f>
        <v>274.87039999999996</v>
      </c>
      <c r="DU34" s="1900">
        <f ca="1">SUM(DQ34:DT34)</f>
        <v>1106.6026068965537</v>
      </c>
      <c r="DV34" s="2161">
        <f>DV42+DV56</f>
        <v>291.90839999999997</v>
      </c>
      <c r="DW34" s="2161">
        <f ca="1">DW42+DW56</f>
        <v>290.69650455172513</v>
      </c>
      <c r="DX34" s="2161">
        <f ca="1">DX42+DX56</f>
        <v>298.62040724138041</v>
      </c>
      <c r="DY34" s="2161">
        <f>DY42+DY56</f>
        <v>283.45086399999991</v>
      </c>
      <c r="DZ34" s="1900">
        <f ca="1">SUM(DV34:DY34)</f>
        <v>1164.6761757931054</v>
      </c>
      <c r="EA34" s="2248">
        <f>EA42+EA56</f>
        <v>300.45534399999997</v>
      </c>
      <c r="EB34" s="2248">
        <f ca="1">EB42+EB56</f>
        <v>299.65603221103549</v>
      </c>
      <c r="EC34" s="2248">
        <f ca="1">EC42+EC56</f>
        <v>308.31227149482874</v>
      </c>
      <c r="ED34" s="2248">
        <f>ED42+ED56</f>
        <v>293.06679423999992</v>
      </c>
      <c r="EE34" s="1900">
        <f ca="1">SUM(EA34:ED34)</f>
        <v>1201.4904419458639</v>
      </c>
      <c r="EF34" s="21"/>
      <c r="EG34" s="21"/>
      <c r="EH34" s="21"/>
      <c r="EI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c r="GZ34" s="21"/>
      <c r="HA34" s="21"/>
      <c r="HB34" s="21"/>
      <c r="HC34" s="21"/>
      <c r="HD34" s="21"/>
      <c r="HE34" s="21"/>
      <c r="HF34" s="21"/>
      <c r="HG34" s="21"/>
      <c r="HH34" s="21"/>
      <c r="HI34" s="21"/>
      <c r="HJ34" s="21"/>
      <c r="HK34" s="21"/>
      <c r="HL34" s="21"/>
      <c r="HM34" s="21"/>
      <c r="HN34" s="21"/>
      <c r="HO34" s="21"/>
      <c r="HP34" s="21"/>
      <c r="HQ34" s="21"/>
      <c r="HR34" s="21"/>
      <c r="HS34" s="21"/>
      <c r="HT34" s="21"/>
      <c r="HU34" s="21"/>
      <c r="HV34" s="21"/>
      <c r="HW34" s="21"/>
      <c r="HX34" s="21"/>
      <c r="HY34" s="21"/>
      <c r="HZ34" s="21"/>
      <c r="IA34" s="21"/>
      <c r="IB34" s="21"/>
      <c r="IC34" s="21"/>
      <c r="ID34" s="21"/>
    </row>
    <row r="35" spans="2:238" s="1689" customFormat="1" ht="12.75">
      <c r="B35" s="2184" t="s">
        <v>20</v>
      </c>
      <c r="BW35" s="1689">
        <f t="shared" ref="BW35:DQ35" si="43">BW34/BR34-1</f>
        <v>6.4437106918239007E-2</v>
      </c>
      <c r="BX35" s="1689">
        <f t="shared" si="43"/>
        <v>4.343840094572915E-2</v>
      </c>
      <c r="BY35" s="1689">
        <f t="shared" si="43"/>
        <v>4.996925504391303E-2</v>
      </c>
      <c r="BZ35" s="1689">
        <f t="shared" si="43"/>
        <v>8.092485549132955E-2</v>
      </c>
      <c r="CA35" s="1689">
        <f t="shared" si="43"/>
        <v>9.7721323538281446E-2</v>
      </c>
      <c r="CB35" s="1689">
        <f t="shared" si="43"/>
        <v>6.7975219429763367E-2</v>
      </c>
      <c r="CC35" s="1689">
        <f t="shared" si="43"/>
        <v>0.12138728323699421</v>
      </c>
      <c r="CD35" s="1689">
        <f t="shared" si="43"/>
        <v>6.0773480662983381E-2</v>
      </c>
      <c r="CE35" s="1689">
        <f t="shared" si="43"/>
        <v>5.8823529411764719E-2</v>
      </c>
      <c r="CF35" s="1689">
        <f t="shared" si="43"/>
        <v>6.5934065934065922E-2</v>
      </c>
      <c r="CG35" s="1689">
        <f t="shared" si="43"/>
        <v>7.6071922544951542E-2</v>
      </c>
      <c r="CH35" s="1689">
        <f t="shared" si="43"/>
        <v>4.1237113402061931E-2</v>
      </c>
      <c r="CI35" s="1689">
        <f t="shared" si="43"/>
        <v>6.7708333333333259E-2</v>
      </c>
      <c r="CJ35" s="1689">
        <f t="shared" si="43"/>
        <v>6.0606060606060552E-2</v>
      </c>
      <c r="CK35" s="1689">
        <f t="shared" si="43"/>
        <v>4.1237113402061931E-2</v>
      </c>
      <c r="CL35" s="1689">
        <f t="shared" si="43"/>
        <v>5.26992287917738E-2</v>
      </c>
      <c r="CM35" s="1689">
        <f t="shared" si="43"/>
        <v>2.9702970297029729E-2</v>
      </c>
      <c r="CN35" s="1689">
        <f t="shared" si="43"/>
        <v>-4.3902439024390283E-2</v>
      </c>
      <c r="CO35" s="1689">
        <f t="shared" si="43"/>
        <v>-8.5714285714285743E-2</v>
      </c>
      <c r="CP35" s="1689">
        <f t="shared" si="43"/>
        <v>-6.9306930693069257E-2</v>
      </c>
      <c r="CQ35" s="1689">
        <f t="shared" si="43"/>
        <v>-4.2735042735042694E-2</v>
      </c>
      <c r="CR35" s="1689">
        <f t="shared" si="43"/>
        <v>-3.3653846153846145E-2</v>
      </c>
      <c r="CS35" s="1689">
        <f t="shared" si="43"/>
        <v>6.1224489795918435E-2</v>
      </c>
      <c r="CT35" s="1689">
        <f t="shared" si="43"/>
        <v>8.8541666666666741E-2</v>
      </c>
      <c r="CU35" s="1689">
        <f t="shared" si="43"/>
        <v>7.9787234042553168E-2</v>
      </c>
      <c r="CV35" s="1689">
        <f t="shared" si="43"/>
        <v>4.7193877551020336E-2</v>
      </c>
      <c r="CW35" s="1689">
        <f t="shared" si="43"/>
        <v>5.9701492537313383E-2</v>
      </c>
      <c r="CX35" s="1689">
        <f t="shared" si="43"/>
        <v>2.8846153846153744E-2</v>
      </c>
      <c r="CY35" s="1689">
        <f t="shared" si="43"/>
        <v>4.3062200956937691E-2</v>
      </c>
      <c r="CZ35" s="1689">
        <f t="shared" si="43"/>
        <v>4.1847290640394164E-2</v>
      </c>
      <c r="DA35" s="1689">
        <f t="shared" si="43"/>
        <v>4.3233861144945207E-2</v>
      </c>
      <c r="DB35" s="1689">
        <v>4.2999999999999997E-2</v>
      </c>
      <c r="DC35" s="1689">
        <f t="shared" si="43"/>
        <v>4.6728971962616717E-2</v>
      </c>
      <c r="DD35" s="1689">
        <f t="shared" si="43"/>
        <v>3.669724770642202E-2</v>
      </c>
      <c r="DE35" s="1689">
        <f t="shared" si="43"/>
        <v>4.9670204969384679E-2</v>
      </c>
      <c r="DF35" s="2088">
        <f t="shared" si="43"/>
        <v>4.3974570779747646E-2</v>
      </c>
      <c r="DG35" s="1689">
        <f t="shared" si="43"/>
        <v>3.9795821911333906E-2</v>
      </c>
      <c r="DH35" s="1689">
        <f t="shared" si="43"/>
        <v>4.0178571428571397E-2</v>
      </c>
      <c r="DI35" s="1689">
        <f t="shared" si="43"/>
        <v>3.9823008849557473E-2</v>
      </c>
      <c r="DJ35" s="1689">
        <f t="shared" si="43"/>
        <v>3.3783783783783772E-2</v>
      </c>
      <c r="DK35" s="2088">
        <f t="shared" si="43"/>
        <v>3.8405921094570417E-2</v>
      </c>
      <c r="DL35" s="1689">
        <f t="shared" si="43"/>
        <v>2.857142857142847E-2</v>
      </c>
      <c r="DM35" s="1689">
        <f t="shared" si="43"/>
        <v>5.8798283261802586E-2</v>
      </c>
      <c r="DN35" s="1689">
        <f t="shared" si="43"/>
        <v>8.5957446808510696E-2</v>
      </c>
      <c r="DO35" s="1689">
        <f t="shared" si="43"/>
        <v>9.0196078431372451E-2</v>
      </c>
      <c r="DP35" s="2088">
        <f t="shared" ref="DP35:DU35" si="44">DP34/DK34-1</f>
        <v>6.5912762520193846E-2</v>
      </c>
      <c r="DQ35" s="1689">
        <f t="shared" si="43"/>
        <v>9.5117845117845157E-2</v>
      </c>
      <c r="DR35" s="1689">
        <f t="shared" ca="1" si="44"/>
        <v>0.14277399605831853</v>
      </c>
      <c r="DS35" s="1689">
        <f t="shared" ca="1" si="44"/>
        <v>0.13483488271538646</v>
      </c>
      <c r="DT35" s="1689">
        <f t="shared" si="44"/>
        <v>9.8602717825739372E-2</v>
      </c>
      <c r="DU35" s="2088">
        <f t="shared" ca="1" si="44"/>
        <v>0.11811923501723109</v>
      </c>
      <c r="DV35" s="1689">
        <f t="shared" ref="DV35" si="45">DV34/DQ34-1</f>
        <v>0.12186164488854723</v>
      </c>
      <c r="DW35" s="1689">
        <f t="shared" ref="DW35" ca="1" si="46">DW34/DR34-1</f>
        <v>3.1122611900464614E-2</v>
      </c>
      <c r="DX35" s="1689">
        <f t="shared" ref="DX35" ca="1" si="47">DX34/DS34-1</f>
        <v>3.1112701439248935E-2</v>
      </c>
      <c r="DY35" s="1689">
        <f t="shared" ref="DY35" si="48">DY34/DT34-1</f>
        <v>3.121639871008286E-2</v>
      </c>
      <c r="DZ35" s="2088">
        <f t="shared" ref="DZ35" ca="1" si="49">DZ34/DU34-1</f>
        <v>5.2479154246182436E-2</v>
      </c>
      <c r="EA35" s="1689">
        <f t="shared" ref="EA35" si="50">EA34/DV34-1</f>
        <v>2.9279541116322694E-2</v>
      </c>
      <c r="EB35" s="1689">
        <f t="shared" ref="EB35" ca="1" si="51">EB34/DW34-1</f>
        <v>3.0820899181868811E-2</v>
      </c>
      <c r="EC35" s="1689">
        <f t="shared" ref="EC35" ca="1" si="52">EC34/DX34-1</f>
        <v>3.2455465261000072E-2</v>
      </c>
      <c r="ED35" s="1689">
        <f t="shared" ref="ED35" si="53">ED34/DY34-1</f>
        <v>3.3924504954057966E-2</v>
      </c>
      <c r="EE35" s="2088">
        <f t="shared" ref="EE35" ca="1" si="54">EE34/DZ34-1</f>
        <v>3.1609014520872503E-2</v>
      </c>
      <c r="EF35" s="2234"/>
      <c r="EG35" s="2234"/>
      <c r="EH35" s="2234"/>
      <c r="EI35" s="2234"/>
      <c r="EJ35"/>
      <c r="EK35"/>
      <c r="EL35"/>
      <c r="EM35"/>
      <c r="EN35"/>
      <c r="EO35"/>
      <c r="EP35" s="2234"/>
      <c r="EQ35" s="2234"/>
      <c r="ER35" s="2234"/>
      <c r="ES35" s="2234"/>
      <c r="ET35" s="2234"/>
      <c r="EU35" s="2234"/>
      <c r="EV35" s="2234"/>
      <c r="EW35" s="2234"/>
      <c r="EX35" s="2234"/>
      <c r="EY35" s="2234"/>
      <c r="EZ35" s="2234"/>
      <c r="FA35" s="2234"/>
      <c r="FB35" s="2234"/>
      <c r="FC35" s="2234"/>
      <c r="FD35" s="2234"/>
      <c r="FE35" s="2234"/>
      <c r="FF35" s="2234"/>
      <c r="FG35" s="2234"/>
      <c r="FH35" s="2234"/>
      <c r="FI35" s="2234"/>
      <c r="FJ35" s="2234"/>
      <c r="FK35" s="2234"/>
      <c r="FL35" s="2234"/>
      <c r="FM35" s="2234"/>
      <c r="FN35" s="2234"/>
      <c r="FO35" s="2234"/>
      <c r="FP35" s="2234"/>
      <c r="FQ35" s="2234"/>
      <c r="FR35" s="2234"/>
      <c r="FS35" s="2234"/>
      <c r="FT35" s="2234"/>
      <c r="FU35" s="2234"/>
      <c r="FV35" s="2234"/>
      <c r="FW35" s="2234"/>
      <c r="FX35" s="2234"/>
      <c r="FY35" s="2234"/>
      <c r="FZ35" s="2234"/>
      <c r="GA35" s="2234"/>
      <c r="GB35" s="2234"/>
      <c r="GC35" s="2234"/>
      <c r="GD35" s="2234"/>
      <c r="GE35" s="2234"/>
      <c r="GF35" s="2234"/>
      <c r="GG35" s="2234"/>
      <c r="GH35" s="2234"/>
      <c r="GI35" s="2234"/>
      <c r="GJ35" s="2234"/>
      <c r="GK35" s="2234"/>
      <c r="GL35" s="2234"/>
      <c r="GM35" s="2234"/>
      <c r="GN35" s="2234"/>
      <c r="GO35" s="2234"/>
      <c r="GP35" s="2234"/>
      <c r="GQ35" s="2234"/>
      <c r="GR35" s="2234"/>
      <c r="GS35" s="2234"/>
      <c r="GT35" s="2234"/>
      <c r="GU35" s="2234"/>
      <c r="GV35" s="2234"/>
      <c r="GW35" s="2234"/>
      <c r="GX35" s="2234"/>
      <c r="GY35" s="2234"/>
      <c r="GZ35" s="2234"/>
      <c r="HA35" s="2234"/>
      <c r="HB35" s="2234"/>
      <c r="HC35" s="2234"/>
      <c r="HD35" s="2234"/>
      <c r="HE35" s="2234"/>
      <c r="HF35" s="2234"/>
      <c r="HG35" s="2234"/>
      <c r="HH35" s="2234"/>
      <c r="HI35" s="2234"/>
      <c r="HJ35" s="2234"/>
      <c r="HK35" s="2234"/>
      <c r="HL35" s="2234"/>
      <c r="HM35" s="2234"/>
      <c r="HN35" s="2234"/>
      <c r="HO35" s="2234"/>
      <c r="HP35" s="2234"/>
      <c r="HQ35" s="2234"/>
      <c r="HR35" s="2234"/>
      <c r="HS35" s="2234"/>
      <c r="HT35" s="2234"/>
      <c r="HU35" s="2234"/>
      <c r="HV35" s="2234"/>
      <c r="HW35" s="2234"/>
      <c r="HX35" s="2234"/>
      <c r="HY35" s="2234"/>
      <c r="HZ35" s="2234"/>
      <c r="IA35" s="2234"/>
      <c r="IB35" s="2234"/>
      <c r="IC35" s="2234"/>
      <c r="ID35" s="2234"/>
    </row>
    <row r="36" spans="2:238" s="161" customFormat="1" ht="12.75" customHeight="1">
      <c r="B36" s="549" t="s">
        <v>161</v>
      </c>
      <c r="C36" s="62"/>
      <c r="D36" s="62"/>
      <c r="E36" s="62"/>
      <c r="F36" s="62"/>
      <c r="G36" s="62"/>
      <c r="H36" s="62"/>
      <c r="I36" s="62"/>
      <c r="J36" s="62"/>
      <c r="K36" s="140"/>
      <c r="L36" s="76"/>
      <c r="M36" s="76"/>
      <c r="N36" s="141"/>
      <c r="O36" s="62"/>
      <c r="P36" s="140"/>
      <c r="Q36" s="76"/>
      <c r="R36" s="76"/>
      <c r="S36" s="141"/>
      <c r="T36" s="62"/>
      <c r="U36" s="140"/>
      <c r="V36" s="76"/>
      <c r="W36" s="76"/>
      <c r="X36" s="141"/>
      <c r="Y36" s="62"/>
      <c r="Z36" s="140"/>
      <c r="AA36" s="76"/>
      <c r="AB36" s="76"/>
      <c r="AC36" s="141"/>
      <c r="AD36" s="62"/>
      <c r="AE36" s="140"/>
      <c r="AF36" s="76"/>
      <c r="AG36" s="76"/>
      <c r="AH36" s="141"/>
      <c r="AI36" s="62"/>
      <c r="AJ36" s="140"/>
      <c r="AK36" s="76"/>
      <c r="AL36" s="76"/>
      <c r="AM36" s="141"/>
      <c r="AN36" s="62"/>
      <c r="AO36" s="140"/>
      <c r="AP36" s="76"/>
      <c r="AQ36" s="76"/>
      <c r="AR36" s="141"/>
      <c r="AS36" s="62"/>
      <c r="AT36" s="140"/>
      <c r="AU36" s="76"/>
      <c r="AV36" s="76"/>
      <c r="AW36" s="141"/>
      <c r="AX36" s="62"/>
      <c r="AY36" s="140"/>
      <c r="AZ36" s="76"/>
      <c r="BA36" s="76"/>
      <c r="BB36" s="141"/>
      <c r="BC36" s="62"/>
      <c r="BD36" s="140"/>
      <c r="BE36" s="76"/>
      <c r="BF36" s="76"/>
      <c r="BG36" s="141"/>
      <c r="BH36" s="62"/>
      <c r="BI36" s="140"/>
      <c r="BJ36" s="76"/>
      <c r="BK36" s="76"/>
      <c r="BL36" s="141"/>
      <c r="BM36" s="62"/>
      <c r="BN36" s="140"/>
      <c r="BO36" s="76"/>
      <c r="BP36" s="76"/>
      <c r="BQ36" s="141"/>
      <c r="BR36" s="62"/>
      <c r="BS36" s="140">
        <f>BS34*BS48</f>
        <v>107.602902</v>
      </c>
      <c r="BT36" s="76">
        <f>BT34*BT48</f>
        <v>114.809076</v>
      </c>
      <c r="BU36" s="76">
        <f>BU34*BU48</f>
        <v>115.91000000000001</v>
      </c>
      <c r="BV36" s="141">
        <f>BV34*BV48</f>
        <v>112.74264000000001</v>
      </c>
      <c r="BW36" s="62">
        <f>SUM(BS36:BV36)</f>
        <v>451.064618</v>
      </c>
      <c r="BX36" s="140">
        <f>BX34*BX48</f>
        <v>117.64000000000001</v>
      </c>
      <c r="BY36" s="76">
        <f>BY34*BY48</f>
        <v>125.252</v>
      </c>
      <c r="BZ36" s="76">
        <f>BZ34*BZ48</f>
        <v>130.15199999999999</v>
      </c>
      <c r="CA36" s="141">
        <f>CA34*CA48</f>
        <v>127.58199999999999</v>
      </c>
      <c r="CB36" s="62">
        <f>SUM(BX36:CA36)</f>
        <v>500.62599999999998</v>
      </c>
      <c r="CC36" s="140">
        <f>CC34*CC48</f>
        <v>136.964</v>
      </c>
      <c r="CD36" s="76">
        <f>CD34*CD48</f>
        <v>138.43199999999999</v>
      </c>
      <c r="CE36" s="76">
        <f>CE34*CE48</f>
        <v>143.946</v>
      </c>
      <c r="CF36" s="76">
        <f>CF34*CF48</f>
        <v>142.78399999999999</v>
      </c>
      <c r="CG36" s="802">
        <f>SUM(CC36:CF36)</f>
        <v>562.12599999999998</v>
      </c>
      <c r="CH36" s="76">
        <f>CH34*CH48</f>
        <v>149.07599999999999</v>
      </c>
      <c r="CI36" s="76">
        <f>CI34*CI48</f>
        <v>153.13499999999999</v>
      </c>
      <c r="CJ36" s="76">
        <f>CJ34*CJ48</f>
        <v>157.29</v>
      </c>
      <c r="CK36" s="76">
        <f>CK34*CK48</f>
        <v>153.11600000000001</v>
      </c>
      <c r="CL36" s="802">
        <f>SUM(CH36:CK36)</f>
        <v>612.61699999999996</v>
      </c>
      <c r="CM36" s="76">
        <f>CM34*CM48</f>
        <v>156.416</v>
      </c>
      <c r="CN36" s="76">
        <f>CN34*CN48</f>
        <v>153.27199999999999</v>
      </c>
      <c r="CO36" s="76">
        <f>CO34*CO48</f>
        <v>151.87200000000001</v>
      </c>
      <c r="CP36" s="76">
        <f>CP34*CP48</f>
        <v>150.4</v>
      </c>
      <c r="CQ36" s="825">
        <f>SUM(CM36:CP36)</f>
        <v>611.96</v>
      </c>
      <c r="CR36" s="76">
        <f>CR34*CR48</f>
        <v>161.40300000000002</v>
      </c>
      <c r="CS36" s="76">
        <f>CS34*CS48</f>
        <v>169.51999999999998</v>
      </c>
      <c r="CT36" s="76">
        <f>CT34*CT48</f>
        <v>173.679</v>
      </c>
      <c r="CU36" s="829">
        <f>CU34*CU48</f>
        <v>168.69299999999998</v>
      </c>
      <c r="CV36" s="825">
        <f>SUM(CR36:CU36)</f>
        <v>673.29499999999996</v>
      </c>
      <c r="CW36" s="76">
        <f>CW34*CW48</f>
        <v>171.678</v>
      </c>
      <c r="CX36" s="829">
        <f>CX34*CX48</f>
        <v>177.62</v>
      </c>
      <c r="CY36" s="76">
        <f>CY34*CY48</f>
        <v>183.55599999999998</v>
      </c>
      <c r="CZ36" s="76">
        <f>CZ34*CZ48</f>
        <v>178.29028500000001</v>
      </c>
      <c r="DA36" s="802">
        <f>SUM(CW36:CZ36)</f>
        <v>711.14428500000008</v>
      </c>
      <c r="DB36" s="76">
        <f>DB34*DB48</f>
        <v>184.36963275584387</v>
      </c>
      <c r="DC36" s="76">
        <f>DC34*DC48</f>
        <v>187.44632726265965</v>
      </c>
      <c r="DD36" s="76">
        <f>DD34*DD48</f>
        <v>189.73422407740716</v>
      </c>
      <c r="DE36" s="76">
        <f>DE34*DE48</f>
        <v>186.97949309458849</v>
      </c>
      <c r="DF36" s="619">
        <f>SUM(DB36:DE36)</f>
        <v>748.52967719049923</v>
      </c>
      <c r="DG36" s="76">
        <f>DG34*DG48</f>
        <v>193.95513801628718</v>
      </c>
      <c r="DH36" s="76">
        <f>DH34*DH48</f>
        <v>196.21690328049743</v>
      </c>
      <c r="DI36" s="76">
        <f>DI34*DI48</f>
        <v>198.48866854470771</v>
      </c>
      <c r="DJ36" s="76">
        <f>DJ34*DJ48</f>
        <v>194.41693906812944</v>
      </c>
      <c r="DK36" s="807">
        <f>SUM(DG36:DJ36)</f>
        <v>783.07764890962176</v>
      </c>
      <c r="DL36" s="76">
        <f>DL34*DL48</f>
        <v>200.98091371128285</v>
      </c>
      <c r="DM36" s="76">
        <f>DM34*DM48</f>
        <v>209.29516503608363</v>
      </c>
      <c r="DN36" s="76">
        <f>DN34*DN48</f>
        <v>217.14438880100747</v>
      </c>
      <c r="DO36" s="76">
        <f>DO34*DO48</f>
        <v>213.51549246869931</v>
      </c>
      <c r="DP36" s="807">
        <f>SUM(DL36:DO36)</f>
        <v>840.93596001707328</v>
      </c>
      <c r="DQ36" s="76">
        <f>DQ34*DQ48</f>
        <v>221.73925093103207</v>
      </c>
      <c r="DR36" s="76">
        <f ca="1">DR34*DR48</f>
        <v>240.95557282128993</v>
      </c>
      <c r="DS36" s="76">
        <f ca="1">DS34*DS48</f>
        <v>248.25002424275132</v>
      </c>
      <c r="DT36" s="76">
        <f>DT34*DT48</f>
        <v>236.30271400735256</v>
      </c>
      <c r="DU36" s="807">
        <f ca="1">SUM(DQ36:DT36)</f>
        <v>947.24756200242587</v>
      </c>
      <c r="DV36" s="76">
        <f>DV34*DV48</f>
        <v>251.67984478584188</v>
      </c>
      <c r="DW36" s="76">
        <f ca="1">DW34*DW48</f>
        <v>251.36170464497829</v>
      </c>
      <c r="DX36" s="76">
        <f ca="1">DX34*DX48</f>
        <v>258.95995720171607</v>
      </c>
      <c r="DY36" s="76">
        <f>DY34*DY48</f>
        <v>246.5137423840807</v>
      </c>
      <c r="DZ36" s="807">
        <f ca="1">SUM(DV36:DY36)</f>
        <v>1008.515249016617</v>
      </c>
      <c r="EA36" s="76">
        <f>EA34*EA48</f>
        <v>262.05346858939862</v>
      </c>
      <c r="EB36" s="76">
        <f ca="1">EB34*EB48</f>
        <v>262.10545872413411</v>
      </c>
      <c r="EC36" s="76">
        <f ca="1">EC34*EC48</f>
        <v>270.44774581161465</v>
      </c>
      <c r="ED36" s="76">
        <f>ED34*ED48</f>
        <v>257.80726700123273</v>
      </c>
      <c r="EE36" s="807">
        <f ca="1">SUM(EA36:ED36)</f>
        <v>1052.4139401263801</v>
      </c>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row>
    <row r="37" spans="2:238" s="161" customFormat="1" ht="12.75" customHeight="1">
      <c r="B37" s="549" t="s">
        <v>162</v>
      </c>
      <c r="C37" s="62"/>
      <c r="D37" s="62"/>
      <c r="E37" s="62"/>
      <c r="F37" s="62"/>
      <c r="G37" s="62"/>
      <c r="H37" s="62"/>
      <c r="I37" s="62"/>
      <c r="J37" s="62"/>
      <c r="K37" s="140"/>
      <c r="L37" s="76"/>
      <c r="M37" s="76"/>
      <c r="N37" s="141"/>
      <c r="O37" s="62"/>
      <c r="P37" s="140"/>
      <c r="Q37" s="76"/>
      <c r="R37" s="76"/>
      <c r="S37" s="141"/>
      <c r="T37" s="62"/>
      <c r="U37" s="140"/>
      <c r="V37" s="76"/>
      <c r="W37" s="76"/>
      <c r="X37" s="141"/>
      <c r="Y37" s="62"/>
      <c r="Z37" s="140"/>
      <c r="AA37" s="76"/>
      <c r="AB37" s="76"/>
      <c r="AC37" s="141"/>
      <c r="AD37" s="62"/>
      <c r="AE37" s="140"/>
      <c r="AF37" s="76"/>
      <c r="AG37" s="76"/>
      <c r="AH37" s="141"/>
      <c r="AI37" s="62"/>
      <c r="AJ37" s="140"/>
      <c r="AK37" s="76"/>
      <c r="AL37" s="76"/>
      <c r="AM37" s="141"/>
      <c r="AN37" s="62"/>
      <c r="AO37" s="140"/>
      <c r="AP37" s="76"/>
      <c r="AQ37" s="76"/>
      <c r="AR37" s="141"/>
      <c r="AS37" s="62"/>
      <c r="AT37" s="140"/>
      <c r="AU37" s="76"/>
      <c r="AV37" s="76"/>
      <c r="AW37" s="141"/>
      <c r="AX37" s="62"/>
      <c r="AY37" s="140"/>
      <c r="AZ37" s="76"/>
      <c r="BA37" s="76"/>
      <c r="BB37" s="141"/>
      <c r="BC37" s="62"/>
      <c r="BD37" s="140"/>
      <c r="BE37" s="76"/>
      <c r="BF37" s="76"/>
      <c r="BG37" s="141"/>
      <c r="BH37" s="62"/>
      <c r="BI37" s="140"/>
      <c r="BJ37" s="76"/>
      <c r="BK37" s="76"/>
      <c r="BL37" s="141"/>
      <c r="BM37" s="62"/>
      <c r="BN37" s="140"/>
      <c r="BO37" s="76"/>
      <c r="BP37" s="76"/>
      <c r="BQ37" s="141"/>
      <c r="BR37" s="62"/>
      <c r="BS37" s="140">
        <f>BS34-BS36</f>
        <v>58.195098000000002</v>
      </c>
      <c r="BT37" s="76">
        <f>BT34-BT36</f>
        <v>57.576923999999991</v>
      </c>
      <c r="BU37" s="76">
        <f>BU34-BU36</f>
        <v>57.089999999999989</v>
      </c>
      <c r="BV37" s="141">
        <f>BV34-BV36</f>
        <v>53.055359999999993</v>
      </c>
      <c r="BW37" s="62">
        <f>SUM(BS37:BV37)</f>
        <v>225.91738199999998</v>
      </c>
      <c r="BX37" s="140">
        <f>BX34-BX36</f>
        <v>55.359999999999985</v>
      </c>
      <c r="BY37" s="76">
        <f>BY34-BY36</f>
        <v>55.748000000000005</v>
      </c>
      <c r="BZ37" s="76">
        <f>BZ34-BZ36</f>
        <v>56.848000000000013</v>
      </c>
      <c r="CA37" s="141">
        <f>CA34-CA36</f>
        <v>54.418000000000006</v>
      </c>
      <c r="CB37" s="62">
        <f>SUM(BX37:CA37)</f>
        <v>222.37400000000002</v>
      </c>
      <c r="CC37" s="140">
        <f>CC34-CC36</f>
        <v>57.036000000000001</v>
      </c>
      <c r="CD37" s="76">
        <f>CD34-CD36</f>
        <v>53.568000000000012</v>
      </c>
      <c r="CE37" s="76">
        <f>CE34-CE36</f>
        <v>54.054000000000002</v>
      </c>
      <c r="CF37" s="76">
        <f>CF34-CF36</f>
        <v>51.216000000000008</v>
      </c>
      <c r="CG37" s="802">
        <f>SUM(CC37:CF37)</f>
        <v>215.87400000000002</v>
      </c>
      <c r="CH37" s="76">
        <f>CH34-CH36</f>
        <v>52.924000000000007</v>
      </c>
      <c r="CI37" s="76">
        <f>CI34-CI36</f>
        <v>51.865000000000009</v>
      </c>
      <c r="CJ37" s="76">
        <f>CJ34-CJ36</f>
        <v>52.710000000000008</v>
      </c>
      <c r="CK37" s="76">
        <f>CK34-CK36</f>
        <v>48.883999999999986</v>
      </c>
      <c r="CL37" s="802">
        <f>SUM(CH37:CK37)</f>
        <v>206.38300000000001</v>
      </c>
      <c r="CM37" s="76">
        <f>CM34-CM36</f>
        <v>51.584000000000003</v>
      </c>
      <c r="CN37" s="76">
        <f>CN34-CN36</f>
        <v>42.728000000000009</v>
      </c>
      <c r="CO37" s="76">
        <f>CO34-CO36</f>
        <v>40.127999999999986</v>
      </c>
      <c r="CP37" s="76">
        <f>CP34-CP36</f>
        <v>37.599999999999994</v>
      </c>
      <c r="CQ37" s="825">
        <f>SUM(CM37:CP37)</f>
        <v>172.04</v>
      </c>
      <c r="CR37" s="76">
        <f>CR34-CR36</f>
        <v>39.59699999999998</v>
      </c>
      <c r="CS37" s="76">
        <f>CS34-CS36</f>
        <v>38.480000000000018</v>
      </c>
      <c r="CT37" s="76">
        <f>CT34-CT36</f>
        <v>35.320999999999998</v>
      </c>
      <c r="CU37" s="829">
        <f>CU34-CU36</f>
        <v>34.307000000000016</v>
      </c>
      <c r="CV37" s="825">
        <f>SUM(CR37:CU37)</f>
        <v>147.70500000000001</v>
      </c>
      <c r="CW37" s="76">
        <f>CW34-CW36</f>
        <v>41.322000000000003</v>
      </c>
      <c r="CX37" s="76">
        <f>CX34-CX36</f>
        <v>36.379999999999995</v>
      </c>
      <c r="CY37" s="76">
        <f>CY34-CY36</f>
        <v>34.444000000000017</v>
      </c>
      <c r="CZ37" s="76">
        <f>CZ34-CZ36</f>
        <v>33.204714999999993</v>
      </c>
      <c r="DA37" s="802">
        <f>SUM(CW37:CZ37)</f>
        <v>145.35071500000001</v>
      </c>
      <c r="DB37" s="76">
        <f>DB34-DB36</f>
        <v>37.789367244156125</v>
      </c>
      <c r="DC37" s="76">
        <f>DC34-DC36</f>
        <v>36.553672737340349</v>
      </c>
      <c r="DD37" s="76">
        <f>DD34-DD36</f>
        <v>36.265775922592837</v>
      </c>
      <c r="DE37" s="76">
        <f>DE34-DE36</f>
        <v>35.020506905411509</v>
      </c>
      <c r="DF37" s="619">
        <f>SUM(DB37:DE37)</f>
        <v>145.62932280950082</v>
      </c>
      <c r="DG37" s="76">
        <f>DG34-DG36</f>
        <v>37.044861983712821</v>
      </c>
      <c r="DH37" s="76">
        <f>DH34-DH36</f>
        <v>36.783096719502566</v>
      </c>
      <c r="DI37" s="76">
        <f>DI34-DI36</f>
        <v>36.511331455292293</v>
      </c>
      <c r="DJ37" s="76">
        <f>DJ34-DJ36</f>
        <v>35.083060931870563</v>
      </c>
      <c r="DK37" s="807">
        <f>SUM(DG37:DJ37)</f>
        <v>145.42235109037824</v>
      </c>
      <c r="DL37" s="76">
        <f>DL34-DL36</f>
        <v>36.619086288717142</v>
      </c>
      <c r="DM37" s="76">
        <f>DM34-DM36</f>
        <v>37.404834963916358</v>
      </c>
      <c r="DN37" s="76">
        <f>DN34-DN36</f>
        <v>38.055611198992523</v>
      </c>
      <c r="DO37" s="76">
        <f>DO34-DO36</f>
        <v>36.684507531300682</v>
      </c>
      <c r="DP37" s="807">
        <f>SUM(DL37:DO37)</f>
        <v>148.7640399829267</v>
      </c>
      <c r="DQ37" s="76">
        <f>DQ34-DQ36</f>
        <v>38.460749068967914</v>
      </c>
      <c r="DR37" s="76">
        <f ca="1">DR34-DR36</f>
        <v>40.966772006297219</v>
      </c>
      <c r="DS37" s="76">
        <f ca="1">DS34-DS36</f>
        <v>41.359837826215283</v>
      </c>
      <c r="DT37" s="76">
        <f>DT34-DT36</f>
        <v>38.567685992647398</v>
      </c>
      <c r="DU37" s="807">
        <f ca="1">SUM(DQ37:DT37)</f>
        <v>159.35504489412781</v>
      </c>
      <c r="DV37" s="76">
        <f>DV34-DV36</f>
        <v>40.228555214158092</v>
      </c>
      <c r="DW37" s="76">
        <f ca="1">DW34-DW36</f>
        <v>39.334799906746838</v>
      </c>
      <c r="DX37" s="76">
        <f ca="1">DX34-DX36</f>
        <v>39.66045003966434</v>
      </c>
      <c r="DY37" s="76">
        <f>DY34-DY36</f>
        <v>36.93712161591921</v>
      </c>
      <c r="DZ37" s="807">
        <f ca="1">SUM(DV37:DY37)</f>
        <v>156.16092677648848</v>
      </c>
      <c r="EA37" s="76">
        <f>EA34-EA36</f>
        <v>38.401875410601349</v>
      </c>
      <c r="EB37" s="76">
        <f ca="1">EB34-EB36</f>
        <v>37.550573486901385</v>
      </c>
      <c r="EC37" s="76">
        <f ca="1">EC34-EC36</f>
        <v>37.864525683214083</v>
      </c>
      <c r="ED37" s="76">
        <f>ED34-ED36</f>
        <v>35.259527238767191</v>
      </c>
      <c r="EE37" s="807">
        <f ca="1">SUM(EA37:ED37)</f>
        <v>149.07650181948401</v>
      </c>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row>
    <row r="38" spans="2:238" s="150" customFormat="1" ht="12.75" customHeight="1">
      <c r="B38" s="547"/>
      <c r="C38" s="130"/>
      <c r="D38" s="130"/>
      <c r="E38" s="131"/>
      <c r="F38" s="131"/>
      <c r="G38" s="131"/>
      <c r="H38" s="131"/>
      <c r="I38" s="131"/>
      <c r="J38" s="131"/>
      <c r="K38" s="126"/>
      <c r="L38" s="127"/>
      <c r="M38" s="127"/>
      <c r="N38" s="132"/>
      <c r="O38" s="131"/>
      <c r="P38" s="126"/>
      <c r="Q38" s="127"/>
      <c r="R38" s="127"/>
      <c r="S38" s="132"/>
      <c r="T38" s="131"/>
      <c r="U38" s="126"/>
      <c r="V38" s="127"/>
      <c r="W38" s="127"/>
      <c r="X38" s="132"/>
      <c r="Y38" s="131"/>
      <c r="Z38" s="126"/>
      <c r="AA38" s="127"/>
      <c r="AB38" s="127"/>
      <c r="AC38" s="132"/>
      <c r="AD38" s="131"/>
      <c r="AE38" s="126"/>
      <c r="AF38" s="127"/>
      <c r="AG38" s="127"/>
      <c r="AH38" s="132"/>
      <c r="AI38" s="131"/>
      <c r="AJ38" s="126"/>
      <c r="AK38" s="127"/>
      <c r="AL38" s="127"/>
      <c r="AM38" s="132"/>
      <c r="AN38" s="131"/>
      <c r="AO38" s="126"/>
      <c r="AP38" s="127"/>
      <c r="AQ38" s="127"/>
      <c r="AR38" s="132"/>
      <c r="AS38" s="131"/>
      <c r="AT38" s="126"/>
      <c r="AU38" s="127"/>
      <c r="AV38" s="127"/>
      <c r="AW38" s="132"/>
      <c r="AX38" s="131"/>
      <c r="AY38" s="126"/>
      <c r="AZ38" s="127"/>
      <c r="BA38" s="127"/>
      <c r="BB38" s="132"/>
      <c r="BC38" s="131"/>
      <c r="BD38" s="126"/>
      <c r="BE38" s="127"/>
      <c r="BF38" s="127"/>
      <c r="BG38" s="132"/>
      <c r="BH38" s="131"/>
      <c r="BI38" s="126"/>
      <c r="BJ38" s="127"/>
      <c r="BK38" s="127"/>
      <c r="BL38" s="132"/>
      <c r="BM38" s="131"/>
      <c r="BN38" s="126"/>
      <c r="BO38" s="127"/>
      <c r="BP38" s="127"/>
      <c r="BQ38" s="132"/>
      <c r="BR38" s="131"/>
      <c r="BS38" s="126"/>
      <c r="BT38" s="127"/>
      <c r="BU38" s="127"/>
      <c r="BV38" s="132"/>
      <c r="BW38" s="131"/>
      <c r="BX38" s="126"/>
      <c r="BY38" s="127"/>
      <c r="BZ38" s="127"/>
      <c r="CA38" s="132"/>
      <c r="CB38" s="131"/>
      <c r="CC38" s="126"/>
      <c r="CD38" s="127"/>
      <c r="CE38" s="127"/>
      <c r="CF38" s="127"/>
      <c r="CG38" s="613"/>
      <c r="CH38" s="127"/>
      <c r="CI38" s="127"/>
      <c r="CJ38" s="127"/>
      <c r="CK38" s="129"/>
      <c r="CL38" s="613"/>
      <c r="CM38" s="129"/>
      <c r="CN38" s="129"/>
      <c r="CO38" s="129"/>
      <c r="CP38" s="129"/>
      <c r="CQ38" s="831"/>
      <c r="CR38" s="129"/>
      <c r="CS38" s="129"/>
      <c r="CT38" s="129"/>
      <c r="CU38" s="129"/>
      <c r="CV38" s="831"/>
      <c r="CW38" s="129"/>
      <c r="CX38" s="129"/>
      <c r="CY38" s="129"/>
      <c r="CZ38" s="129"/>
      <c r="DA38" s="839"/>
      <c r="DB38" s="129"/>
      <c r="DC38" s="129"/>
      <c r="DD38" s="129"/>
      <c r="DE38" s="129"/>
      <c r="DF38" s="839"/>
      <c r="DG38" s="129"/>
      <c r="DH38" s="129"/>
      <c r="DI38" s="129"/>
      <c r="DJ38" s="129"/>
      <c r="DK38" s="1371"/>
      <c r="DL38" s="129"/>
      <c r="DM38" s="129"/>
      <c r="DN38" s="129"/>
      <c r="DO38" s="129"/>
      <c r="DP38" s="1371"/>
      <c r="DQ38" s="129"/>
      <c r="DR38" s="129"/>
      <c r="DS38" s="129"/>
      <c r="DT38" s="129"/>
      <c r="DU38" s="1371"/>
      <c r="DV38" s="129"/>
      <c r="DW38" s="129"/>
      <c r="DX38" s="129"/>
      <c r="DY38" s="129"/>
      <c r="DZ38" s="1371"/>
      <c r="EA38" s="129"/>
      <c r="EB38" s="129"/>
      <c r="EC38" s="129"/>
      <c r="ED38" s="129"/>
      <c r="EE38" s="1371"/>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row>
    <row r="39" spans="2:238" s="161" customFormat="1" ht="12.75" customHeight="1" outlineLevel="1">
      <c r="B39" s="549" t="s">
        <v>102</v>
      </c>
      <c r="C39" s="62"/>
      <c r="D39" s="62"/>
      <c r="E39" s="62"/>
      <c r="F39" s="62"/>
      <c r="G39" s="62"/>
      <c r="H39" s="62"/>
      <c r="I39" s="62"/>
      <c r="J39" s="62"/>
      <c r="K39" s="171"/>
      <c r="L39" s="62"/>
      <c r="M39" s="62"/>
      <c r="N39" s="142"/>
      <c r="O39" s="62"/>
      <c r="P39" s="171"/>
      <c r="Q39" s="62"/>
      <c r="R39" s="62"/>
      <c r="S39" s="142"/>
      <c r="T39" s="62"/>
      <c r="U39" s="171"/>
      <c r="V39" s="62"/>
      <c r="W39" s="62"/>
      <c r="X39" s="142"/>
      <c r="Y39" s="62"/>
      <c r="Z39" s="171"/>
      <c r="AA39" s="62"/>
      <c r="AB39" s="62"/>
      <c r="AC39" s="142"/>
      <c r="AD39" s="62"/>
      <c r="AE39" s="171"/>
      <c r="AF39" s="62"/>
      <c r="AG39" s="62"/>
      <c r="AH39" s="142"/>
      <c r="AI39" s="62"/>
      <c r="AJ39" s="171"/>
      <c r="AK39" s="62"/>
      <c r="AL39" s="62"/>
      <c r="AM39" s="142"/>
      <c r="AN39" s="62"/>
      <c r="AO39" s="171"/>
      <c r="AP39" s="62"/>
      <c r="AQ39" s="62"/>
      <c r="AR39" s="142"/>
      <c r="AS39" s="62"/>
      <c r="AT39" s="171"/>
      <c r="AU39" s="62"/>
      <c r="AV39" s="62"/>
      <c r="AW39" s="142"/>
      <c r="AX39" s="62"/>
      <c r="AY39" s="171"/>
      <c r="AZ39" s="62"/>
      <c r="BA39" s="62"/>
      <c r="BB39" s="142"/>
      <c r="BC39" s="62"/>
      <c r="BD39" s="171"/>
      <c r="BE39" s="62"/>
      <c r="BF39" s="62"/>
      <c r="BG39" s="142"/>
      <c r="BH39" s="62"/>
      <c r="BI39" s="171"/>
      <c r="BJ39" s="62"/>
      <c r="BK39" s="62"/>
      <c r="BL39" s="142"/>
      <c r="BM39" s="62"/>
      <c r="BN39" s="171"/>
      <c r="BO39" s="62"/>
      <c r="BP39" s="62"/>
      <c r="BQ39" s="142"/>
      <c r="BR39" s="62">
        <f>(BR34-BR32)/2*3/3</f>
        <v>26.300000000000011</v>
      </c>
      <c r="BS39" s="171">
        <f>BS40*BS32</f>
        <v>7.399</v>
      </c>
      <c r="BT39" s="62">
        <f>BT40*BT32</f>
        <v>7.6930000000000005</v>
      </c>
      <c r="BU39" s="62">
        <f>BU40*BU32</f>
        <v>7.742</v>
      </c>
      <c r="BV39" s="142">
        <f>BV40*BV32</f>
        <v>7.399</v>
      </c>
      <c r="BW39" s="62">
        <f>(BW34-BW32)/2*3/3</f>
        <v>29.990999999999985</v>
      </c>
      <c r="BX39" s="171">
        <f>BX40*BX32</f>
        <v>8.58</v>
      </c>
      <c r="BY39" s="62">
        <f>BY40*BY32</f>
        <v>9.02</v>
      </c>
      <c r="BZ39" s="62">
        <f>BZ40*BZ32</f>
        <v>9.24</v>
      </c>
      <c r="CA39" s="142">
        <f>CA40*CA32</f>
        <v>8.9649999999999999</v>
      </c>
      <c r="CB39" s="62">
        <f>(CB34-CB32)/2*3/3</f>
        <v>36</v>
      </c>
      <c r="CC39" s="171">
        <f>CC40*CC32</f>
        <v>10.389928057553957</v>
      </c>
      <c r="CD39" s="62">
        <f>CD40*CD32</f>
        <v>10.270503597122303</v>
      </c>
      <c r="CE39" s="62">
        <f>CE40*CE32</f>
        <v>10.569064748201439</v>
      </c>
      <c r="CF39" s="62">
        <f>CF40*CF32</f>
        <v>10.348329048843189</v>
      </c>
      <c r="CG39" s="802">
        <f>(CG34-CG32)/2*3/3</f>
        <v>43.5</v>
      </c>
      <c r="CH39" s="62">
        <f>CH40*CH32</f>
        <v>12.455433455433456</v>
      </c>
      <c r="CI39" s="62">
        <f>CI40*CI32</f>
        <v>12.640415140415142</v>
      </c>
      <c r="CJ39" s="62">
        <f>CJ40*CJ32</f>
        <v>12.948717948717949</v>
      </c>
      <c r="CK39" s="76">
        <f>CK40*CK32</f>
        <v>12.455433455433456</v>
      </c>
      <c r="CL39" s="802">
        <f>SUM(CH39:CK39)</f>
        <v>50.500000000000007</v>
      </c>
      <c r="CM39" s="62">
        <f>(CM34-CM32)/2*3/3</f>
        <v>15.864406779661024</v>
      </c>
      <c r="CN39" s="62">
        <f>(CN34-CN32)/2*3/3</f>
        <v>14.949152542372886</v>
      </c>
      <c r="CO39" s="62">
        <f>(CO34-CO32)/2*3/3</f>
        <v>14.644067796610187</v>
      </c>
      <c r="CP39" s="62">
        <f>(CP34-CP32)/2*3/3</f>
        <v>14.338983050847474</v>
      </c>
      <c r="CQ39" s="825">
        <f>SUM(CM39:CP39)</f>
        <v>59.796610169491572</v>
      </c>
      <c r="CR39" s="62">
        <f>(CR34-CR32)/2*3/3</f>
        <v>16.750000000000014</v>
      </c>
      <c r="CS39" s="62">
        <f>(CS34-CS32)/2*3/3</f>
        <v>17.333333333333343</v>
      </c>
      <c r="CT39" s="62">
        <f>(CT34-CT32)/2*3/3</f>
        <v>17.416666666666686</v>
      </c>
      <c r="CU39" s="62">
        <f>(CU34-CU32)/2*3/3</f>
        <v>16.916666666666686</v>
      </c>
      <c r="CV39" s="825">
        <f>SUM(CR39:CU39)</f>
        <v>68.416666666666728</v>
      </c>
      <c r="CW39" s="62">
        <f>(CW34-CW32)/2*3/3</f>
        <v>18.483471074380162</v>
      </c>
      <c r="CX39" s="62">
        <f>(CX34-CX32)/2*3/3</f>
        <v>18.570247933884289</v>
      </c>
      <c r="CY39" s="62">
        <f>(CY34-CY32)/2*3/3</f>
        <v>18.917355371900825</v>
      </c>
      <c r="CZ39" s="62">
        <f>(CZ34-CZ32)/2*3/3</f>
        <v>18.352871900826443</v>
      </c>
      <c r="DA39" s="802">
        <f>SUM(CW39:CZ39)</f>
        <v>74.32394628099172</v>
      </c>
      <c r="DB39" s="62">
        <f>(DB34-DB32)/2*3/3</f>
        <v>20.030729508196714</v>
      </c>
      <c r="DC39" s="62">
        <f>(DC34-DC32)/2*3/3</f>
        <v>20.196721311475414</v>
      </c>
      <c r="DD39" s="62">
        <f>(DD34-DD32)/2*3/3</f>
        <v>20.377049180327873</v>
      </c>
      <c r="DE39" s="62">
        <f>(DE34-DE32)/2*3/3</f>
        <v>20.016393442622942</v>
      </c>
      <c r="DF39" s="619">
        <f>SUM(DB39:DE39)</f>
        <v>80.620893442622943</v>
      </c>
      <c r="DG39" s="62">
        <f>(DG34-DG32)/2*3/3</f>
        <v>20.827868852459019</v>
      </c>
      <c r="DH39" s="62">
        <f>(DH34-DH32)/2*3/3</f>
        <v>21.008196721311478</v>
      </c>
      <c r="DI39" s="62">
        <f>(DI34-DI32)/2*3/3</f>
        <v>21.188524590163937</v>
      </c>
      <c r="DJ39" s="62">
        <f>(DJ34-DJ32)/2*3/3</f>
        <v>20.692622950819668</v>
      </c>
      <c r="DK39" s="802">
        <f>SUM(DG39:DJ39)</f>
        <v>83.717213114754102</v>
      </c>
      <c r="DL39" s="62">
        <f>(DL34-DL32)/2*3/3</f>
        <v>21.422950819672124</v>
      </c>
      <c r="DM39" s="62">
        <f>(DM34-DM32)/2*3/3</f>
        <v>22.243442622950823</v>
      </c>
      <c r="DN39" s="62">
        <f>(DN34-DN32)/2*3/3</f>
        <v>23.009836065573765</v>
      </c>
      <c r="DO39" s="62">
        <f>(DO34-DO32)/2*3/3</f>
        <v>22.559016393442619</v>
      </c>
      <c r="DP39" s="802">
        <f>SUM(DL39:DO39)</f>
        <v>89.235245901639331</v>
      </c>
      <c r="DQ39" s="62">
        <f>(DQ34-DQ32)/2*3/3</f>
        <v>23.460655737704911</v>
      </c>
      <c r="DR39" s="62">
        <f ca="1">(DR34-DR32)/2*3/3</f>
        <v>25.419227812323427</v>
      </c>
      <c r="DS39" s="62">
        <f ca="1">(DS34-DS32)/2*3/3</f>
        <v>26.112364612775679</v>
      </c>
      <c r="DT39" s="62">
        <f>(DT34-DT32)/2*3/3</f>
        <v>24.783396721311476</v>
      </c>
      <c r="DU39" s="802">
        <f ca="1">SUM(DQ39:DT39)</f>
        <v>99.775644884115493</v>
      </c>
      <c r="DV39" s="62">
        <f ca="1">(DV34-DV32)/2*3/3</f>
        <v>26.319609836065567</v>
      </c>
      <c r="DW39" s="62">
        <f ca="1">(DW34-DW32)/2*3/3</f>
        <v>26.210340574335873</v>
      </c>
      <c r="DX39" s="62">
        <f ca="1">(DX34-DX32)/2*3/3</f>
        <v>26.924790816845771</v>
      </c>
      <c r="DY39" s="62">
        <f ca="1">(DY34-DY32)/2*3/3</f>
        <v>25.557045114754089</v>
      </c>
      <c r="DZ39" s="802">
        <f ca="1">SUM(DV39:DY39)</f>
        <v>105.0117863420013</v>
      </c>
      <c r="EA39" s="62">
        <f ca="1">(EA34-EA32)/2*3/3</f>
        <v>27.090235934426218</v>
      </c>
      <c r="EB39" s="62">
        <f ca="1">(EB34-EB32)/2*3/3</f>
        <v>27.018166838699912</v>
      </c>
      <c r="EC39" s="62">
        <f ca="1">(EC34-EC32)/2*3/3</f>
        <v>27.798647429861603</v>
      </c>
      <c r="ED39" s="62">
        <f ca="1">(ED34-ED32)/2*3/3</f>
        <v>26.42405521836065</v>
      </c>
      <c r="EE39" s="802">
        <f ca="1">SUM(EA39:ED39)</f>
        <v>108.33110542134838</v>
      </c>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row>
    <row r="40" spans="2:238" s="150" customFormat="1" ht="12.75" customHeight="1" outlineLevel="1">
      <c r="B40" s="547" t="s">
        <v>160</v>
      </c>
      <c r="C40" s="130"/>
      <c r="D40" s="130"/>
      <c r="E40" s="130"/>
      <c r="F40" s="130"/>
      <c r="G40" s="130"/>
      <c r="H40" s="130"/>
      <c r="I40" s="130"/>
      <c r="J40" s="130"/>
      <c r="K40" s="173"/>
      <c r="L40" s="130"/>
      <c r="M40" s="130"/>
      <c r="N40" s="174"/>
      <c r="O40" s="130"/>
      <c r="P40" s="173"/>
      <c r="Q40" s="130"/>
      <c r="R40" s="130"/>
      <c r="S40" s="174"/>
      <c r="T40" s="130"/>
      <c r="U40" s="173"/>
      <c r="V40" s="130"/>
      <c r="W40" s="130"/>
      <c r="X40" s="174"/>
      <c r="Y40" s="130"/>
      <c r="Z40" s="173"/>
      <c r="AA40" s="130"/>
      <c r="AB40" s="130"/>
      <c r="AC40" s="174"/>
      <c r="AD40" s="130"/>
      <c r="AE40" s="173"/>
      <c r="AF40" s="130"/>
      <c r="AG40" s="130"/>
      <c r="AH40" s="174"/>
      <c r="AI40" s="130"/>
      <c r="AJ40" s="173"/>
      <c r="AK40" s="130"/>
      <c r="AL40" s="130"/>
      <c r="AM40" s="174"/>
      <c r="AN40" s="130"/>
      <c r="AO40" s="173"/>
      <c r="AP40" s="130"/>
      <c r="AQ40" s="130"/>
      <c r="AR40" s="174"/>
      <c r="AS40" s="130"/>
      <c r="AT40" s="173"/>
      <c r="AU40" s="130"/>
      <c r="AV40" s="130"/>
      <c r="AW40" s="174"/>
      <c r="AX40" s="130"/>
      <c r="AY40" s="173"/>
      <c r="AZ40" s="130"/>
      <c r="BA40" s="130"/>
      <c r="BB40" s="174"/>
      <c r="BC40" s="130"/>
      <c r="BD40" s="173"/>
      <c r="BE40" s="130"/>
      <c r="BF40" s="130"/>
      <c r="BG40" s="174"/>
      <c r="BH40" s="130"/>
      <c r="BI40" s="173"/>
      <c r="BJ40" s="130"/>
      <c r="BK40" s="130"/>
      <c r="BL40" s="174"/>
      <c r="BM40" s="130"/>
      <c r="BN40" s="173"/>
      <c r="BO40" s="130"/>
      <c r="BP40" s="130"/>
      <c r="BQ40" s="174"/>
      <c r="BR40" s="130">
        <f>BR39/BR32</f>
        <v>4.5080562221460424E-2</v>
      </c>
      <c r="BS40" s="175">
        <v>4.9000000000000002E-2</v>
      </c>
      <c r="BT40" s="176">
        <v>4.9000000000000002E-2</v>
      </c>
      <c r="BU40" s="176">
        <v>4.9000000000000002E-2</v>
      </c>
      <c r="BV40" s="177">
        <v>4.9000000000000002E-2</v>
      </c>
      <c r="BW40" s="130">
        <f>BW39/BW32</f>
        <v>4.8607779578606132E-2</v>
      </c>
      <c r="BX40" s="175">
        <v>5.5E-2</v>
      </c>
      <c r="BY40" s="176">
        <v>5.5E-2</v>
      </c>
      <c r="BZ40" s="176">
        <v>5.5E-2</v>
      </c>
      <c r="CA40" s="177">
        <v>5.5E-2</v>
      </c>
      <c r="CB40" s="130">
        <f>CB39/CB32</f>
        <v>5.5299539170506916E-2</v>
      </c>
      <c r="CC40" s="175">
        <v>5.971223021582734E-2</v>
      </c>
      <c r="CD40" s="176">
        <v>5.971223021582734E-2</v>
      </c>
      <c r="CE40" s="176">
        <v>5.971223021582734E-2</v>
      </c>
      <c r="CF40" s="176">
        <v>5.971223021582734E-2</v>
      </c>
      <c r="CG40" s="806">
        <f>CG39/CG32</f>
        <v>6.2952243125904486E-2</v>
      </c>
      <c r="CH40" s="176">
        <v>7.0334261838440118E-2</v>
      </c>
      <c r="CI40" s="176">
        <v>7.0334261838440118E-2</v>
      </c>
      <c r="CJ40" s="176">
        <v>7.0334261838440118E-2</v>
      </c>
      <c r="CK40" s="489">
        <v>7.0334261838440118E-2</v>
      </c>
      <c r="CL40" s="806">
        <f>CL39/CL32</f>
        <v>7.0334261838440132E-2</v>
      </c>
      <c r="CM40" s="176">
        <v>0.09</v>
      </c>
      <c r="CN40" s="176">
        <f>CM40</f>
        <v>0.09</v>
      </c>
      <c r="CO40" s="176">
        <f>CN40</f>
        <v>0.09</v>
      </c>
      <c r="CP40" s="176">
        <f>CO40</f>
        <v>0.09</v>
      </c>
      <c r="CQ40" s="806">
        <f>CQ39/CQ32</f>
        <v>9.0000000000000094E-2</v>
      </c>
      <c r="CR40" s="176">
        <v>0.1</v>
      </c>
      <c r="CS40" s="176">
        <f>CR40</f>
        <v>0.1</v>
      </c>
      <c r="CT40" s="176">
        <f>CS40</f>
        <v>0.1</v>
      </c>
      <c r="CU40" s="176">
        <f>CT40</f>
        <v>0.1</v>
      </c>
      <c r="CV40" s="806">
        <f>CV39/CV32</f>
        <v>0.10000000000000012</v>
      </c>
      <c r="CW40" s="176">
        <v>0.105</v>
      </c>
      <c r="CX40" s="176">
        <f>CW40</f>
        <v>0.105</v>
      </c>
      <c r="CY40" s="176">
        <f>CX40</f>
        <v>0.105</v>
      </c>
      <c r="CZ40" s="176">
        <f>CY40</f>
        <v>0.105</v>
      </c>
      <c r="DA40" s="806">
        <f>DA39/DA32</f>
        <v>0.10499999999999997</v>
      </c>
      <c r="DB40" s="176">
        <v>0.11</v>
      </c>
      <c r="DC40" s="176">
        <f>DB40</f>
        <v>0.11</v>
      </c>
      <c r="DD40" s="176">
        <f>DC40</f>
        <v>0.11</v>
      </c>
      <c r="DE40" s="176">
        <f>DD40</f>
        <v>0.11</v>
      </c>
      <c r="DF40" s="841">
        <f>DF39/DF32</f>
        <v>0.10999999999999997</v>
      </c>
      <c r="DG40" s="176">
        <f>DF40</f>
        <v>0.10999999999999997</v>
      </c>
      <c r="DH40" s="176">
        <f>DG40</f>
        <v>0.10999999999999997</v>
      </c>
      <c r="DI40" s="176">
        <f>DH40</f>
        <v>0.10999999999999997</v>
      </c>
      <c r="DJ40" s="176">
        <f>DI40</f>
        <v>0.10999999999999997</v>
      </c>
      <c r="DK40" s="1372">
        <f>DK39/DK32</f>
        <v>0.11</v>
      </c>
      <c r="DL40" s="176">
        <f>DK40</f>
        <v>0.11</v>
      </c>
      <c r="DM40" s="176">
        <f>DL40</f>
        <v>0.11</v>
      </c>
      <c r="DN40" s="176">
        <f>DM40</f>
        <v>0.11</v>
      </c>
      <c r="DO40" s="176">
        <f>DN40</f>
        <v>0.11</v>
      </c>
      <c r="DP40" s="1372">
        <f>DP39/DP32</f>
        <v>0.10999999999999999</v>
      </c>
      <c r="DQ40" s="1583">
        <f>DP40</f>
        <v>0.10999999999999999</v>
      </c>
      <c r="DR40" s="176">
        <f>DQ40</f>
        <v>0.10999999999999999</v>
      </c>
      <c r="DS40" s="176">
        <f>DR40</f>
        <v>0.10999999999999999</v>
      </c>
      <c r="DT40" s="176">
        <f>DS40</f>
        <v>0.10999999999999999</v>
      </c>
      <c r="DU40" s="1372">
        <f ca="1">DU39/DU32</f>
        <v>0.10999999999999999</v>
      </c>
      <c r="DV40" s="176">
        <f ca="1">DU40</f>
        <v>0.10999999999999999</v>
      </c>
      <c r="DW40" s="176">
        <f ca="1">DV40</f>
        <v>0.10999999999999999</v>
      </c>
      <c r="DX40" s="176">
        <f ca="1">DW40</f>
        <v>0.10999999999999999</v>
      </c>
      <c r="DY40" s="176">
        <f ca="1">DX40</f>
        <v>0.10999999999999999</v>
      </c>
      <c r="DZ40" s="1372">
        <f ca="1">DZ39/DZ32</f>
        <v>0.11</v>
      </c>
      <c r="EA40" s="176">
        <f ca="1">DZ40</f>
        <v>0.11</v>
      </c>
      <c r="EB40" s="176">
        <f ca="1">EA40</f>
        <v>0.11</v>
      </c>
      <c r="EC40" s="176">
        <f ca="1">EB40</f>
        <v>0.11</v>
      </c>
      <c r="ED40" s="176">
        <f ca="1">EC40</f>
        <v>0.11</v>
      </c>
      <c r="EE40" s="1372">
        <f ca="1">EE39/EE32</f>
        <v>0.10999999999999997</v>
      </c>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row>
    <row r="41" spans="2:238" s="150" customFormat="1" ht="12.75" customHeight="1" outlineLevel="1">
      <c r="B41" s="547"/>
      <c r="C41" s="130"/>
      <c r="D41" s="130"/>
      <c r="E41" s="131"/>
      <c r="F41" s="131"/>
      <c r="G41" s="131"/>
      <c r="H41" s="131"/>
      <c r="I41" s="131"/>
      <c r="J41" s="131"/>
      <c r="K41" s="126"/>
      <c r="L41" s="127"/>
      <c r="M41" s="127"/>
      <c r="N41" s="132"/>
      <c r="O41" s="131"/>
      <c r="P41" s="126"/>
      <c r="Q41" s="127"/>
      <c r="R41" s="127"/>
      <c r="S41" s="132"/>
      <c r="T41" s="131"/>
      <c r="U41" s="126"/>
      <c r="V41" s="127"/>
      <c r="W41" s="127"/>
      <c r="X41" s="132"/>
      <c r="Y41" s="131"/>
      <c r="Z41" s="126"/>
      <c r="AA41" s="127"/>
      <c r="AB41" s="127"/>
      <c r="AC41" s="132"/>
      <c r="AD41" s="131"/>
      <c r="AE41" s="126"/>
      <c r="AF41" s="127"/>
      <c r="AG41" s="127"/>
      <c r="AH41" s="132"/>
      <c r="AI41" s="131"/>
      <c r="AJ41" s="126"/>
      <c r="AK41" s="127"/>
      <c r="AL41" s="127"/>
      <c r="AM41" s="132"/>
      <c r="AN41" s="131"/>
      <c r="AO41" s="126"/>
      <c r="AP41" s="127"/>
      <c r="AQ41" s="127"/>
      <c r="AR41" s="132"/>
      <c r="AS41" s="131"/>
      <c r="AT41" s="126"/>
      <c r="AU41" s="127"/>
      <c r="AV41" s="127"/>
      <c r="AW41" s="132"/>
      <c r="AX41" s="131"/>
      <c r="AY41" s="126"/>
      <c r="AZ41" s="127"/>
      <c r="BA41" s="127"/>
      <c r="BB41" s="132"/>
      <c r="BC41" s="131"/>
      <c r="BD41" s="126"/>
      <c r="BE41" s="127"/>
      <c r="BF41" s="127"/>
      <c r="BG41" s="132"/>
      <c r="BH41" s="131"/>
      <c r="BI41" s="126"/>
      <c r="BJ41" s="127"/>
      <c r="BK41" s="127"/>
      <c r="BL41" s="132"/>
      <c r="BM41" s="131"/>
      <c r="BN41" s="126"/>
      <c r="BO41" s="127"/>
      <c r="BP41" s="127"/>
      <c r="BQ41" s="132"/>
      <c r="BR41" s="131"/>
      <c r="BS41" s="126"/>
      <c r="BT41" s="127"/>
      <c r="BU41" s="127"/>
      <c r="BV41" s="132"/>
      <c r="BW41" s="131"/>
      <c r="BX41" s="126"/>
      <c r="BY41" s="127"/>
      <c r="BZ41" s="127"/>
      <c r="CA41" s="132"/>
      <c r="CB41" s="131"/>
      <c r="CC41" s="126"/>
      <c r="CD41" s="127"/>
      <c r="CE41" s="127"/>
      <c r="CF41" s="127"/>
      <c r="CG41" s="613"/>
      <c r="CH41" s="127"/>
      <c r="CI41" s="127"/>
      <c r="CJ41" s="127"/>
      <c r="CK41" s="129"/>
      <c r="CL41" s="613"/>
      <c r="CM41" s="129"/>
      <c r="CN41" s="129"/>
      <c r="CO41" s="129"/>
      <c r="CP41" s="129"/>
      <c r="CQ41" s="831"/>
      <c r="CR41" s="129"/>
      <c r="CS41" s="129"/>
      <c r="CT41" s="129"/>
      <c r="CU41" s="129"/>
      <c r="CV41" s="831"/>
      <c r="CW41" s="129"/>
      <c r="CX41" s="129"/>
      <c r="CY41" s="129"/>
      <c r="CZ41" s="129"/>
      <c r="DA41" s="831"/>
      <c r="DB41" s="129"/>
      <c r="DC41" s="129"/>
      <c r="DD41" s="129"/>
      <c r="DE41" s="129"/>
      <c r="DF41" s="831"/>
      <c r="DG41" s="129"/>
      <c r="DH41" s="129"/>
      <c r="DI41" s="129"/>
      <c r="DJ41" s="129"/>
      <c r="DK41" s="1371"/>
      <c r="DL41" s="129"/>
      <c r="DM41" s="2208"/>
      <c r="DN41" s="2208"/>
      <c r="DO41" s="2208"/>
      <c r="DP41" s="1371"/>
      <c r="DQ41" s="2208"/>
      <c r="DR41" s="129"/>
      <c r="DS41" s="129"/>
      <c r="DT41" s="129"/>
      <c r="DU41" s="1371"/>
      <c r="DV41" s="129"/>
      <c r="DW41" s="129"/>
      <c r="DX41" s="129"/>
      <c r="DY41" s="129"/>
      <c r="DZ41" s="1371"/>
      <c r="EA41" s="129"/>
      <c r="EB41" s="129"/>
      <c r="EC41" s="129"/>
      <c r="ED41" s="129"/>
      <c r="EE41" s="137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row>
    <row r="42" spans="2:238" s="161" customFormat="1" ht="12.75" customHeight="1">
      <c r="B42" s="555" t="s">
        <v>163</v>
      </c>
      <c r="C42" s="62"/>
      <c r="D42" s="62"/>
      <c r="E42" s="62"/>
      <c r="F42" s="62"/>
      <c r="G42" s="62"/>
      <c r="H42" s="62"/>
      <c r="I42" s="62"/>
      <c r="J42" s="62"/>
      <c r="K42" s="140"/>
      <c r="L42" s="76"/>
      <c r="M42" s="76"/>
      <c r="N42" s="141"/>
      <c r="O42" s="62"/>
      <c r="P42" s="140"/>
      <c r="Q42" s="76"/>
      <c r="R42" s="76"/>
      <c r="S42" s="141"/>
      <c r="T42" s="62"/>
      <c r="U42" s="140"/>
      <c r="V42" s="76"/>
      <c r="W42" s="76"/>
      <c r="X42" s="141"/>
      <c r="Y42" s="62"/>
      <c r="Z42" s="140"/>
      <c r="AA42" s="76"/>
      <c r="AB42" s="76"/>
      <c r="AC42" s="141"/>
      <c r="AD42" s="62"/>
      <c r="AE42" s="140"/>
      <c r="AF42" s="76"/>
      <c r="AG42" s="76"/>
      <c r="AH42" s="141"/>
      <c r="AI42" s="62"/>
      <c r="AJ42" s="140"/>
      <c r="AK42" s="76"/>
      <c r="AL42" s="76"/>
      <c r="AM42" s="141"/>
      <c r="AN42" s="62"/>
      <c r="AO42" s="140"/>
      <c r="AP42" s="76"/>
      <c r="AQ42" s="76"/>
      <c r="AR42" s="141"/>
      <c r="AS42" s="62"/>
      <c r="AT42" s="140"/>
      <c r="AU42" s="76"/>
      <c r="AV42" s="76"/>
      <c r="AW42" s="141"/>
      <c r="AX42" s="62"/>
      <c r="AY42" s="140"/>
      <c r="AZ42" s="76"/>
      <c r="BA42" s="76"/>
      <c r="BB42" s="141"/>
      <c r="BC42" s="62"/>
      <c r="BD42" s="140"/>
      <c r="BE42" s="76"/>
      <c r="BF42" s="76"/>
      <c r="BG42" s="141"/>
      <c r="BH42" s="62"/>
      <c r="BI42" s="140"/>
      <c r="BJ42" s="76"/>
      <c r="BK42" s="76"/>
      <c r="BL42" s="141"/>
      <c r="BM42" s="62"/>
      <c r="BN42" s="140"/>
      <c r="BO42" s="76"/>
      <c r="BP42" s="76"/>
      <c r="BQ42" s="141"/>
      <c r="BR42" s="62"/>
      <c r="BS42" s="140"/>
      <c r="BT42" s="76"/>
      <c r="BU42" s="76"/>
      <c r="BV42" s="141"/>
      <c r="BW42" s="62"/>
      <c r="BX42" s="140">
        <f>BS34*(1+BX45)</f>
        <v>168.28496999999999</v>
      </c>
      <c r="BY42" s="76">
        <f>BT34*(1+BY45)</f>
        <v>179.62621200000001</v>
      </c>
      <c r="BZ42" s="76">
        <f>BU34*(1+BZ45)</f>
        <v>181.47699999999998</v>
      </c>
      <c r="CA42" s="141">
        <f>BV34*(1+CA45)</f>
        <v>175.580082</v>
      </c>
      <c r="CB42" s="62">
        <f>SUM(BX42:CA42)</f>
        <v>704.96826399999986</v>
      </c>
      <c r="CC42" s="140">
        <f>BX34*(1+CC45)</f>
        <v>188.91600000000003</v>
      </c>
      <c r="CD42" s="76">
        <f>BY34*(1+CD45)</f>
        <v>187.154</v>
      </c>
      <c r="CE42" s="76">
        <f>BZ34*(1+CE45)</f>
        <v>191.67499999999998</v>
      </c>
      <c r="CF42" s="76">
        <f>BY34*(1+CF45)</f>
        <v>186.97299999999998</v>
      </c>
      <c r="CG42" s="802">
        <f>SUM(CC42:CF42)</f>
        <v>754.71799999999996</v>
      </c>
      <c r="CH42" s="76">
        <f>CC34*(1+CH45)</f>
        <v>197.88</v>
      </c>
      <c r="CI42" s="76">
        <f>CD34*(1+CI45)</f>
        <v>200.64</v>
      </c>
      <c r="CJ42" s="76">
        <f>CE34*(1+CJ45)</f>
        <v>207.108</v>
      </c>
      <c r="CK42" s="76">
        <f>CF34*(1+CK45)</f>
        <v>200.596</v>
      </c>
      <c r="CL42" s="802">
        <f>SUM(CH42:CK42)</f>
        <v>806.22399999999993</v>
      </c>
      <c r="CM42" s="76">
        <f>CH34*(1+CM45)</f>
        <v>205.636</v>
      </c>
      <c r="CN42" s="76">
        <f>CI34*(1+CN45)</f>
        <v>194.95499999999998</v>
      </c>
      <c r="CO42" s="76">
        <f>CJ34*(1+CO45)</f>
        <v>190.89000000000001</v>
      </c>
      <c r="CP42" s="76">
        <f>CK34*(1+CP45)</f>
        <v>185.84</v>
      </c>
      <c r="CQ42" s="825">
        <f>SUM(CM42:CP42)</f>
        <v>777.32100000000003</v>
      </c>
      <c r="CR42" s="829">
        <f>CM34*(1+CR45)</f>
        <v>198.01599999999999</v>
      </c>
      <c r="CS42" s="76">
        <f>CN34*(1+CS45)</f>
        <v>204.428</v>
      </c>
      <c r="CT42" s="76">
        <f>CO34*(1+CT45)</f>
        <v>205.63200000000001</v>
      </c>
      <c r="CU42" s="829">
        <f>CP34*(1+CU45)</f>
        <v>201.34799999999998</v>
      </c>
      <c r="CV42" s="825">
        <f>SUM(CR42:CU42)</f>
        <v>809.42399999999998</v>
      </c>
      <c r="CW42" s="829">
        <f>CR34*(1+CW45)</f>
        <v>212.05499999999998</v>
      </c>
      <c r="CX42" s="76">
        <f>CS34*(1+CX45)</f>
        <v>212.57599999999999</v>
      </c>
      <c r="CY42" s="829">
        <f>CT34*(1+CY45)</f>
        <v>217.56899999999999</v>
      </c>
      <c r="CZ42" s="76">
        <f>CU34*(1+CZ45)</f>
        <v>210.91699999999997</v>
      </c>
      <c r="DA42" s="802">
        <f>SUM(CW42:CZ42)</f>
        <v>853.11699999999996</v>
      </c>
      <c r="DB42" s="76">
        <f>CW34*(1+DB45)</f>
        <v>221.73299999999998</v>
      </c>
      <c r="DC42" s="76">
        <f>CX34*(1+DC45)</f>
        <v>224.70000000000002</v>
      </c>
      <c r="DD42" s="76">
        <f>CY34*(1+DD45)</f>
        <v>226.93799999999999</v>
      </c>
      <c r="DE42" s="76">
        <f>CZ34*(1+DE45)</f>
        <v>222.28124499999998</v>
      </c>
      <c r="DF42" s="619">
        <f>SUM(DB42:DE42)</f>
        <v>895.65224499999999</v>
      </c>
      <c r="DG42" s="76">
        <f>DB34*(1+DG45)</f>
        <v>232.60047299999997</v>
      </c>
      <c r="DH42" s="76">
        <f>DC34*(1+DH45)</f>
        <v>230.27199999999999</v>
      </c>
      <c r="DI42" s="76">
        <f>DD34*(1+DI45)</f>
        <v>236.17</v>
      </c>
      <c r="DJ42" s="76">
        <f>DE34*(1+DJ45)</f>
        <v>230.65799999999999</v>
      </c>
      <c r="DK42" s="807">
        <f>SUM(DG42:DJ42)</f>
        <v>929.70047299999999</v>
      </c>
      <c r="DL42" s="76">
        <f>DG34*(1+DL45)</f>
        <v>239.08499999999998</v>
      </c>
      <c r="DM42" s="76">
        <f>DH34*(1+DM45)</f>
        <v>251.40699999999998</v>
      </c>
      <c r="DN42" s="76">
        <f>DI34*(1+DN45)</f>
        <v>254.505</v>
      </c>
      <c r="DO42" s="76">
        <f>DJ34*(1+DO45)</f>
        <v>249.4665</v>
      </c>
      <c r="DP42" s="807">
        <f>SUM(DL42:DO42)</f>
        <v>994.46349999999995</v>
      </c>
      <c r="DQ42" s="76">
        <f>DL34*(1+DQ45)</f>
        <v>258.74639999999999</v>
      </c>
      <c r="DR42" s="76">
        <f>DM34*(1+DR45)</f>
        <v>256.56799999999998</v>
      </c>
      <c r="DS42" s="76">
        <f>DN34*(1+DS45)</f>
        <v>260.30399999999997</v>
      </c>
      <c r="DT42" s="76">
        <f>DO34*(1+DT45)</f>
        <v>255.20399999999998</v>
      </c>
      <c r="DU42" s="807">
        <f>SUM(DQ42:DT42)</f>
        <v>1030.8224</v>
      </c>
      <c r="DV42" s="76">
        <f>DQ34*(1+DV45)</f>
        <v>265.404</v>
      </c>
      <c r="DW42" s="76">
        <f ca="1">DR34*(1+DW45)</f>
        <v>291.50770455172511</v>
      </c>
      <c r="DX42" s="76">
        <f ca="1">DS34*(1+DX45)</f>
        <v>299.74620724138043</v>
      </c>
      <c r="DY42" s="76">
        <f>DT34*(1+DY45)</f>
        <v>284.49086399999993</v>
      </c>
      <c r="DZ42" s="807">
        <f ca="1">SUM(DV42:DY42)</f>
        <v>1141.1487757931054</v>
      </c>
      <c r="EA42" s="76">
        <f>DV34*(1+EA45)</f>
        <v>302.12519399999996</v>
      </c>
      <c r="EB42" s="76">
        <f ca="1">DW34*(1+EB45)</f>
        <v>300.87088221103551</v>
      </c>
      <c r="EC42" s="76">
        <f ca="1">DX34*(1+EC45)</f>
        <v>309.07212149482871</v>
      </c>
      <c r="ED42" s="76">
        <f>DY34*(1+ED45)</f>
        <v>293.37164423999991</v>
      </c>
      <c r="EE42" s="807">
        <f ca="1">SUM(EA42:ED42)</f>
        <v>1205.4398419458639</v>
      </c>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row>
    <row r="43" spans="2:238" s="161" customFormat="1" ht="12.75" customHeight="1">
      <c r="B43" s="555" t="s">
        <v>98</v>
      </c>
      <c r="C43" s="62"/>
      <c r="D43" s="62"/>
      <c r="E43" s="62"/>
      <c r="F43" s="62"/>
      <c r="G43" s="62"/>
      <c r="H43" s="62"/>
      <c r="I43" s="62"/>
      <c r="J43" s="62"/>
      <c r="K43" s="140"/>
      <c r="L43" s="76"/>
      <c r="M43" s="76"/>
      <c r="N43" s="141"/>
      <c r="O43" s="62"/>
      <c r="P43" s="140"/>
      <c r="Q43" s="76"/>
      <c r="R43" s="76"/>
      <c r="S43" s="141"/>
      <c r="T43" s="62"/>
      <c r="U43" s="140"/>
      <c r="V43" s="76"/>
      <c r="W43" s="76"/>
      <c r="X43" s="141"/>
      <c r="Y43" s="62"/>
      <c r="Z43" s="140"/>
      <c r="AA43" s="76"/>
      <c r="AB43" s="76"/>
      <c r="AC43" s="141"/>
      <c r="AD43" s="62"/>
      <c r="AE43" s="140"/>
      <c r="AF43" s="76"/>
      <c r="AG43" s="76"/>
      <c r="AH43" s="141"/>
      <c r="AI43" s="62"/>
      <c r="AJ43" s="140"/>
      <c r="AK43" s="76"/>
      <c r="AL43" s="76"/>
      <c r="AM43" s="141"/>
      <c r="AN43" s="62"/>
      <c r="AO43" s="140"/>
      <c r="AP43" s="76"/>
      <c r="AQ43" s="76"/>
      <c r="AR43" s="141"/>
      <c r="AS43" s="62"/>
      <c r="AT43" s="140"/>
      <c r="AU43" s="76"/>
      <c r="AV43" s="76"/>
      <c r="AW43" s="141"/>
      <c r="AX43" s="62"/>
      <c r="AY43" s="140"/>
      <c r="AZ43" s="76"/>
      <c r="BA43" s="76"/>
      <c r="BB43" s="141"/>
      <c r="BC43" s="62"/>
      <c r="BD43" s="140"/>
      <c r="BE43" s="76"/>
      <c r="BF43" s="76"/>
      <c r="BG43" s="141"/>
      <c r="BH43" s="62"/>
      <c r="BI43" s="140"/>
      <c r="BJ43" s="76"/>
      <c r="BK43" s="76"/>
      <c r="BL43" s="141"/>
      <c r="BM43" s="62"/>
      <c r="BN43" s="140"/>
      <c r="BO43" s="76"/>
      <c r="BP43" s="76"/>
      <c r="BQ43" s="141"/>
      <c r="BR43" s="62"/>
      <c r="BS43" s="140"/>
      <c r="BT43" s="76"/>
      <c r="BU43" s="76"/>
      <c r="BV43" s="141"/>
      <c r="BW43" s="62"/>
      <c r="BX43" s="140">
        <f>BX42*BX48</f>
        <v>114.43377959999999</v>
      </c>
      <c r="BY43" s="76">
        <f>BY42*BY48</f>
        <v>124.301338704</v>
      </c>
      <c r="BZ43" s="76">
        <f>BZ42*BZ48</f>
        <v>126.30799199999997</v>
      </c>
      <c r="CA43" s="141">
        <f>CA42*CA48</f>
        <v>123.08163748199999</v>
      </c>
      <c r="CB43" s="62">
        <f>SUM(BX43:CA43)</f>
        <v>488.12474778599994</v>
      </c>
      <c r="CC43" s="140">
        <f>CC42*CC48</f>
        <v>133.374696</v>
      </c>
      <c r="CD43" s="76">
        <f>CD42*CD48</f>
        <v>134.93803399999999</v>
      </c>
      <c r="CE43" s="76">
        <f>CE42*CE48</f>
        <v>139.347725</v>
      </c>
      <c r="CF43" s="76">
        <f>CF42*CF48</f>
        <v>137.61212799999998</v>
      </c>
      <c r="CG43" s="802">
        <f>SUM(CC43:CF43)</f>
        <v>545.27258299999994</v>
      </c>
      <c r="CH43" s="76">
        <f>CH42*CH48</f>
        <v>146.03543999999999</v>
      </c>
      <c r="CI43" s="76">
        <f>CI42*CI48</f>
        <v>149.87807999999998</v>
      </c>
      <c r="CJ43" s="76">
        <f>CJ42*CJ48</f>
        <v>155.12389200000001</v>
      </c>
      <c r="CK43" s="76">
        <f>CK42*CK48</f>
        <v>152.05176800000001</v>
      </c>
      <c r="CL43" s="802">
        <f>SUM(CH43:CK43)</f>
        <v>603.08917999999994</v>
      </c>
      <c r="CM43" s="76">
        <f>CM42*CM48</f>
        <v>154.638272</v>
      </c>
      <c r="CN43" s="76">
        <f>CN42*CN48</f>
        <v>152.45480999999998</v>
      </c>
      <c r="CO43" s="76">
        <f>CO42*CO48</f>
        <v>150.99399000000003</v>
      </c>
      <c r="CP43" s="76">
        <f>CP42*CP48</f>
        <v>148.672</v>
      </c>
      <c r="CQ43" s="825">
        <f>SUM(CM43:CP43)</f>
        <v>606.75907200000006</v>
      </c>
      <c r="CR43" s="76">
        <f>CR42*CR48</f>
        <v>159.00684799999999</v>
      </c>
      <c r="CS43" s="76">
        <f>CS42*CS48</f>
        <v>166.60881999999998</v>
      </c>
      <c r="CT43" s="829">
        <f>CT42*CT48</f>
        <v>170.88019199999999</v>
      </c>
      <c r="CU43" s="829">
        <f>CU42*CU48</f>
        <v>167.32018799999997</v>
      </c>
      <c r="CV43" s="825">
        <f>SUM(CR43:CU43)</f>
        <v>663.81604799999991</v>
      </c>
      <c r="CW43" s="76">
        <f>CW42*CW48</f>
        <v>170.91632999999999</v>
      </c>
      <c r="CX43" s="76">
        <f>CX42*CX48</f>
        <v>176.43807999999999</v>
      </c>
      <c r="CY43" s="76">
        <f>CY42*CY48</f>
        <v>183.19309799999999</v>
      </c>
      <c r="CZ43" s="76">
        <f>CZ42*CZ48</f>
        <v>177.80303099999998</v>
      </c>
      <c r="DA43" s="802">
        <f>SUM(CW43:CZ43)</f>
        <v>708.35053900000003</v>
      </c>
      <c r="DB43" s="76">
        <f>DB42*DB48</f>
        <v>184.01609558852681</v>
      </c>
      <c r="DC43" s="76">
        <f>DC42*DC48</f>
        <v>188.03209703535546</v>
      </c>
      <c r="DD43" s="76">
        <f>DD42*DD48</f>
        <v>190.52170506052488</v>
      </c>
      <c r="DE43" s="76">
        <f>DE42*DE48</f>
        <v>187.21637168709023</v>
      </c>
      <c r="DF43" s="619">
        <f>SUM(DB43:DE43)</f>
        <v>749.78626937149738</v>
      </c>
      <c r="DG43" s="76">
        <f>DG42*DG48</f>
        <v>195.29894737389034</v>
      </c>
      <c r="DH43" s="76">
        <f>DH42*DH48</f>
        <v>193.91956546011463</v>
      </c>
      <c r="DI43" s="76">
        <f>DI42*DI48</f>
        <v>199.47688872427071</v>
      </c>
      <c r="DJ43" s="76">
        <f>DJ42*DJ48</f>
        <v>195.39791865610718</v>
      </c>
      <c r="DK43" s="807">
        <f>SUM(DG43:DJ43)</f>
        <v>784.09332021438286</v>
      </c>
      <c r="DL43" s="76">
        <f>DL42*DL48</f>
        <v>202.23704442197834</v>
      </c>
      <c r="DM43" s="76">
        <f>DM42*DM48</f>
        <v>213.28848624331852</v>
      </c>
      <c r="DN43" s="76">
        <f>DN42*DN48</f>
        <v>216.55302771081665</v>
      </c>
      <c r="DO43" s="76">
        <f>DO42*DO48</f>
        <v>212.8895387767497</v>
      </c>
      <c r="DP43" s="807">
        <f>SUM(DL43:DO43)</f>
        <v>844.96809715286327</v>
      </c>
      <c r="DQ43" s="76">
        <f>DQ42*DQ48</f>
        <v>220.50051082667639</v>
      </c>
      <c r="DR43" s="76">
        <f>DR42*DR48</f>
        <v>219.28552504563041</v>
      </c>
      <c r="DS43" s="76">
        <f>DS42*DS48</f>
        <v>223.12939845638493</v>
      </c>
      <c r="DT43" s="76">
        <f>DT42*DT48</f>
        <v>219.39575096311719</v>
      </c>
      <c r="DU43" s="807">
        <f>SUM(DQ43:DT43)</f>
        <v>882.3111852918089</v>
      </c>
      <c r="DV43" s="76">
        <f>DV42*DV48</f>
        <v>228.82807594965266</v>
      </c>
      <c r="DW43" s="76">
        <f ca="1">DW42*DW48</f>
        <v>252.06313934273098</v>
      </c>
      <c r="DX43" s="76">
        <f ca="1">DX42*DX48</f>
        <v>259.93623716366136</v>
      </c>
      <c r="DY43" s="76">
        <f>DY42*DY48</f>
        <v>247.41821763760981</v>
      </c>
      <c r="DZ43" s="807">
        <f ca="1">SUM(DV43:DY43)</f>
        <v>988.24567009365478</v>
      </c>
      <c r="EA43" s="76">
        <f>EA42*EA48</f>
        <v>263.5098912933463</v>
      </c>
      <c r="EB43" s="76">
        <f ca="1">EB42*EB48</f>
        <v>263.16807312966284</v>
      </c>
      <c r="EC43" s="76">
        <f ca="1">EC42*EC48</f>
        <v>271.11427691872433</v>
      </c>
      <c r="ED43" s="76">
        <f>ED42*ED48</f>
        <v>258.07543980992347</v>
      </c>
      <c r="EE43" s="807">
        <f ca="1">SUM(EA43:ED43)</f>
        <v>1055.8676811516568</v>
      </c>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row>
    <row r="44" spans="2:238" s="161" customFormat="1" ht="12.75" customHeight="1">
      <c r="B44" s="555" t="s">
        <v>105</v>
      </c>
      <c r="C44" s="62"/>
      <c r="D44" s="62"/>
      <c r="E44" s="62"/>
      <c r="F44" s="62"/>
      <c r="G44" s="62"/>
      <c r="H44" s="62"/>
      <c r="I44" s="62"/>
      <c r="J44" s="62"/>
      <c r="K44" s="140"/>
      <c r="L44" s="76"/>
      <c r="M44" s="76"/>
      <c r="N44" s="141"/>
      <c r="O44" s="62"/>
      <c r="P44" s="140"/>
      <c r="Q44" s="76"/>
      <c r="R44" s="76"/>
      <c r="S44" s="141"/>
      <c r="T44" s="62"/>
      <c r="U44" s="140"/>
      <c r="V44" s="76"/>
      <c r="W44" s="76"/>
      <c r="X44" s="141"/>
      <c r="Y44" s="62"/>
      <c r="Z44" s="140"/>
      <c r="AA44" s="76"/>
      <c r="AB44" s="76"/>
      <c r="AC44" s="141"/>
      <c r="AD44" s="62"/>
      <c r="AE44" s="140"/>
      <c r="AF44" s="76"/>
      <c r="AG44" s="76"/>
      <c r="AH44" s="141"/>
      <c r="AI44" s="62"/>
      <c r="AJ44" s="140"/>
      <c r="AK44" s="76"/>
      <c r="AL44" s="76"/>
      <c r="AM44" s="141"/>
      <c r="AN44" s="62"/>
      <c r="AO44" s="140"/>
      <c r="AP44" s="76"/>
      <c r="AQ44" s="76"/>
      <c r="AR44" s="141"/>
      <c r="AS44" s="62"/>
      <c r="AT44" s="140"/>
      <c r="AU44" s="76"/>
      <c r="AV44" s="76"/>
      <c r="AW44" s="141"/>
      <c r="AX44" s="62"/>
      <c r="AY44" s="140"/>
      <c r="AZ44" s="76"/>
      <c r="BA44" s="76"/>
      <c r="BB44" s="141"/>
      <c r="BC44" s="62"/>
      <c r="BD44" s="140"/>
      <c r="BE44" s="76"/>
      <c r="BF44" s="76"/>
      <c r="BG44" s="141"/>
      <c r="BH44" s="62"/>
      <c r="BI44" s="140"/>
      <c r="BJ44" s="76"/>
      <c r="BK44" s="76"/>
      <c r="BL44" s="141"/>
      <c r="BM44" s="62"/>
      <c r="BN44" s="140"/>
      <c r="BO44" s="76"/>
      <c r="BP44" s="76"/>
      <c r="BQ44" s="141"/>
      <c r="BR44" s="62"/>
      <c r="BS44" s="140"/>
      <c r="BT44" s="76"/>
      <c r="BU44" s="76"/>
      <c r="BV44" s="141"/>
      <c r="BW44" s="62"/>
      <c r="BX44" s="140">
        <f>BX42-BX43</f>
        <v>53.851190399999993</v>
      </c>
      <c r="BY44" s="76">
        <f>BY42-BY43</f>
        <v>55.324873296000007</v>
      </c>
      <c r="BZ44" s="76">
        <f>BZ42-BZ43</f>
        <v>55.169008000000005</v>
      </c>
      <c r="CA44" s="141">
        <f>CA42-CA43</f>
        <v>52.498444518000014</v>
      </c>
      <c r="CB44" s="62">
        <f>SUM(BX44:CA44)</f>
        <v>216.843516214</v>
      </c>
      <c r="CC44" s="140">
        <f>CC42-CC43</f>
        <v>55.541304000000025</v>
      </c>
      <c r="CD44" s="76">
        <f>CD42-CD43</f>
        <v>52.215966000000009</v>
      </c>
      <c r="CE44" s="76">
        <f>CE42-CE43</f>
        <v>52.327274999999986</v>
      </c>
      <c r="CF44" s="76">
        <f>CF42-CF43</f>
        <v>49.360872000000001</v>
      </c>
      <c r="CG44" s="802">
        <f>SUM(CC44:CF44)</f>
        <v>209.44541700000002</v>
      </c>
      <c r="CH44" s="76">
        <f>CH42-CH43</f>
        <v>51.844560000000001</v>
      </c>
      <c r="CI44" s="76">
        <f>CI42-CI43</f>
        <v>50.761920000000003</v>
      </c>
      <c r="CJ44" s="76">
        <f>CJ42-CJ43</f>
        <v>51.984107999999992</v>
      </c>
      <c r="CK44" s="76">
        <f>CK42-CK43</f>
        <v>48.544231999999994</v>
      </c>
      <c r="CL44" s="802">
        <f>SUM(CH44:CK44)</f>
        <v>203.13481999999999</v>
      </c>
      <c r="CM44" s="76">
        <f>CM42-CM43</f>
        <v>50.997727999999995</v>
      </c>
      <c r="CN44" s="76">
        <f>CN42-CN43</f>
        <v>42.500190000000003</v>
      </c>
      <c r="CO44" s="76">
        <f>CO42-CO43</f>
        <v>39.89600999999999</v>
      </c>
      <c r="CP44" s="76">
        <f>CP42-CP43</f>
        <v>37.168000000000006</v>
      </c>
      <c r="CQ44" s="825">
        <f>SUM(CM44:CP44)</f>
        <v>170.56192799999999</v>
      </c>
      <c r="CR44" s="76">
        <f>CR42-CR43</f>
        <v>39.009152</v>
      </c>
      <c r="CS44" s="76">
        <f>CS42-CS43</f>
        <v>37.819180000000017</v>
      </c>
      <c r="CT44" s="829">
        <f>CT42-CT43</f>
        <v>34.751808000000011</v>
      </c>
      <c r="CU44" s="829">
        <f>CU42-CU43</f>
        <v>34.027812000000011</v>
      </c>
      <c r="CV44" s="825">
        <f>SUM(CR44:CU44)</f>
        <v>145.60795200000004</v>
      </c>
      <c r="CW44" s="76">
        <f>CW42-CW43</f>
        <v>41.138669999999991</v>
      </c>
      <c r="CX44" s="76">
        <f>CX42-CX43</f>
        <v>36.137920000000008</v>
      </c>
      <c r="CY44" s="76">
        <f>CY42-CY43</f>
        <v>34.375901999999996</v>
      </c>
      <c r="CZ44" s="76">
        <f>CZ42-CZ43</f>
        <v>33.113968999999997</v>
      </c>
      <c r="DA44" s="802">
        <f>SUM(CW44:CZ44)</f>
        <v>144.76646099999999</v>
      </c>
      <c r="DB44" s="76">
        <f>DB42-DB43</f>
        <v>37.716904411473166</v>
      </c>
      <c r="DC44" s="76">
        <f>DC42-DC43</f>
        <v>36.667902964644554</v>
      </c>
      <c r="DD44" s="76">
        <f>DD42-DD43</f>
        <v>36.416294939475108</v>
      </c>
      <c r="DE44" s="76">
        <f>DE42-DE43</f>
        <v>35.064873312909754</v>
      </c>
      <c r="DF44" s="619">
        <f>SUM(DB44:DE44)</f>
        <v>145.86597562850258</v>
      </c>
      <c r="DG44" s="76">
        <f>DG42-DG43</f>
        <v>37.301525626109623</v>
      </c>
      <c r="DH44" s="76">
        <f>DH42-DH43</f>
        <v>36.352434539885365</v>
      </c>
      <c r="DI44" s="76">
        <f>DI42-DI43</f>
        <v>36.693111275729279</v>
      </c>
      <c r="DJ44" s="76">
        <f>DJ42-DJ43</f>
        <v>35.260081343892807</v>
      </c>
      <c r="DK44" s="807">
        <f>SUM(DG44:DJ44)</f>
        <v>145.60715278561707</v>
      </c>
      <c r="DL44" s="76">
        <f>DL42-DL43</f>
        <v>36.84795557802164</v>
      </c>
      <c r="DM44" s="76">
        <f>DM42-DM43</f>
        <v>38.118513756681466</v>
      </c>
      <c r="DN44" s="76">
        <f>DN42-DN43</f>
        <v>37.951972289183345</v>
      </c>
      <c r="DO44" s="76">
        <f>DO42-DO43</f>
        <v>36.576961223250294</v>
      </c>
      <c r="DP44" s="807">
        <f>SUM(DL44:DO44)</f>
        <v>149.49540284713675</v>
      </c>
      <c r="DQ44" s="76">
        <f>DQ42-DQ43</f>
        <v>38.245889173323604</v>
      </c>
      <c r="DR44" s="76">
        <f>DR42-DR43</f>
        <v>37.282474954369576</v>
      </c>
      <c r="DS44" s="76">
        <f>DS42-DS43</f>
        <v>37.17460154361504</v>
      </c>
      <c r="DT44" s="76">
        <f>DT42-DT43</f>
        <v>35.808249036882785</v>
      </c>
      <c r="DU44" s="807">
        <f>SUM(DQ44:DT44)</f>
        <v>148.51121470819101</v>
      </c>
      <c r="DV44" s="76">
        <f>DV42-DV43</f>
        <v>36.575924050347339</v>
      </c>
      <c r="DW44" s="76">
        <f ca="1">DW42-DW43</f>
        <v>39.444565208994135</v>
      </c>
      <c r="DX44" s="76">
        <f ca="1">DX42-DX43</f>
        <v>39.809970077719072</v>
      </c>
      <c r="DY44" s="76">
        <f>DY42-DY43</f>
        <v>37.072646362390117</v>
      </c>
      <c r="DZ44" s="807">
        <f ca="1">SUM(DV44:DY44)</f>
        <v>152.90310569945066</v>
      </c>
      <c r="EA44" s="76">
        <f>EA42-EA43</f>
        <v>38.615302706653665</v>
      </c>
      <c r="EB44" s="76">
        <f ca="1">EB42-EB43</f>
        <v>37.702809081372664</v>
      </c>
      <c r="EC44" s="76">
        <f ca="1">EC42-EC43</f>
        <v>37.957844576104378</v>
      </c>
      <c r="ED44" s="76">
        <f>ED42-ED43</f>
        <v>35.296204430076443</v>
      </c>
      <c r="EE44" s="807">
        <f ca="1">SUM(EA44:ED44)</f>
        <v>149.57216079420715</v>
      </c>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row>
    <row r="45" spans="2:238" s="182" customFormat="1" ht="12.75" customHeight="1">
      <c r="B45" s="556" t="s">
        <v>107</v>
      </c>
      <c r="C45" s="107"/>
      <c r="D45" s="107"/>
      <c r="E45" s="143"/>
      <c r="F45" s="143"/>
      <c r="G45" s="143"/>
      <c r="H45" s="143"/>
      <c r="I45" s="143"/>
      <c r="J45" s="143"/>
      <c r="K45" s="144"/>
      <c r="L45" s="145"/>
      <c r="M45" s="145"/>
      <c r="N45" s="146"/>
      <c r="O45" s="143"/>
      <c r="P45" s="144"/>
      <c r="Q45" s="145"/>
      <c r="R45" s="145"/>
      <c r="S45" s="146"/>
      <c r="T45" s="143"/>
      <c r="U45" s="144"/>
      <c r="V45" s="145"/>
      <c r="W45" s="145"/>
      <c r="X45" s="146"/>
      <c r="Y45" s="143"/>
      <c r="Z45" s="144"/>
      <c r="AA45" s="145"/>
      <c r="AB45" s="145"/>
      <c r="AC45" s="146"/>
      <c r="AD45" s="143"/>
      <c r="AE45" s="144"/>
      <c r="AF45" s="145"/>
      <c r="AG45" s="145"/>
      <c r="AH45" s="146"/>
      <c r="AI45" s="143"/>
      <c r="AJ45" s="144"/>
      <c r="AK45" s="145"/>
      <c r="AL45" s="145"/>
      <c r="AM45" s="146"/>
      <c r="AN45" s="143"/>
      <c r="AO45" s="144"/>
      <c r="AP45" s="145"/>
      <c r="AQ45" s="145"/>
      <c r="AR45" s="146"/>
      <c r="AS45" s="143"/>
      <c r="AT45" s="144"/>
      <c r="AU45" s="145"/>
      <c r="AV45" s="145"/>
      <c r="AW45" s="146"/>
      <c r="AX45" s="143"/>
      <c r="AY45" s="144"/>
      <c r="AZ45" s="145"/>
      <c r="BA45" s="145"/>
      <c r="BB45" s="146"/>
      <c r="BC45" s="143"/>
      <c r="BD45" s="144"/>
      <c r="BE45" s="145"/>
      <c r="BF45" s="145"/>
      <c r="BG45" s="146"/>
      <c r="BH45" s="143"/>
      <c r="BI45" s="144"/>
      <c r="BJ45" s="145"/>
      <c r="BK45" s="145"/>
      <c r="BL45" s="146"/>
      <c r="BM45" s="143"/>
      <c r="BN45" s="144"/>
      <c r="BO45" s="145"/>
      <c r="BP45" s="145"/>
      <c r="BQ45" s="146"/>
      <c r="BR45" s="143"/>
      <c r="BS45" s="144">
        <v>3.6999999999999998E-2</v>
      </c>
      <c r="BT45" s="145">
        <v>1.9E-2</v>
      </c>
      <c r="BU45" s="145">
        <v>1.7999999999999999E-2</v>
      </c>
      <c r="BV45" s="146">
        <v>1.0999999999999999E-2</v>
      </c>
      <c r="BW45" s="143"/>
      <c r="BX45" s="144">
        <v>1.4999999999999999E-2</v>
      </c>
      <c r="BY45" s="145">
        <v>4.2000000000000003E-2</v>
      </c>
      <c r="BZ45" s="145">
        <v>4.9000000000000002E-2</v>
      </c>
      <c r="CA45" s="146">
        <v>5.8999999999999997E-2</v>
      </c>
      <c r="CB45" s="143">
        <f>CB42/BW34-1</f>
        <v>4.1339746108463693E-2</v>
      </c>
      <c r="CC45" s="179">
        <v>9.1999999999999998E-2</v>
      </c>
      <c r="CD45" s="180">
        <v>3.4000000000000002E-2</v>
      </c>
      <c r="CE45" s="180">
        <v>2.5000000000000001E-2</v>
      </c>
      <c r="CF45" s="180">
        <v>3.3000000000000002E-2</v>
      </c>
      <c r="CG45" s="803">
        <f>CG42/CB34-1</f>
        <v>4.3869986168741271E-2</v>
      </c>
      <c r="CH45" s="180">
        <v>0.02</v>
      </c>
      <c r="CI45" s="180">
        <v>4.4999999999999998E-2</v>
      </c>
      <c r="CJ45" s="180">
        <v>4.5999999999999999E-2</v>
      </c>
      <c r="CK45" s="180">
        <v>3.4000000000000002E-2</v>
      </c>
      <c r="CL45" s="803">
        <f>CL42/CG34-1</f>
        <v>3.6277634961439542E-2</v>
      </c>
      <c r="CM45" s="180">
        <v>1.7999999999999999E-2</v>
      </c>
      <c r="CN45" s="180">
        <v>-4.9000000000000002E-2</v>
      </c>
      <c r="CO45" s="180">
        <v>-9.0999999999999998E-2</v>
      </c>
      <c r="CP45" s="180">
        <v>-0.08</v>
      </c>
      <c r="CQ45" s="803">
        <f>CQ42/CL34-1</f>
        <v>-5.0890109890109891E-2</v>
      </c>
      <c r="CR45" s="180">
        <v>-4.8000000000000001E-2</v>
      </c>
      <c r="CS45" s="180">
        <v>4.2999999999999997E-2</v>
      </c>
      <c r="CT45" s="180">
        <v>7.0999999999999994E-2</v>
      </c>
      <c r="CU45" s="180">
        <v>7.0999999999999994E-2</v>
      </c>
      <c r="CV45" s="803">
        <f>CV42/CQ34-1</f>
        <v>3.2428571428571473E-2</v>
      </c>
      <c r="CW45" s="180">
        <v>5.5E-2</v>
      </c>
      <c r="CX45" s="180">
        <v>2.1999999999999999E-2</v>
      </c>
      <c r="CY45" s="180">
        <v>4.1000000000000002E-2</v>
      </c>
      <c r="CZ45" s="180">
        <v>3.9E-2</v>
      </c>
      <c r="DA45" s="803">
        <f>DA42/CV34-1</f>
        <v>3.9119366626065633E-2</v>
      </c>
      <c r="DB45" s="180">
        <v>4.1000000000000002E-2</v>
      </c>
      <c r="DC45" s="1723">
        <v>0.05</v>
      </c>
      <c r="DD45" s="1723">
        <v>4.1000000000000002E-2</v>
      </c>
      <c r="DE45" s="1723">
        <v>5.0999999999999997E-2</v>
      </c>
      <c r="DF45" s="803">
        <f>DF42/DA34-1</f>
        <v>4.5718007694148799E-2</v>
      </c>
      <c r="DG45" s="1723">
        <v>4.7E-2</v>
      </c>
      <c r="DH45" s="1723">
        <v>2.8000000000000001E-2</v>
      </c>
      <c r="DI45" s="1723">
        <v>4.4999999999999998E-2</v>
      </c>
      <c r="DJ45" s="1723">
        <v>3.9E-2</v>
      </c>
      <c r="DK45" s="2188">
        <f>DK42/DF34-1</f>
        <v>3.9748493276922758E-2</v>
      </c>
      <c r="DL45" s="1723">
        <v>3.5000000000000003E-2</v>
      </c>
      <c r="DM45" s="1723">
        <v>7.9000000000000001E-2</v>
      </c>
      <c r="DN45" s="1723">
        <v>8.3000000000000004E-2</v>
      </c>
      <c r="DO45" s="1723">
        <v>8.6999999999999994E-2</v>
      </c>
      <c r="DP45" s="1373">
        <f>DP42/DK34-1</f>
        <v>7.1043080236941281E-2</v>
      </c>
      <c r="DQ45" s="1723">
        <v>8.8999999999999996E-2</v>
      </c>
      <c r="DR45" s="181">
        <v>0.04</v>
      </c>
      <c r="DS45" s="181">
        <f>Scenarios!AQ27</f>
        <v>0.02</v>
      </c>
      <c r="DT45" s="181">
        <f>Scenarios!AR27</f>
        <v>0.02</v>
      </c>
      <c r="DU45" s="1373">
        <f>DU42/DP34-1</f>
        <v>4.1550368798625836E-2</v>
      </c>
      <c r="DV45" s="181">
        <f>Scenarios!AT27</f>
        <v>0.02</v>
      </c>
      <c r="DW45" s="181">
        <f>Scenarios!AU27</f>
        <v>3.4000000000000002E-2</v>
      </c>
      <c r="DX45" s="181">
        <f>Scenarios!AV27</f>
        <v>3.5000000000000003E-2</v>
      </c>
      <c r="DY45" s="181">
        <f>Scenarios!AW27</f>
        <v>3.5000000000000003E-2</v>
      </c>
      <c r="DZ45" s="1373">
        <f ca="1">DZ42/DU34-1</f>
        <v>3.1218224754987478E-2</v>
      </c>
      <c r="EA45" s="181">
        <f>Scenarios!AY27</f>
        <v>3.5000000000000003E-2</v>
      </c>
      <c r="EB45" s="181">
        <f>Scenarios!AZ27</f>
        <v>3.5000000000000003E-2</v>
      </c>
      <c r="EC45" s="181">
        <f>Scenarios!BA27</f>
        <v>3.5000000000000003E-2</v>
      </c>
      <c r="ED45" s="181">
        <f>Scenarios!BB27</f>
        <v>3.5000000000000003E-2</v>
      </c>
      <c r="EE45" s="1373">
        <f ca="1">EE42/DZ34-1</f>
        <v>3.499999999999992E-2</v>
      </c>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row>
    <row r="46" spans="2:238" s="150" customFormat="1" ht="12.75" customHeight="1">
      <c r="B46" s="557"/>
      <c r="C46" s="130"/>
      <c r="D46" s="130"/>
      <c r="E46" s="131"/>
      <c r="F46" s="131"/>
      <c r="G46" s="131"/>
      <c r="H46" s="131"/>
      <c r="I46" s="131"/>
      <c r="J46" s="131"/>
      <c r="K46" s="126"/>
      <c r="L46" s="127"/>
      <c r="M46" s="127"/>
      <c r="N46" s="132"/>
      <c r="O46" s="131"/>
      <c r="P46" s="126"/>
      <c r="Q46" s="127"/>
      <c r="R46" s="127"/>
      <c r="S46" s="132"/>
      <c r="T46" s="131"/>
      <c r="U46" s="126"/>
      <c r="V46" s="127"/>
      <c r="W46" s="127"/>
      <c r="X46" s="132"/>
      <c r="Y46" s="131"/>
      <c r="Z46" s="126"/>
      <c r="AA46" s="127"/>
      <c r="AB46" s="127"/>
      <c r="AC46" s="132"/>
      <c r="AD46" s="131"/>
      <c r="AE46" s="126"/>
      <c r="AF46" s="127"/>
      <c r="AG46" s="127"/>
      <c r="AH46" s="132"/>
      <c r="AI46" s="131"/>
      <c r="AJ46" s="126"/>
      <c r="AK46" s="127"/>
      <c r="AL46" s="127"/>
      <c r="AM46" s="132"/>
      <c r="AN46" s="131"/>
      <c r="AO46" s="126"/>
      <c r="AP46" s="127"/>
      <c r="AQ46" s="127"/>
      <c r="AR46" s="132"/>
      <c r="AS46" s="131"/>
      <c r="AT46" s="126"/>
      <c r="AU46" s="127"/>
      <c r="AV46" s="127"/>
      <c r="AW46" s="132"/>
      <c r="AX46" s="131"/>
      <c r="AY46" s="126"/>
      <c r="AZ46" s="127"/>
      <c r="BA46" s="127"/>
      <c r="BB46" s="132"/>
      <c r="BC46" s="131"/>
      <c r="BD46" s="126"/>
      <c r="BE46" s="127"/>
      <c r="BF46" s="127"/>
      <c r="BG46" s="132"/>
      <c r="BH46" s="131"/>
      <c r="BI46" s="126"/>
      <c r="BJ46" s="127"/>
      <c r="BK46" s="127"/>
      <c r="BL46" s="132"/>
      <c r="BM46" s="131"/>
      <c r="BN46" s="126"/>
      <c r="BO46" s="127"/>
      <c r="BP46" s="127"/>
      <c r="BQ46" s="132"/>
      <c r="BR46" s="131"/>
      <c r="BS46" s="126"/>
      <c r="BT46" s="127"/>
      <c r="BU46" s="127"/>
      <c r="BV46" s="132"/>
      <c r="BW46" s="131"/>
      <c r="BX46" s="126"/>
      <c r="BY46" s="127"/>
      <c r="BZ46" s="127"/>
      <c r="CA46" s="132"/>
      <c r="CB46" s="131"/>
      <c r="CC46" s="126"/>
      <c r="CD46" s="127"/>
      <c r="CE46" s="127"/>
      <c r="CF46" s="127"/>
      <c r="CG46" s="613"/>
      <c r="CH46" s="127"/>
      <c r="CI46" s="127"/>
      <c r="CJ46" s="127"/>
      <c r="CK46" s="129"/>
      <c r="CL46" s="613"/>
      <c r="CM46" s="129"/>
      <c r="CN46" s="129"/>
      <c r="CO46" s="129"/>
      <c r="CP46" s="129"/>
      <c r="CQ46" s="831"/>
      <c r="CR46" s="129"/>
      <c r="CS46" s="129"/>
      <c r="CT46" s="129"/>
      <c r="CU46" s="129"/>
      <c r="CV46" s="831"/>
      <c r="CW46" s="129"/>
      <c r="CX46" s="129"/>
      <c r="CY46" s="129"/>
      <c r="CZ46" s="129"/>
      <c r="DA46" s="831"/>
      <c r="DB46" s="1611"/>
      <c r="DC46" s="1611"/>
      <c r="DD46" s="1611"/>
      <c r="DE46" s="1611"/>
      <c r="DF46" s="831"/>
      <c r="DG46" s="1611"/>
      <c r="DH46" s="1611"/>
      <c r="DI46" s="1611"/>
      <c r="DJ46" s="2187"/>
      <c r="DK46" s="1371"/>
      <c r="DL46" s="1611"/>
      <c r="DM46" s="2235"/>
      <c r="DN46" s="2235"/>
      <c r="DO46" s="2235"/>
      <c r="DP46" s="1371"/>
      <c r="DQ46" s="2235"/>
      <c r="DR46" s="1611"/>
      <c r="DS46" s="1611"/>
      <c r="DT46" s="1611"/>
      <c r="DU46" s="1371"/>
      <c r="DV46" s="1611"/>
      <c r="DW46" s="1611"/>
      <c r="DX46" s="1611"/>
      <c r="DY46" s="1611"/>
      <c r="DZ46" s="1371"/>
      <c r="EA46" s="1611"/>
      <c r="EB46" s="1611"/>
      <c r="EC46" s="1611"/>
      <c r="ED46" s="1611"/>
      <c r="EE46" s="1371"/>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row>
    <row r="47" spans="2:238" s="150" customFormat="1" ht="12.75" customHeight="1">
      <c r="B47" s="558"/>
      <c r="C47" s="130"/>
      <c r="D47" s="130"/>
      <c r="E47" s="131"/>
      <c r="F47" s="131"/>
      <c r="G47" s="131"/>
      <c r="H47" s="131"/>
      <c r="I47" s="131"/>
      <c r="J47" s="131"/>
      <c r="K47" s="126"/>
      <c r="L47" s="127"/>
      <c r="M47" s="127"/>
      <c r="N47" s="132"/>
      <c r="O47" s="131"/>
      <c r="P47" s="126"/>
      <c r="Q47" s="127"/>
      <c r="R47" s="127"/>
      <c r="S47" s="132"/>
      <c r="T47" s="131"/>
      <c r="U47" s="126"/>
      <c r="V47" s="127"/>
      <c r="W47" s="127"/>
      <c r="X47" s="132"/>
      <c r="Y47" s="131"/>
      <c r="Z47" s="126"/>
      <c r="AA47" s="127"/>
      <c r="AB47" s="127"/>
      <c r="AC47" s="132"/>
      <c r="AD47" s="131"/>
      <c r="AE47" s="126"/>
      <c r="AF47" s="127"/>
      <c r="AG47" s="127"/>
      <c r="AH47" s="132"/>
      <c r="AI47" s="131"/>
      <c r="AJ47" s="126"/>
      <c r="AK47" s="127"/>
      <c r="AL47" s="127"/>
      <c r="AM47" s="132"/>
      <c r="AN47" s="131"/>
      <c r="AO47" s="126"/>
      <c r="AP47" s="127"/>
      <c r="AQ47" s="127"/>
      <c r="AR47" s="132"/>
      <c r="AS47" s="131"/>
      <c r="AT47" s="126"/>
      <c r="AU47" s="127"/>
      <c r="AV47" s="127"/>
      <c r="AW47" s="132"/>
      <c r="AX47" s="131"/>
      <c r="AY47" s="126"/>
      <c r="AZ47" s="127"/>
      <c r="BA47" s="127"/>
      <c r="BB47" s="132"/>
      <c r="BC47" s="131"/>
      <c r="BD47" s="126"/>
      <c r="BE47" s="127"/>
      <c r="BF47" s="127"/>
      <c r="BG47" s="132"/>
      <c r="BH47" s="131"/>
      <c r="BI47" s="126"/>
      <c r="BJ47" s="127"/>
      <c r="BK47" s="127"/>
      <c r="BL47" s="132"/>
      <c r="BM47" s="131"/>
      <c r="BN47" s="126"/>
      <c r="BO47" s="127"/>
      <c r="BP47" s="127"/>
      <c r="BQ47" s="132"/>
      <c r="BR47" s="131"/>
      <c r="BS47" s="126"/>
      <c r="BT47" s="127"/>
      <c r="BU47" s="127"/>
      <c r="BV47" s="132"/>
      <c r="BW47" s="131"/>
      <c r="BX47" s="126"/>
      <c r="BY47" s="127"/>
      <c r="BZ47" s="127"/>
      <c r="CA47" s="132"/>
      <c r="CB47" s="131"/>
      <c r="CC47" s="126"/>
      <c r="CD47" s="127"/>
      <c r="CE47" s="127"/>
      <c r="CF47" s="127"/>
      <c r="CG47" s="613"/>
      <c r="CH47" s="127"/>
      <c r="CI47" s="127"/>
      <c r="CJ47" s="127"/>
      <c r="CK47" s="129"/>
      <c r="CL47" s="613"/>
      <c r="CM47" s="129"/>
      <c r="CN47" s="129"/>
      <c r="CO47" s="129"/>
      <c r="CP47" s="129"/>
      <c r="CQ47" s="831"/>
      <c r="CR47" s="129"/>
      <c r="CS47" s="129"/>
      <c r="CT47" s="129"/>
      <c r="CU47" s="129"/>
      <c r="CV47" s="831"/>
      <c r="CW47" s="129"/>
      <c r="CX47" s="1621"/>
      <c r="CY47" s="1621"/>
      <c r="CZ47" s="1611"/>
      <c r="DA47" s="613"/>
      <c r="DB47" s="1611"/>
      <c r="DC47" s="1657"/>
      <c r="DD47" s="1657"/>
      <c r="DE47" s="1657"/>
      <c r="DF47" s="613"/>
      <c r="DG47" s="1657"/>
      <c r="DH47" s="1657"/>
      <c r="DI47" s="1657"/>
      <c r="DJ47" s="1657"/>
      <c r="DK47" s="1374"/>
      <c r="DL47" s="2186"/>
      <c r="DM47" s="2236"/>
      <c r="DN47" s="2236"/>
      <c r="DO47" s="2236"/>
      <c r="DP47" s="1374"/>
      <c r="DQ47" s="2236"/>
      <c r="DR47" s="1611"/>
      <c r="DS47" s="1611"/>
      <c r="DT47" s="1611"/>
      <c r="DU47" s="1374"/>
      <c r="DV47" s="1611"/>
      <c r="DW47" s="1611"/>
      <c r="DX47" s="1611"/>
      <c r="DY47" s="1611"/>
      <c r="DZ47" s="1374"/>
      <c r="EA47" s="1611"/>
      <c r="EB47" s="1611"/>
      <c r="EC47" s="1611"/>
      <c r="ED47" s="1611"/>
      <c r="EE47" s="1374"/>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row>
    <row r="48" spans="2:238" s="150" customFormat="1" ht="12.75" customHeight="1">
      <c r="B48" s="555" t="s">
        <v>108</v>
      </c>
      <c r="C48" s="130"/>
      <c r="D48" s="130"/>
      <c r="E48" s="131"/>
      <c r="F48" s="131"/>
      <c r="G48" s="131"/>
      <c r="H48" s="131"/>
      <c r="I48" s="131"/>
      <c r="J48" s="131"/>
      <c r="K48" s="126"/>
      <c r="L48" s="127"/>
      <c r="M48" s="127"/>
      <c r="N48" s="132"/>
      <c r="O48" s="131"/>
      <c r="P48" s="126"/>
      <c r="Q48" s="127"/>
      <c r="R48" s="127"/>
      <c r="S48" s="132"/>
      <c r="T48" s="131"/>
      <c r="U48" s="126"/>
      <c r="V48" s="127"/>
      <c r="W48" s="127"/>
      <c r="X48" s="132"/>
      <c r="Y48" s="131"/>
      <c r="Z48" s="126"/>
      <c r="AA48" s="127"/>
      <c r="AB48" s="127"/>
      <c r="AC48" s="132"/>
      <c r="AD48" s="131"/>
      <c r="AE48" s="126"/>
      <c r="AF48" s="127"/>
      <c r="AG48" s="127"/>
      <c r="AH48" s="132"/>
      <c r="AI48" s="131"/>
      <c r="AJ48" s="126"/>
      <c r="AK48" s="127"/>
      <c r="AL48" s="127"/>
      <c r="AM48" s="132"/>
      <c r="AN48" s="131"/>
      <c r="AO48" s="126"/>
      <c r="AP48" s="127"/>
      <c r="AQ48" s="127"/>
      <c r="AR48" s="132"/>
      <c r="AS48" s="131"/>
      <c r="AT48" s="126"/>
      <c r="AU48" s="127"/>
      <c r="AV48" s="127"/>
      <c r="AW48" s="132"/>
      <c r="AX48" s="131"/>
      <c r="AY48" s="126"/>
      <c r="AZ48" s="127"/>
      <c r="BA48" s="127"/>
      <c r="BB48" s="132"/>
      <c r="BC48" s="131"/>
      <c r="BD48" s="126"/>
      <c r="BE48" s="127"/>
      <c r="BF48" s="127"/>
      <c r="BG48" s="132"/>
      <c r="BH48" s="131"/>
      <c r="BI48" s="126"/>
      <c r="BJ48" s="127"/>
      <c r="BK48" s="127"/>
      <c r="BL48" s="132"/>
      <c r="BM48" s="131"/>
      <c r="BN48" s="183"/>
      <c r="BO48" s="184">
        <v>0.61699999999999999</v>
      </c>
      <c r="BP48" s="184">
        <v>0.624</v>
      </c>
      <c r="BQ48" s="185">
        <v>0.63700000000000001</v>
      </c>
      <c r="BR48" s="131"/>
      <c r="BS48" s="183">
        <v>0.64900000000000002</v>
      </c>
      <c r="BT48" s="184">
        <v>0.66600000000000004</v>
      </c>
      <c r="BU48" s="184">
        <v>0.67</v>
      </c>
      <c r="BV48" s="185">
        <v>0.68</v>
      </c>
      <c r="BW48" s="131">
        <f>BW36/BW34</f>
        <v>0.66628746111418036</v>
      </c>
      <c r="BX48" s="183">
        <v>0.68</v>
      </c>
      <c r="BY48" s="184">
        <v>0.69199999999999995</v>
      </c>
      <c r="BZ48" s="184">
        <v>0.69599999999999995</v>
      </c>
      <c r="CA48" s="185">
        <v>0.70099999999999996</v>
      </c>
      <c r="CB48" s="131">
        <f>CB36/CB34</f>
        <v>0.69242876901798056</v>
      </c>
      <c r="CC48" s="183">
        <v>0.70599999999999996</v>
      </c>
      <c r="CD48" s="184">
        <v>0.72099999999999997</v>
      </c>
      <c r="CE48" s="184">
        <v>0.72699999999999998</v>
      </c>
      <c r="CF48" s="184">
        <v>0.73599999999999999</v>
      </c>
      <c r="CG48" s="613">
        <f>CG36/CG34</f>
        <v>0.72252699228791772</v>
      </c>
      <c r="CH48" s="184">
        <v>0.73799999999999999</v>
      </c>
      <c r="CI48" s="184">
        <v>0.747</v>
      </c>
      <c r="CJ48" s="186">
        <v>0.749</v>
      </c>
      <c r="CK48" s="188">
        <v>0.75800000000000001</v>
      </c>
      <c r="CL48" s="613">
        <f>CL36/CL34</f>
        <v>0.74800610500610498</v>
      </c>
      <c r="CM48" s="129">
        <v>0.752</v>
      </c>
      <c r="CN48" s="129">
        <v>0.78200000000000003</v>
      </c>
      <c r="CO48" s="129">
        <v>0.79100000000000004</v>
      </c>
      <c r="CP48" s="129">
        <v>0.8</v>
      </c>
      <c r="CQ48" s="613">
        <f>CQ36/CQ34</f>
        <v>0.78056122448979592</v>
      </c>
      <c r="CR48" s="129">
        <v>0.80300000000000005</v>
      </c>
      <c r="CS48" s="129">
        <v>0.81499999999999995</v>
      </c>
      <c r="CT48" s="129">
        <v>0.83099999999999996</v>
      </c>
      <c r="CU48" s="129">
        <v>0.83099999999999996</v>
      </c>
      <c r="CV48" s="613">
        <f>CV36/CV34</f>
        <v>0.82009135200974415</v>
      </c>
      <c r="CW48" s="129">
        <v>0.80600000000000005</v>
      </c>
      <c r="CX48" s="129">
        <v>0.83</v>
      </c>
      <c r="CY48" s="129">
        <v>0.84199999999999997</v>
      </c>
      <c r="CZ48" s="129">
        <v>0.84299999999999997</v>
      </c>
      <c r="DA48" s="613">
        <f>DA36/DA34</f>
        <v>0.83029589781609947</v>
      </c>
      <c r="DB48" s="188">
        <f>CZ48+DB54-1.5%</f>
        <v>0.82989945379590235</v>
      </c>
      <c r="DC48" s="188">
        <f>DB48+DC54+0.5%</f>
        <v>0.83681396099401628</v>
      </c>
      <c r="DD48" s="188">
        <f>DC48+DD54</f>
        <v>0.83953196494427951</v>
      </c>
      <c r="DE48" s="188">
        <f>DD48+DE54</f>
        <v>0.84224996889454273</v>
      </c>
      <c r="DF48" s="613">
        <f>DF36/DF34</f>
        <v>0.83713263210513933</v>
      </c>
      <c r="DG48" s="188">
        <f>DF48+DG54</f>
        <v>0.83963263210513928</v>
      </c>
      <c r="DH48" s="188">
        <f>DG48+DH54</f>
        <v>0.84213263210513922</v>
      </c>
      <c r="DI48" s="188">
        <f>DH48+DI54</f>
        <v>0.84463263210513917</v>
      </c>
      <c r="DJ48" s="188">
        <f>DI48+DJ54</f>
        <v>0.84713263210513912</v>
      </c>
      <c r="DK48" s="1374">
        <f>DK36/DK34</f>
        <v>0.8433792664616282</v>
      </c>
      <c r="DL48" s="188">
        <f>DK48+DL54</f>
        <v>0.84587926646162814</v>
      </c>
      <c r="DM48" s="188">
        <f>DL48+DM54</f>
        <v>0.84837926646162809</v>
      </c>
      <c r="DN48" s="188">
        <f>DM48+DN54</f>
        <v>0.85087926646162804</v>
      </c>
      <c r="DO48" s="188">
        <f>DN48+DO54</f>
        <v>0.85337926646162798</v>
      </c>
      <c r="DP48" s="1374">
        <f>DP36/DP34</f>
        <v>0.8496877437779865</v>
      </c>
      <c r="DQ48" s="188">
        <f>DP48+DQ54</f>
        <v>0.85218774377798645</v>
      </c>
      <c r="DR48" s="188">
        <f>DQ48+DR54</f>
        <v>0.8546877437779864</v>
      </c>
      <c r="DS48" s="188">
        <f>DR48+DS54</f>
        <v>0.85718774377798634</v>
      </c>
      <c r="DT48" s="188">
        <f>DS48+DT54</f>
        <v>0.85968774377798629</v>
      </c>
      <c r="DU48" s="1374">
        <f ca="1">DU36/DU34</f>
        <v>0.85599614179381334</v>
      </c>
      <c r="DV48" s="188">
        <f>DT48+DV54</f>
        <v>0.86218774377798624</v>
      </c>
      <c r="DW48" s="188">
        <f>DV48+DW54</f>
        <v>0.86468774377798618</v>
      </c>
      <c r="DX48" s="188">
        <f>DW48+DX54</f>
        <v>0.86718774377798613</v>
      </c>
      <c r="DY48" s="188">
        <f>DX48+DY54</f>
        <v>0.86968774377798608</v>
      </c>
      <c r="DZ48" s="1374">
        <f ca="1">DZ36/DZ34</f>
        <v>0.86591901678580485</v>
      </c>
      <c r="EA48" s="188">
        <f>DY48+EA54</f>
        <v>0.87218774377798602</v>
      </c>
      <c r="EB48" s="188">
        <f>EA48+EB54</f>
        <v>0.87468774377798597</v>
      </c>
      <c r="EC48" s="188">
        <f>EB48+EC54</f>
        <v>0.87718774377798592</v>
      </c>
      <c r="ED48" s="188">
        <f>EC48+ED54</f>
        <v>0.87968774377798586</v>
      </c>
      <c r="EE48" s="1374">
        <f ca="1">EE36/EE34</f>
        <v>0.87592368893251604</v>
      </c>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row>
    <row r="49" spans="2:238" s="150" customFormat="1" ht="12.75" customHeight="1">
      <c r="B49" s="559" t="s">
        <v>109</v>
      </c>
      <c r="C49" s="130"/>
      <c r="D49" s="130"/>
      <c r="E49" s="131"/>
      <c r="F49" s="131"/>
      <c r="G49" s="131"/>
      <c r="H49" s="131"/>
      <c r="I49" s="131"/>
      <c r="J49" s="131"/>
      <c r="K49" s="126"/>
      <c r="L49" s="127"/>
      <c r="M49" s="127"/>
      <c r="N49" s="132"/>
      <c r="O49" s="131"/>
      <c r="P49" s="126"/>
      <c r="Q49" s="127"/>
      <c r="R49" s="127"/>
      <c r="S49" s="132"/>
      <c r="T49" s="131"/>
      <c r="U49" s="126"/>
      <c r="V49" s="127"/>
      <c r="W49" s="127"/>
      <c r="X49" s="132"/>
      <c r="Y49" s="131"/>
      <c r="Z49" s="126"/>
      <c r="AA49" s="127"/>
      <c r="AB49" s="127"/>
      <c r="AC49" s="132"/>
      <c r="AD49" s="131"/>
      <c r="AE49" s="126"/>
      <c r="AF49" s="127"/>
      <c r="AG49" s="127"/>
      <c r="AH49" s="132"/>
      <c r="AI49" s="131"/>
      <c r="AJ49" s="126"/>
      <c r="AK49" s="127"/>
      <c r="AL49" s="127"/>
      <c r="AM49" s="132"/>
      <c r="AN49" s="131"/>
      <c r="AO49" s="126"/>
      <c r="AP49" s="127"/>
      <c r="AQ49" s="127"/>
      <c r="AR49" s="132"/>
      <c r="AS49" s="131"/>
      <c r="AT49" s="126"/>
      <c r="AU49" s="127"/>
      <c r="AV49" s="127"/>
      <c r="AW49" s="132"/>
      <c r="AX49" s="131"/>
      <c r="AY49" s="126"/>
      <c r="AZ49" s="127"/>
      <c r="BA49" s="127"/>
      <c r="BB49" s="132"/>
      <c r="BC49" s="131"/>
      <c r="BD49" s="126"/>
      <c r="BE49" s="127"/>
      <c r="BF49" s="127"/>
      <c r="BG49" s="132"/>
      <c r="BH49" s="131"/>
      <c r="BI49" s="126"/>
      <c r="BJ49" s="127"/>
      <c r="BK49" s="127"/>
      <c r="BL49" s="132"/>
      <c r="BM49" s="131"/>
      <c r="BN49" s="126"/>
      <c r="BO49" s="127"/>
      <c r="BP49" s="127"/>
      <c r="BQ49" s="132"/>
      <c r="BR49" s="131"/>
      <c r="BS49" s="126"/>
      <c r="BT49" s="127">
        <f>BT48-BO48</f>
        <v>4.9000000000000044E-2</v>
      </c>
      <c r="BU49" s="127">
        <f>BU48-BP48</f>
        <v>4.6000000000000041E-2</v>
      </c>
      <c r="BV49" s="132">
        <f>BV48-BQ48</f>
        <v>4.3000000000000038E-2</v>
      </c>
      <c r="BW49" s="131"/>
      <c r="BX49" s="126">
        <f t="shared" ref="BX49:CU49" si="55">BX48-BS48</f>
        <v>3.1000000000000028E-2</v>
      </c>
      <c r="BY49" s="127">
        <f t="shared" si="55"/>
        <v>2.5999999999999912E-2</v>
      </c>
      <c r="BZ49" s="127">
        <f t="shared" si="55"/>
        <v>2.5999999999999912E-2</v>
      </c>
      <c r="CA49" s="132">
        <f t="shared" si="55"/>
        <v>2.0999999999999908E-2</v>
      </c>
      <c r="CB49" s="131">
        <f t="shared" si="55"/>
        <v>2.6141307903800204E-2</v>
      </c>
      <c r="CC49" s="126">
        <f t="shared" si="55"/>
        <v>2.5999999999999912E-2</v>
      </c>
      <c r="CD49" s="127">
        <f t="shared" si="55"/>
        <v>2.9000000000000026E-2</v>
      </c>
      <c r="CE49" s="127">
        <f t="shared" si="55"/>
        <v>3.1000000000000028E-2</v>
      </c>
      <c r="CF49" s="127">
        <f t="shared" si="55"/>
        <v>3.5000000000000031E-2</v>
      </c>
      <c r="CG49" s="613">
        <f t="shared" si="55"/>
        <v>3.0098223269937163E-2</v>
      </c>
      <c r="CH49" s="127">
        <f t="shared" si="55"/>
        <v>3.2000000000000028E-2</v>
      </c>
      <c r="CI49" s="127">
        <f t="shared" si="55"/>
        <v>2.6000000000000023E-2</v>
      </c>
      <c r="CJ49" s="127">
        <f t="shared" si="55"/>
        <v>2.200000000000002E-2</v>
      </c>
      <c r="CK49" s="127">
        <f t="shared" si="55"/>
        <v>2.200000000000002E-2</v>
      </c>
      <c r="CL49" s="613">
        <f t="shared" si="55"/>
        <v>2.5479112718187258E-2</v>
      </c>
      <c r="CM49" s="127">
        <f t="shared" si="55"/>
        <v>1.4000000000000012E-2</v>
      </c>
      <c r="CN49" s="128">
        <f t="shared" si="55"/>
        <v>3.5000000000000031E-2</v>
      </c>
      <c r="CO49" s="128">
        <f t="shared" si="55"/>
        <v>4.2000000000000037E-2</v>
      </c>
      <c r="CP49" s="128">
        <f t="shared" si="55"/>
        <v>4.2000000000000037E-2</v>
      </c>
      <c r="CQ49" s="613">
        <f>CQ48-CL48</f>
        <v>3.2555119483690942E-2</v>
      </c>
      <c r="CR49" s="127">
        <f t="shared" si="55"/>
        <v>5.1000000000000045E-2</v>
      </c>
      <c r="CS49" s="127">
        <f t="shared" si="55"/>
        <v>3.2999999999999918E-2</v>
      </c>
      <c r="CT49" s="127">
        <f t="shared" si="55"/>
        <v>3.9999999999999925E-2</v>
      </c>
      <c r="CU49" s="127">
        <f t="shared" si="55"/>
        <v>3.0999999999999917E-2</v>
      </c>
      <c r="CV49" s="613">
        <f t="shared" ref="CV49:DQ49" si="56">CV48-CQ48</f>
        <v>3.9530127519948222E-2</v>
      </c>
      <c r="CW49" s="127">
        <f t="shared" si="56"/>
        <v>3.0000000000000027E-3</v>
      </c>
      <c r="CX49" s="127">
        <f t="shared" si="56"/>
        <v>1.5000000000000013E-2</v>
      </c>
      <c r="CY49" s="127">
        <f t="shared" si="56"/>
        <v>1.100000000000001E-2</v>
      </c>
      <c r="CZ49" s="127">
        <f t="shared" si="56"/>
        <v>1.2000000000000011E-2</v>
      </c>
      <c r="DA49" s="613">
        <f t="shared" si="56"/>
        <v>1.0204545806355325E-2</v>
      </c>
      <c r="DB49" s="127">
        <f t="shared" si="56"/>
        <v>2.3899453795902303E-2</v>
      </c>
      <c r="DC49" s="127">
        <f t="shared" si="56"/>
        <v>6.8139609940163215E-3</v>
      </c>
      <c r="DD49" s="127">
        <f t="shared" si="56"/>
        <v>-2.4680350557204633E-3</v>
      </c>
      <c r="DE49" s="127">
        <f t="shared" si="56"/>
        <v>-7.5003110545723839E-4</v>
      </c>
      <c r="DF49" s="613">
        <f t="shared" si="56"/>
        <v>6.8367342890398586E-3</v>
      </c>
      <c r="DG49" s="127">
        <f t="shared" si="56"/>
        <v>9.7331783092369228E-3</v>
      </c>
      <c r="DH49" s="127">
        <f t="shared" si="56"/>
        <v>5.3186711111229412E-3</v>
      </c>
      <c r="DI49" s="127">
        <f t="shared" si="56"/>
        <v>5.1006671608596621E-3</v>
      </c>
      <c r="DJ49" s="127">
        <f t="shared" si="56"/>
        <v>4.882663210596383E-3</v>
      </c>
      <c r="DK49" s="2046">
        <f t="shared" si="56"/>
        <v>6.2466343564888671E-3</v>
      </c>
      <c r="DL49" s="127">
        <f t="shared" si="56"/>
        <v>6.2466343564888671E-3</v>
      </c>
      <c r="DM49" s="127">
        <f t="shared" si="56"/>
        <v>6.2466343564888671E-3</v>
      </c>
      <c r="DN49" s="127">
        <f t="shared" si="56"/>
        <v>6.2466343564888671E-3</v>
      </c>
      <c r="DO49" s="127">
        <f t="shared" si="56"/>
        <v>6.2466343564888671E-3</v>
      </c>
      <c r="DP49" s="2046">
        <f t="shared" ref="DP49:DU49" si="57">DP48-DK48</f>
        <v>6.3084773163583074E-3</v>
      </c>
      <c r="DQ49" s="127">
        <f t="shared" si="56"/>
        <v>6.3084773163583074E-3</v>
      </c>
      <c r="DR49" s="127">
        <f t="shared" si="57"/>
        <v>6.3084773163583074E-3</v>
      </c>
      <c r="DS49" s="127">
        <f t="shared" si="57"/>
        <v>6.3084773163583074E-3</v>
      </c>
      <c r="DT49" s="127">
        <f t="shared" si="57"/>
        <v>6.3084773163583074E-3</v>
      </c>
      <c r="DU49" s="2046">
        <f t="shared" ca="1" si="57"/>
        <v>6.3083980158268327E-3</v>
      </c>
      <c r="DV49" s="127">
        <f t="shared" ref="DV49" si="58">DV48-DQ48</f>
        <v>9.9999999999997868E-3</v>
      </c>
      <c r="DW49" s="127">
        <f t="shared" ref="DW49" si="59">DW48-DR48</f>
        <v>9.9999999999997868E-3</v>
      </c>
      <c r="DX49" s="127">
        <f t="shared" ref="DX49" si="60">DX48-DS48</f>
        <v>9.9999999999997868E-3</v>
      </c>
      <c r="DY49" s="127">
        <f t="shared" ref="DY49" si="61">DY48-DT48</f>
        <v>9.9999999999997868E-3</v>
      </c>
      <c r="DZ49" s="2046">
        <f t="shared" ref="DZ49" ca="1" si="62">DZ48-DU48</f>
        <v>9.9228749919915149E-3</v>
      </c>
      <c r="EA49" s="127">
        <f t="shared" ref="EA49" si="63">EA48-DV48</f>
        <v>9.9999999999997868E-3</v>
      </c>
      <c r="EB49" s="127">
        <f t="shared" ref="EB49" si="64">EB48-DW48</f>
        <v>9.9999999999997868E-3</v>
      </c>
      <c r="EC49" s="127">
        <f t="shared" ref="EC49" si="65">EC48-DX48</f>
        <v>9.9999999999997868E-3</v>
      </c>
      <c r="ED49" s="127">
        <f t="shared" ref="ED49" si="66">ED48-DY48</f>
        <v>9.9999999999997868E-3</v>
      </c>
      <c r="EE49" s="2046">
        <f t="shared" ref="EE49" ca="1" si="67">EE48-DZ48</f>
        <v>1.0004672146711191E-2</v>
      </c>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row>
    <row r="50" spans="2:238" s="150" customFormat="1" ht="12.75" customHeight="1">
      <c r="B50" s="559" t="s">
        <v>252</v>
      </c>
      <c r="C50" s="130"/>
      <c r="D50" s="130"/>
      <c r="E50" s="131"/>
      <c r="F50" s="131"/>
      <c r="G50" s="131"/>
      <c r="H50" s="131"/>
      <c r="I50" s="131"/>
      <c r="J50" s="131"/>
      <c r="K50" s="126"/>
      <c r="L50" s="127"/>
      <c r="M50" s="127"/>
      <c r="N50" s="132"/>
      <c r="O50" s="131"/>
      <c r="P50" s="126"/>
      <c r="Q50" s="127"/>
      <c r="R50" s="127"/>
      <c r="S50" s="132"/>
      <c r="T50" s="131"/>
      <c r="U50" s="126"/>
      <c r="V50" s="127"/>
      <c r="W50" s="127"/>
      <c r="X50" s="132"/>
      <c r="Y50" s="131"/>
      <c r="Z50" s="126"/>
      <c r="AA50" s="127"/>
      <c r="AB50" s="127"/>
      <c r="AC50" s="132"/>
      <c r="AD50" s="131"/>
      <c r="AE50" s="126"/>
      <c r="AF50" s="127"/>
      <c r="AG50" s="127"/>
      <c r="AH50" s="132"/>
      <c r="AI50" s="131"/>
      <c r="AJ50" s="126"/>
      <c r="AK50" s="127"/>
      <c r="AL50" s="127"/>
      <c r="AM50" s="132"/>
      <c r="AN50" s="131"/>
      <c r="AO50" s="126"/>
      <c r="AP50" s="127"/>
      <c r="AQ50" s="127"/>
      <c r="AR50" s="132"/>
      <c r="AS50" s="131"/>
      <c r="AT50" s="126"/>
      <c r="AU50" s="127"/>
      <c r="AV50" s="127"/>
      <c r="AW50" s="132"/>
      <c r="AX50" s="131"/>
      <c r="AY50" s="126"/>
      <c r="AZ50" s="127"/>
      <c r="BA50" s="127"/>
      <c r="BB50" s="132"/>
      <c r="BC50" s="131"/>
      <c r="BD50" s="126"/>
      <c r="BE50" s="127"/>
      <c r="BF50" s="127"/>
      <c r="BG50" s="132"/>
      <c r="BH50" s="131"/>
      <c r="BI50" s="126"/>
      <c r="BJ50" s="127"/>
      <c r="BK50" s="127"/>
      <c r="BL50" s="132"/>
      <c r="BM50" s="131"/>
      <c r="BN50" s="126"/>
      <c r="BO50" s="127"/>
      <c r="BP50" s="127"/>
      <c r="BQ50" s="132"/>
      <c r="BR50" s="131"/>
      <c r="BS50" s="126"/>
      <c r="BT50" s="127"/>
      <c r="BU50" s="127"/>
      <c r="BV50" s="132"/>
      <c r="BW50" s="131"/>
      <c r="BX50" s="126"/>
      <c r="BY50" s="127"/>
      <c r="BZ50" s="127"/>
      <c r="CA50" s="132"/>
      <c r="CB50" s="131"/>
      <c r="CC50" s="126"/>
      <c r="CD50" s="127"/>
      <c r="CE50" s="127"/>
      <c r="CF50" s="127"/>
      <c r="CG50" s="613"/>
      <c r="CH50" s="127"/>
      <c r="CI50" s="127"/>
      <c r="CJ50" s="127"/>
      <c r="CK50" s="129"/>
      <c r="CL50" s="613"/>
      <c r="CM50" s="188">
        <f>CM48-CK48</f>
        <v>-6.0000000000000053E-3</v>
      </c>
      <c r="CN50" s="188">
        <f>CN48-CM48</f>
        <v>3.0000000000000027E-2</v>
      </c>
      <c r="CO50" s="188">
        <f>CO48-CN48</f>
        <v>9.000000000000008E-3</v>
      </c>
      <c r="CP50" s="188">
        <f>CP48-CO48</f>
        <v>9.000000000000008E-3</v>
      </c>
      <c r="CQ50" s="1185"/>
      <c r="CR50" s="188">
        <f>CR48-CP48</f>
        <v>3.0000000000000027E-3</v>
      </c>
      <c r="CS50" s="188">
        <f>CS48-CR48</f>
        <v>1.19999999999999E-2</v>
      </c>
      <c r="CT50" s="188">
        <f>CT48-CS48</f>
        <v>1.6000000000000014E-2</v>
      </c>
      <c r="CU50" s="188">
        <f>CU48-CT48</f>
        <v>0</v>
      </c>
      <c r="CV50" s="1185"/>
      <c r="CW50" s="188">
        <f>CW48-CU48</f>
        <v>-2.4999999999999911E-2</v>
      </c>
      <c r="CX50" s="188">
        <f>CX48-CW48</f>
        <v>2.399999999999991E-2</v>
      </c>
      <c r="CY50" s="188">
        <f>CY48-CX48</f>
        <v>1.2000000000000011E-2</v>
      </c>
      <c r="CZ50" s="188">
        <f>CZ48-CY48</f>
        <v>1.0000000000000009E-3</v>
      </c>
      <c r="DA50" s="1185"/>
      <c r="DB50" s="188">
        <f>DB48-CZ48</f>
        <v>-1.3100546204097618E-2</v>
      </c>
      <c r="DC50" s="188">
        <f>DC48-DB48</f>
        <v>6.9145071981139283E-3</v>
      </c>
      <c r="DD50" s="188">
        <f>DD48-DC48</f>
        <v>2.7180039502632258E-3</v>
      </c>
      <c r="DE50" s="188">
        <f>DE48-DD48</f>
        <v>2.7180039502632258E-3</v>
      </c>
      <c r="DF50" s="831"/>
      <c r="DG50" s="188">
        <f>DG48-DF48</f>
        <v>2.4999999999999467E-3</v>
      </c>
      <c r="DH50" s="188">
        <f>DH48-DG48</f>
        <v>2.4999999999999467E-3</v>
      </c>
      <c r="DI50" s="188">
        <f>DI48-DH48</f>
        <v>2.4999999999999467E-3</v>
      </c>
      <c r="DJ50" s="188">
        <f>DJ48-DI48</f>
        <v>2.4999999999999467E-3</v>
      </c>
      <c r="DK50" s="1374"/>
      <c r="DL50" s="188">
        <f>DL48-DK48</f>
        <v>2.4999999999999467E-3</v>
      </c>
      <c r="DM50" s="188">
        <f>DM48-DL48</f>
        <v>2.4999999999999467E-3</v>
      </c>
      <c r="DN50" s="188">
        <f>DN48-DM48</f>
        <v>2.4999999999999467E-3</v>
      </c>
      <c r="DO50" s="188">
        <f>DO48-DN48</f>
        <v>2.4999999999999467E-3</v>
      </c>
      <c r="DP50" s="1374"/>
      <c r="DQ50" s="188">
        <f>DQ48-DP48</f>
        <v>2.4999999999999467E-3</v>
      </c>
      <c r="DR50" s="188">
        <f>DR48-DQ48</f>
        <v>2.4999999999999467E-3</v>
      </c>
      <c r="DS50" s="188">
        <f>DS48-DR48</f>
        <v>2.4999999999999467E-3</v>
      </c>
      <c r="DT50" s="188">
        <f>DT48-DS48</f>
        <v>2.4999999999999467E-3</v>
      </c>
      <c r="DU50" s="1374"/>
      <c r="DV50" s="188">
        <f ca="1">DV48-DU48</f>
        <v>6.1916019841729009E-3</v>
      </c>
      <c r="DW50" s="188">
        <f>DW48-DV48</f>
        <v>2.4999999999999467E-3</v>
      </c>
      <c r="DX50" s="188">
        <f>DX48-DW48</f>
        <v>2.4999999999999467E-3</v>
      </c>
      <c r="DY50" s="188">
        <f>DY48-DX48</f>
        <v>2.4999999999999467E-3</v>
      </c>
      <c r="DZ50" s="1374"/>
      <c r="EA50" s="188">
        <f ca="1">EA48-DZ48</f>
        <v>6.2687269921811728E-3</v>
      </c>
      <c r="EB50" s="188">
        <f>EB48-EA48</f>
        <v>2.4999999999999467E-3</v>
      </c>
      <c r="EC50" s="188">
        <f>EC48-EB48</f>
        <v>2.4999999999999467E-3</v>
      </c>
      <c r="ED50" s="188">
        <f>ED48-EC48</f>
        <v>2.4999999999999467E-3</v>
      </c>
      <c r="EE50" s="1374"/>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row>
    <row r="51" spans="2:238" s="150" customFormat="1" ht="12.75" customHeight="1">
      <c r="B51" s="559"/>
      <c r="C51" s="130"/>
      <c r="D51" s="130"/>
      <c r="E51" s="131"/>
      <c r="F51" s="131"/>
      <c r="G51" s="131"/>
      <c r="H51" s="131"/>
      <c r="I51" s="131"/>
      <c r="J51" s="131"/>
      <c r="K51" s="126"/>
      <c r="L51" s="127"/>
      <c r="M51" s="127"/>
      <c r="N51" s="132"/>
      <c r="O51" s="131"/>
      <c r="P51" s="126"/>
      <c r="Q51" s="127"/>
      <c r="R51" s="127"/>
      <c r="S51" s="132"/>
      <c r="T51" s="131"/>
      <c r="U51" s="126"/>
      <c r="V51" s="127"/>
      <c r="W51" s="127"/>
      <c r="X51" s="132"/>
      <c r="Y51" s="131"/>
      <c r="Z51" s="126"/>
      <c r="AA51" s="127"/>
      <c r="AB51" s="127"/>
      <c r="AC51" s="132"/>
      <c r="AD51" s="131"/>
      <c r="AE51" s="126"/>
      <c r="AF51" s="127"/>
      <c r="AG51" s="127"/>
      <c r="AH51" s="132"/>
      <c r="AI51" s="131"/>
      <c r="AJ51" s="126"/>
      <c r="AK51" s="127"/>
      <c r="AL51" s="127"/>
      <c r="AM51" s="132"/>
      <c r="AN51" s="131"/>
      <c r="AO51" s="126"/>
      <c r="AP51" s="127"/>
      <c r="AQ51" s="127"/>
      <c r="AR51" s="132"/>
      <c r="AS51" s="131"/>
      <c r="AT51" s="126"/>
      <c r="AU51" s="127"/>
      <c r="AV51" s="127"/>
      <c r="AW51" s="132"/>
      <c r="AX51" s="131"/>
      <c r="AY51" s="126"/>
      <c r="AZ51" s="127"/>
      <c r="BA51" s="127"/>
      <c r="BB51" s="132"/>
      <c r="BC51" s="131"/>
      <c r="BD51" s="126"/>
      <c r="BE51" s="127"/>
      <c r="BF51" s="127"/>
      <c r="BG51" s="132"/>
      <c r="BH51" s="131"/>
      <c r="BI51" s="126"/>
      <c r="BJ51" s="127"/>
      <c r="BK51" s="127"/>
      <c r="BL51" s="132"/>
      <c r="BM51" s="131"/>
      <c r="BN51" s="126"/>
      <c r="BO51" s="127"/>
      <c r="BP51" s="127"/>
      <c r="BQ51" s="132"/>
      <c r="BR51" s="131"/>
      <c r="BS51" s="126"/>
      <c r="BT51" s="127"/>
      <c r="BU51" s="127"/>
      <c r="BV51" s="132"/>
      <c r="BW51" s="131"/>
      <c r="BX51" s="126"/>
      <c r="BY51" s="127"/>
      <c r="BZ51" s="127"/>
      <c r="CA51" s="132"/>
      <c r="CB51" s="131"/>
      <c r="CC51" s="126"/>
      <c r="CD51" s="127"/>
      <c r="CE51" s="127"/>
      <c r="CF51" s="127"/>
      <c r="CG51" s="613"/>
      <c r="CH51" s="127"/>
      <c r="CI51" s="127"/>
      <c r="CJ51" s="127"/>
      <c r="CK51" s="129"/>
      <c r="CL51" s="613"/>
      <c r="CM51" s="188"/>
      <c r="CN51" s="188"/>
      <c r="CO51" s="188"/>
      <c r="CP51" s="188"/>
      <c r="CQ51" s="1185"/>
      <c r="CR51" s="188"/>
      <c r="CS51" s="188"/>
      <c r="CT51" s="188"/>
      <c r="CU51" s="188"/>
      <c r="CV51" s="1185"/>
      <c r="CW51" s="188"/>
      <c r="CX51" s="188"/>
      <c r="CY51" s="188"/>
      <c r="CZ51" s="188"/>
      <c r="DA51" s="1185"/>
      <c r="DB51" s="188"/>
      <c r="DC51" s="188"/>
      <c r="DD51" s="188"/>
      <c r="DE51" s="188"/>
      <c r="DF51" s="831"/>
      <c r="DG51" s="188"/>
      <c r="DH51" s="188"/>
      <c r="DI51" s="188"/>
      <c r="DJ51" s="188"/>
      <c r="DK51" s="1374"/>
      <c r="DL51" s="188"/>
      <c r="DM51" s="188"/>
      <c r="DN51" s="188"/>
      <c r="DO51" s="188"/>
      <c r="DP51" s="1374"/>
      <c r="DQ51" s="188"/>
      <c r="DR51" s="188"/>
      <c r="DS51" s="188"/>
      <c r="DT51" s="188"/>
      <c r="DU51" s="1374"/>
      <c r="DV51" s="188"/>
      <c r="DW51" s="188"/>
      <c r="DX51" s="188"/>
      <c r="DY51" s="188"/>
      <c r="DZ51" s="1374"/>
      <c r="EA51" s="188"/>
      <c r="EB51" s="188"/>
      <c r="EC51" s="188"/>
      <c r="ED51" s="188"/>
      <c r="EE51" s="1374"/>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row>
    <row r="52" spans="2:238" s="150" customFormat="1" ht="12.75" customHeight="1">
      <c r="B52" s="555" t="s">
        <v>251</v>
      </c>
      <c r="C52" s="130"/>
      <c r="D52" s="130"/>
      <c r="E52" s="131"/>
      <c r="F52" s="131"/>
      <c r="G52" s="131"/>
      <c r="H52" s="131"/>
      <c r="I52" s="131"/>
      <c r="J52" s="131"/>
      <c r="K52" s="126"/>
      <c r="L52" s="127"/>
      <c r="M52" s="127"/>
      <c r="N52" s="132"/>
      <c r="O52" s="131"/>
      <c r="P52" s="126"/>
      <c r="Q52" s="127"/>
      <c r="R52" s="127"/>
      <c r="S52" s="132"/>
      <c r="T52" s="131"/>
      <c r="U52" s="126"/>
      <c r="V52" s="127"/>
      <c r="W52" s="127"/>
      <c r="X52" s="132"/>
      <c r="Y52" s="131"/>
      <c r="Z52" s="126"/>
      <c r="AA52" s="127"/>
      <c r="AB52" s="127"/>
      <c r="AC52" s="132"/>
      <c r="AD52" s="131"/>
      <c r="AE52" s="126"/>
      <c r="AF52" s="127"/>
      <c r="AG52" s="127"/>
      <c r="AH52" s="132"/>
      <c r="AI52" s="131"/>
      <c r="AJ52" s="126"/>
      <c r="AK52" s="127"/>
      <c r="AL52" s="127"/>
      <c r="AM52" s="132"/>
      <c r="AN52" s="131"/>
      <c r="AO52" s="126"/>
      <c r="AP52" s="127"/>
      <c r="AQ52" s="127"/>
      <c r="AR52" s="132"/>
      <c r="AS52" s="131"/>
      <c r="AT52" s="126"/>
      <c r="AU52" s="127"/>
      <c r="AV52" s="127"/>
      <c r="AW52" s="132"/>
      <c r="AX52" s="131"/>
      <c r="AY52" s="126"/>
      <c r="AZ52" s="127"/>
      <c r="BA52" s="127"/>
      <c r="BB52" s="132"/>
      <c r="BC52" s="131"/>
      <c r="BD52" s="126"/>
      <c r="BE52" s="127"/>
      <c r="BF52" s="127"/>
      <c r="BG52" s="132"/>
      <c r="BH52" s="131"/>
      <c r="BI52" s="126"/>
      <c r="BJ52" s="127"/>
      <c r="BK52" s="127"/>
      <c r="BL52" s="132"/>
      <c r="BM52" s="131"/>
      <c r="BN52" s="126"/>
      <c r="BO52" s="127"/>
      <c r="BP52" s="127"/>
      <c r="BQ52" s="132"/>
      <c r="BR52" s="131"/>
      <c r="BS52" s="126"/>
      <c r="BT52" s="127"/>
      <c r="BU52" s="127"/>
      <c r="BV52" s="132"/>
      <c r="BW52" s="131"/>
      <c r="BX52" s="126"/>
      <c r="BY52" s="127"/>
      <c r="BZ52" s="127"/>
      <c r="CA52" s="132"/>
      <c r="CB52" s="131"/>
      <c r="CC52" s="126"/>
      <c r="CD52" s="127"/>
      <c r="CE52" s="127"/>
      <c r="CF52" s="127"/>
      <c r="CG52" s="613"/>
      <c r="CH52" s="1184"/>
      <c r="CI52" s="1184"/>
      <c r="CJ52" s="1184">
        <v>0.70480727922039932</v>
      </c>
      <c r="CK52" s="1184">
        <v>0.70928324051945046</v>
      </c>
      <c r="CL52" s="613"/>
      <c r="CM52" s="1184">
        <v>0.71606500009016205</v>
      </c>
      <c r="CN52" s="1184">
        <v>0.72412084406234345</v>
      </c>
      <c r="CO52" s="1184">
        <v>0.73584172296844041</v>
      </c>
      <c r="CP52" s="1184">
        <v>0.74597948001018388</v>
      </c>
      <c r="CQ52" s="1185"/>
      <c r="CR52" s="1184">
        <v>0.75578216898602624</v>
      </c>
      <c r="CS52" s="1184">
        <v>0.75862466814405161</v>
      </c>
      <c r="CT52" s="1184">
        <v>0.7605836132835786</v>
      </c>
      <c r="CU52" s="1184">
        <v>0.76198316049704096</v>
      </c>
      <c r="CV52" s="1185"/>
      <c r="CW52" s="1184">
        <v>0.76419402922480673</v>
      </c>
      <c r="CX52" s="1184">
        <v>0.7695616375534643</v>
      </c>
      <c r="CY52" s="1184">
        <v>0.77671135244086575</v>
      </c>
      <c r="CZ52" s="1184">
        <v>0.78459002169333492</v>
      </c>
      <c r="DA52" s="1185"/>
      <c r="DB52" s="1184">
        <v>0.78648947548923731</v>
      </c>
      <c r="DC52" s="1525">
        <f>DB52+DB54</f>
        <v>0.78838892928513971</v>
      </c>
      <c r="DD52" s="1525">
        <f t="shared" ref="DD52:DE52" si="68">DC52+DC54</f>
        <v>0.79030343648325363</v>
      </c>
      <c r="DE52" s="1525">
        <f t="shared" si="68"/>
        <v>0.79302144043351686</v>
      </c>
      <c r="DF52" s="2127"/>
      <c r="DG52" s="1525">
        <f>DE52+DE54</f>
        <v>0.79573944438378008</v>
      </c>
      <c r="DH52" s="1525">
        <f>DF52+DF54</f>
        <v>0</v>
      </c>
      <c r="DI52" s="1525">
        <f>DG52+DG54</f>
        <v>0.79823944438378003</v>
      </c>
      <c r="DJ52" s="1525">
        <f>DH52+DH54</f>
        <v>2.5000000000000001E-3</v>
      </c>
      <c r="DK52" s="2128"/>
      <c r="DL52" s="1525">
        <f>DJ52+DJ54</f>
        <v>5.0000000000000001E-3</v>
      </c>
      <c r="DM52" s="1525">
        <f>DK52+DK54</f>
        <v>0</v>
      </c>
      <c r="DN52" s="1525">
        <f>DL52+DL54</f>
        <v>7.4999999999999997E-3</v>
      </c>
      <c r="DO52" s="1525">
        <f>DM52+DM54</f>
        <v>2.5000000000000001E-3</v>
      </c>
      <c r="DP52" s="2046"/>
      <c r="DQ52" s="1525">
        <f>DO52+DO54</f>
        <v>5.0000000000000001E-3</v>
      </c>
      <c r="DR52" s="1525">
        <f>DQ52+DQ54</f>
        <v>7.4999999999999997E-3</v>
      </c>
      <c r="DS52" s="1525">
        <f t="shared" ref="DS52:DT52" si="69">DR52+DR54</f>
        <v>0.01</v>
      </c>
      <c r="DT52" s="1525">
        <f t="shared" si="69"/>
        <v>1.2500000000000001E-2</v>
      </c>
      <c r="DU52" s="1375"/>
      <c r="DV52" s="1525">
        <f>DT52+DT54</f>
        <v>1.5000000000000001E-2</v>
      </c>
      <c r="DW52" s="1525">
        <f>DV52+DV54</f>
        <v>1.7500000000000002E-2</v>
      </c>
      <c r="DX52" s="1525">
        <f t="shared" ref="DX52" si="70">DW52+DW54</f>
        <v>0.02</v>
      </c>
      <c r="DY52" s="1525">
        <f t="shared" ref="DY52" si="71">DX52+DX54</f>
        <v>2.2499999999999999E-2</v>
      </c>
      <c r="DZ52" s="1375"/>
      <c r="EA52" s="1525">
        <f>DY52+DY54</f>
        <v>2.4999999999999998E-2</v>
      </c>
      <c r="EB52" s="1525">
        <f>EA52+EA54</f>
        <v>2.7499999999999997E-2</v>
      </c>
      <c r="EC52" s="1525">
        <f t="shared" ref="EC52" si="72">EB52+EB54</f>
        <v>2.9999999999999995E-2</v>
      </c>
      <c r="ED52" s="1525">
        <f t="shared" ref="ED52" si="73">EC52+EC54</f>
        <v>3.2499999999999994E-2</v>
      </c>
      <c r="EE52" s="1375"/>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row>
    <row r="53" spans="2:238" s="150" customFormat="1" ht="12.75" customHeight="1">
      <c r="B53" s="559" t="s">
        <v>109</v>
      </c>
      <c r="C53" s="130"/>
      <c r="D53" s="130"/>
      <c r="E53" s="131"/>
      <c r="F53" s="131"/>
      <c r="G53" s="131"/>
      <c r="H53" s="131"/>
      <c r="I53" s="131"/>
      <c r="J53" s="131"/>
      <c r="K53" s="126"/>
      <c r="L53" s="127"/>
      <c r="M53" s="127"/>
      <c r="N53" s="132"/>
      <c r="O53" s="131"/>
      <c r="P53" s="126"/>
      <c r="Q53" s="127"/>
      <c r="R53" s="127"/>
      <c r="S53" s="132"/>
      <c r="T53" s="131"/>
      <c r="U53" s="126"/>
      <c r="V53" s="127"/>
      <c r="W53" s="127"/>
      <c r="X53" s="132"/>
      <c r="Y53" s="131"/>
      <c r="Z53" s="126"/>
      <c r="AA53" s="127"/>
      <c r="AB53" s="127"/>
      <c r="AC53" s="132"/>
      <c r="AD53" s="131"/>
      <c r="AE53" s="126"/>
      <c r="AF53" s="127"/>
      <c r="AG53" s="127"/>
      <c r="AH53" s="132"/>
      <c r="AI53" s="131"/>
      <c r="AJ53" s="126"/>
      <c r="AK53" s="127"/>
      <c r="AL53" s="127"/>
      <c r="AM53" s="132"/>
      <c r="AN53" s="131"/>
      <c r="AO53" s="126"/>
      <c r="AP53" s="127"/>
      <c r="AQ53" s="127"/>
      <c r="AR53" s="132"/>
      <c r="AS53" s="131"/>
      <c r="AT53" s="126"/>
      <c r="AU53" s="127"/>
      <c r="AV53" s="127"/>
      <c r="AW53" s="132"/>
      <c r="AX53" s="131"/>
      <c r="AY53" s="126"/>
      <c r="AZ53" s="127"/>
      <c r="BA53" s="127"/>
      <c r="BB53" s="132"/>
      <c r="BC53" s="131"/>
      <c r="BD53" s="126"/>
      <c r="BE53" s="127"/>
      <c r="BF53" s="127"/>
      <c r="BG53" s="132"/>
      <c r="BH53" s="131"/>
      <c r="BI53" s="126"/>
      <c r="BJ53" s="127"/>
      <c r="BK53" s="127"/>
      <c r="BL53" s="132"/>
      <c r="BM53" s="131"/>
      <c r="BN53" s="126"/>
      <c r="BO53" s="127"/>
      <c r="BP53" s="127"/>
      <c r="BQ53" s="132"/>
      <c r="BR53" s="131"/>
      <c r="BS53" s="126"/>
      <c r="BT53" s="127"/>
      <c r="BU53" s="127"/>
      <c r="BV53" s="132"/>
      <c r="BW53" s="131"/>
      <c r="BX53" s="126"/>
      <c r="BY53" s="127"/>
      <c r="BZ53" s="127"/>
      <c r="CA53" s="132"/>
      <c r="CB53" s="131"/>
      <c r="CC53" s="126"/>
      <c r="CD53" s="127"/>
      <c r="CE53" s="127"/>
      <c r="CF53" s="127"/>
      <c r="CG53" s="613"/>
      <c r="CH53" s="127"/>
      <c r="CI53" s="127"/>
      <c r="CJ53" s="127"/>
      <c r="CK53" s="129"/>
      <c r="CL53" s="613"/>
      <c r="CM53" s="188"/>
      <c r="CN53" s="188"/>
      <c r="CO53" s="188">
        <f>CO52-CJ52</f>
        <v>3.1034443748041096E-2</v>
      </c>
      <c r="CP53" s="188">
        <f>CP52-CK52</f>
        <v>3.6696239490733418E-2</v>
      </c>
      <c r="CQ53" s="1185"/>
      <c r="CR53" s="188">
        <f>CR52-CM52</f>
        <v>3.9717168895864186E-2</v>
      </c>
      <c r="CS53" s="188">
        <f>CS52-CN52</f>
        <v>3.4503824081708157E-2</v>
      </c>
      <c r="CT53" s="188">
        <f>CT52-CO52</f>
        <v>2.4741890315138182E-2</v>
      </c>
      <c r="CU53" s="188">
        <f>CU52-CP52</f>
        <v>1.6003680486857075E-2</v>
      </c>
      <c r="CV53" s="1185"/>
      <c r="CW53" s="188">
        <f>CW52-CR52</f>
        <v>8.4118602387804886E-3</v>
      </c>
      <c r="CX53" s="188">
        <f>CX52-CS52</f>
        <v>1.0936969409412689E-2</v>
      </c>
      <c r="CY53" s="188">
        <f>CY52-CT52</f>
        <v>1.6127739157287158E-2</v>
      </c>
      <c r="CZ53" s="188">
        <f>CZ52-CU52</f>
        <v>2.2606861196293959E-2</v>
      </c>
      <c r="DA53" s="1185"/>
      <c r="DB53" s="188">
        <f>DB52-CW52</f>
        <v>2.2295446264430585E-2</v>
      </c>
      <c r="DC53" s="188">
        <f>DC52-CX52</f>
        <v>1.8827291731675411E-2</v>
      </c>
      <c r="DD53" s="188">
        <f>DD52-CY52</f>
        <v>1.3592084042387875E-2</v>
      </c>
      <c r="DE53" s="188">
        <f>DE52-CZ52</f>
        <v>8.4314187401819396E-3</v>
      </c>
      <c r="DF53" s="831"/>
      <c r="DG53" s="188">
        <f>DG52-DB52</f>
        <v>9.2499688945427705E-3</v>
      </c>
      <c r="DH53" s="188">
        <f>DH52-DC52</f>
        <v>-0.78838892928513971</v>
      </c>
      <c r="DI53" s="188">
        <f>DI52-DD52</f>
        <v>7.9360079005263984E-3</v>
      </c>
      <c r="DJ53" s="188">
        <f>DJ52-DE52</f>
        <v>-0.79052144043351691</v>
      </c>
      <c r="DK53" s="1374"/>
      <c r="DL53" s="188">
        <f>DL52-DG52</f>
        <v>-0.79073944438378008</v>
      </c>
      <c r="DM53" s="188">
        <f>DM52-DH52</f>
        <v>0</v>
      </c>
      <c r="DN53" s="188">
        <f>DN52-DI52</f>
        <v>-0.79073944438378008</v>
      </c>
      <c r="DO53" s="188">
        <f>DO52-DJ52</f>
        <v>0</v>
      </c>
      <c r="DP53" s="1374"/>
      <c r="DQ53" s="188">
        <f>DQ52-DL52</f>
        <v>0</v>
      </c>
      <c r="DR53" s="188">
        <f>DR52-DM52</f>
        <v>7.4999999999999997E-3</v>
      </c>
      <c r="DS53" s="188">
        <f>DS52-DN52</f>
        <v>2.5000000000000005E-3</v>
      </c>
      <c r="DT53" s="188">
        <f>DT52-DO52</f>
        <v>0.01</v>
      </c>
      <c r="DU53" s="1374"/>
      <c r="DV53" s="188">
        <f>DV52-DQ52</f>
        <v>1.0000000000000002E-2</v>
      </c>
      <c r="DW53" s="188">
        <f>DW52-DR52</f>
        <v>1.0000000000000002E-2</v>
      </c>
      <c r="DX53" s="188">
        <f>DX52-DS52</f>
        <v>0.01</v>
      </c>
      <c r="DY53" s="188">
        <f>DY52-DT52</f>
        <v>9.9999999999999985E-3</v>
      </c>
      <c r="DZ53" s="1374"/>
      <c r="EA53" s="188">
        <f>EA52-DV52</f>
        <v>9.9999999999999967E-3</v>
      </c>
      <c r="EB53" s="188">
        <f>EB52-DW52</f>
        <v>9.999999999999995E-3</v>
      </c>
      <c r="EC53" s="188">
        <f>EC52-DX52</f>
        <v>9.999999999999995E-3</v>
      </c>
      <c r="ED53" s="188">
        <f>ED52-DY52</f>
        <v>9.999999999999995E-3</v>
      </c>
      <c r="EE53" s="1374"/>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row>
    <row r="54" spans="2:238" s="150" customFormat="1" ht="12.75" customHeight="1">
      <c r="B54" s="559" t="s">
        <v>252</v>
      </c>
      <c r="C54" s="130"/>
      <c r="D54" s="130"/>
      <c r="E54" s="131"/>
      <c r="F54" s="131"/>
      <c r="G54" s="131"/>
      <c r="H54" s="131"/>
      <c r="I54" s="131"/>
      <c r="J54" s="131"/>
      <c r="K54" s="126"/>
      <c r="L54" s="127"/>
      <c r="M54" s="127"/>
      <c r="N54" s="132"/>
      <c r="O54" s="131"/>
      <c r="P54" s="126"/>
      <c r="Q54" s="127"/>
      <c r="R54" s="127"/>
      <c r="S54" s="132"/>
      <c r="T54" s="131"/>
      <c r="U54" s="126"/>
      <c r="V54" s="127"/>
      <c r="W54" s="127"/>
      <c r="X54" s="132"/>
      <c r="Y54" s="131"/>
      <c r="Z54" s="126"/>
      <c r="AA54" s="127"/>
      <c r="AB54" s="127"/>
      <c r="AC54" s="132"/>
      <c r="AD54" s="131"/>
      <c r="AE54" s="126"/>
      <c r="AF54" s="127"/>
      <c r="AG54" s="127"/>
      <c r="AH54" s="132"/>
      <c r="AI54" s="131"/>
      <c r="AJ54" s="126"/>
      <c r="AK54" s="127"/>
      <c r="AL54" s="127"/>
      <c r="AM54" s="132"/>
      <c r="AN54" s="131"/>
      <c r="AO54" s="126"/>
      <c r="AP54" s="127"/>
      <c r="AQ54" s="127"/>
      <c r="AR54" s="132"/>
      <c r="AS54" s="131"/>
      <c r="AT54" s="126"/>
      <c r="AU54" s="127"/>
      <c r="AV54" s="127"/>
      <c r="AW54" s="132"/>
      <c r="AX54" s="131"/>
      <c r="AY54" s="126"/>
      <c r="AZ54" s="127"/>
      <c r="BA54" s="127"/>
      <c r="BB54" s="132"/>
      <c r="BC54" s="131"/>
      <c r="BD54" s="126"/>
      <c r="BE54" s="127"/>
      <c r="BF54" s="127"/>
      <c r="BG54" s="132"/>
      <c r="BH54" s="131"/>
      <c r="BI54" s="126"/>
      <c r="BJ54" s="127"/>
      <c r="BK54" s="127"/>
      <c r="BL54" s="132"/>
      <c r="BM54" s="131"/>
      <c r="BN54" s="126"/>
      <c r="BO54" s="127"/>
      <c r="BP54" s="127"/>
      <c r="BQ54" s="132"/>
      <c r="BR54" s="131"/>
      <c r="BS54" s="126"/>
      <c r="BT54" s="127"/>
      <c r="BU54" s="127"/>
      <c r="BV54" s="132"/>
      <c r="BW54" s="131"/>
      <c r="BX54" s="126"/>
      <c r="BY54" s="127"/>
      <c r="BZ54" s="127"/>
      <c r="CA54" s="132"/>
      <c r="CB54" s="131"/>
      <c r="CC54" s="126"/>
      <c r="CD54" s="127"/>
      <c r="CE54" s="127"/>
      <c r="CF54" s="127"/>
      <c r="CG54" s="613"/>
      <c r="CH54" s="127"/>
      <c r="CI54" s="127"/>
      <c r="CJ54" s="127"/>
      <c r="CK54" s="129"/>
      <c r="CL54" s="613"/>
      <c r="CM54" s="1506"/>
      <c r="CN54" s="1506"/>
      <c r="CO54" s="1506"/>
      <c r="CP54" s="1506"/>
      <c r="CQ54" s="1185"/>
      <c r="CR54" s="1506">
        <v>9.8026889758423275E-3</v>
      </c>
      <c r="CS54" s="1506">
        <v>-3.6856013885862862E-2</v>
      </c>
      <c r="CT54" s="1506">
        <v>1.9589451395270185E-3</v>
      </c>
      <c r="CU54" s="1506">
        <v>1.3995472134623946E-3</v>
      </c>
      <c r="CV54" s="1505"/>
      <c r="CW54" s="1506">
        <v>2.2108687277657829E-3</v>
      </c>
      <c r="CX54" s="1506">
        <v>5.3676083286575971E-3</v>
      </c>
      <c r="CY54" s="1506">
        <v>7.1497148874014316E-3</v>
      </c>
      <c r="CZ54" s="1506">
        <v>7.8786692524691337E-3</v>
      </c>
      <c r="DA54" s="1505"/>
      <c r="DB54" s="1724">
        <v>1.8994537959023949E-3</v>
      </c>
      <c r="DC54" s="1724">
        <v>1.9145071981139447E-3</v>
      </c>
      <c r="DD54" s="1724">
        <v>2.718003950263264E-3</v>
      </c>
      <c r="DE54" s="1724">
        <v>2.718003950263264E-3</v>
      </c>
      <c r="DF54" s="831"/>
      <c r="DG54" s="1724">
        <v>2.5000000000000001E-3</v>
      </c>
      <c r="DH54" s="1724">
        <v>2.5000000000000001E-3</v>
      </c>
      <c r="DI54" s="1724">
        <v>2.5000000000000001E-3</v>
      </c>
      <c r="DJ54" s="1724">
        <v>2.5000000000000001E-3</v>
      </c>
      <c r="DK54" s="1900"/>
      <c r="DL54" s="1724">
        <v>2.5000000000000001E-3</v>
      </c>
      <c r="DM54" s="1724">
        <v>2.5000000000000001E-3</v>
      </c>
      <c r="DN54" s="1724">
        <v>2.5000000000000001E-3</v>
      </c>
      <c r="DO54" s="1724">
        <v>2.5000000000000001E-3</v>
      </c>
      <c r="DP54" s="1374"/>
      <c r="DQ54" s="2345">
        <v>2.5000000000000001E-3</v>
      </c>
      <c r="DR54" s="1724">
        <v>2.5000000000000001E-3</v>
      </c>
      <c r="DS54" s="1724">
        <v>2.5000000000000001E-3</v>
      </c>
      <c r="DT54" s="1724">
        <v>2.5000000000000001E-3</v>
      </c>
      <c r="DU54" s="1374"/>
      <c r="DV54" s="1724">
        <v>2.5000000000000001E-3</v>
      </c>
      <c r="DW54" s="1724">
        <v>2.5000000000000001E-3</v>
      </c>
      <c r="DX54" s="1724">
        <v>2.5000000000000001E-3</v>
      </c>
      <c r="DY54" s="1724">
        <v>2.5000000000000001E-3</v>
      </c>
      <c r="DZ54" s="1374"/>
      <c r="EA54" s="1724">
        <v>2.5000000000000001E-3</v>
      </c>
      <c r="EB54" s="1724">
        <v>2.5000000000000001E-3</v>
      </c>
      <c r="EC54" s="1724">
        <v>2.5000000000000001E-3</v>
      </c>
      <c r="ED54" s="1724">
        <v>2.5000000000000001E-3</v>
      </c>
      <c r="EE54" s="137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row>
    <row r="55" spans="2:238" s="150" customFormat="1" ht="12.75" customHeight="1">
      <c r="B55" s="559"/>
      <c r="C55" s="130"/>
      <c r="D55" s="130"/>
      <c r="E55" s="131"/>
      <c r="F55" s="131"/>
      <c r="G55" s="131"/>
      <c r="H55" s="131"/>
      <c r="I55" s="131"/>
      <c r="J55" s="131"/>
      <c r="K55" s="126"/>
      <c r="L55" s="127"/>
      <c r="M55" s="127"/>
      <c r="N55" s="132"/>
      <c r="O55" s="131"/>
      <c r="P55" s="126"/>
      <c r="Q55" s="127"/>
      <c r="R55" s="127"/>
      <c r="S55" s="132"/>
      <c r="T55" s="131"/>
      <c r="U55" s="126"/>
      <c r="V55" s="127"/>
      <c r="W55" s="127"/>
      <c r="X55" s="132"/>
      <c r="Y55" s="131"/>
      <c r="Z55" s="126"/>
      <c r="AA55" s="127"/>
      <c r="AB55" s="127"/>
      <c r="AC55" s="132"/>
      <c r="AD55" s="131"/>
      <c r="AE55" s="126"/>
      <c r="AF55" s="127"/>
      <c r="AG55" s="127"/>
      <c r="AH55" s="132"/>
      <c r="AI55" s="131"/>
      <c r="AJ55" s="126"/>
      <c r="AK55" s="127"/>
      <c r="AL55" s="127"/>
      <c r="AM55" s="132"/>
      <c r="AN55" s="131"/>
      <c r="AO55" s="126"/>
      <c r="AP55" s="127"/>
      <c r="AQ55" s="127"/>
      <c r="AR55" s="132"/>
      <c r="AS55" s="131"/>
      <c r="AT55" s="126"/>
      <c r="AU55" s="127"/>
      <c r="AV55" s="127"/>
      <c r="AW55" s="132"/>
      <c r="AX55" s="131"/>
      <c r="AY55" s="126"/>
      <c r="AZ55" s="127"/>
      <c r="BA55" s="127"/>
      <c r="BB55" s="132"/>
      <c r="BC55" s="131"/>
      <c r="BD55" s="126"/>
      <c r="BE55" s="127"/>
      <c r="BF55" s="127"/>
      <c r="BG55" s="132"/>
      <c r="BH55" s="131"/>
      <c r="BI55" s="126"/>
      <c r="BJ55" s="127"/>
      <c r="BK55" s="127"/>
      <c r="BL55" s="132"/>
      <c r="BM55" s="131"/>
      <c r="BN55" s="126"/>
      <c r="BO55" s="127"/>
      <c r="BP55" s="127"/>
      <c r="BQ55" s="132"/>
      <c r="BR55" s="131"/>
      <c r="BS55" s="126"/>
      <c r="BT55" s="127"/>
      <c r="BU55" s="127"/>
      <c r="BV55" s="132"/>
      <c r="BW55" s="131"/>
      <c r="BX55" s="126"/>
      <c r="BY55" s="127"/>
      <c r="BZ55" s="127"/>
      <c r="CA55" s="132"/>
      <c r="CB55" s="131"/>
      <c r="CC55" s="126"/>
      <c r="CD55" s="127"/>
      <c r="CE55" s="127"/>
      <c r="CF55" s="127"/>
      <c r="CG55" s="613"/>
      <c r="CH55" s="127"/>
      <c r="CI55" s="127"/>
      <c r="CJ55" s="127"/>
      <c r="CK55" s="129"/>
      <c r="CL55" s="613"/>
      <c r="CM55" s="1184"/>
      <c r="CN55" s="1184"/>
      <c r="CO55" s="1184"/>
      <c r="CP55" s="1184"/>
      <c r="CQ55" s="1185"/>
      <c r="CR55" s="1184"/>
      <c r="CS55" s="1184"/>
      <c r="CT55" s="1184"/>
      <c r="CU55" s="1184"/>
      <c r="CV55" s="837"/>
      <c r="CW55" s="1184"/>
      <c r="CX55" s="1184"/>
      <c r="CY55" s="1184"/>
      <c r="CZ55" s="1184"/>
      <c r="DA55" s="837"/>
      <c r="DB55" s="1184"/>
      <c r="DC55" s="188"/>
      <c r="DD55" s="188"/>
      <c r="DE55" s="188"/>
      <c r="DF55" s="837"/>
      <c r="DG55" s="188"/>
      <c r="DH55" s="188"/>
      <c r="DI55" s="188"/>
      <c r="DJ55" s="188"/>
      <c r="DK55" s="1374"/>
      <c r="DL55" s="188"/>
      <c r="DM55" s="188"/>
      <c r="DN55" s="188"/>
      <c r="DO55" s="188"/>
      <c r="DP55" s="1374"/>
      <c r="DQ55" s="188"/>
      <c r="DR55" s="188"/>
      <c r="DS55" s="188"/>
      <c r="DT55" s="188"/>
      <c r="DU55" s="1374"/>
      <c r="DV55" s="188"/>
      <c r="DW55" s="188"/>
      <c r="DX55" s="188"/>
      <c r="DY55" s="188"/>
      <c r="DZ55" s="1374"/>
      <c r="EA55" s="188"/>
      <c r="EB55" s="188"/>
      <c r="EC55" s="188"/>
      <c r="ED55" s="188"/>
      <c r="EE55" s="1374"/>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row>
    <row r="56" spans="2:238" s="161" customFormat="1" ht="12.75" customHeight="1">
      <c r="B56" s="555" t="s">
        <v>344</v>
      </c>
      <c r="C56" s="62"/>
      <c r="D56" s="62"/>
      <c r="E56" s="62"/>
      <c r="F56" s="62"/>
      <c r="G56" s="62"/>
      <c r="H56" s="62"/>
      <c r="I56" s="62"/>
      <c r="J56" s="62"/>
      <c r="K56" s="140"/>
      <c r="L56" s="76"/>
      <c r="M56" s="76"/>
      <c r="N56" s="141"/>
      <c r="O56" s="62"/>
      <c r="P56" s="140"/>
      <c r="Q56" s="76"/>
      <c r="R56" s="76"/>
      <c r="S56" s="141"/>
      <c r="T56" s="62"/>
      <c r="U56" s="140"/>
      <c r="V56" s="76"/>
      <c r="W56" s="76"/>
      <c r="X56" s="141"/>
      <c r="Y56" s="62"/>
      <c r="Z56" s="140"/>
      <c r="AA56" s="76"/>
      <c r="AB56" s="76"/>
      <c r="AC56" s="141"/>
      <c r="AD56" s="62"/>
      <c r="AE56" s="140"/>
      <c r="AF56" s="76"/>
      <c r="AG56" s="76"/>
      <c r="AH56" s="141"/>
      <c r="AI56" s="62"/>
      <c r="AJ56" s="140"/>
      <c r="AK56" s="76"/>
      <c r="AL56" s="76"/>
      <c r="AM56" s="141"/>
      <c r="AN56" s="62"/>
      <c r="AO56" s="140"/>
      <c r="AP56" s="76"/>
      <c r="AQ56" s="76"/>
      <c r="AR56" s="141"/>
      <c r="AS56" s="62"/>
      <c r="AT56" s="140"/>
      <c r="AU56" s="76"/>
      <c r="AV56" s="76"/>
      <c r="AW56" s="141"/>
      <c r="AX56" s="62"/>
      <c r="AY56" s="140"/>
      <c r="AZ56" s="76"/>
      <c r="BA56" s="76"/>
      <c r="BB56" s="141"/>
      <c r="BC56" s="62"/>
      <c r="BD56" s="140"/>
      <c r="BE56" s="76"/>
      <c r="BF56" s="76"/>
      <c r="BG56" s="141"/>
      <c r="BH56" s="62"/>
      <c r="BI56" s="140"/>
      <c r="BJ56" s="76"/>
      <c r="BK56" s="76"/>
      <c r="BL56" s="141"/>
      <c r="BM56" s="62"/>
      <c r="BN56" s="140"/>
      <c r="BO56" s="76"/>
      <c r="BP56" s="76"/>
      <c r="BQ56" s="141"/>
      <c r="BR56" s="62"/>
      <c r="BS56" s="140">
        <f>BS34-BS42</f>
        <v>165.798</v>
      </c>
      <c r="BT56" s="76">
        <f>BT34-BT42</f>
        <v>172.386</v>
      </c>
      <c r="BU56" s="76">
        <f>BU34-BU42</f>
        <v>173</v>
      </c>
      <c r="BV56" s="141">
        <f>BV34-BV42</f>
        <v>165.798</v>
      </c>
      <c r="BW56" s="62"/>
      <c r="BX56" s="140">
        <f>BX34-BX42</f>
        <v>4.7150300000000129</v>
      </c>
      <c r="BY56" s="76">
        <f>BY34-BY42</f>
        <v>1.3737879999999905</v>
      </c>
      <c r="BZ56" s="76">
        <f>BZ34-BZ42</f>
        <v>5.5230000000000246</v>
      </c>
      <c r="CA56" s="141">
        <f>CA34-CA42</f>
        <v>6.4199179999999956</v>
      </c>
      <c r="CB56" s="62">
        <f>SUM(BX56:CA56)</f>
        <v>18.031736000000024</v>
      </c>
      <c r="CC56" s="140">
        <f>CC34-CC42</f>
        <v>5.0839999999999748</v>
      </c>
      <c r="CD56" s="76">
        <f>CD34-CD42</f>
        <v>4.8460000000000036</v>
      </c>
      <c r="CE56" s="76">
        <f>CE34-CE42</f>
        <v>6.3250000000000171</v>
      </c>
      <c r="CF56" s="76">
        <f>CF34-CF42</f>
        <v>7.0270000000000152</v>
      </c>
      <c r="CG56" s="802">
        <f>SUM(CC56:CF56)</f>
        <v>23.282000000000011</v>
      </c>
      <c r="CH56" s="76">
        <f>CH34-CH42</f>
        <v>4.1200000000000045</v>
      </c>
      <c r="CI56" s="76">
        <f>CI34-CI42</f>
        <v>4.3600000000000136</v>
      </c>
      <c r="CJ56" s="76">
        <f>CJ34-CJ42</f>
        <v>2.8919999999999959</v>
      </c>
      <c r="CK56" s="76">
        <f>CK34-CK42</f>
        <v>1.4039999999999964</v>
      </c>
      <c r="CL56" s="802">
        <f>SUM(CH56:CK56)</f>
        <v>12.77600000000001</v>
      </c>
      <c r="CM56" s="829">
        <f>CM34-CM42</f>
        <v>2.3640000000000043</v>
      </c>
      <c r="CN56" s="829">
        <f>CN34-CN42</f>
        <v>1.0450000000000159</v>
      </c>
      <c r="CO56" s="829">
        <f>CO34-CO42</f>
        <v>1.1099999999999852</v>
      </c>
      <c r="CP56" s="829">
        <f>CP34-CP42</f>
        <v>2.1599999999999966</v>
      </c>
      <c r="CQ56" s="825">
        <f>SUM(CM56:CP56)</f>
        <v>6.679000000000002</v>
      </c>
      <c r="CR56" s="829">
        <f>CR34-CR42</f>
        <v>2.9840000000000089</v>
      </c>
      <c r="CS56" s="829">
        <f>CS34-CS42</f>
        <v>3.5720000000000027</v>
      </c>
      <c r="CT56" s="829">
        <f>CT34-CT42</f>
        <v>3.367999999999995</v>
      </c>
      <c r="CU56" s="829">
        <f ca="1">CU61*CU57*13/1000000</f>
        <v>3.0263188405797052</v>
      </c>
      <c r="CV56" s="948">
        <f ca="1">SUM(CR56:CU56)</f>
        <v>12.950318840579712</v>
      </c>
      <c r="CW56" s="829">
        <f>CW34-CW42</f>
        <v>0.9450000000000216</v>
      </c>
      <c r="CX56" s="829">
        <f>CX34-CX42</f>
        <v>1.4240000000000066</v>
      </c>
      <c r="CY56" s="829">
        <f>CY34-CY42</f>
        <v>0.4310000000000116</v>
      </c>
      <c r="CZ56" s="829">
        <f>CZ34-CZ42</f>
        <v>0.57800000000003138</v>
      </c>
      <c r="DA56" s="1275">
        <f>SUM(CW56:CZ56)</f>
        <v>3.3780000000000712</v>
      </c>
      <c r="DB56" s="829">
        <f>DB34-DB42</f>
        <v>0.42600000000001614</v>
      </c>
      <c r="DC56" s="829">
        <f ca="1">DC61*DC57*13/1000000</f>
        <v>0.32317241379311568</v>
      </c>
      <c r="DD56" s="829">
        <f ca="1">DD61*DD57*13/1000000</f>
        <v>0.33786206896553</v>
      </c>
      <c r="DE56" s="829">
        <f ca="1">DE61*DE57*13/1000000</f>
        <v>-0.49944827586208784</v>
      </c>
      <c r="DF56" s="1275">
        <f ca="1">SUM(DB56:DE56)</f>
        <v>0.58758620689657393</v>
      </c>
      <c r="DG56" s="829">
        <f ca="1">DG61*DG57*13/1000000</f>
        <v>-0.54351724137933088</v>
      </c>
      <c r="DH56" s="829">
        <f ca="1">DH61*DH57*13/1000000</f>
        <v>-0.58758620689657381</v>
      </c>
      <c r="DI56" s="829">
        <f ca="1">DI61*DI57*13/1000000</f>
        <v>-0.60227586206898842</v>
      </c>
      <c r="DJ56" s="829">
        <f ca="1">DJ61*DJ57*13/1000000</f>
        <v>2.9379310344828696E-2</v>
      </c>
      <c r="DK56" s="1376">
        <f ca="1">SUM(DG56:DJ56)</f>
        <v>-1.7040000000000644</v>
      </c>
      <c r="DL56" s="829">
        <f ca="1">DL61*DL57*13/1000000</f>
        <v>-0.10282758620690045</v>
      </c>
      <c r="DM56" s="829">
        <f ca="1">DM61*DM57*13/1000000</f>
        <v>-0.96951724137934703</v>
      </c>
      <c r="DN56" s="829">
        <f ca="1">DN61*DN57*13/1000000</f>
        <v>-0.896068965517275</v>
      </c>
      <c r="DO56" s="829">
        <f ca="1">DO61*DO57*13/1000000</f>
        <v>-0.96951724137934681</v>
      </c>
      <c r="DP56" s="1376">
        <f ca="1">SUM(DL56:DO56)</f>
        <v>-2.9379310344828693</v>
      </c>
      <c r="DQ56" s="829">
        <f ca="1">DQ61*DQ57*13/1000000</f>
        <v>0.23503448275862954</v>
      </c>
      <c r="DR56" s="829">
        <f ca="1">DR61*DR57*13/1000000</f>
        <v>25.354344827587163</v>
      </c>
      <c r="DS56" s="829">
        <f ca="1">DS61*DS57*13/1000000</f>
        <v>29.305862068966618</v>
      </c>
      <c r="DT56" s="829">
        <f>DT61*DT57*13/1000000</f>
        <v>19.666399999999999</v>
      </c>
      <c r="DU56" s="1376">
        <f ca="1">SUM(DQ56:DT56)</f>
        <v>74.561641379312405</v>
      </c>
      <c r="DV56" s="829">
        <f>DV61*DV57*13/1000000</f>
        <v>26.5044</v>
      </c>
      <c r="DW56" s="829">
        <f>DW61*DW57*13/1000000</f>
        <v>-0.81120000000000003</v>
      </c>
      <c r="DX56" s="829">
        <f>DX61*DX57*13/1000000</f>
        <v>-1.1257999999999999</v>
      </c>
      <c r="DY56" s="829">
        <f>DY61*DY57*13/1000000</f>
        <v>-1.04</v>
      </c>
      <c r="DZ56" s="1376">
        <f>SUM(DV56:DY56)</f>
        <v>23.5274</v>
      </c>
      <c r="EA56" s="829">
        <f>EA61*EA57*13/1000000</f>
        <v>-1.6698500000000001</v>
      </c>
      <c r="EB56" s="829">
        <f>EB61*EB57*13/1000000</f>
        <v>-1.21485</v>
      </c>
      <c r="EC56" s="829">
        <f>EC61*EC57*13/1000000</f>
        <v>-0.75985000000000003</v>
      </c>
      <c r="ED56" s="829">
        <f>ED61*ED57*13/1000000</f>
        <v>-0.30485000000000001</v>
      </c>
      <c r="EE56" s="1376">
        <f>SUM(EA56:ED56)</f>
        <v>-3.9494000000000002</v>
      </c>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row>
    <row r="57" spans="2:238" s="161" customFormat="1" ht="12.75" customHeight="1">
      <c r="B57" s="555" t="s">
        <v>197</v>
      </c>
      <c r="C57" s="62"/>
      <c r="D57" s="62"/>
      <c r="E57" s="62"/>
      <c r="F57" s="62"/>
      <c r="G57" s="62"/>
      <c r="H57" s="62"/>
      <c r="I57" s="62"/>
      <c r="J57" s="62"/>
      <c r="K57" s="140"/>
      <c r="L57" s="76"/>
      <c r="M57" s="76"/>
      <c r="N57" s="141"/>
      <c r="O57" s="62"/>
      <c r="P57" s="140"/>
      <c r="Q57" s="76"/>
      <c r="R57" s="76"/>
      <c r="S57" s="141"/>
      <c r="T57" s="62"/>
      <c r="U57" s="140"/>
      <c r="V57" s="76"/>
      <c r="W57" s="76"/>
      <c r="X57" s="141"/>
      <c r="Y57" s="62"/>
      <c r="Z57" s="140"/>
      <c r="AA57" s="76"/>
      <c r="AB57" s="76"/>
      <c r="AC57" s="141"/>
      <c r="AD57" s="62"/>
      <c r="AE57" s="140"/>
      <c r="AF57" s="76"/>
      <c r="AG57" s="76"/>
      <c r="AH57" s="141"/>
      <c r="AI57" s="62"/>
      <c r="AJ57" s="140"/>
      <c r="AK57" s="76"/>
      <c r="AL57" s="76"/>
      <c r="AM57" s="141"/>
      <c r="AN57" s="62"/>
      <c r="AO57" s="140"/>
      <c r="AP57" s="76"/>
      <c r="AQ57" s="76"/>
      <c r="AR57" s="141"/>
      <c r="AS57" s="62"/>
      <c r="AT57" s="140"/>
      <c r="AU57" s="76"/>
      <c r="AV57" s="76"/>
      <c r="AW57" s="141"/>
      <c r="AX57" s="62"/>
      <c r="AY57" s="140"/>
      <c r="AZ57" s="76"/>
      <c r="BA57" s="76"/>
      <c r="BB57" s="141"/>
      <c r="BC57" s="62"/>
      <c r="BD57" s="140"/>
      <c r="BE57" s="76"/>
      <c r="BF57" s="76"/>
      <c r="BG57" s="141"/>
      <c r="BH57" s="62"/>
      <c r="BI57" s="140"/>
      <c r="BJ57" s="76"/>
      <c r="BK57" s="76"/>
      <c r="BL57" s="141"/>
      <c r="BM57" s="62"/>
      <c r="BN57" s="140"/>
      <c r="BO57" s="76"/>
      <c r="BP57" s="76"/>
      <c r="BQ57" s="141"/>
      <c r="BR57" s="62"/>
      <c r="BS57" s="140">
        <f t="shared" ref="BS57:DQ57" si="74">BS12-BN12</f>
        <v>452</v>
      </c>
      <c r="BT57" s="76">
        <f t="shared" si="74"/>
        <v>488</v>
      </c>
      <c r="BU57" s="76">
        <f t="shared" si="74"/>
        <v>501</v>
      </c>
      <c r="BV57" s="141">
        <f t="shared" si="74"/>
        <v>446</v>
      </c>
      <c r="BW57" s="62">
        <f t="shared" si="74"/>
        <v>446</v>
      </c>
      <c r="BX57" s="140">
        <f t="shared" si="74"/>
        <v>598</v>
      </c>
      <c r="BY57" s="76">
        <f t="shared" si="74"/>
        <v>549</v>
      </c>
      <c r="BZ57" s="76">
        <f t="shared" si="74"/>
        <v>605</v>
      </c>
      <c r="CA57" s="141">
        <f t="shared" si="74"/>
        <v>553</v>
      </c>
      <c r="CB57" s="62">
        <f t="shared" si="74"/>
        <v>553</v>
      </c>
      <c r="CC57" s="140">
        <f t="shared" si="74"/>
        <v>517</v>
      </c>
      <c r="CD57" s="76">
        <f t="shared" si="74"/>
        <v>502</v>
      </c>
      <c r="CE57" s="76">
        <f t="shared" si="74"/>
        <v>665</v>
      </c>
      <c r="CF57" s="76">
        <f t="shared" si="74"/>
        <v>567</v>
      </c>
      <c r="CG57" s="802">
        <f t="shared" si="74"/>
        <v>567</v>
      </c>
      <c r="CH57" s="76">
        <f t="shared" si="74"/>
        <v>504</v>
      </c>
      <c r="CI57" s="76">
        <f t="shared" si="74"/>
        <v>510</v>
      </c>
      <c r="CJ57" s="76">
        <f t="shared" si="74"/>
        <v>193</v>
      </c>
      <c r="CK57" s="76">
        <f t="shared" si="74"/>
        <v>198</v>
      </c>
      <c r="CL57" s="802">
        <f t="shared" si="74"/>
        <v>198</v>
      </c>
      <c r="CM57" s="76">
        <f t="shared" si="74"/>
        <v>161</v>
      </c>
      <c r="CN57" s="76">
        <f t="shared" si="74"/>
        <v>150</v>
      </c>
      <c r="CO57" s="76">
        <f t="shared" si="74"/>
        <v>175</v>
      </c>
      <c r="CP57" s="76">
        <f t="shared" si="74"/>
        <v>169</v>
      </c>
      <c r="CQ57" s="802">
        <f t="shared" si="74"/>
        <v>169</v>
      </c>
      <c r="CR57" s="76">
        <f t="shared" si="74"/>
        <v>246</v>
      </c>
      <c r="CS57" s="76">
        <f t="shared" si="74"/>
        <v>232</v>
      </c>
      <c r="CT57" s="76">
        <f t="shared" si="74"/>
        <v>207</v>
      </c>
      <c r="CU57" s="76">
        <f t="shared" si="74"/>
        <v>186</v>
      </c>
      <c r="CV57" s="802">
        <f t="shared" si="74"/>
        <v>186</v>
      </c>
      <c r="CW57" s="76">
        <f t="shared" si="74"/>
        <v>142</v>
      </c>
      <c r="CX57" s="76">
        <f t="shared" si="74"/>
        <v>138</v>
      </c>
      <c r="CY57" s="76">
        <f t="shared" si="74"/>
        <v>120</v>
      </c>
      <c r="CZ57" s="76">
        <f t="shared" si="74"/>
        <v>91</v>
      </c>
      <c r="DA57" s="802">
        <f t="shared" si="74"/>
        <v>91</v>
      </c>
      <c r="DB57" s="76">
        <f t="shared" si="74"/>
        <v>29</v>
      </c>
      <c r="DC57" s="76">
        <f t="shared" si="74"/>
        <v>22</v>
      </c>
      <c r="DD57" s="76">
        <f t="shared" si="74"/>
        <v>23</v>
      </c>
      <c r="DE57" s="76">
        <f t="shared" si="74"/>
        <v>-34</v>
      </c>
      <c r="DF57" s="802">
        <f t="shared" si="74"/>
        <v>-34</v>
      </c>
      <c r="DG57" s="76">
        <f t="shared" si="74"/>
        <v>-37</v>
      </c>
      <c r="DH57" s="76">
        <f t="shared" si="74"/>
        <v>-40</v>
      </c>
      <c r="DI57" s="76">
        <f t="shared" si="74"/>
        <v>-41</v>
      </c>
      <c r="DJ57" s="76">
        <f t="shared" si="74"/>
        <v>2</v>
      </c>
      <c r="DK57" s="807">
        <f t="shared" si="74"/>
        <v>2</v>
      </c>
      <c r="DL57" s="76">
        <f t="shared" si="74"/>
        <v>-7</v>
      </c>
      <c r="DM57" s="76">
        <f t="shared" si="74"/>
        <v>-66</v>
      </c>
      <c r="DN57" s="76">
        <f t="shared" si="74"/>
        <v>-61</v>
      </c>
      <c r="DO57" s="76">
        <f t="shared" si="74"/>
        <v>-66</v>
      </c>
      <c r="DP57" s="807">
        <f t="shared" ref="DP57:DU57" si="75">DP12-DK12</f>
        <v>-66</v>
      </c>
      <c r="DQ57" s="76">
        <f t="shared" si="74"/>
        <v>16</v>
      </c>
      <c r="DR57" s="76">
        <f t="shared" si="75"/>
        <v>1726</v>
      </c>
      <c r="DS57" s="76">
        <f t="shared" si="75"/>
        <v>1995</v>
      </c>
      <c r="DT57" s="76">
        <f t="shared" si="75"/>
        <v>1891</v>
      </c>
      <c r="DU57" s="807">
        <f t="shared" si="75"/>
        <v>1891</v>
      </c>
      <c r="DV57" s="76">
        <f t="shared" ref="DV57" si="76">DV12-DQ12</f>
        <v>1699</v>
      </c>
      <c r="DW57" s="76">
        <f t="shared" ref="DW57" si="77">DW12-DR12</f>
        <v>-52</v>
      </c>
      <c r="DX57" s="76">
        <f t="shared" ref="DX57" si="78">DX12-DS12</f>
        <v>-433</v>
      </c>
      <c r="DY57" s="76">
        <f t="shared" ref="DY57" si="79">DY12-DT12</f>
        <v>-400</v>
      </c>
      <c r="DZ57" s="807">
        <f t="shared" ref="DZ57" si="80">DZ12-DU12</f>
        <v>-400</v>
      </c>
      <c r="EA57" s="76">
        <f t="shared" ref="EA57" si="81">EA12-DV12</f>
        <v>-367</v>
      </c>
      <c r="EB57" s="76">
        <f t="shared" ref="EB57" si="82">EB12-DW12</f>
        <v>-267</v>
      </c>
      <c r="EC57" s="76">
        <f t="shared" ref="EC57" si="83">EC12-DX12</f>
        <v>-167</v>
      </c>
      <c r="ED57" s="76">
        <f t="shared" ref="ED57" si="84">ED12-DY12</f>
        <v>-67</v>
      </c>
      <c r="EE57" s="807">
        <f t="shared" ref="EE57" si="85">EE12-DZ12</f>
        <v>-67</v>
      </c>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row>
    <row r="58" spans="2:238" s="161" customFormat="1" ht="12.75" customHeight="1">
      <c r="B58" s="555"/>
      <c r="C58" s="62"/>
      <c r="D58" s="62"/>
      <c r="E58" s="62"/>
      <c r="F58" s="62"/>
      <c r="G58" s="62"/>
      <c r="H58" s="62"/>
      <c r="I58" s="62"/>
      <c r="J58" s="62"/>
      <c r="K58" s="140"/>
      <c r="L58" s="76"/>
      <c r="M58" s="76"/>
      <c r="N58" s="141"/>
      <c r="O58" s="62"/>
      <c r="P58" s="140"/>
      <c r="Q58" s="76"/>
      <c r="R58" s="76"/>
      <c r="S58" s="141"/>
      <c r="T58" s="62"/>
      <c r="U58" s="140"/>
      <c r="V58" s="76"/>
      <c r="W58" s="76"/>
      <c r="X58" s="141"/>
      <c r="Y58" s="62"/>
      <c r="Z58" s="140"/>
      <c r="AA58" s="76"/>
      <c r="AB58" s="76"/>
      <c r="AC58" s="141"/>
      <c r="AD58" s="62"/>
      <c r="AE58" s="140"/>
      <c r="AF58" s="76"/>
      <c r="AG58" s="76"/>
      <c r="AH58" s="141"/>
      <c r="AI58" s="62"/>
      <c r="AJ58" s="140"/>
      <c r="AK58" s="76"/>
      <c r="AL58" s="76"/>
      <c r="AM58" s="141"/>
      <c r="AN58" s="62"/>
      <c r="AO58" s="140"/>
      <c r="AP58" s="76"/>
      <c r="AQ58" s="76"/>
      <c r="AR58" s="141"/>
      <c r="AS58" s="62"/>
      <c r="AT58" s="140"/>
      <c r="AU58" s="76"/>
      <c r="AV58" s="76"/>
      <c r="AW58" s="141"/>
      <c r="AX58" s="62"/>
      <c r="AY58" s="140"/>
      <c r="AZ58" s="76"/>
      <c r="BA58" s="76"/>
      <c r="BB58" s="141"/>
      <c r="BC58" s="62"/>
      <c r="BD58" s="140"/>
      <c r="BE58" s="76"/>
      <c r="BF58" s="76"/>
      <c r="BG58" s="141"/>
      <c r="BH58" s="62"/>
      <c r="BI58" s="140"/>
      <c r="BJ58" s="76"/>
      <c r="BK58" s="76"/>
      <c r="BL58" s="141"/>
      <c r="BM58" s="62"/>
      <c r="BN58" s="140"/>
      <c r="BO58" s="76"/>
      <c r="BP58" s="76"/>
      <c r="BQ58" s="141"/>
      <c r="BR58" s="62"/>
      <c r="BS58" s="140"/>
      <c r="BT58" s="76"/>
      <c r="BU58" s="76"/>
      <c r="BV58" s="141"/>
      <c r="BW58" s="62"/>
      <c r="BX58" s="140"/>
      <c r="BY58" s="76"/>
      <c r="BZ58" s="76"/>
      <c r="CA58" s="141"/>
      <c r="CB58" s="62"/>
      <c r="CC58" s="140"/>
      <c r="CD58" s="76"/>
      <c r="CE58" s="76"/>
      <c r="CF58" s="76"/>
      <c r="CG58" s="802"/>
      <c r="CH58" s="76"/>
      <c r="CI58" s="76"/>
      <c r="CJ58" s="76"/>
      <c r="CK58" s="76"/>
      <c r="CL58" s="802"/>
      <c r="CM58" s="76"/>
      <c r="CN58" s="76"/>
      <c r="CO58" s="76"/>
      <c r="CP58" s="76"/>
      <c r="CQ58" s="802"/>
      <c r="CR58" s="76"/>
      <c r="CS58" s="76"/>
      <c r="CT58" s="76"/>
      <c r="CU58" s="76"/>
      <c r="CV58" s="802"/>
      <c r="CW58" s="76"/>
      <c r="CX58" s="76"/>
      <c r="CY58" s="76"/>
      <c r="CZ58" s="76"/>
      <c r="DA58" s="802"/>
      <c r="DB58" s="76"/>
      <c r="DC58" s="76"/>
      <c r="DD58" s="76"/>
      <c r="DE58" s="76"/>
      <c r="DF58" s="802"/>
      <c r="DG58" s="76"/>
      <c r="DH58" s="76"/>
      <c r="DI58" s="76"/>
      <c r="DJ58" s="76"/>
      <c r="DK58" s="807"/>
      <c r="DL58" s="76"/>
      <c r="DM58" s="76"/>
      <c r="DN58" s="76"/>
      <c r="DO58" s="76"/>
      <c r="DP58" s="807"/>
      <c r="DQ58" s="76"/>
      <c r="DR58" s="76"/>
      <c r="DS58" s="76"/>
      <c r="DT58" s="76"/>
      <c r="DU58" s="807"/>
      <c r="DV58" s="76"/>
      <c r="DW58" s="76"/>
      <c r="DX58" s="76"/>
      <c r="DY58" s="76"/>
      <c r="DZ58" s="807"/>
      <c r="EA58" s="76"/>
      <c r="EB58" s="76"/>
      <c r="EC58" s="76"/>
      <c r="ED58" s="76"/>
      <c r="EE58" s="807"/>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row>
    <row r="59" spans="2:238" s="161" customFormat="1" ht="12.75" customHeight="1">
      <c r="B59" s="555" t="s">
        <v>173</v>
      </c>
      <c r="C59" s="62"/>
      <c r="D59" s="62"/>
      <c r="E59" s="62"/>
      <c r="F59" s="62"/>
      <c r="G59" s="62"/>
      <c r="H59" s="62"/>
      <c r="I59" s="62"/>
      <c r="J59" s="62"/>
      <c r="K59" s="140"/>
      <c r="L59" s="76"/>
      <c r="M59" s="76"/>
      <c r="N59" s="141"/>
      <c r="O59" s="62"/>
      <c r="P59" s="140"/>
      <c r="Q59" s="76"/>
      <c r="R59" s="76"/>
      <c r="S59" s="141"/>
      <c r="T59" s="62"/>
      <c r="U59" s="140"/>
      <c r="V59" s="76"/>
      <c r="W59" s="76"/>
      <c r="X59" s="141"/>
      <c r="Y59" s="62"/>
      <c r="Z59" s="140"/>
      <c r="AA59" s="76"/>
      <c r="AB59" s="76"/>
      <c r="AC59" s="141"/>
      <c r="AD59" s="62"/>
      <c r="AE59" s="140"/>
      <c r="AF59" s="76"/>
      <c r="AG59" s="76"/>
      <c r="AH59" s="141"/>
      <c r="AI59" s="62"/>
      <c r="AJ59" s="140"/>
      <c r="AK59" s="76"/>
      <c r="AL59" s="76"/>
      <c r="AM59" s="141"/>
      <c r="AN59" s="62"/>
      <c r="AO59" s="140"/>
      <c r="AP59" s="76"/>
      <c r="AQ59" s="76"/>
      <c r="AR59" s="141"/>
      <c r="AS59" s="62"/>
      <c r="AT59" s="140"/>
      <c r="AU59" s="76"/>
      <c r="AV59" s="76"/>
      <c r="AW59" s="141"/>
      <c r="AX59" s="62"/>
      <c r="AY59" s="140"/>
      <c r="AZ59" s="76"/>
      <c r="BA59" s="76"/>
      <c r="BB59" s="141"/>
      <c r="BC59" s="62"/>
      <c r="BD59" s="140"/>
      <c r="BE59" s="76"/>
      <c r="BF59" s="76"/>
      <c r="BG59" s="141"/>
      <c r="BH59" s="62"/>
      <c r="BI59" s="140"/>
      <c r="BJ59" s="76"/>
      <c r="BK59" s="76"/>
      <c r="BL59" s="141"/>
      <c r="BM59" s="62"/>
      <c r="BN59" s="140"/>
      <c r="BO59" s="76"/>
      <c r="BP59" s="76"/>
      <c r="BQ59" s="141"/>
      <c r="BR59" s="62">
        <f>BR32/AVERAGE(BR12,BM12)/52*1000000</f>
        <v>1958.3227036534768</v>
      </c>
      <c r="BS59" s="140">
        <f>BS32/AVERAGE(BS12,BQ12)/13*1000000</f>
        <v>1931.2302960153988</v>
      </c>
      <c r="BT59" s="76">
        <f>BT32/AVERAGE(BT12,BS12)/13*1000000</f>
        <v>1986.1726958182842</v>
      </c>
      <c r="BU59" s="76">
        <f>BU32/AVERAGE(BU12,BT12)/13*1000000</f>
        <v>1963.3060582903086</v>
      </c>
      <c r="BV59" s="141">
        <f>BV32/AVERAGE(BV12,BU12)/13*1000000</f>
        <v>1829.9148665434604</v>
      </c>
      <c r="BW59" s="62">
        <f>BW32/AVERAGE(BW12,BR12)/52*1000000</f>
        <v>1907.6181053673015</v>
      </c>
      <c r="BX59" s="140">
        <f>BX32/AVERAGE(BX12,BV12)/13*1000000</f>
        <v>1835.8448711083913</v>
      </c>
      <c r="BY59" s="76">
        <f>BY32/AVERAGE(BY12,BX12)/13*1000000</f>
        <v>1895.9099211578923</v>
      </c>
      <c r="BZ59" s="76">
        <f>BZ32/AVERAGE(BZ12,BY12)/13*1000000</f>
        <v>1909.5791537609048</v>
      </c>
      <c r="CA59" s="141">
        <f>CA32/AVERAGE(CA12,BZ12)/13*1000000</f>
        <v>1810.2160598370806</v>
      </c>
      <c r="CB59" s="62">
        <f>CB32/AVERAGE(CB12,BW12)/52*1000000</f>
        <v>1863.1193941856939</v>
      </c>
      <c r="CC59" s="140">
        <f>CC32/AVERAGE(CC12,CA12)/13*1000000</f>
        <v>1892.7547740388015</v>
      </c>
      <c r="CD59" s="76">
        <f>CD32/AVERAGE(CD12,CC12)/13*1000000</f>
        <v>1846.9699491546353</v>
      </c>
      <c r="CE59" s="76">
        <f>CE32/AVERAGE(CE12,CD12)/13*1000000</f>
        <v>1852.1812835511653</v>
      </c>
      <c r="CF59" s="76">
        <f>CF32/AVERAGE(CF12,CE12)/13*1000000</f>
        <v>1767.454597305664</v>
      </c>
      <c r="CG59" s="802">
        <f>CG32/AVERAGE(CG12,CB12)/52*1000000</f>
        <v>1825.4634986553385</v>
      </c>
      <c r="CH59" s="76">
        <f>CH32/AVERAGE(CH12,CF12)/13*1000000</f>
        <v>1790.7507567840662</v>
      </c>
      <c r="CI59" s="76">
        <f>CI32/AVERAGE(CI12,CH12)/13*1000000</f>
        <v>1802.3012211536677</v>
      </c>
      <c r="CJ59" s="76">
        <f>CJ32/AVERAGE(CJ12,CI12)/13*1000000</f>
        <v>1838.5895099249904</v>
      </c>
      <c r="CK59" s="76">
        <f>CK32/AVERAGE(CK12,CJ12)/13*1000000</f>
        <v>1760.4343508472978</v>
      </c>
      <c r="CL59" s="802">
        <f>CL32/AVERAGE(CL12,CG12)/52*1000000</f>
        <v>1802.1002750838302</v>
      </c>
      <c r="CM59" s="76">
        <f>CM32/AVERAGE(CM12,CK12)/13*1000000</f>
        <v>1741.3885614715603</v>
      </c>
      <c r="CN59" s="76">
        <f>CN32/AVERAGE(CN12,CM12)/13*1000000</f>
        <v>1632.6416374929154</v>
      </c>
      <c r="CO59" s="76">
        <f>CO32/AVERAGE(CO12,CN12)/13*1000000</f>
        <v>1591.3918960025392</v>
      </c>
      <c r="CP59" s="76">
        <f>CP32/AVERAGE(CP12,CO12)/13*1000000</f>
        <v>1549.3730807965094</v>
      </c>
      <c r="CQ59" s="802">
        <f>CQ32/AVERAGE(CQ12,CL12)/52*1000000</f>
        <v>1628.58370467396</v>
      </c>
      <c r="CR59" s="76">
        <f>CR32/AVERAGE(CR12,CP12)/13*1000000</f>
        <v>1611.7857623987218</v>
      </c>
      <c r="CS59" s="76">
        <f>CS32/AVERAGE(CS12,CR12)/13*1000000</f>
        <v>1653.234139284976</v>
      </c>
      <c r="CT59" s="76">
        <f>CT32/AVERAGE(CT12,CS12)/13*1000000</f>
        <v>1657.175570219048</v>
      </c>
      <c r="CU59" s="76">
        <f>CU32/AVERAGE(CU12,CT12)/13*1000000</f>
        <v>1605.2329011065824</v>
      </c>
      <c r="CV59" s="802">
        <f>CV32/AVERAGE(CV12,CQ12)/52*1000000</f>
        <v>1639.916649887982</v>
      </c>
      <c r="CW59" s="76">
        <f>CW32/AVERAGE(CW12,CU12)/13*1000000</f>
        <v>1659.8436442872467</v>
      </c>
      <c r="CX59" s="76">
        <f>CX32/AVERAGE(CX12,CW12)/13*1000000</f>
        <v>1658.0837587984008</v>
      </c>
      <c r="CY59" s="76">
        <f>CY32/AVERAGE(CY12,CX12)/13*1000000</f>
        <v>1687.3279849422231</v>
      </c>
      <c r="CZ59" s="76">
        <f>CZ32/AVERAGE(CZ12,CY12)/13*1000000</f>
        <v>1637.278056487196</v>
      </c>
      <c r="DA59" s="802">
        <f>DA32/AVERAGE(DA12,CV12)/52*1000000</f>
        <v>1667.8851159478052</v>
      </c>
      <c r="DB59" s="76">
        <f>DB32/AVERAGE(DB12,CZ12)/13*1000000</f>
        <v>1704.4905272067558</v>
      </c>
      <c r="DC59" s="76">
        <f>DC32/AVERAGE(DC12,DB12)/13*1000000</f>
        <v>1716.0052653782991</v>
      </c>
      <c r="DD59" s="76">
        <f>DD32/AVERAGE(DD12,DC12)/13*1000000</f>
        <v>1730.1705611325913</v>
      </c>
      <c r="DE59" s="76">
        <f>DE32/AVERAGE(DE12,DD12)/13*1000000</f>
        <v>1705.6574583445029</v>
      </c>
      <c r="DF59" s="802">
        <f>DF32/AVERAGE(DF12,DA12)/52*1000000</f>
        <v>1720.9477155883212</v>
      </c>
      <c r="DG59" s="76">
        <f>DG32/AVERAGE(DG12,DF12)/13*1000000</f>
        <v>1780.0113966963449</v>
      </c>
      <c r="DH59" s="76">
        <f>DH32/AVERAGE(DH12,DG12)/13*1000000</f>
        <v>1793.340656525851</v>
      </c>
      <c r="DI59" s="76">
        <f>DI32/AVERAGE(DI12,DH12)/13*1000000</f>
        <v>1807.9616939847112</v>
      </c>
      <c r="DJ59" s="76">
        <f>DJ32/AVERAGE(DJ12,DI12)/13*1000000</f>
        <v>1767.480847669952</v>
      </c>
      <c r="DK59" s="807">
        <f>DK32/AVERAGE(DK12,DF12)/52*1000000</f>
        <v>1790.540300790715</v>
      </c>
      <c r="DL59" s="76">
        <f>DL32/AVERAGE(DL12,DK12)/13*1000000</f>
        <v>1831.4284216725196</v>
      </c>
      <c r="DM59" s="76">
        <f>DM32/AVERAGE(DM12,DL12)/13*1000000</f>
        <v>1907.2840391250675</v>
      </c>
      <c r="DN59" s="76">
        <f>DN32/AVERAGE(DN12,DM12)/13*1000000</f>
        <v>1978.7007441527533</v>
      </c>
      <c r="DO59" s="76">
        <f>DO32/AVERAGE(DO12,DN12)/13*1000000</f>
        <v>1941.9629395544243</v>
      </c>
      <c r="DP59" s="807">
        <f>DP32/AVERAGE(DP12,DK12)/52*1000000</f>
        <v>1916.060853024019</v>
      </c>
      <c r="DQ59" s="76">
        <f>DQ32/AVERAGE(DQ12,DP12)/13*1000000</f>
        <v>2011.7784136640112</v>
      </c>
      <c r="DR59" s="76">
        <f ca="1">DR32/AVERAGE(DR12,DQ12)/13*1000000</f>
        <v>1969.2775477584403</v>
      </c>
      <c r="DS59" s="76">
        <f ca="1">DS32/AVERAGE(DS12,DR12)/13*1000000</f>
        <v>1827.4100409415928</v>
      </c>
      <c r="DT59" s="76">
        <f>DT32/AVERAGE(DT12,DS12)/13*1000000</f>
        <v>1721.6556557154693</v>
      </c>
      <c r="DU59" s="807">
        <f ca="1">DU32/AVERAGE(DU12,DP12)/52*1000000</f>
        <v>1926.477945790497</v>
      </c>
      <c r="DV59" s="76">
        <f ca="1">DV32/AVERAGE(DV12,DU12)/13*1000000</f>
        <v>1849.7810616766051</v>
      </c>
      <c r="DW59" s="76">
        <f ca="1">DW32/AVERAGE(DW12,DV12)/13*1000000</f>
        <v>1860.802994166758</v>
      </c>
      <c r="DX59" s="76">
        <f ca="1">DX32/AVERAGE(DX12,DW12)/13*1000000</f>
        <v>1931.1307740251586</v>
      </c>
      <c r="DY59" s="76">
        <f ca="1">DY32/AVERAGE(DY12,DX12)/13*1000000</f>
        <v>1852.0268933478815</v>
      </c>
      <c r="DZ59" s="807">
        <f ca="1">DZ32/AVERAGE(DZ12,DU12)/52*1000000</f>
        <v>1873.3371332596209</v>
      </c>
      <c r="EA59" s="76">
        <f ca="1">EA32/AVERAGE(EA12,DZ12)/13*1000000</f>
        <v>1980.2666527115659</v>
      </c>
      <c r="EB59" s="76">
        <f ca="1">EB32/AVERAGE(EB12,EA12)/13*1000000</f>
        <v>1981.9388402523675</v>
      </c>
      <c r="EC59" s="76">
        <f ca="1">EC32/AVERAGE(EC12,EB12)/13*1000000</f>
        <v>2039.1916067676293</v>
      </c>
      <c r="ED59" s="76">
        <f ca="1">ED32/AVERAGE(ED12,EC12)/13*1000000</f>
        <v>1938.3573159089365</v>
      </c>
      <c r="EE59" s="807">
        <f ca="1">EE32/AVERAGE(EE12,DZ12)/52*1000000</f>
        <v>1979.7213656291933</v>
      </c>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row>
    <row r="60" spans="2:238" s="161" customFormat="1" ht="12.75" customHeight="1">
      <c r="B60" s="555" t="s">
        <v>204</v>
      </c>
      <c r="C60" s="62"/>
      <c r="D60" s="62"/>
      <c r="E60" s="62"/>
      <c r="F60" s="62"/>
      <c r="G60" s="62"/>
      <c r="H60" s="62"/>
      <c r="I60" s="62"/>
      <c r="J60" s="62"/>
      <c r="K60" s="140"/>
      <c r="L60" s="76"/>
      <c r="M60" s="76"/>
      <c r="N60" s="141"/>
      <c r="O60" s="62"/>
      <c r="P60" s="140"/>
      <c r="Q60" s="76"/>
      <c r="R60" s="76"/>
      <c r="S60" s="141"/>
      <c r="T60" s="62"/>
      <c r="U60" s="140"/>
      <c r="V60" s="76"/>
      <c r="W60" s="76"/>
      <c r="X60" s="141"/>
      <c r="Y60" s="62"/>
      <c r="Z60" s="140"/>
      <c r="AA60" s="76"/>
      <c r="AB60" s="76"/>
      <c r="AC60" s="141"/>
      <c r="AD60" s="62"/>
      <c r="AE60" s="140"/>
      <c r="AF60" s="76"/>
      <c r="AG60" s="76"/>
      <c r="AH60" s="141"/>
      <c r="AI60" s="62"/>
      <c r="AJ60" s="140"/>
      <c r="AK60" s="76"/>
      <c r="AL60" s="76"/>
      <c r="AM60" s="141"/>
      <c r="AN60" s="62"/>
      <c r="AO60" s="140"/>
      <c r="AP60" s="76"/>
      <c r="AQ60" s="76"/>
      <c r="AR60" s="141"/>
      <c r="AS60" s="62"/>
      <c r="AT60" s="140"/>
      <c r="AU60" s="76"/>
      <c r="AV60" s="76"/>
      <c r="AW60" s="141"/>
      <c r="AX60" s="62"/>
      <c r="AY60" s="140"/>
      <c r="AZ60" s="76"/>
      <c r="BA60" s="76"/>
      <c r="BB60" s="141"/>
      <c r="BC60" s="62"/>
      <c r="BD60" s="140"/>
      <c r="BE60" s="76"/>
      <c r="BF60" s="76"/>
      <c r="BG60" s="141"/>
      <c r="BH60" s="62"/>
      <c r="BI60" s="140"/>
      <c r="BJ60" s="76"/>
      <c r="BK60" s="76"/>
      <c r="BL60" s="141"/>
      <c r="BM60" s="62"/>
      <c r="BN60" s="140"/>
      <c r="BO60" s="76"/>
      <c r="BP60" s="76"/>
      <c r="BQ60" s="141"/>
      <c r="BR60" s="62">
        <f>BR34/AVERAGE(BR12,BM12)/52*1000000</f>
        <v>2134.8872806369754</v>
      </c>
      <c r="BS60" s="140">
        <f>BS34/AVERAGE(BS12,BQ12)/13*1000000</f>
        <v>2120.4908650249076</v>
      </c>
      <c r="BT60" s="76">
        <f>BT34/AVERAGE(BT12,BS12)/13*1000000</f>
        <v>2180.8176200084758</v>
      </c>
      <c r="BU60" s="76">
        <f>BU34/AVERAGE(BU12,BT12)/13*1000000</f>
        <v>2149.6958739507809</v>
      </c>
      <c r="BV60" s="141">
        <f>BV34/AVERAGE(BV12,BU12)/13*1000000</f>
        <v>2009.2465234647195</v>
      </c>
      <c r="BW60" s="62">
        <f>BW34/AVERAGE(BW12,BR12)/52*1000000</f>
        <v>2093.068266139006</v>
      </c>
      <c r="BX60" s="140">
        <f>BX34/AVERAGE(BX12,BV12)/13*1000000</f>
        <v>2035.9048891137929</v>
      </c>
      <c r="BY60" s="76">
        <f>BY34/AVERAGE(BY12,BX12)/13*1000000</f>
        <v>2092.4371690827957</v>
      </c>
      <c r="BZ60" s="76">
        <f>BZ34/AVERAGE(BZ12,BY12)/13*1000000</f>
        <v>2125.5434628171975</v>
      </c>
      <c r="CA60" s="141">
        <f>CA34/AVERAGE(CA12,BZ12)/13*1000000</f>
        <v>2021.2228398180901</v>
      </c>
      <c r="CB60" s="62">
        <f>CB34/AVERAGE(CB12,BW12)/52*1000000</f>
        <v>2069.1786820218995</v>
      </c>
      <c r="CC60" s="140">
        <f>CC34/AVERAGE(CC12,CA12)/13*1000000</f>
        <v>2110.3127940432614</v>
      </c>
      <c r="CD60" s="76">
        <f>CD34/AVERAGE(CD12,CC12)/13*1000000</f>
        <v>2061.7338967307555</v>
      </c>
      <c r="CE60" s="76">
        <f>CE34/AVERAGE(CE12,CD12)/13*1000000</f>
        <v>2071.9316053284224</v>
      </c>
      <c r="CF60" s="76">
        <f>CF34/AVERAGE(CF12,CE12)/13*1000000</f>
        <v>1978.5319089263403</v>
      </c>
      <c r="CG60" s="802">
        <f>CG34/AVERAGE(CG12,CB12)/52*1000000</f>
        <v>2055.2975426249691</v>
      </c>
      <c r="CH60" s="76">
        <f>CH34/AVERAGE(CH12,CF12)/13*1000000</f>
        <v>2042.6530220141367</v>
      </c>
      <c r="CI60" s="76">
        <f>CI34/AVERAGE(CI12,CH12)/13*1000000</f>
        <v>2055.8282731543927</v>
      </c>
      <c r="CJ60" s="76">
        <f>CJ34/AVERAGE(CJ12,CI12)/13*1000000</f>
        <v>2097.2211819339373</v>
      </c>
      <c r="CK60" s="76">
        <f>CK34/AVERAGE(CK12,CJ12)/13*1000000</f>
        <v>2008.0720520110544</v>
      </c>
      <c r="CL60" s="802">
        <f>CL34/AVERAGE(CL12,CG12)/52*1000000</f>
        <v>2055.5990602975726</v>
      </c>
      <c r="CM60" s="76">
        <f>CM34/AVERAGE(CM12,CK12)/13*1000000</f>
        <v>2054.838502536441</v>
      </c>
      <c r="CN60" s="76">
        <f>CN34/AVERAGE(CN12,CM12)/13*1000000</f>
        <v>1926.5171322416404</v>
      </c>
      <c r="CO60" s="76">
        <f>CO34/AVERAGE(CO12,CN12)/13*1000000</f>
        <v>1877.8424372829968</v>
      </c>
      <c r="CP60" s="76">
        <f>CP34/AVERAGE(CP12,CO12)/13*1000000</f>
        <v>1828.2602353398815</v>
      </c>
      <c r="CQ60" s="802">
        <f>CQ34/AVERAGE(CQ12,CL12)/52*1000000</f>
        <v>1921.7287715152734</v>
      </c>
      <c r="CR60" s="76">
        <f>CR34/AVERAGE(CR12,CP12)/13*1000000</f>
        <v>1934.1429148784666</v>
      </c>
      <c r="CS60" s="76">
        <f>CS34/AVERAGE(CS12,CR12)/13*1000000</f>
        <v>1983.8809671419715</v>
      </c>
      <c r="CT60" s="76">
        <f>CT34/AVERAGE(CT12,CS12)/13*1000000</f>
        <v>1988.6106842628583</v>
      </c>
      <c r="CU60" s="76">
        <f>CU34/AVERAGE(CU12,CT12)/13*1000000</f>
        <v>1926.2794813278992</v>
      </c>
      <c r="CV60" s="802">
        <f>CV34/AVERAGE(CV12,CQ12)/52*1000000</f>
        <v>1967.8999798655789</v>
      </c>
      <c r="CW60" s="76">
        <f>CW34/AVERAGE(CW12,CU12)/13*1000000</f>
        <v>2008.4108095875688</v>
      </c>
      <c r="CX60" s="76">
        <f>CX34/AVERAGE(CX12,CW12)/13*1000000</f>
        <v>2006.2813481460648</v>
      </c>
      <c r="CY60" s="76">
        <f>CY34/AVERAGE(CY12,CX12)/13*1000000</f>
        <v>2041.6668617800901</v>
      </c>
      <c r="CZ60" s="76">
        <f>CZ34/AVERAGE(CZ12,CY12)/13*1000000</f>
        <v>1981.106448349507</v>
      </c>
      <c r="DA60" s="802">
        <f>DA34/AVERAGE(DA12,CV12)/52*1000000</f>
        <v>2018.1409902968439</v>
      </c>
      <c r="DB60" s="76">
        <f>DB34/AVERAGE(DB12,CZ12)/13*1000000</f>
        <v>2079.4784431922421</v>
      </c>
      <c r="DC60" s="76">
        <f>DC34/AVERAGE(DC12,DB12)/13*1000000</f>
        <v>2093.5264237615252</v>
      </c>
      <c r="DD60" s="76">
        <f>DD34/AVERAGE(DD12,DC12)/13*1000000</f>
        <v>2110.8080845817608</v>
      </c>
      <c r="DE60" s="76">
        <f>DE34/AVERAGE(DE12,DD12)/13*1000000</f>
        <v>2080.9020991802931</v>
      </c>
      <c r="DF60" s="802">
        <f>DF34/AVERAGE(DF12,DA12)/52*1000000</f>
        <v>2099.5562130177514</v>
      </c>
      <c r="DG60" s="76">
        <f>DG34/AVERAGE(DG12,DF12)/13*1000000</f>
        <v>2171.6139039695408</v>
      </c>
      <c r="DH60" s="76">
        <f>DH34/AVERAGE(DH12,DG12)/13*1000000</f>
        <v>2187.8756009615386</v>
      </c>
      <c r="DI60" s="76">
        <f>DI34/AVERAGE(DI12,DH12)/13*1000000</f>
        <v>2205.7132666613479</v>
      </c>
      <c r="DJ60" s="76">
        <f>DJ34/AVERAGE(DJ12,DI12)/13*1000000</f>
        <v>2156.3266341573412</v>
      </c>
      <c r="DK60" s="807">
        <f>DK34/AVERAGE(DK12,DF12)/52*1000000</f>
        <v>2184.4591669646725</v>
      </c>
      <c r="DL60" s="76">
        <f>DL34/AVERAGE(DL12,DK12)/13*1000000</f>
        <v>2234.3426744404737</v>
      </c>
      <c r="DM60" s="76">
        <f>DM34/AVERAGE(DM12,DL12)/13*1000000</f>
        <v>2326.8865277325826</v>
      </c>
      <c r="DN60" s="76">
        <f>DN34/AVERAGE(DN12,DM12)/13*1000000</f>
        <v>2414.0149078663585</v>
      </c>
      <c r="DO60" s="76">
        <f>DO34/AVERAGE(DO12,DN12)/13*1000000</f>
        <v>2369.1947862563975</v>
      </c>
      <c r="DP60" s="807">
        <f>DP34/AVERAGE(DP12,DK12)/52*1000000</f>
        <v>2337.5942406893032</v>
      </c>
      <c r="DQ60" s="76">
        <f>DQ34/AVERAGE(DQ12,DP12)/13*1000000</f>
        <v>2454.3696646700937</v>
      </c>
      <c r="DR60" s="76">
        <f ca="1">DR34/AVERAGE(DR12,DQ12)/13*1000000</f>
        <v>2402.5186082652967</v>
      </c>
      <c r="DS60" s="76">
        <f ca="1">DS34/AVERAGE(DS12,DR12)/13*1000000</f>
        <v>2229.4402499487433</v>
      </c>
      <c r="DT60" s="76">
        <f>DT34/AVERAGE(DT12,DS12)/13*1000000</f>
        <v>2100.4198999728724</v>
      </c>
      <c r="DU60" s="807">
        <f ca="1">DU34/AVERAGE(DU12,DP12)/52*1000000</f>
        <v>2350.3030938644056</v>
      </c>
      <c r="DV60" s="76">
        <f>DV34/AVERAGE(DV12,DU12)/13*1000000</f>
        <v>2256.7328952454582</v>
      </c>
      <c r="DW60" s="76">
        <f ca="1">DW34/AVERAGE(DW12,DV12)/13*1000000</f>
        <v>2270.1796528834452</v>
      </c>
      <c r="DX60" s="76">
        <f ca="1">DX34/AVERAGE(DX12,DW12)/13*1000000</f>
        <v>2355.9795443106937</v>
      </c>
      <c r="DY60" s="76">
        <f>DY34/AVERAGE(DY12,DX12)/13*1000000</f>
        <v>2259.4728098844153</v>
      </c>
      <c r="DZ60" s="807">
        <f ca="1">DZ34/AVERAGE(DZ12,DU12)/52*1000000</f>
        <v>2285.4713025767373</v>
      </c>
      <c r="EA60" s="76">
        <f>EA34/AVERAGE(EA12,DZ12)/13*1000000</f>
        <v>2415.9253163081107</v>
      </c>
      <c r="EB60" s="76">
        <f ca="1">EB34/AVERAGE(EB12,EA12)/13*1000000</f>
        <v>2417.9653851078883</v>
      </c>
      <c r="EC60" s="76">
        <f ca="1">EC34/AVERAGE(EC12,EB12)/13*1000000</f>
        <v>2487.813760256508</v>
      </c>
      <c r="ED60" s="76">
        <f>ED34/AVERAGE(ED12,EC12)/13*1000000</f>
        <v>2364.7959254089023</v>
      </c>
      <c r="EE60" s="807">
        <f ca="1">EE34/AVERAGE(EE12,DZ12)/52*1000000</f>
        <v>2415.2600660676162</v>
      </c>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row>
    <row r="61" spans="2:238" s="161" customFormat="1" ht="12.75" customHeight="1">
      <c r="B61" s="555" t="s">
        <v>345</v>
      </c>
      <c r="C61" s="62"/>
      <c r="D61" s="62"/>
      <c r="E61" s="62"/>
      <c r="F61" s="62"/>
      <c r="G61" s="62"/>
      <c r="H61" s="62"/>
      <c r="I61" s="62"/>
      <c r="J61" s="62"/>
      <c r="K61" s="140"/>
      <c r="L61" s="76"/>
      <c r="M61" s="76"/>
      <c r="N61" s="141"/>
      <c r="O61" s="62"/>
      <c r="P61" s="140"/>
      <c r="Q61" s="76"/>
      <c r="R61" s="76"/>
      <c r="S61" s="141"/>
      <c r="T61" s="62"/>
      <c r="U61" s="140"/>
      <c r="V61" s="76"/>
      <c r="W61" s="76"/>
      <c r="X61" s="141"/>
      <c r="Y61" s="62"/>
      <c r="Z61" s="140"/>
      <c r="AA61" s="76"/>
      <c r="AB61" s="76"/>
      <c r="AC61" s="141"/>
      <c r="AD61" s="62"/>
      <c r="AE61" s="140"/>
      <c r="AF61" s="76"/>
      <c r="AG61" s="76"/>
      <c r="AH61" s="141"/>
      <c r="AI61" s="62"/>
      <c r="AJ61" s="140"/>
      <c r="AK61" s="76"/>
      <c r="AL61" s="76"/>
      <c r="AM61" s="141"/>
      <c r="AN61" s="62"/>
      <c r="AO61" s="140"/>
      <c r="AP61" s="76"/>
      <c r="AQ61" s="76"/>
      <c r="AR61" s="141"/>
      <c r="AS61" s="62"/>
      <c r="AT61" s="140"/>
      <c r="AU61" s="76"/>
      <c r="AV61" s="76"/>
      <c r="AW61" s="141"/>
      <c r="AX61" s="62"/>
      <c r="AY61" s="140"/>
      <c r="AZ61" s="76"/>
      <c r="BA61" s="76"/>
      <c r="BB61" s="141"/>
      <c r="BC61" s="62"/>
      <c r="BD61" s="140"/>
      <c r="BE61" s="76"/>
      <c r="BF61" s="76"/>
      <c r="BG61" s="141"/>
      <c r="BH61" s="62"/>
      <c r="BI61" s="140"/>
      <c r="BJ61" s="76"/>
      <c r="BK61" s="76"/>
      <c r="BL61" s="141"/>
      <c r="BM61" s="62"/>
      <c r="BN61" s="140"/>
      <c r="BO61" s="76"/>
      <c r="BP61" s="76"/>
      <c r="BQ61" s="141"/>
      <c r="BR61" s="62"/>
      <c r="BS61" s="140"/>
      <c r="BT61" s="76"/>
      <c r="BU61" s="76"/>
      <c r="BV61" s="141"/>
      <c r="BW61" s="76"/>
      <c r="BX61" s="140">
        <f>BX56*1000000/BX57/13</f>
        <v>606.51273475688356</v>
      </c>
      <c r="BY61" s="76">
        <f>BY56*1000000/BY57/13</f>
        <v>192.48816029143762</v>
      </c>
      <c r="BZ61" s="76">
        <f>BZ56*1000000/BZ57/13</f>
        <v>702.22504767959617</v>
      </c>
      <c r="CA61" s="141">
        <f>CA56*1000000/CA57/13</f>
        <v>893.01961329809376</v>
      </c>
      <c r="CB61" s="76">
        <f>CB56*1000000/CB57/52</f>
        <v>627.05995270552307</v>
      </c>
      <c r="CC61" s="140">
        <f>CC56*1000000/CC57/13</f>
        <v>756.43505430739106</v>
      </c>
      <c r="CD61" s="76">
        <f>CD56*1000000/CD57/13</f>
        <v>742.56818878332876</v>
      </c>
      <c r="CE61" s="76">
        <f>CE56*1000000/CE57/13</f>
        <v>731.63678426836509</v>
      </c>
      <c r="CF61" s="76">
        <f>CF56*1000000/CF57/13</f>
        <v>953.33061999728864</v>
      </c>
      <c r="CG61" s="807">
        <f>CG56*1000000/CG57/52</f>
        <v>789.64862298195669</v>
      </c>
      <c r="CH61" s="76">
        <f>CH56*1000000/CH57/13</f>
        <v>628.81562881562957</v>
      </c>
      <c r="CI61" s="76">
        <f>CI56*1000000/CI57/13</f>
        <v>657.61689291101277</v>
      </c>
      <c r="CJ61" s="76">
        <f>CJ56*1000000/CJ57/13</f>
        <v>1152.6504583499386</v>
      </c>
      <c r="CK61" s="76">
        <f>CK56*1000000/CK57/13</f>
        <v>545.45454545454402</v>
      </c>
      <c r="CL61" s="807">
        <f>CL56*1000000/CL57/52</f>
        <v>1240.870240870242</v>
      </c>
      <c r="CM61" s="76">
        <f>CM56*1000000/CM57/13</f>
        <v>1129.4792164357402</v>
      </c>
      <c r="CN61" s="189">
        <f>CN56*1000000/CN57/13</f>
        <v>535.8974358974441</v>
      </c>
      <c r="CO61" s="189">
        <f>CO56*1000000/CO57/13</f>
        <v>487.91208791208152</v>
      </c>
      <c r="CP61" s="189">
        <f>CP56*1000000/CP57/13</f>
        <v>983.15885298133674</v>
      </c>
      <c r="CQ61" s="807">
        <f>CQ56*1000000/CQ57/52</f>
        <v>760.01365498406938</v>
      </c>
      <c r="CR61" s="76">
        <f>CR56*1000000/CR57/13</f>
        <v>933.08317698561882</v>
      </c>
      <c r="CS61" s="189">
        <f>CS56*1000000/CS57/13</f>
        <v>1184.3501326259957</v>
      </c>
      <c r="CT61" s="189">
        <f>CT56*1000000/CT57/13</f>
        <v>1251.5793385358584</v>
      </c>
      <c r="CU61" s="189">
        <f ca="1">CU56*1000000/CU57/13</f>
        <v>1251.5793385358584</v>
      </c>
      <c r="CV61" s="807">
        <f ca="1">CV56*1000000/CV57/52</f>
        <v>1338.9494252046848</v>
      </c>
      <c r="CW61" s="76">
        <f>CW56*1000000/CW57/13</f>
        <v>511.91765980499542</v>
      </c>
      <c r="CX61" s="189">
        <f>CX56*1000000/CX57/13</f>
        <v>793.75696767001477</v>
      </c>
      <c r="CY61" s="189">
        <f>CY56*1000000/CY57/13</f>
        <v>276.28205128205872</v>
      </c>
      <c r="CZ61" s="189">
        <f>CZ56*1000000/CZ57/13</f>
        <v>488.58833474220745</v>
      </c>
      <c r="DA61" s="807">
        <f>DA56*1000000/DA57/52</f>
        <v>713.86306001692117</v>
      </c>
      <c r="DB61" s="76">
        <f>DB56*1000000/DB57/13</f>
        <v>1129.9734748011037</v>
      </c>
      <c r="DC61" s="76">
        <f ca="1">DC56*1000000/DC57/13</f>
        <v>1129.9734748011037</v>
      </c>
      <c r="DD61" s="76">
        <f ca="1">DD56*1000000/DD57/13</f>
        <v>1129.9734748011037</v>
      </c>
      <c r="DE61" s="76">
        <f ca="1">DE56*1000000/DE57/13</f>
        <v>1129.9734748011037</v>
      </c>
      <c r="DF61" s="807">
        <f ca="1">DF56*1000000/DF57/52</f>
        <v>-332.34513964738346</v>
      </c>
      <c r="DG61" s="76">
        <f ca="1">DG56*1000000/DG57/13</f>
        <v>1129.9734748011037</v>
      </c>
      <c r="DH61" s="76">
        <f ca="1">DH56*1000000/DH57/13</f>
        <v>1129.9734748011035</v>
      </c>
      <c r="DI61" s="76">
        <f ca="1">DI56*1000000/DI57/13</f>
        <v>1129.9734748011037</v>
      </c>
      <c r="DJ61" s="76">
        <f ca="1">DJ56*1000000/DJ57/13</f>
        <v>1129.9734748011037</v>
      </c>
      <c r="DK61" s="1962">
        <f ca="1">DK56*1000000/DK57/52</f>
        <v>-16384.615384616001</v>
      </c>
      <c r="DL61" s="76">
        <f ca="1">DL56*1000000/DL57/13</f>
        <v>1129.9734748011037</v>
      </c>
      <c r="DM61" s="76">
        <f ca="1">DM56*1000000/DM57/13</f>
        <v>1129.9734748011037</v>
      </c>
      <c r="DN61" s="76">
        <f ca="1">DN56*1000000/DN57/13</f>
        <v>1129.9734748011035</v>
      </c>
      <c r="DO61" s="76">
        <f ca="1">DO56*1000000/DO57/13</f>
        <v>1129.9734748011035</v>
      </c>
      <c r="DP61" s="1377"/>
      <c r="DQ61" s="76">
        <f ca="1">DQ56*1000000/DQ57/13</f>
        <v>1129.9734748011035</v>
      </c>
      <c r="DR61" s="192">
        <f ca="1">DQ61</f>
        <v>1129.9734748011035</v>
      </c>
      <c r="DS61" s="192">
        <f ca="1">DR61</f>
        <v>1129.9734748011035</v>
      </c>
      <c r="DT61" s="192">
        <v>800</v>
      </c>
      <c r="DU61" s="1377"/>
      <c r="DV61" s="192">
        <v>1200</v>
      </c>
      <c r="DW61" s="192">
        <v>1200</v>
      </c>
      <c r="DX61" s="192">
        <v>200</v>
      </c>
      <c r="DY61" s="192">
        <v>200</v>
      </c>
      <c r="DZ61" s="1377"/>
      <c r="EA61" s="192">
        <v>350</v>
      </c>
      <c r="EB61" s="192">
        <v>350</v>
      </c>
      <c r="EC61" s="192">
        <v>350</v>
      </c>
      <c r="ED61" s="192">
        <v>350</v>
      </c>
      <c r="EE61" s="1377"/>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row>
    <row r="62" spans="2:238" s="150" customFormat="1" ht="12.75" customHeight="1">
      <c r="B62" s="555"/>
      <c r="C62" s="130"/>
      <c r="D62" s="130"/>
      <c r="E62" s="131"/>
      <c r="F62" s="131"/>
      <c r="G62" s="131"/>
      <c r="H62" s="131"/>
      <c r="I62" s="131"/>
      <c r="J62" s="131"/>
      <c r="K62" s="126"/>
      <c r="L62" s="127"/>
      <c r="M62" s="127"/>
      <c r="N62" s="132"/>
      <c r="O62" s="131"/>
      <c r="P62" s="126"/>
      <c r="Q62" s="127"/>
      <c r="R62" s="127"/>
      <c r="S62" s="132"/>
      <c r="T62" s="131"/>
      <c r="U62" s="126"/>
      <c r="V62" s="127"/>
      <c r="W62" s="127"/>
      <c r="X62" s="132"/>
      <c r="Y62" s="131"/>
      <c r="Z62" s="126"/>
      <c r="AA62" s="127"/>
      <c r="AB62" s="127"/>
      <c r="AC62" s="132"/>
      <c r="AD62" s="131"/>
      <c r="AE62" s="126"/>
      <c r="AF62" s="127"/>
      <c r="AG62" s="127"/>
      <c r="AH62" s="132"/>
      <c r="AI62" s="131"/>
      <c r="AJ62" s="126"/>
      <c r="AK62" s="127"/>
      <c r="AL62" s="127"/>
      <c r="AM62" s="132"/>
      <c r="AN62" s="131"/>
      <c r="AO62" s="126"/>
      <c r="AP62" s="127"/>
      <c r="AQ62" s="127"/>
      <c r="AR62" s="132"/>
      <c r="AS62" s="131"/>
      <c r="AT62" s="126"/>
      <c r="AU62" s="127"/>
      <c r="AV62" s="127"/>
      <c r="AW62" s="132"/>
      <c r="AX62" s="131"/>
      <c r="AY62" s="126"/>
      <c r="AZ62" s="127"/>
      <c r="BA62" s="127"/>
      <c r="BB62" s="132"/>
      <c r="BC62" s="131"/>
      <c r="BD62" s="126"/>
      <c r="BE62" s="127"/>
      <c r="BF62" s="127"/>
      <c r="BG62" s="132"/>
      <c r="BH62" s="131"/>
      <c r="BI62" s="126"/>
      <c r="BJ62" s="127"/>
      <c r="BK62" s="127"/>
      <c r="BL62" s="132"/>
      <c r="BM62" s="131"/>
      <c r="BN62" s="126"/>
      <c r="BO62" s="127"/>
      <c r="BP62" s="127"/>
      <c r="BQ62" s="132"/>
      <c r="BR62" s="131"/>
      <c r="BS62" s="126"/>
      <c r="BT62" s="127"/>
      <c r="BU62" s="127"/>
      <c r="BV62" s="132"/>
      <c r="BW62" s="131"/>
      <c r="BX62" s="126"/>
      <c r="BY62" s="127"/>
      <c r="BZ62" s="127"/>
      <c r="CA62" s="132"/>
      <c r="CB62" s="131"/>
      <c r="CC62" s="126"/>
      <c r="CD62" s="127"/>
      <c r="CE62" s="127"/>
      <c r="CF62" s="127"/>
      <c r="CG62" s="613"/>
      <c r="CH62" s="127"/>
      <c r="CI62" s="127"/>
      <c r="CJ62" s="127"/>
      <c r="CK62" s="129"/>
      <c r="CL62" s="613"/>
      <c r="CM62" s="129"/>
      <c r="CN62" s="129"/>
      <c r="CO62" s="129"/>
      <c r="CP62" s="129"/>
      <c r="CQ62" s="831"/>
      <c r="CR62" s="129"/>
      <c r="CS62" s="129"/>
      <c r="CT62" s="129"/>
      <c r="CU62" s="129"/>
      <c r="CV62" s="831"/>
      <c r="CW62" s="129"/>
      <c r="CX62" s="129"/>
      <c r="CY62" s="129"/>
      <c r="CZ62" s="129"/>
      <c r="DA62" s="831"/>
      <c r="DB62" s="129"/>
      <c r="DC62" s="129"/>
      <c r="DD62" s="129"/>
      <c r="DE62" s="129"/>
      <c r="DF62" s="831"/>
      <c r="DG62" s="129"/>
      <c r="DH62" s="129"/>
      <c r="DI62" s="129"/>
      <c r="DJ62" s="129"/>
      <c r="DK62" s="1371"/>
      <c r="DL62" s="129"/>
      <c r="DM62" s="129"/>
      <c r="DN62" s="129"/>
      <c r="DO62" s="129"/>
      <c r="DP62" s="1371"/>
      <c r="DQ62" s="129"/>
      <c r="DR62" s="129"/>
      <c r="DS62" s="129"/>
      <c r="DT62" s="129"/>
      <c r="DU62" s="1371"/>
      <c r="DV62" s="129"/>
      <c r="DW62" s="129"/>
      <c r="DX62" s="129"/>
      <c r="DY62" s="129"/>
      <c r="DZ62" s="1371"/>
      <c r="EA62" s="129"/>
      <c r="EB62" s="129"/>
      <c r="EC62" s="129"/>
      <c r="ED62" s="129"/>
      <c r="EE62" s="1371"/>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row>
    <row r="63" spans="2:238" s="200" customFormat="1" ht="12.75" customHeight="1">
      <c r="B63" s="560" t="s">
        <v>205</v>
      </c>
      <c r="C63" s="194"/>
      <c r="D63" s="194"/>
      <c r="E63" s="195"/>
      <c r="F63" s="195"/>
      <c r="G63" s="195"/>
      <c r="H63" s="195"/>
      <c r="I63" s="195"/>
      <c r="J63" s="195"/>
      <c r="K63" s="196"/>
      <c r="L63" s="197"/>
      <c r="M63" s="197"/>
      <c r="N63" s="198"/>
      <c r="O63" s="195"/>
      <c r="P63" s="196"/>
      <c r="Q63" s="197"/>
      <c r="R63" s="197"/>
      <c r="S63" s="198"/>
      <c r="T63" s="195"/>
      <c r="U63" s="196"/>
      <c r="V63" s="197"/>
      <c r="W63" s="197"/>
      <c r="X63" s="198"/>
      <c r="Y63" s="195"/>
      <c r="Z63" s="196"/>
      <c r="AA63" s="197"/>
      <c r="AB63" s="197"/>
      <c r="AC63" s="198"/>
      <c r="AD63" s="195"/>
      <c r="AE63" s="196"/>
      <c r="AF63" s="197"/>
      <c r="AG63" s="197"/>
      <c r="AH63" s="198"/>
      <c r="AI63" s="195"/>
      <c r="AJ63" s="196"/>
      <c r="AK63" s="197"/>
      <c r="AL63" s="197"/>
      <c r="AM63" s="198"/>
      <c r="AN63" s="195"/>
      <c r="AO63" s="196"/>
      <c r="AP63" s="197"/>
      <c r="AQ63" s="197"/>
      <c r="AR63" s="198"/>
      <c r="AS63" s="195"/>
      <c r="AT63" s="196"/>
      <c r="AU63" s="197"/>
      <c r="AV63" s="197"/>
      <c r="AW63" s="198"/>
      <c r="AX63" s="195"/>
      <c r="AY63" s="196"/>
      <c r="AZ63" s="197"/>
      <c r="BA63" s="197"/>
      <c r="BB63" s="198"/>
      <c r="BC63" s="195"/>
      <c r="BD63" s="196"/>
      <c r="BE63" s="197"/>
      <c r="BF63" s="197"/>
      <c r="BG63" s="198"/>
      <c r="BH63" s="195"/>
      <c r="BI63" s="196"/>
      <c r="BJ63" s="197"/>
      <c r="BK63" s="197"/>
      <c r="BL63" s="198"/>
      <c r="BM63" s="195"/>
      <c r="BN63" s="196"/>
      <c r="BO63" s="197"/>
      <c r="BP63" s="197"/>
      <c r="BQ63" s="198"/>
      <c r="BR63" s="195"/>
      <c r="BS63" s="196"/>
      <c r="BT63" s="197"/>
      <c r="BU63" s="197"/>
      <c r="BV63" s="198"/>
      <c r="BW63" s="195"/>
      <c r="BX63" s="196"/>
      <c r="BY63" s="197"/>
      <c r="BZ63" s="197"/>
      <c r="CA63" s="198"/>
      <c r="CB63" s="195"/>
      <c r="CC63" s="196"/>
      <c r="CD63" s="197"/>
      <c r="CE63" s="197"/>
      <c r="CF63" s="197"/>
      <c r="CG63" s="808"/>
      <c r="CH63" s="197"/>
      <c r="CI63" s="197"/>
      <c r="CJ63" s="197"/>
      <c r="CK63" s="199"/>
      <c r="CL63" s="808"/>
      <c r="CM63" s="199"/>
      <c r="CN63" s="199"/>
      <c r="CO63" s="1525"/>
      <c r="CP63" s="199"/>
      <c r="CQ63" s="835"/>
      <c r="CR63" s="199"/>
      <c r="CS63" s="199"/>
      <c r="CT63" s="1525"/>
      <c r="CU63" s="199"/>
      <c r="CV63" s="835"/>
      <c r="CW63" s="199"/>
      <c r="CX63" s="203"/>
      <c r="CY63" s="203"/>
      <c r="CZ63" s="203"/>
      <c r="DA63" s="835"/>
      <c r="DB63" s="203"/>
      <c r="DC63" s="203"/>
      <c r="DD63" s="203"/>
      <c r="DE63" s="203"/>
      <c r="DF63" s="835"/>
      <c r="DG63" s="203"/>
      <c r="DH63" s="203"/>
      <c r="DI63" s="203"/>
      <c r="DJ63" s="203"/>
      <c r="DK63" s="1378"/>
      <c r="DL63" s="203"/>
      <c r="DM63" s="203"/>
      <c r="DN63" s="203"/>
      <c r="DO63" s="203"/>
      <c r="DP63" s="1378"/>
      <c r="DQ63" s="203"/>
      <c r="DR63" s="199"/>
      <c r="DS63" s="199"/>
      <c r="DT63" s="199"/>
      <c r="DU63" s="1378"/>
      <c r="DV63" s="199"/>
      <c r="DW63" s="199"/>
      <c r="DX63" s="199"/>
      <c r="DY63" s="199"/>
      <c r="DZ63" s="1378"/>
      <c r="EA63" s="199"/>
      <c r="EB63" s="199"/>
      <c r="EC63" s="199"/>
      <c r="ED63" s="199"/>
      <c r="EE63" s="1378"/>
      <c r="EF63"/>
      <c r="EG63"/>
      <c r="EH63" s="1607"/>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row>
    <row r="64" spans="2:238" s="161" customFormat="1" ht="12.75" customHeight="1">
      <c r="B64" s="561" t="s">
        <v>161</v>
      </c>
      <c r="C64" s="62"/>
      <c r="D64" s="62"/>
      <c r="E64" s="62"/>
      <c r="F64" s="62"/>
      <c r="G64" s="62"/>
      <c r="H64" s="62"/>
      <c r="I64" s="62"/>
      <c r="J64" s="62"/>
      <c r="K64" s="140"/>
      <c r="L64" s="76"/>
      <c r="M64" s="76"/>
      <c r="N64" s="141"/>
      <c r="O64" s="62"/>
      <c r="P64" s="140"/>
      <c r="Q64" s="76"/>
      <c r="R64" s="76"/>
      <c r="S64" s="141"/>
      <c r="T64" s="62"/>
      <c r="U64" s="140"/>
      <c r="V64" s="76"/>
      <c r="W64" s="76"/>
      <c r="X64" s="141"/>
      <c r="Y64" s="62"/>
      <c r="Z64" s="140"/>
      <c r="AA64" s="76"/>
      <c r="AB64" s="76"/>
      <c r="AC64" s="141"/>
      <c r="AD64" s="62"/>
      <c r="AE64" s="140"/>
      <c r="AF64" s="76"/>
      <c r="AG64" s="76"/>
      <c r="AH64" s="141"/>
      <c r="AI64" s="62"/>
      <c r="AJ64" s="140"/>
      <c r="AK64" s="76"/>
      <c r="AL64" s="76"/>
      <c r="AM64" s="141"/>
      <c r="AN64" s="62"/>
      <c r="AO64" s="140"/>
      <c r="AP64" s="76"/>
      <c r="AQ64" s="76"/>
      <c r="AR64" s="141"/>
      <c r="AS64" s="62"/>
      <c r="AT64" s="140"/>
      <c r="AU64" s="76"/>
      <c r="AV64" s="76"/>
      <c r="AW64" s="141"/>
      <c r="AX64" s="62"/>
      <c r="AY64" s="140"/>
      <c r="AZ64" s="76"/>
      <c r="BA64" s="76"/>
      <c r="BB64" s="141"/>
      <c r="BC64" s="62"/>
      <c r="BD64" s="140"/>
      <c r="BE64" s="76"/>
      <c r="BF64" s="76"/>
      <c r="BG64" s="141"/>
      <c r="BH64" s="62"/>
      <c r="BI64" s="140"/>
      <c r="BJ64" s="76"/>
      <c r="BK64" s="76"/>
      <c r="BL64" s="141"/>
      <c r="BM64" s="62"/>
      <c r="BN64" s="140"/>
      <c r="BO64" s="76"/>
      <c r="BP64" s="76"/>
      <c r="BQ64" s="141"/>
      <c r="BR64" s="62"/>
      <c r="BS64" s="140">
        <f>BS128*BS36</f>
        <v>2797.675452</v>
      </c>
      <c r="BT64" s="76">
        <f>BT128*BT36</f>
        <v>2979.2955222000001</v>
      </c>
      <c r="BU64" s="76">
        <f>BU128*BU36</f>
        <v>3002.069</v>
      </c>
      <c r="BV64" s="141">
        <f>BV128*BV36</f>
        <v>2914.3972439999998</v>
      </c>
      <c r="BW64" s="62">
        <f>SUM(BS64:BV64)</f>
        <v>11693.437218199999</v>
      </c>
      <c r="BX64" s="140">
        <f>BX128*BX36</f>
        <v>3058.6400000000003</v>
      </c>
      <c r="BY64" s="76">
        <f>BY128*BY36</f>
        <v>3250.2893999999997</v>
      </c>
      <c r="BZ64" s="76">
        <f>BZ128*BZ36</f>
        <v>3370.9367999999995</v>
      </c>
      <c r="CA64" s="141">
        <f>CA128*CA36</f>
        <v>3297.9947000000002</v>
      </c>
      <c r="CB64" s="62">
        <f>SUM(BX64:CA64)</f>
        <v>12977.8609</v>
      </c>
      <c r="CC64" s="140">
        <f>CC128*CC36</f>
        <v>3492.5819999999999</v>
      </c>
      <c r="CD64" s="76">
        <f>CD128*CD36</f>
        <v>3523.0943999999995</v>
      </c>
      <c r="CE64" s="76">
        <f>CE128*CE36</f>
        <v>3656.2284</v>
      </c>
      <c r="CF64" s="76">
        <f>CF128*CF36</f>
        <v>3619.5744</v>
      </c>
      <c r="CG64" s="802">
        <f>SUM(CC64:CF64)</f>
        <v>14291.4792</v>
      </c>
      <c r="CH64" s="76">
        <f>CH128*CH36</f>
        <v>3726.8999999999996</v>
      </c>
      <c r="CI64" s="76">
        <f>CI128*CI36</f>
        <v>3820.7182499999994</v>
      </c>
      <c r="CJ64" s="76">
        <f>CJ128*CJ36</f>
        <v>3916.5209999999997</v>
      </c>
      <c r="CK64" s="76">
        <f>CK128*CK36</f>
        <v>3827.9000000000005</v>
      </c>
      <c r="CL64" s="802">
        <f>SUM(CH64:CK64)</f>
        <v>15292.039250000002</v>
      </c>
      <c r="CM64" s="76">
        <f>CM128*CM36</f>
        <v>3879.1168000000002</v>
      </c>
      <c r="CN64" s="76">
        <f>CN128*CN36</f>
        <v>3785.8183999999997</v>
      </c>
      <c r="CO64" s="76">
        <f>CO128*CO36</f>
        <v>3743.6448</v>
      </c>
      <c r="CP64" s="76">
        <f>CP128*CP36</f>
        <v>3722.4</v>
      </c>
      <c r="CQ64" s="825">
        <f>SUM(CM64:CP64)</f>
        <v>15130.98</v>
      </c>
      <c r="CR64" s="76">
        <f>CR128*CR36</f>
        <v>3881.7421500000005</v>
      </c>
      <c r="CS64" s="76">
        <f>CS128*CS36</f>
        <v>4076.9559999999997</v>
      </c>
      <c r="CT64" s="76">
        <f>CT128*CT36</f>
        <v>4255.1355000000003</v>
      </c>
      <c r="CU64" s="76">
        <f>CU128*CU36</f>
        <v>4132.9784999999993</v>
      </c>
      <c r="CV64" s="825">
        <f>SUM(CR64:CU64)</f>
        <v>16346.81215</v>
      </c>
      <c r="CW64" s="76">
        <f>CW128*CW36</f>
        <v>4128.8559000000005</v>
      </c>
      <c r="CX64" s="76">
        <f>CX128*CX36</f>
        <v>4271.7610000000004</v>
      </c>
      <c r="CY64" s="76">
        <f>CY128*CY36</f>
        <v>4497.1219999999994</v>
      </c>
      <c r="CZ64" s="76">
        <f>CZ128*CZ36</f>
        <v>4368.1119825000005</v>
      </c>
      <c r="DA64" s="802">
        <f>SUM(CW64:CZ64)</f>
        <v>17265.850882500003</v>
      </c>
      <c r="DB64" s="76">
        <f>DB128*DB36</f>
        <v>4434.0896677780447</v>
      </c>
      <c r="DC64" s="76">
        <f>DC128*DC36</f>
        <v>4508.0841706669644</v>
      </c>
      <c r="DD64" s="76">
        <f>DD128*DD36</f>
        <v>4648.4884898964756</v>
      </c>
      <c r="DE64" s="76">
        <f>DE128*DE36</f>
        <v>4580.9975808174177</v>
      </c>
      <c r="DF64" s="802">
        <f>SUM(DB64:DE64)</f>
        <v>18171.659909158901</v>
      </c>
      <c r="DG64" s="76">
        <f>DG128*DG36</f>
        <v>4851.2059120633749</v>
      </c>
      <c r="DH64" s="76">
        <f>DH128*DH36</f>
        <v>4695.4214412764841</v>
      </c>
      <c r="DI64" s="76">
        <f>DI128*DI36</f>
        <v>5106.1209983126064</v>
      </c>
      <c r="DJ64" s="76">
        <f>DJ128*DJ36</f>
        <v>5001.3757575276304</v>
      </c>
      <c r="DK64" s="807">
        <f>SUM(DG64:DJ64)</f>
        <v>19654.124109180098</v>
      </c>
      <c r="DL64" s="76">
        <f>DL128*DL36</f>
        <v>5026.9346137466064</v>
      </c>
      <c r="DM64" s="76">
        <f>DM128*DM36</f>
        <v>4507.5428779700005</v>
      </c>
      <c r="DN64" s="76">
        <f>DN128*DN36</f>
        <v>5306.7374318106213</v>
      </c>
      <c r="DO64" s="76">
        <f>DO128*DO36</f>
        <v>5218.0517415694248</v>
      </c>
      <c r="DP64" s="807">
        <f>SUM(DL64:DO64)</f>
        <v>20059.266665096653</v>
      </c>
      <c r="DQ64" s="76">
        <f>DQ128*DQ36</f>
        <v>5268.8350370726248</v>
      </c>
      <c r="DR64" s="76">
        <f ca="1">DR128*DR36</f>
        <v>4774.2534803003782</v>
      </c>
      <c r="DS64" s="76">
        <f ca="1">DS128*DS36</f>
        <v>5581.5666575655359</v>
      </c>
      <c r="DT64" s="76">
        <f>DT128*DT36</f>
        <v>5312.947515791413</v>
      </c>
      <c r="DU64" s="807">
        <f ca="1">SUM(DQ64:DT64)</f>
        <v>20937.602690729953</v>
      </c>
      <c r="DV64" s="76">
        <f>DV128*DV36</f>
        <v>5741.0548453385309</v>
      </c>
      <c r="DW64" s="76">
        <f ca="1">DW128*DW36</f>
        <v>4781.2212848936879</v>
      </c>
      <c r="DX64" s="76">
        <f ca="1">DX128*DX36</f>
        <v>5589.4704400688288</v>
      </c>
      <c r="DY64" s="76">
        <f>DY128*DY36</f>
        <v>5320.8275557956822</v>
      </c>
      <c r="DZ64" s="807">
        <f ca="1">SUM(DV64:DY64)</f>
        <v>21432.574126096726</v>
      </c>
      <c r="EA64" s="76">
        <f>EA128*EA36</f>
        <v>5858.13325705856</v>
      </c>
      <c r="EB64" s="76">
        <f ca="1">EB128*EB36</f>
        <v>4885.8696113255219</v>
      </c>
      <c r="EC64" s="76">
        <f ca="1">EC128*EC36</f>
        <v>5720.6778344783652</v>
      </c>
      <c r="ED64" s="76">
        <f>ED128*ED36</f>
        <v>5453.2986158765007</v>
      </c>
      <c r="EE64" s="807">
        <f ca="1">SUM(EA64:ED64)</f>
        <v>21917.979318738948</v>
      </c>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row>
    <row r="65" spans="2:238" s="161" customFormat="1" ht="12.75" customHeight="1">
      <c r="B65" s="623" t="s">
        <v>162</v>
      </c>
      <c r="C65" s="964"/>
      <c r="D65" s="964"/>
      <c r="E65" s="964"/>
      <c r="F65" s="964"/>
      <c r="G65" s="964"/>
      <c r="H65" s="964"/>
      <c r="I65" s="964"/>
      <c r="J65" s="964"/>
      <c r="K65" s="741"/>
      <c r="L65" s="283"/>
      <c r="M65" s="283"/>
      <c r="N65" s="740"/>
      <c r="O65" s="964"/>
      <c r="P65" s="741"/>
      <c r="Q65" s="283"/>
      <c r="R65" s="283"/>
      <c r="S65" s="740"/>
      <c r="T65" s="964"/>
      <c r="U65" s="741"/>
      <c r="V65" s="283"/>
      <c r="W65" s="283"/>
      <c r="X65" s="740"/>
      <c r="Y65" s="964"/>
      <c r="Z65" s="741"/>
      <c r="AA65" s="283"/>
      <c r="AB65" s="283"/>
      <c r="AC65" s="740"/>
      <c r="AD65" s="964"/>
      <c r="AE65" s="741"/>
      <c r="AF65" s="283"/>
      <c r="AG65" s="283"/>
      <c r="AH65" s="740"/>
      <c r="AI65" s="964"/>
      <c r="AJ65" s="741"/>
      <c r="AK65" s="283"/>
      <c r="AL65" s="283"/>
      <c r="AM65" s="740"/>
      <c r="AN65" s="964"/>
      <c r="AO65" s="741"/>
      <c r="AP65" s="283"/>
      <c r="AQ65" s="283"/>
      <c r="AR65" s="740"/>
      <c r="AS65" s="964"/>
      <c r="AT65" s="741"/>
      <c r="AU65" s="283"/>
      <c r="AV65" s="283"/>
      <c r="AW65" s="740"/>
      <c r="AX65" s="964"/>
      <c r="AY65" s="741"/>
      <c r="AZ65" s="283"/>
      <c r="BA65" s="283"/>
      <c r="BB65" s="740"/>
      <c r="BC65" s="964"/>
      <c r="BD65" s="741"/>
      <c r="BE65" s="283"/>
      <c r="BF65" s="283"/>
      <c r="BG65" s="740"/>
      <c r="BH65" s="964"/>
      <c r="BI65" s="741"/>
      <c r="BJ65" s="283"/>
      <c r="BK65" s="283"/>
      <c r="BL65" s="740"/>
      <c r="BM65" s="964"/>
      <c r="BN65" s="741"/>
      <c r="BO65" s="283"/>
      <c r="BP65" s="283"/>
      <c r="BQ65" s="740"/>
      <c r="BR65" s="964"/>
      <c r="BS65" s="741">
        <f>BS66-BS64</f>
        <v>6343.5164480000003</v>
      </c>
      <c r="BT65" s="283">
        <f>BT66-BT64</f>
        <v>6556.6352778</v>
      </c>
      <c r="BU65" s="283">
        <f>BU66-BU64</f>
        <v>6701.9645000000019</v>
      </c>
      <c r="BV65" s="740">
        <f>BV66-BV64</f>
        <v>6486.2590560000008</v>
      </c>
      <c r="BW65" s="964">
        <f>SUM(BS65:BV65)</f>
        <v>26088.375281800007</v>
      </c>
      <c r="BX65" s="741">
        <f>BX66-BX64</f>
        <v>6675.13</v>
      </c>
      <c r="BY65" s="283">
        <f>BY66-BY64</f>
        <v>6997.7106000000003</v>
      </c>
      <c r="BZ65" s="283">
        <f>BZ66-BZ64</f>
        <v>7131.5732000000007</v>
      </c>
      <c r="CA65" s="740">
        <f>CA66-CA64</f>
        <v>7013.2503000000006</v>
      </c>
      <c r="CB65" s="964">
        <f>SUM(BX65:CA65)</f>
        <v>27817.664100000002</v>
      </c>
      <c r="CC65" s="741">
        <f>CC66-CC64</f>
        <v>7209.1360000000004</v>
      </c>
      <c r="CD65" s="283">
        <f>CD66-CD64</f>
        <v>7098.4266000000007</v>
      </c>
      <c r="CE65" s="283">
        <f>CE66-CE64</f>
        <v>7460.6676000000007</v>
      </c>
      <c r="CF65" s="283">
        <f>CF66-CF64</f>
        <v>7366.5056000000004</v>
      </c>
      <c r="CG65" s="1111">
        <f>SUM(CC65:CF65)</f>
        <v>29134.735800000002</v>
      </c>
      <c r="CH65" s="283">
        <f>CH66-CH64</f>
        <v>7554.2020000000011</v>
      </c>
      <c r="CI65" s="283">
        <f>CI66-CI64</f>
        <v>7630.2837500000005</v>
      </c>
      <c r="CJ65" s="283">
        <f>CJ66-CJ64</f>
        <v>7911.7500000000009</v>
      </c>
      <c r="CK65" s="283">
        <f>CK66-CK64</f>
        <v>7922.5179999999991</v>
      </c>
      <c r="CL65" s="1111">
        <f>SUM(CH65:CK65)</f>
        <v>31018.753750000003</v>
      </c>
      <c r="CM65" s="283">
        <f>CM66-CM64</f>
        <v>8013.7182000000012</v>
      </c>
      <c r="CN65" s="283">
        <f>CN66-CN64</f>
        <v>7553.989599999999</v>
      </c>
      <c r="CO65" s="283">
        <f>CO66-CO64</f>
        <v>7422.3631999999998</v>
      </c>
      <c r="CP65" s="283">
        <f>CP66-CP64</f>
        <v>7136.0280000000002</v>
      </c>
      <c r="CQ65" s="1111">
        <f>SUM(CM65:CP65)</f>
        <v>30126.099000000002</v>
      </c>
      <c r="CR65" s="283">
        <f>CR66-CR64</f>
        <v>7165.8658500000001</v>
      </c>
      <c r="CS65" s="283">
        <f>CS66-CS64</f>
        <v>7316.360999999999</v>
      </c>
      <c r="CT65" s="283">
        <f>CT66-CT64</f>
        <v>7300.3675000000003</v>
      </c>
      <c r="CU65" s="283">
        <f>CU66-CU64</f>
        <v>7331.3205000000016</v>
      </c>
      <c r="CV65" s="1111">
        <f>SUM(CR65:CU65)</f>
        <v>29113.914850000001</v>
      </c>
      <c r="CW65" s="283">
        <f>CW66-CW64</f>
        <v>7730.0071000000007</v>
      </c>
      <c r="CX65" s="283">
        <f>CX66-CX64</f>
        <v>7922.5489999999991</v>
      </c>
      <c r="CY65" s="283">
        <f>CY66-CY64</f>
        <v>7997.1220000000012</v>
      </c>
      <c r="CZ65" s="283">
        <f>CZ66-CZ64</f>
        <v>8152.3370175</v>
      </c>
      <c r="DA65" s="1111">
        <f>SUM(CW65:CZ65)</f>
        <v>31802.015117499999</v>
      </c>
      <c r="DB65" s="283">
        <f>DB66-DB64</f>
        <v>8627.9823322219563</v>
      </c>
      <c r="DC65" s="283">
        <f>DC66-DC64</f>
        <v>9046.8278293330368</v>
      </c>
      <c r="DD65" s="283">
        <f>DD66-DD64</f>
        <v>8852.4365101035255</v>
      </c>
      <c r="DE65" s="283">
        <f>DE66-DE64</f>
        <v>8603.9694191825838</v>
      </c>
      <c r="DF65" s="1111">
        <f>SUM(DB65:DE65)</f>
        <v>35131.216090841102</v>
      </c>
      <c r="DG65" s="283">
        <f>DG66-DG64</f>
        <v>9081.8740879366269</v>
      </c>
      <c r="DH65" s="283">
        <f>DH66-DH64</f>
        <v>9279.578558723515</v>
      </c>
      <c r="DI65" s="283">
        <f>DI66-DI64</f>
        <v>9172.5690016873941</v>
      </c>
      <c r="DJ65" s="283">
        <f>DJ66-DJ64</f>
        <v>9314.0542424723681</v>
      </c>
      <c r="DK65" s="1379">
        <f>SUM(DG65:DJ65)</f>
        <v>36848.075890819906</v>
      </c>
      <c r="DL65" s="283">
        <f>DL66-DL64</f>
        <v>9248.4343862533933</v>
      </c>
      <c r="DM65" s="283">
        <f>DM66-DM64</f>
        <v>9998.7671220299999</v>
      </c>
      <c r="DN65" s="283">
        <f>DN66-DN64</f>
        <v>10440.334568189377</v>
      </c>
      <c r="DO65" s="283">
        <f>DO66-DO64</f>
        <v>10860.969258430574</v>
      </c>
      <c r="DP65" s="1379">
        <f>SUM(DL65:DO65)</f>
        <v>40548.505334903341</v>
      </c>
      <c r="DQ65" s="283">
        <f>DQ66-DQ64</f>
        <v>10877.088962927373</v>
      </c>
      <c r="DR65" s="283">
        <f ca="1">DR37*DR129</f>
        <v>11717.480330212164</v>
      </c>
      <c r="DS65" s="283">
        <f ca="1">DS37*DS129</f>
        <v>12141.10792485172</v>
      </c>
      <c r="DT65" s="283">
        <f>DT37*DT129</f>
        <v>12217.806745476069</v>
      </c>
      <c r="DU65" s="1379">
        <f ca="1">SUM(DQ65:DT65)</f>
        <v>46953.483963467326</v>
      </c>
      <c r="DV65" s="283">
        <f>DV37*DV129</f>
        <v>12287.20582067097</v>
      </c>
      <c r="DW65" s="283">
        <f ca="1">DW37*DW129</f>
        <v>12150.752899438412</v>
      </c>
      <c r="DX65" s="283">
        <f ca="1">DX37*DX129</f>
        <v>12573.636067124842</v>
      </c>
      <c r="DY65" s="283">
        <f>DY37*DY129</f>
        <v>12637.36338294605</v>
      </c>
      <c r="DZ65" s="1379">
        <f ca="1">SUM(DV65:DY65)</f>
        <v>49648.958170180274</v>
      </c>
      <c r="EA65" s="283">
        <f>EA37*EA129</f>
        <v>12667.615929096526</v>
      </c>
      <c r="EB65" s="283">
        <f ca="1">EB37*EB129</f>
        <v>12527.562362424633</v>
      </c>
      <c r="EC65" s="283">
        <f ca="1">EC37*EC129</f>
        <v>12964.612013842647</v>
      </c>
      <c r="ED65" s="283">
        <f>ED37*ED129</f>
        <v>13028.477424563509</v>
      </c>
      <c r="EE65" s="1379">
        <f ca="1">SUM(EA65:ED65)</f>
        <v>51188.26772992732</v>
      </c>
      <c r="EF65" s="40"/>
      <c r="EG65" s="40"/>
      <c r="EH65" s="40"/>
      <c r="EI65" s="40"/>
      <c r="EJ65"/>
      <c r="EK65"/>
      <c r="EL65"/>
      <c r="EM65"/>
      <c r="EN65"/>
      <c r="EO65"/>
      <c r="EP65" s="40"/>
      <c r="EQ65" s="40"/>
      <c r="ER65" s="40"/>
      <c r="ES65" s="40"/>
      <c r="ET65" s="40"/>
      <c r="EU65" s="40"/>
      <c r="EV65" s="40"/>
      <c r="EW65" s="40"/>
      <c r="EX65" s="40"/>
      <c r="EY65" s="40"/>
      <c r="EZ65" s="40"/>
      <c r="FA65" s="40"/>
      <c r="FB65" s="40"/>
      <c r="FC65" s="40"/>
      <c r="FD65" s="40"/>
      <c r="FE65" s="40"/>
      <c r="FF65" s="40"/>
      <c r="FG65" s="40"/>
      <c r="FH65" s="40"/>
      <c r="FI65" s="40"/>
      <c r="FJ65" s="40"/>
      <c r="FK65" s="40"/>
      <c r="FL65" s="40"/>
      <c r="FM65" s="40"/>
      <c r="FN65" s="40"/>
      <c r="FO65" s="40"/>
      <c r="FP65" s="40"/>
      <c r="FQ65" s="40"/>
      <c r="FR65" s="40"/>
      <c r="FS65" s="40"/>
      <c r="FT65" s="40"/>
      <c r="FU65" s="40"/>
      <c r="FV65" s="40"/>
      <c r="FW65" s="40"/>
      <c r="FX65" s="40"/>
      <c r="FY65" s="40"/>
      <c r="FZ65" s="40"/>
      <c r="GA65" s="40"/>
      <c r="GB65" s="40"/>
      <c r="GC65" s="40"/>
      <c r="GD65" s="40"/>
      <c r="GE65" s="40"/>
      <c r="GF65" s="40"/>
      <c r="GG65" s="40"/>
      <c r="GH65" s="40"/>
      <c r="GI65" s="40"/>
      <c r="GJ65" s="40"/>
      <c r="GK65" s="40"/>
      <c r="GL65" s="40"/>
      <c r="GM65" s="40"/>
      <c r="GN65" s="40"/>
      <c r="GO65" s="40"/>
      <c r="GP65" s="40"/>
      <c r="GQ65" s="40"/>
      <c r="GR65" s="40"/>
      <c r="GS65" s="40"/>
      <c r="GT65" s="40"/>
      <c r="GU65" s="40"/>
      <c r="GV65" s="40"/>
      <c r="GW65" s="40"/>
      <c r="GX65" s="40"/>
      <c r="GY65" s="40"/>
      <c r="GZ65" s="40"/>
      <c r="HA65" s="40"/>
      <c r="HB65" s="40"/>
      <c r="HC65" s="40"/>
      <c r="HD65" s="40"/>
      <c r="HE65" s="40"/>
      <c r="HF65" s="40"/>
      <c r="HG65" s="40"/>
      <c r="HH65" s="40"/>
      <c r="HI65" s="40"/>
      <c r="HJ65" s="40"/>
      <c r="HK65" s="40"/>
      <c r="HL65" s="40"/>
      <c r="HM65" s="40"/>
      <c r="HN65" s="40"/>
      <c r="HO65" s="40"/>
      <c r="HP65" s="40"/>
      <c r="HQ65" s="40"/>
      <c r="HR65" s="40"/>
      <c r="HS65" s="40"/>
      <c r="HT65" s="40"/>
      <c r="HU65" s="40"/>
      <c r="HV65" s="40"/>
      <c r="HW65" s="40"/>
      <c r="HX65" s="40"/>
      <c r="HY65" s="40"/>
      <c r="HZ65" s="40"/>
      <c r="IA65" s="40"/>
      <c r="IB65" s="40"/>
      <c r="IC65" s="40"/>
      <c r="ID65" s="40"/>
    </row>
    <row r="66" spans="2:238" s="161" customFormat="1" ht="12.75" customHeight="1">
      <c r="B66" s="562" t="s">
        <v>392</v>
      </c>
      <c r="C66" s="62"/>
      <c r="D66" s="62"/>
      <c r="E66" s="62"/>
      <c r="F66" s="62"/>
      <c r="G66" s="62"/>
      <c r="H66" s="62"/>
      <c r="I66" s="62"/>
      <c r="J66" s="62"/>
      <c r="K66" s="140"/>
      <c r="L66" s="76"/>
      <c r="M66" s="76"/>
      <c r="N66" s="141"/>
      <c r="O66" s="62"/>
      <c r="P66" s="140"/>
      <c r="Q66" s="76"/>
      <c r="R66" s="76"/>
      <c r="S66" s="141"/>
      <c r="T66" s="62"/>
      <c r="U66" s="140"/>
      <c r="V66" s="76"/>
      <c r="W66" s="76"/>
      <c r="X66" s="141"/>
      <c r="Y66" s="62"/>
      <c r="Z66" s="140"/>
      <c r="AA66" s="76"/>
      <c r="AB66" s="76"/>
      <c r="AC66" s="141"/>
      <c r="AD66" s="62"/>
      <c r="AE66" s="140"/>
      <c r="AF66" s="76"/>
      <c r="AG66" s="76"/>
      <c r="AH66" s="141"/>
      <c r="AI66" s="62"/>
      <c r="AJ66" s="140"/>
      <c r="AK66" s="76"/>
      <c r="AL66" s="76"/>
      <c r="AM66" s="141"/>
      <c r="AN66" s="62"/>
      <c r="AO66" s="140"/>
      <c r="AP66" s="76"/>
      <c r="AQ66" s="76"/>
      <c r="AR66" s="141"/>
      <c r="AS66" s="62"/>
      <c r="AT66" s="140"/>
      <c r="AU66" s="76"/>
      <c r="AV66" s="76"/>
      <c r="AW66" s="141"/>
      <c r="AX66" s="62"/>
      <c r="AY66" s="140"/>
      <c r="AZ66" s="76"/>
      <c r="BA66" s="76"/>
      <c r="BB66" s="141"/>
      <c r="BC66" s="62"/>
      <c r="BD66" s="140"/>
      <c r="BE66" s="76"/>
      <c r="BF66" s="76"/>
      <c r="BG66" s="141"/>
      <c r="BH66" s="62"/>
      <c r="BI66" s="140"/>
      <c r="BJ66" s="76"/>
      <c r="BK66" s="76"/>
      <c r="BL66" s="141"/>
      <c r="BM66" s="62"/>
      <c r="BN66" s="140"/>
      <c r="BO66" s="76"/>
      <c r="BP66" s="76"/>
      <c r="BQ66" s="141"/>
      <c r="BR66" s="62"/>
      <c r="BS66" s="140">
        <f>BS67</f>
        <v>9141.1918999999998</v>
      </c>
      <c r="BT66" s="76">
        <f>BT67</f>
        <v>9535.9308000000001</v>
      </c>
      <c r="BU66" s="76">
        <f>BU67</f>
        <v>9704.0335000000014</v>
      </c>
      <c r="BV66" s="141">
        <f>BV67</f>
        <v>9400.6563000000006</v>
      </c>
      <c r="BW66" s="62">
        <f>BW64+BW65</f>
        <v>37781.812500000007</v>
      </c>
      <c r="BX66" s="140">
        <f>BX67</f>
        <v>9733.77</v>
      </c>
      <c r="BY66" s="76">
        <f>BY67</f>
        <v>10248</v>
      </c>
      <c r="BZ66" s="76">
        <f>BZ67</f>
        <v>10502.51</v>
      </c>
      <c r="CA66" s="141">
        <f>CA67</f>
        <v>10311.245000000001</v>
      </c>
      <c r="CB66" s="62">
        <f>CB64+CB65</f>
        <v>40795.525000000001</v>
      </c>
      <c r="CC66" s="140">
        <f>CC67</f>
        <v>10701.718000000001</v>
      </c>
      <c r="CD66" s="76">
        <f>CD67</f>
        <v>10621.521000000001</v>
      </c>
      <c r="CE66" s="76">
        <f>CE67</f>
        <v>11116.896000000001</v>
      </c>
      <c r="CF66" s="76">
        <f>CF67</f>
        <v>10986.08</v>
      </c>
      <c r="CG66" s="802">
        <f>CG64+CG65</f>
        <v>43426.215000000004</v>
      </c>
      <c r="CH66" s="76">
        <f>CH67</f>
        <v>11281.102000000001</v>
      </c>
      <c r="CI66" s="76">
        <f>CI67</f>
        <v>11451.002</v>
      </c>
      <c r="CJ66" s="76">
        <f>CJ67</f>
        <v>11828.271000000001</v>
      </c>
      <c r="CK66" s="76">
        <f>CK67</f>
        <v>11750.418</v>
      </c>
      <c r="CL66" s="802">
        <f>CL64+CL65</f>
        <v>46310.793000000005</v>
      </c>
      <c r="CM66" s="76">
        <f>CM67</f>
        <v>11892.835000000001</v>
      </c>
      <c r="CN66" s="189">
        <f>CN67</f>
        <v>11339.807999999999</v>
      </c>
      <c r="CO66" s="189">
        <f>CO67</f>
        <v>11166.008</v>
      </c>
      <c r="CP66" s="76">
        <f>CP67</f>
        <v>10858.428</v>
      </c>
      <c r="CQ66" s="802">
        <f>CQ64+CQ65</f>
        <v>45257.078999999998</v>
      </c>
      <c r="CR66" s="76">
        <f>CR67</f>
        <v>11047.608</v>
      </c>
      <c r="CS66" s="76">
        <f>CS67</f>
        <v>11393.316999999999</v>
      </c>
      <c r="CT66" s="76">
        <f>CT67</f>
        <v>11555.503000000001</v>
      </c>
      <c r="CU66" s="76">
        <f>CU67</f>
        <v>11464.299000000001</v>
      </c>
      <c r="CV66" s="802">
        <f>CV64+CV65</f>
        <v>45460.726999999999</v>
      </c>
      <c r="CW66" s="76">
        <f>CW67</f>
        <v>11858.863000000001</v>
      </c>
      <c r="CX66" s="76">
        <f>CX67</f>
        <v>12194.31</v>
      </c>
      <c r="CY66" s="76">
        <f>CY67</f>
        <v>12494.244000000001</v>
      </c>
      <c r="CZ66" s="76">
        <f>CZ67</f>
        <v>12520.449000000001</v>
      </c>
      <c r="DA66" s="802">
        <f>DA64+DA65</f>
        <v>49067.866000000002</v>
      </c>
      <c r="DB66" s="76">
        <f>DB67</f>
        <v>13062.072</v>
      </c>
      <c r="DC66" s="76">
        <f>DC67</f>
        <v>13554.912</v>
      </c>
      <c r="DD66" s="76">
        <f>DD67</f>
        <v>13500.925000000001</v>
      </c>
      <c r="DE66" s="76">
        <f>DE67</f>
        <v>13184.967000000001</v>
      </c>
      <c r="DF66" s="802">
        <f t="shared" ref="DF66" si="86">DF64+DF65</f>
        <v>53302.876000000004</v>
      </c>
      <c r="DG66" s="76">
        <f>DG67</f>
        <v>13933.080000000002</v>
      </c>
      <c r="DH66" s="76">
        <f>DH67</f>
        <v>13975</v>
      </c>
      <c r="DI66" s="76">
        <f>DI67</f>
        <v>14278.69</v>
      </c>
      <c r="DJ66" s="76">
        <f>DJ67</f>
        <v>14315.429999999998</v>
      </c>
      <c r="DK66" s="807">
        <f>DK64+DK65</f>
        <v>56502.200000000004</v>
      </c>
      <c r="DL66" s="76">
        <f>DL67</f>
        <v>14275.368999999999</v>
      </c>
      <c r="DM66" s="76">
        <f>DM67</f>
        <v>14506.310000000001</v>
      </c>
      <c r="DN66" s="76">
        <f>DN67</f>
        <v>15747.071999999998</v>
      </c>
      <c r="DO66" s="76">
        <f>DO67</f>
        <v>16079.020999999999</v>
      </c>
      <c r="DP66" s="807">
        <f t="shared" ref="DP66:DU66" si="87">DP64+DP65</f>
        <v>60607.771999999997</v>
      </c>
      <c r="DQ66" s="76">
        <f>DQ67</f>
        <v>16145.923999999999</v>
      </c>
      <c r="DR66" s="76">
        <f t="shared" ca="1" si="87"/>
        <v>16491.733810512542</v>
      </c>
      <c r="DS66" s="76">
        <f t="shared" ca="1" si="87"/>
        <v>17722.674582417254</v>
      </c>
      <c r="DT66" s="76">
        <f t="shared" si="87"/>
        <v>17530.754261267481</v>
      </c>
      <c r="DU66" s="807">
        <f t="shared" ca="1" si="87"/>
        <v>67891.086654197279</v>
      </c>
      <c r="DV66" s="76">
        <f t="shared" ref="DV66:DZ66" si="88">DV64+DV65</f>
        <v>18028.260666009501</v>
      </c>
      <c r="DW66" s="76">
        <f t="shared" ca="1" si="88"/>
        <v>16931.974184332099</v>
      </c>
      <c r="DX66" s="76">
        <f t="shared" ca="1" si="88"/>
        <v>18163.106507193672</v>
      </c>
      <c r="DY66" s="76">
        <f t="shared" si="88"/>
        <v>17958.190938741733</v>
      </c>
      <c r="DZ66" s="807">
        <f t="shared" ca="1" si="88"/>
        <v>71081.532296277001</v>
      </c>
      <c r="EA66" s="76">
        <f t="shared" ref="EA66:EE66" si="89">EA64+EA65</f>
        <v>18525.749186155088</v>
      </c>
      <c r="EB66" s="76">
        <f t="shared" ca="1" si="89"/>
        <v>17413.431973750154</v>
      </c>
      <c r="EC66" s="76">
        <f t="shared" ca="1" si="89"/>
        <v>18685.289848321012</v>
      </c>
      <c r="ED66" s="76">
        <f t="shared" si="89"/>
        <v>18481.776040440011</v>
      </c>
      <c r="EE66" s="807">
        <f t="shared" ca="1" si="89"/>
        <v>73106.247048666264</v>
      </c>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row>
    <row r="67" spans="2:238" s="161" customFormat="1" ht="12.75" customHeight="1">
      <c r="B67" s="562" t="s">
        <v>452</v>
      </c>
      <c r="C67" s="62"/>
      <c r="D67" s="62"/>
      <c r="E67" s="62"/>
      <c r="F67" s="73">
        <f>(F222*Model!F9)-F181</f>
        <v>2471.0271480000001</v>
      </c>
      <c r="G67" s="73">
        <f>(G222*Model!G9)-G181</f>
        <v>2810.5853360000001</v>
      </c>
      <c r="H67" s="73">
        <f>(H222*Model!H9)-H181</f>
        <v>3168.6288800000002</v>
      </c>
      <c r="I67" s="73">
        <f>(I222*Model!I9)-I181</f>
        <v>3767.8710239999996</v>
      </c>
      <c r="J67" s="73">
        <f>(J222*Model!J9)-J181</f>
        <v>4511.4716639999997</v>
      </c>
      <c r="K67" s="140"/>
      <c r="L67" s="76"/>
      <c r="M67" s="76"/>
      <c r="N67" s="141"/>
      <c r="O67" s="73">
        <f>(O222*Model!O9)-O181</f>
        <v>5323.840416</v>
      </c>
      <c r="P67" s="121">
        <f>(P222*Model!P9)-P181</f>
        <v>1334.6701299999997</v>
      </c>
      <c r="Q67" s="73">
        <f>(Q222*Model!Q9)-Q181</f>
        <v>1437.9265999999998</v>
      </c>
      <c r="R67" s="73">
        <f>(R222*Model!R9)-R181</f>
        <v>1274.84521</v>
      </c>
      <c r="S67" s="75">
        <f>(S222*Model!S9)-S181</f>
        <v>1501.549499</v>
      </c>
      <c r="T67" s="64">
        <f>SUM(P67:S67)</f>
        <v>5548.9914389999994</v>
      </c>
      <c r="U67" s="121">
        <f>(U222*Model!U9)-U181</f>
        <v>1590.8542</v>
      </c>
      <c r="V67" s="73">
        <f>(V222*Model!V9)-V181</f>
        <v>1648.5320130000002</v>
      </c>
      <c r="W67" s="73">
        <f>(W222*Model!W9)-W181</f>
        <v>1823.318158</v>
      </c>
      <c r="X67" s="75">
        <f>(X222*Model!X9)-X181</f>
        <v>1781.6973839999998</v>
      </c>
      <c r="Y67" s="64">
        <f>SUM(U67:X67)</f>
        <v>6844.4017549999999</v>
      </c>
      <c r="Z67" s="121">
        <f>(Z222*Model!Z9)-Z181</f>
        <v>1957.9264000000001</v>
      </c>
      <c r="AA67" s="73">
        <f>(AA222*Model!AA9)-AA181</f>
        <v>2130.5169999999998</v>
      </c>
      <c r="AB67" s="73">
        <f>(AB222*Model!AB9)-AB181</f>
        <v>2311.556</v>
      </c>
      <c r="AC67" s="75">
        <f>(AC222*Model!AC9)-AC181</f>
        <v>2322.4</v>
      </c>
      <c r="AD67" s="64">
        <f>SUM(Z67:AC67)</f>
        <v>8722.3994000000002</v>
      </c>
      <c r="AE67" s="121">
        <f>(AE222*Model!AE9)-AE181</f>
        <v>2474.4295999999999</v>
      </c>
      <c r="AF67" s="73">
        <f>(AF222*Model!AF9)-AF181</f>
        <v>2686.2408</v>
      </c>
      <c r="AG67" s="73">
        <f>(AG222*Model!AG9)-AG181</f>
        <v>2845.9370000000004</v>
      </c>
      <c r="AH67" s="75">
        <f>(AH222*Model!AH9)-AH181</f>
        <v>2858.0791999999997</v>
      </c>
      <c r="AI67" s="64">
        <f>SUM(AE67:AH67)</f>
        <v>10864.686600000001</v>
      </c>
      <c r="AJ67" s="121">
        <f>(AJ222*Model!AJ9)-AJ181</f>
        <v>3038.3649999999993</v>
      </c>
      <c r="AK67" s="73">
        <f>(AK222*Model!AK9)-AK181</f>
        <v>3284.76</v>
      </c>
      <c r="AL67" s="73">
        <f>(AL222*Model!AL9)-AL181</f>
        <v>3515.4579999999996</v>
      </c>
      <c r="AM67" s="75">
        <f>(AM222*Model!AM9)-AM181</f>
        <v>3521.9584</v>
      </c>
      <c r="AN67" s="64">
        <f>SUM(AJ67:AM67)</f>
        <v>13360.541399999998</v>
      </c>
      <c r="AO67" s="121">
        <f>(AO222*Model!AO9)-AO181</f>
        <v>3709.9211999999998</v>
      </c>
      <c r="AP67" s="73">
        <f>(AP222*Model!AP9)-AP181</f>
        <v>3986.8749999999991</v>
      </c>
      <c r="AQ67" s="73">
        <f>(AQ222*Model!AQ9)-AQ181</f>
        <v>4273.7647999999999</v>
      </c>
      <c r="AR67" s="75">
        <f>(AR222*Model!AR9)-AR181</f>
        <v>4238.7179999999998</v>
      </c>
      <c r="AS67" s="64">
        <f>SUM(AO67:AR67)</f>
        <v>16209.278999999999</v>
      </c>
      <c r="AT67" s="121">
        <f>(AT222*Model!AT9)-AT181</f>
        <v>4449.0700000000006</v>
      </c>
      <c r="AU67" s="73">
        <f>(AU222*Model!AU9)-AU181</f>
        <v>4719.3988099999997</v>
      </c>
      <c r="AV67" s="73">
        <f>(AV222*Model!AV9)-AV181</f>
        <v>4963.6400000000003</v>
      </c>
      <c r="AW67" s="75">
        <f>(AW222*Model!AW9)-AW181</f>
        <v>4955.4103999999998</v>
      </c>
      <c r="AX67" s="64">
        <f>SUM(AT67:AW67)</f>
        <v>19087.519210000002</v>
      </c>
      <c r="AY67" s="121">
        <f>(AY222*Model!AY9)-AY181</f>
        <v>5258.6120000000001</v>
      </c>
      <c r="AZ67" s="73">
        <f>(AZ222*Model!AZ9)-AZ181</f>
        <v>5480.3980000000001</v>
      </c>
      <c r="BA67" s="73">
        <f>(BA222*Model!BA9)-BA181</f>
        <v>5795</v>
      </c>
      <c r="BB67" s="75">
        <f>(BB222*Model!BB9)-BB181</f>
        <v>5745</v>
      </c>
      <c r="BC67" s="64">
        <f>SUM(AY67:BB67)</f>
        <v>22279.010000000002</v>
      </c>
      <c r="BD67" s="121">
        <f>(BD222*Model!BD9)-BD181</f>
        <v>6034.6150000000007</v>
      </c>
      <c r="BE67" s="73">
        <f>(BE222*Model!BE9)-BE181</f>
        <v>6405.8440000000001</v>
      </c>
      <c r="BF67" s="73">
        <f>(BF222*Model!BF9)-BF181</f>
        <v>6606.29</v>
      </c>
      <c r="BG67" s="75">
        <f>(BG222*Model!BG9)-BG181</f>
        <v>6405.6308999999992</v>
      </c>
      <c r="BH67" s="64">
        <f>SUM(BD67:BG67)</f>
        <v>25452.3799</v>
      </c>
      <c r="BI67" s="121">
        <f>(BI222*Model!BI9)-BI181</f>
        <v>6656.586221999999</v>
      </c>
      <c r="BJ67" s="73">
        <f>(BJ222*Model!BJ9)-BJ181</f>
        <v>7119.2925336172029</v>
      </c>
      <c r="BK67" s="73">
        <f>(BK222*Model!BK9)-BK181</f>
        <v>7498.1504999999988</v>
      </c>
      <c r="BL67" s="75">
        <f>(BL222*Model!BL9)-BL181</f>
        <v>7547.6258225543479</v>
      </c>
      <c r="BM67" s="64">
        <f>SUM(BI67:BL67)</f>
        <v>28821.655078171549</v>
      </c>
      <c r="BN67" s="121">
        <f>(BN222*Model!BN9)-BN181</f>
        <v>8260.8976855435212</v>
      </c>
      <c r="BO67" s="73">
        <f>(BO222*Model!BO9)-BO181</f>
        <v>8895.267287386363</v>
      </c>
      <c r="BP67" s="73">
        <f>(BP222*Model!BP9)-BP181</f>
        <v>8897.7209940645862</v>
      </c>
      <c r="BQ67" s="75">
        <f>(BQ222*Model!BQ9)-BQ181</f>
        <v>8607.5298420438685</v>
      </c>
      <c r="BR67" s="64">
        <f>SUM(BN67:BQ67)</f>
        <v>34661.415809038343</v>
      </c>
      <c r="BS67" s="121">
        <f>(BS222*Model!BS9)-BS181</f>
        <v>9141.1918999999998</v>
      </c>
      <c r="BT67" s="73">
        <f>(BT222*Model!BT9)-BT181</f>
        <v>9535.9308000000001</v>
      </c>
      <c r="BU67" s="73">
        <f>(BU222*Model!BU9)-BU181</f>
        <v>9704.0335000000014</v>
      </c>
      <c r="BV67" s="75">
        <f>(BV222*Model!BV9)-BV181</f>
        <v>9400.6563000000006</v>
      </c>
      <c r="BW67" s="62">
        <f>(BW222*Model!BW9)-BW181</f>
        <v>37781.8125</v>
      </c>
      <c r="BX67" s="121">
        <f>(BX222*Model!BX9)-BX181</f>
        <v>9733.77</v>
      </c>
      <c r="BY67" s="73">
        <f>(BY222*Model!BY9)-BY181</f>
        <v>10248</v>
      </c>
      <c r="BZ67" s="73">
        <f>(BZ222*Model!BZ9)-BZ181</f>
        <v>10502.51</v>
      </c>
      <c r="CA67" s="75">
        <f>(CA222*Model!CA9)-CA181</f>
        <v>10311.245000000001</v>
      </c>
      <c r="CB67" s="62">
        <f>(CB222*Model!CB9)-CB181</f>
        <v>40795.525000000001</v>
      </c>
      <c r="CC67" s="121">
        <f>(CC222*Model!CC9)-CC181</f>
        <v>10701.718000000001</v>
      </c>
      <c r="CD67" s="73">
        <f>(CD222*Model!CD9)-CD181</f>
        <v>10621.521000000001</v>
      </c>
      <c r="CE67" s="73">
        <f>(CE222*Model!CE9)-CE181</f>
        <v>11116.896000000001</v>
      </c>
      <c r="CF67" s="73">
        <f>(CF222*Model!CF9)-CF181</f>
        <v>10986.08</v>
      </c>
      <c r="CG67" s="802">
        <f>(CG222*Model!CG9)-CG181</f>
        <v>43426.215000000004</v>
      </c>
      <c r="CH67" s="73">
        <f>(CH222*Model!CH9)-CH181</f>
        <v>11281.102000000001</v>
      </c>
      <c r="CI67" s="73">
        <f>(CI222*Model!CI9)-CI181</f>
        <v>11451.002</v>
      </c>
      <c r="CJ67" s="73">
        <f>(CJ222*Model!CJ9)-CJ181</f>
        <v>11828.271000000001</v>
      </c>
      <c r="CK67" s="73">
        <f>(CK222*Model!CK9)-CK181</f>
        <v>11750.418</v>
      </c>
      <c r="CL67" s="802">
        <f>(CL222*Model!CL9)-CL181</f>
        <v>46310.793000000005</v>
      </c>
      <c r="CM67" s="73">
        <f>(CM222*Model!CM9)-CM181</f>
        <v>11892.835000000001</v>
      </c>
      <c r="CN67" s="73">
        <f>(CN222*Model!CN9)-CN181</f>
        <v>11339.807999999999</v>
      </c>
      <c r="CO67" s="73">
        <f>(CO222*Model!CO9)-CO181</f>
        <v>11166.008</v>
      </c>
      <c r="CP67" s="73">
        <f>(CP222*Model!CP9)-CP181</f>
        <v>10858.428</v>
      </c>
      <c r="CQ67" s="802">
        <f>(CQ222*Model!CQ9)-CQ181</f>
        <v>45257.078999999998</v>
      </c>
      <c r="CR67" s="73">
        <f>CR222*Model!CR9</f>
        <v>11047.608</v>
      </c>
      <c r="CS67" s="73">
        <f>CS222*Model!CS9</f>
        <v>11393.316999999999</v>
      </c>
      <c r="CT67" s="73">
        <f>CT222*Model!CT9</f>
        <v>11555.503000000001</v>
      </c>
      <c r="CU67" s="73">
        <f>CU222*Model!CU9</f>
        <v>11464.299000000001</v>
      </c>
      <c r="CV67" s="802">
        <f>(CV222*Model!CV9)-CV181</f>
        <v>45460.726999999999</v>
      </c>
      <c r="CW67" s="73">
        <f>CW222*Model!CW9</f>
        <v>11858.863000000001</v>
      </c>
      <c r="CX67" s="73">
        <f>CX222*Model!CX9</f>
        <v>12194.31</v>
      </c>
      <c r="CY67" s="73">
        <f>CY222*Model!CY9</f>
        <v>12494.244000000001</v>
      </c>
      <c r="CZ67" s="73">
        <f>CZ222*Model!CZ9</f>
        <v>12520.449000000001</v>
      </c>
      <c r="DA67" s="802">
        <f>SUM(CW67:CZ67)</f>
        <v>49067.866000000002</v>
      </c>
      <c r="DB67" s="73">
        <f>DB222*DB188</f>
        <v>13062.072</v>
      </c>
      <c r="DC67" s="73">
        <f>DC222*DC188</f>
        <v>13554.912</v>
      </c>
      <c r="DD67" s="73">
        <f>DD222*DD188</f>
        <v>13500.925000000001</v>
      </c>
      <c r="DE67" s="73">
        <f>DE222*DE188</f>
        <v>13184.967000000001</v>
      </c>
      <c r="DF67" s="802">
        <f>SUM(DB67:DE67)</f>
        <v>53302.876000000004</v>
      </c>
      <c r="DG67" s="73">
        <f>DG222*DG188</f>
        <v>13933.080000000002</v>
      </c>
      <c r="DH67" s="73">
        <f>DH222*DH188</f>
        <v>13975</v>
      </c>
      <c r="DI67" s="73">
        <f>DI222*DI188</f>
        <v>14278.69</v>
      </c>
      <c r="DJ67" s="73">
        <f>DJ222*DJ188</f>
        <v>14315.429999999998</v>
      </c>
      <c r="DK67" s="777">
        <f>SUM(DG67:DJ67)</f>
        <v>56502.200000000004</v>
      </c>
      <c r="DL67" s="73">
        <f>DL222*DL188</f>
        <v>14275.368999999999</v>
      </c>
      <c r="DM67" s="73">
        <f>DM222*DM188</f>
        <v>14506.310000000001</v>
      </c>
      <c r="DN67" s="73">
        <f>DN222*DN188</f>
        <v>15747.071999999998</v>
      </c>
      <c r="DO67" s="73">
        <f>DO222*DO188</f>
        <v>16079.020999999999</v>
      </c>
      <c r="DP67" s="777">
        <f>SUM(DL67:DO67)</f>
        <v>60607.771999999997</v>
      </c>
      <c r="DQ67" s="73">
        <f>DQ222*DQ188</f>
        <v>16145.923999999999</v>
      </c>
      <c r="DR67" s="73">
        <f ca="1">DR222*DR188</f>
        <v>17986.733810512542</v>
      </c>
      <c r="DS67" s="73">
        <f ca="1">DS222*DS188</f>
        <v>18487.674582417254</v>
      </c>
      <c r="DT67" s="73">
        <f>DT222*DT188</f>
        <v>18295.754261267481</v>
      </c>
      <c r="DU67" s="777">
        <f ca="1">SUM(DQ67:DT67)</f>
        <v>70916.086654197279</v>
      </c>
      <c r="DV67" s="73">
        <f>DV222*DV188</f>
        <v>18778.260666009501</v>
      </c>
      <c r="DW67" s="73">
        <f ca="1">DW222*DW188</f>
        <v>18696.899184332098</v>
      </c>
      <c r="DX67" s="73">
        <f ca="1">DX222*DX188</f>
        <v>18939.58150719367</v>
      </c>
      <c r="DY67" s="73">
        <f>DY222*DY188</f>
        <v>18734.665938741731</v>
      </c>
      <c r="DZ67" s="777">
        <f ca="1">SUM(DV67:DY67)</f>
        <v>75149.407296277001</v>
      </c>
      <c r="EA67" s="73">
        <f>EA222*EA188</f>
        <v>19286.999186155088</v>
      </c>
      <c r="EB67" s="73">
        <f ca="1">EB222*EB188</f>
        <v>19204.830848750153</v>
      </c>
      <c r="EC67" s="73">
        <f ca="1">EC222*EC188</f>
        <v>19473.41197332101</v>
      </c>
      <c r="ED67" s="73">
        <f>ED222*ED188</f>
        <v>19269.898165440012</v>
      </c>
      <c r="EE67" s="777">
        <f ca="1">SUM(EA67:ED67)</f>
        <v>77235.140173666266</v>
      </c>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row>
    <row r="68" spans="2:238" s="182" customFormat="1" ht="12.75" customHeight="1">
      <c r="B68" s="556" t="s">
        <v>462</v>
      </c>
      <c r="C68" s="107"/>
      <c r="D68" s="107"/>
      <c r="E68" s="143"/>
      <c r="F68" s="143"/>
      <c r="G68" s="143"/>
      <c r="H68" s="143"/>
      <c r="I68" s="202"/>
      <c r="J68" s="202"/>
      <c r="K68" s="144"/>
      <c r="L68" s="145"/>
      <c r="M68" s="145"/>
      <c r="N68" s="146"/>
      <c r="O68" s="202"/>
      <c r="P68" s="144"/>
      <c r="Q68" s="145"/>
      <c r="R68" s="145"/>
      <c r="S68" s="146"/>
      <c r="T68" s="202"/>
      <c r="U68" s="144"/>
      <c r="V68" s="145"/>
      <c r="W68" s="145"/>
      <c r="X68" s="146"/>
      <c r="Y68" s="202"/>
      <c r="Z68" s="144"/>
      <c r="AA68" s="145"/>
      <c r="AB68" s="145"/>
      <c r="AC68" s="146"/>
      <c r="AD68" s="202"/>
      <c r="AE68" s="144"/>
      <c r="AF68" s="145"/>
      <c r="AG68" s="145"/>
      <c r="AH68" s="146"/>
      <c r="AI68" s="202"/>
      <c r="AJ68" s="144"/>
      <c r="AK68" s="145"/>
      <c r="AL68" s="145"/>
      <c r="AM68" s="146"/>
      <c r="AN68" s="202"/>
      <c r="AO68" s="144"/>
      <c r="AP68" s="145"/>
      <c r="AQ68" s="145"/>
      <c r="AR68" s="146"/>
      <c r="AS68" s="202"/>
      <c r="AT68" s="144"/>
      <c r="AU68" s="145"/>
      <c r="AV68" s="145"/>
      <c r="AW68" s="146"/>
      <c r="AX68" s="202"/>
      <c r="AY68" s="144"/>
      <c r="AZ68" s="145"/>
      <c r="BA68" s="145"/>
      <c r="BB68" s="146"/>
      <c r="BC68" s="202"/>
      <c r="BD68" s="144"/>
      <c r="BE68" s="145"/>
      <c r="BF68" s="145"/>
      <c r="BG68" s="146"/>
      <c r="BH68" s="202"/>
      <c r="BI68" s="144"/>
      <c r="BJ68" s="145"/>
      <c r="BK68" s="145"/>
      <c r="BL68" s="146"/>
      <c r="BM68" s="202"/>
      <c r="BN68" s="144"/>
      <c r="BO68" s="145"/>
      <c r="BP68" s="145"/>
      <c r="BQ68" s="146"/>
      <c r="BR68" s="202"/>
      <c r="BS68" s="144"/>
      <c r="BT68" s="145"/>
      <c r="BU68" s="145"/>
      <c r="BV68" s="146"/>
      <c r="BW68" s="143"/>
      <c r="BX68" s="144"/>
      <c r="BY68" s="145"/>
      <c r="BZ68" s="145"/>
      <c r="CA68" s="146"/>
      <c r="CB68" s="143"/>
      <c r="CC68" s="179"/>
      <c r="CD68" s="180"/>
      <c r="CE68" s="180"/>
      <c r="CF68" s="180"/>
      <c r="CG68" s="803"/>
      <c r="CH68" s="145">
        <f t="shared" ref="CH68:DQ68" si="90">CH66/CC66-1</f>
        <v>5.4139344729509764E-2</v>
      </c>
      <c r="CI68" s="145">
        <f t="shared" si="90"/>
        <v>7.8094370853289297E-2</v>
      </c>
      <c r="CJ68" s="145">
        <f t="shared" si="90"/>
        <v>6.3990434020431586E-2</v>
      </c>
      <c r="CK68" s="203">
        <f t="shared" si="90"/>
        <v>6.9573314594468583E-2</v>
      </c>
      <c r="CL68" s="803">
        <f t="shared" si="90"/>
        <v>6.6424808148718428E-2</v>
      </c>
      <c r="CM68" s="145">
        <f t="shared" si="90"/>
        <v>5.4226351290857844E-2</v>
      </c>
      <c r="CN68" s="145">
        <f t="shared" si="90"/>
        <v>-9.710416608083805E-3</v>
      </c>
      <c r="CO68" s="145">
        <f t="shared" si="90"/>
        <v>-5.5989839935185914E-2</v>
      </c>
      <c r="CP68" s="203">
        <f t="shared" si="90"/>
        <v>-7.5911342047576547E-2</v>
      </c>
      <c r="CQ68" s="803">
        <f t="shared" si="90"/>
        <v>-2.2753097749805495E-2</v>
      </c>
      <c r="CR68" s="145">
        <f t="shared" si="90"/>
        <v>-7.107027046116432E-2</v>
      </c>
      <c r="CS68" s="145">
        <f t="shared" si="90"/>
        <v>4.718686595046373E-3</v>
      </c>
      <c r="CT68" s="145">
        <f t="shared" si="90"/>
        <v>3.4882206783301672E-2</v>
      </c>
      <c r="CU68" s="203">
        <f t="shared" si="90"/>
        <v>5.5797303256051478E-2</v>
      </c>
      <c r="CV68" s="803">
        <f t="shared" si="90"/>
        <v>4.4998043289536938E-3</v>
      </c>
      <c r="CW68" s="145">
        <f t="shared" si="90"/>
        <v>7.3432638087810531E-2</v>
      </c>
      <c r="CX68" s="145">
        <f t="shared" si="90"/>
        <v>7.0303757895966656E-2</v>
      </c>
      <c r="CY68" s="145">
        <f t="shared" si="90"/>
        <v>8.1237571397800634E-2</v>
      </c>
      <c r="CZ68" s="203">
        <f t="shared" si="90"/>
        <v>9.2125126883030539E-2</v>
      </c>
      <c r="DA68" s="803">
        <f t="shared" si="90"/>
        <v>7.9346267383713531E-2</v>
      </c>
      <c r="DB68" s="145">
        <f t="shared" si="90"/>
        <v>0.10146073868970396</v>
      </c>
      <c r="DC68" s="145">
        <f t="shared" si="90"/>
        <v>0.11157679278286348</v>
      </c>
      <c r="DD68" s="145">
        <f t="shared" si="90"/>
        <v>8.0571581601896147E-2</v>
      </c>
      <c r="DE68" s="145">
        <f t="shared" si="90"/>
        <v>5.3074614177175183E-2</v>
      </c>
      <c r="DF68" s="803">
        <f t="shared" si="90"/>
        <v>8.630923545768221E-2</v>
      </c>
      <c r="DG68" s="145">
        <f t="shared" si="90"/>
        <v>6.6682223157245035E-2</v>
      </c>
      <c r="DH68" s="145">
        <f t="shared" si="90"/>
        <v>3.0991569698128663E-2</v>
      </c>
      <c r="DI68" s="145">
        <f t="shared" si="90"/>
        <v>5.7608274988565578E-2</v>
      </c>
      <c r="DJ68" s="145">
        <f t="shared" si="90"/>
        <v>8.5738781143706921E-2</v>
      </c>
      <c r="DK68" s="1380">
        <f t="shared" si="90"/>
        <v>6.0021601836268701E-2</v>
      </c>
      <c r="DL68" s="145">
        <f t="shared" si="90"/>
        <v>2.4566642838482089E-2</v>
      </c>
      <c r="DM68" s="145">
        <f t="shared" si="90"/>
        <v>3.8018604651162802E-2</v>
      </c>
      <c r="DN68" s="145">
        <f t="shared" si="90"/>
        <v>0.102837305102919</v>
      </c>
      <c r="DO68" s="145">
        <f t="shared" si="90"/>
        <v>0.12319511184784537</v>
      </c>
      <c r="DP68" s="1380">
        <f t="shared" ref="DP68:DU68" si="91">DP66/DK66-1</f>
        <v>7.2662161827326877E-2</v>
      </c>
      <c r="DQ68" s="145">
        <f t="shared" si="90"/>
        <v>0.13103374070400564</v>
      </c>
      <c r="DR68" s="203">
        <f t="shared" ca="1" si="91"/>
        <v>0.13686621963218348</v>
      </c>
      <c r="DS68" s="203">
        <f t="shared" ca="1" si="91"/>
        <v>0.12545840791337315</v>
      </c>
      <c r="DT68" s="203">
        <f t="shared" si="91"/>
        <v>9.0287416209449578E-2</v>
      </c>
      <c r="DU68" s="1380">
        <f t="shared" ca="1" si="91"/>
        <v>0.12017129839713103</v>
      </c>
      <c r="DV68" s="203">
        <f t="shared" ref="DV68" si="92">DV66/DQ66-1</f>
        <v>0.11658277754865565</v>
      </c>
      <c r="DW68" s="203">
        <f t="shared" ref="DW68" ca="1" si="93">DW66/DR66-1</f>
        <v>2.6694608273323484E-2</v>
      </c>
      <c r="DX68" s="203">
        <f t="shared" ref="DX68" ca="1" si="94">DX66/DS66-1</f>
        <v>2.4851323807151049E-2</v>
      </c>
      <c r="DY68" s="203">
        <f t="shared" ref="DY68" si="95">DY66/DT66-1</f>
        <v>2.4382104221187584E-2</v>
      </c>
      <c r="DZ68" s="1380">
        <f t="shared" ref="DZ68" ca="1" si="96">DZ66/DU66-1</f>
        <v>4.699358633527595E-2</v>
      </c>
      <c r="EA68" s="203">
        <f t="shared" ref="EA68" si="97">EA66/DV66-1</f>
        <v>2.7594926064251624E-2</v>
      </c>
      <c r="EB68" s="203">
        <f t="shared" ref="EB68" ca="1" si="98">EB66/DW66-1</f>
        <v>2.8434828932326628E-2</v>
      </c>
      <c r="EC68" s="203">
        <f t="shared" ref="EC68" ca="1" si="99">EC66/DX66-1</f>
        <v>2.8749671259182596E-2</v>
      </c>
      <c r="ED68" s="203">
        <f t="shared" ref="ED68" si="100">ED66/DY66-1</f>
        <v>2.9155782087645132E-2</v>
      </c>
      <c r="EE68" s="1380">
        <f t="shared" ref="EE68" ca="1" si="101">EE66/DZ66-1</f>
        <v>2.8484399350734213E-2</v>
      </c>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row>
    <row r="69" spans="2:238" s="150" customFormat="1" ht="12.75" customHeight="1">
      <c r="B69" s="558"/>
      <c r="C69" s="130"/>
      <c r="D69" s="130"/>
      <c r="E69" s="131"/>
      <c r="F69" s="131"/>
      <c r="G69" s="131"/>
      <c r="H69" s="131"/>
      <c r="I69" s="131"/>
      <c r="J69" s="131"/>
      <c r="K69" s="126"/>
      <c r="L69" s="127"/>
      <c r="M69" s="127"/>
      <c r="N69" s="132"/>
      <c r="O69" s="131"/>
      <c r="P69" s="126"/>
      <c r="Q69" s="127"/>
      <c r="R69" s="127"/>
      <c r="S69" s="132"/>
      <c r="T69" s="131"/>
      <c r="U69" s="126"/>
      <c r="V69" s="127"/>
      <c r="W69" s="127"/>
      <c r="X69" s="132"/>
      <c r="Y69" s="131"/>
      <c r="Z69" s="126"/>
      <c r="AA69" s="127"/>
      <c r="AB69" s="127"/>
      <c r="AC69" s="132"/>
      <c r="AD69" s="131"/>
      <c r="AE69" s="126"/>
      <c r="AF69" s="127"/>
      <c r="AG69" s="127"/>
      <c r="AH69" s="132"/>
      <c r="AI69" s="131"/>
      <c r="AJ69" s="126"/>
      <c r="AK69" s="127"/>
      <c r="AL69" s="127"/>
      <c r="AM69" s="132"/>
      <c r="AN69" s="131"/>
      <c r="AO69" s="126"/>
      <c r="AP69" s="127"/>
      <c r="AQ69" s="127"/>
      <c r="AR69" s="132"/>
      <c r="AS69" s="131"/>
      <c r="AT69" s="126"/>
      <c r="AU69" s="127"/>
      <c r="AV69" s="127"/>
      <c r="AW69" s="132"/>
      <c r="AX69" s="131"/>
      <c r="AY69" s="126"/>
      <c r="AZ69" s="127"/>
      <c r="BA69" s="127"/>
      <c r="BB69" s="132"/>
      <c r="BC69" s="131"/>
      <c r="BD69" s="126"/>
      <c r="BE69" s="127"/>
      <c r="BF69" s="127"/>
      <c r="BG69" s="132"/>
      <c r="BH69" s="131"/>
      <c r="BI69" s="126"/>
      <c r="BJ69" s="127"/>
      <c r="BK69" s="127"/>
      <c r="BL69" s="132"/>
      <c r="BM69" s="131"/>
      <c r="BN69" s="126"/>
      <c r="BO69" s="127"/>
      <c r="BP69" s="127"/>
      <c r="BQ69" s="132"/>
      <c r="BR69" s="131"/>
      <c r="BS69" s="126"/>
      <c r="BT69" s="127"/>
      <c r="BU69" s="127"/>
      <c r="BV69" s="132"/>
      <c r="BW69" s="131"/>
      <c r="BX69" s="126"/>
      <c r="BY69" s="127"/>
      <c r="BZ69" s="127"/>
      <c r="CA69" s="132"/>
      <c r="CB69" s="131"/>
      <c r="CC69" s="126"/>
      <c r="CD69" s="127"/>
      <c r="CE69" s="127"/>
      <c r="CF69" s="127"/>
      <c r="CG69" s="613"/>
      <c r="CH69" s="127"/>
      <c r="CI69" s="127"/>
      <c r="CJ69" s="127"/>
      <c r="CK69" s="129"/>
      <c r="CL69" s="613"/>
      <c r="CM69" s="129"/>
      <c r="CN69" s="129"/>
      <c r="CO69" s="129"/>
      <c r="CP69" s="129"/>
      <c r="CQ69" s="831"/>
      <c r="CR69" s="129"/>
      <c r="CS69" s="129"/>
      <c r="CT69" s="129"/>
      <c r="CU69" s="129"/>
      <c r="CV69" s="831"/>
      <c r="CW69" s="188"/>
      <c r="CX69" s="129"/>
      <c r="CY69" s="129"/>
      <c r="CZ69" s="129"/>
      <c r="DA69" s="831"/>
      <c r="DB69" s="129"/>
      <c r="DC69" s="129"/>
      <c r="DD69" s="129"/>
      <c r="DE69" s="129"/>
      <c r="DF69" s="831"/>
      <c r="DG69" s="129"/>
      <c r="DH69" s="129"/>
      <c r="DI69" s="2208"/>
      <c r="DJ69" s="129"/>
      <c r="DK69" s="1371"/>
      <c r="DL69" s="129"/>
      <c r="DM69" s="129"/>
      <c r="DN69" s="2208"/>
      <c r="DO69" s="2208"/>
      <c r="DP69" s="1371"/>
      <c r="DQ69" s="2208"/>
      <c r="DR69" s="129"/>
      <c r="DS69" s="129"/>
      <c r="DT69" s="129"/>
      <c r="DU69" s="1371"/>
      <c r="DV69" s="129"/>
      <c r="DW69" s="129"/>
      <c r="DX69" s="129"/>
      <c r="DY69" s="129"/>
      <c r="DZ69" s="1371"/>
      <c r="EA69" s="129"/>
      <c r="EB69" s="129"/>
      <c r="EC69" s="129"/>
      <c r="ED69" s="129"/>
      <c r="EE69" s="1371"/>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row>
    <row r="70" spans="2:238" s="200" customFormat="1" ht="12.75" customHeight="1">
      <c r="B70" s="560" t="s">
        <v>417</v>
      </c>
      <c r="C70" s="194"/>
      <c r="D70" s="194"/>
      <c r="E70" s="195"/>
      <c r="F70" s="195"/>
      <c r="G70" s="195"/>
      <c r="H70" s="195"/>
      <c r="I70" s="195"/>
      <c r="J70" s="195"/>
      <c r="K70" s="196"/>
      <c r="L70" s="197"/>
      <c r="M70" s="197"/>
      <c r="N70" s="198"/>
      <c r="O70" s="195"/>
      <c r="P70" s="196"/>
      <c r="Q70" s="197"/>
      <c r="R70" s="197"/>
      <c r="S70" s="198"/>
      <c r="T70" s="195"/>
      <c r="U70" s="196"/>
      <c r="V70" s="197"/>
      <c r="W70" s="197"/>
      <c r="X70" s="198"/>
      <c r="Y70" s="195"/>
      <c r="Z70" s="196"/>
      <c r="AA70" s="197"/>
      <c r="AB70" s="197"/>
      <c r="AC70" s="198"/>
      <c r="AD70" s="195"/>
      <c r="AE70" s="196"/>
      <c r="AF70" s="197"/>
      <c r="AG70" s="197"/>
      <c r="AH70" s="198"/>
      <c r="AI70" s="195"/>
      <c r="AJ70" s="196"/>
      <c r="AK70" s="197"/>
      <c r="AL70" s="197"/>
      <c r="AM70" s="198"/>
      <c r="AN70" s="195"/>
      <c r="AO70" s="196"/>
      <c r="AP70" s="197"/>
      <c r="AQ70" s="197"/>
      <c r="AR70" s="198"/>
      <c r="AS70" s="195"/>
      <c r="AT70" s="196"/>
      <c r="AU70" s="197"/>
      <c r="AV70" s="197"/>
      <c r="AW70" s="198"/>
      <c r="AX70" s="195"/>
      <c r="AY70" s="196"/>
      <c r="AZ70" s="197"/>
      <c r="BA70" s="197"/>
      <c r="BB70" s="198"/>
      <c r="BC70" s="195"/>
      <c r="BD70" s="196"/>
      <c r="BE70" s="197"/>
      <c r="BF70" s="197"/>
      <c r="BG70" s="198"/>
      <c r="BH70" s="195"/>
      <c r="BI70" s="196"/>
      <c r="BJ70" s="197"/>
      <c r="BK70" s="197"/>
      <c r="BL70" s="198"/>
      <c r="BM70" s="195"/>
      <c r="BN70" s="196"/>
      <c r="BO70" s="197"/>
      <c r="BP70" s="197"/>
      <c r="BQ70" s="198"/>
      <c r="BR70" s="195"/>
      <c r="BS70" s="196"/>
      <c r="BT70" s="197"/>
      <c r="BU70" s="197"/>
      <c r="BV70" s="198"/>
      <c r="BW70" s="195"/>
      <c r="BX70" s="196"/>
      <c r="BY70" s="197"/>
      <c r="BZ70" s="197"/>
      <c r="CA70" s="198"/>
      <c r="CB70" s="195"/>
      <c r="CC70" s="196"/>
      <c r="CD70" s="197"/>
      <c r="CE70" s="197"/>
      <c r="CF70" s="197"/>
      <c r="CG70" s="808"/>
      <c r="CH70" s="197"/>
      <c r="CI70" s="197"/>
      <c r="CJ70" s="197"/>
      <c r="CK70" s="199"/>
      <c r="CL70" s="808"/>
      <c r="CM70" s="199"/>
      <c r="CN70" s="199"/>
      <c r="CO70" s="199"/>
      <c r="CP70" s="199"/>
      <c r="CQ70" s="835"/>
      <c r="CR70" s="199"/>
      <c r="CS70" s="199"/>
      <c r="CT70" s="199"/>
      <c r="CU70" s="199"/>
      <c r="CV70" s="835"/>
      <c r="CW70" s="199"/>
      <c r="CX70" s="199"/>
      <c r="CY70" s="199"/>
      <c r="CZ70" s="199"/>
      <c r="DA70" s="835"/>
      <c r="DB70" s="199"/>
      <c r="DC70" s="199"/>
      <c r="DD70" s="199"/>
      <c r="DE70" s="199"/>
      <c r="DF70" s="835"/>
      <c r="DG70" s="199"/>
      <c r="DH70" s="199"/>
      <c r="DI70" s="199"/>
      <c r="DJ70" s="199"/>
      <c r="DK70" s="1378"/>
      <c r="DL70" s="199"/>
      <c r="DM70" s="199"/>
      <c r="DN70" s="2208"/>
      <c r="DO70" s="2208"/>
      <c r="DP70" s="1378"/>
      <c r="DQ70" s="2208"/>
      <c r="DR70" s="199"/>
      <c r="DS70" s="199"/>
      <c r="DT70" s="199"/>
      <c r="DU70" s="1378"/>
      <c r="DV70" s="199"/>
      <c r="DW70" s="199"/>
      <c r="DX70" s="199"/>
      <c r="DY70" s="199"/>
      <c r="DZ70" s="1378"/>
      <c r="EA70" s="199"/>
      <c r="EB70" s="199"/>
      <c r="EC70" s="199"/>
      <c r="ED70" s="199"/>
      <c r="EE70" s="1378"/>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row>
    <row r="71" spans="2:238" s="161" customFormat="1" ht="12.75" customHeight="1">
      <c r="B71" s="561" t="s">
        <v>161</v>
      </c>
      <c r="C71" s="62"/>
      <c r="D71" s="62"/>
      <c r="E71" s="62"/>
      <c r="F71" s="62"/>
      <c r="G71" s="62"/>
      <c r="H71" s="62"/>
      <c r="I71" s="62"/>
      <c r="J71" s="62"/>
      <c r="K71" s="140"/>
      <c r="L71" s="76"/>
      <c r="M71" s="76"/>
      <c r="N71" s="141"/>
      <c r="O71" s="62"/>
      <c r="P71" s="140"/>
      <c r="Q71" s="76"/>
      <c r="R71" s="76"/>
      <c r="S71" s="141"/>
      <c r="T71" s="62"/>
      <c r="U71" s="140"/>
      <c r="V71" s="76"/>
      <c r="W71" s="76"/>
      <c r="X71" s="141"/>
      <c r="Y71" s="62"/>
      <c r="Z71" s="140"/>
      <c r="AA71" s="76"/>
      <c r="AB71" s="76"/>
      <c r="AC71" s="141"/>
      <c r="AD71" s="62"/>
      <c r="AE71" s="140"/>
      <c r="AF71" s="76"/>
      <c r="AG71" s="76"/>
      <c r="AH71" s="141"/>
      <c r="AI71" s="62"/>
      <c r="AJ71" s="140"/>
      <c r="AK71" s="76"/>
      <c r="AL71" s="76"/>
      <c r="AM71" s="141"/>
      <c r="AN71" s="62"/>
      <c r="AO71" s="140"/>
      <c r="AP71" s="76"/>
      <c r="AQ71" s="76"/>
      <c r="AR71" s="141"/>
      <c r="AS71" s="62"/>
      <c r="AT71" s="140"/>
      <c r="AU71" s="76"/>
      <c r="AV71" s="76"/>
      <c r="AW71" s="141"/>
      <c r="AX71" s="62"/>
      <c r="AY71" s="140"/>
      <c r="AZ71" s="76"/>
      <c r="BA71" s="76"/>
      <c r="BB71" s="141"/>
      <c r="BC71" s="62"/>
      <c r="BD71" s="140"/>
      <c r="BE71" s="76"/>
      <c r="BF71" s="76"/>
      <c r="BG71" s="141"/>
      <c r="BH71" s="62"/>
      <c r="BI71" s="140"/>
      <c r="BJ71" s="76"/>
      <c r="BK71" s="76"/>
      <c r="BL71" s="141"/>
      <c r="BM71" s="62"/>
      <c r="BN71" s="140"/>
      <c r="BO71" s="76"/>
      <c r="BP71" s="76"/>
      <c r="BQ71" s="141"/>
      <c r="BR71" s="62"/>
      <c r="BS71" s="140"/>
      <c r="BT71" s="76"/>
      <c r="BU71" s="76"/>
      <c r="BV71" s="141"/>
      <c r="BW71" s="62"/>
      <c r="BX71" s="140">
        <f>BX43*BX137</f>
        <v>2975.2782695999999</v>
      </c>
      <c r="BY71" s="76">
        <f>BY43*BY137</f>
        <v>3225.6197393687999</v>
      </c>
      <c r="BZ71" s="76">
        <f>BZ43*BZ137</f>
        <v>3271.3769927999992</v>
      </c>
      <c r="CA71" s="141">
        <f>CA43*CA137</f>
        <v>3181.6603289096997</v>
      </c>
      <c r="CB71" s="62">
        <f>SUM(BX71:CA71)</f>
        <v>12653.935330678498</v>
      </c>
      <c r="CC71" s="140">
        <f>CC43*CC137</f>
        <v>3401.054748</v>
      </c>
      <c r="CD71" s="76">
        <f>CD43*CD137</f>
        <v>3434.1729652999998</v>
      </c>
      <c r="CE71" s="76">
        <f>CE43*CE137</f>
        <v>3539.4322149999998</v>
      </c>
      <c r="CF71" s="76">
        <f>CF43*CF137</f>
        <v>3488.4674447999996</v>
      </c>
      <c r="CG71" s="802">
        <f>SUM(CC71:CF71)</f>
        <v>13863.1273731</v>
      </c>
      <c r="CH71" s="76">
        <f>CH43*CH137</f>
        <v>3650.886</v>
      </c>
      <c r="CI71" s="76">
        <f>CI43*CI137</f>
        <v>3739.4580959999994</v>
      </c>
      <c r="CJ71" s="76">
        <f>CJ43*CJ137</f>
        <v>3862.5849108000002</v>
      </c>
      <c r="CK71" s="76">
        <f>CK43*CK137</f>
        <v>3801.2942000000003</v>
      </c>
      <c r="CL71" s="802">
        <f>SUM(CH71:CK71)</f>
        <v>15054.223206799999</v>
      </c>
      <c r="CM71" s="76">
        <f>CM43*CM137</f>
        <v>3835.0291456</v>
      </c>
      <c r="CN71" s="76">
        <f>CN43*CN137</f>
        <v>3765.6338069999993</v>
      </c>
      <c r="CO71" s="76">
        <f>CO43*CO137</f>
        <v>3722.0018535000004</v>
      </c>
      <c r="CP71" s="76">
        <f>CP43*CP137</f>
        <v>3679.6320000000001</v>
      </c>
      <c r="CQ71" s="825">
        <f>SUM(CM71:CP71)</f>
        <v>15002.296806099999</v>
      </c>
      <c r="CR71" s="76">
        <f>CR43*CR137</f>
        <v>3824.1146943999997</v>
      </c>
      <c r="CS71" s="76">
        <f>CS43*CS137</f>
        <v>4006.9421209999996</v>
      </c>
      <c r="CT71" s="76">
        <f>CT43*CT137</f>
        <v>4186.5647039999994</v>
      </c>
      <c r="CU71" s="76">
        <f>CU43*CU137</f>
        <v>4099.3446059999997</v>
      </c>
      <c r="CV71" s="825">
        <f>SUM(CR71:CU71)</f>
        <v>16116.966125399998</v>
      </c>
      <c r="CW71" s="76">
        <f>CW43*CW137</f>
        <v>4110.5377364999995</v>
      </c>
      <c r="CX71" s="76">
        <f>CX43*CX137</f>
        <v>4243.3358239999998</v>
      </c>
      <c r="CY71" s="76">
        <f>CY43*CY137</f>
        <v>4488.2309009999999</v>
      </c>
      <c r="CZ71" s="76">
        <f>CZ43*CZ137</f>
        <v>4356.1742594999996</v>
      </c>
      <c r="DA71" s="802">
        <f>SUM(CW71:CZ71)</f>
        <v>17198.278720999999</v>
      </c>
      <c r="DB71" s="76">
        <f>DB43*DB137</f>
        <v>4425.5870989040695</v>
      </c>
      <c r="DC71" s="76">
        <f>DC43*DC137</f>
        <v>4522.1719337002987</v>
      </c>
      <c r="DD71" s="76">
        <f>DD43*DD137</f>
        <v>4667.7817739828597</v>
      </c>
      <c r="DE71" s="76">
        <f>DE43*DE137</f>
        <v>4586.8011063337108</v>
      </c>
      <c r="DF71" s="802">
        <f>SUM(DB71:DE71)</f>
        <v>18202.34191292094</v>
      </c>
      <c r="DG71" s="76">
        <f>DG43*DG137</f>
        <v>4884.8172717157449</v>
      </c>
      <c r="DH71" s="76">
        <f>DH43*DH137</f>
        <v>4640.4467215691784</v>
      </c>
      <c r="DI71" s="76">
        <f>DI43*DI137</f>
        <v>5131.542962431864</v>
      </c>
      <c r="DJ71" s="76">
        <f>DJ43*DJ137</f>
        <v>5026.6114574283574</v>
      </c>
      <c r="DK71" s="807">
        <f>SUM(DG71:DJ71)</f>
        <v>19683.418413145144</v>
      </c>
      <c r="DL71" s="76">
        <f>DL43*DL137</f>
        <v>5058.3529550825224</v>
      </c>
      <c r="DM71" s="76">
        <f>DM43*DM137</f>
        <v>4593.5461383129468</v>
      </c>
      <c r="DN71" s="76">
        <f>DN43*DN137</f>
        <v>5292.28530596772</v>
      </c>
      <c r="DO71" s="76">
        <f>DO43*DO137</f>
        <v>5202.7542157802918</v>
      </c>
      <c r="DP71" s="807">
        <f>SUM(DL71:DO71)</f>
        <v>20146.938615143481</v>
      </c>
      <c r="DQ71" s="76">
        <f>DQ43*DQ137</f>
        <v>5239.4008379569877</v>
      </c>
      <c r="DR71" s="76">
        <f t="shared" ref="DR71:DT72" si="102">DR43*DR137</f>
        <v>4344.886772571439</v>
      </c>
      <c r="DS71" s="76">
        <f t="shared" si="102"/>
        <v>5016.7632996038992</v>
      </c>
      <c r="DT71" s="76">
        <f t="shared" si="102"/>
        <v>4932.81727614189</v>
      </c>
      <c r="DU71" s="807">
        <f>SUM(DQ71:DT71)</f>
        <v>19533.868186274216</v>
      </c>
      <c r="DV71" s="76">
        <f t="shared" ref="DV71:DY71" si="103">DV43*DV137</f>
        <v>5219.7844261152732</v>
      </c>
      <c r="DW71" s="76">
        <f t="shared" ca="1" si="103"/>
        <v>4794.5634704568984</v>
      </c>
      <c r="DX71" s="76">
        <f t="shared" ca="1" si="103"/>
        <v>5610.5427635565648</v>
      </c>
      <c r="DY71" s="76">
        <f t="shared" si="103"/>
        <v>5340.350024628332</v>
      </c>
      <c r="DZ71" s="807">
        <f ca="1">SUM(DV71:DY71)</f>
        <v>20965.240684757067</v>
      </c>
      <c r="EA71" s="76">
        <f t="shared" ref="EA71:ED71" si="104">EA43*EA137</f>
        <v>5890.6911862638372</v>
      </c>
      <c r="EB71" s="76">
        <f t="shared" ca="1" si="104"/>
        <v>4905.6776514090898</v>
      </c>
      <c r="EC71" s="76">
        <f t="shared" ca="1" si="104"/>
        <v>5734.7767123188505</v>
      </c>
      <c r="ED71" s="76">
        <f t="shared" si="104"/>
        <v>5458.9711728352686</v>
      </c>
      <c r="EE71" s="807">
        <f ca="1">SUM(EA71:ED71)</f>
        <v>21990.116722827042</v>
      </c>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row>
    <row r="72" spans="2:238" s="201" customFormat="1" ht="12.75" customHeight="1">
      <c r="B72" s="623" t="s">
        <v>162</v>
      </c>
      <c r="C72" s="964"/>
      <c r="D72" s="964"/>
      <c r="E72" s="964"/>
      <c r="F72" s="964"/>
      <c r="G72" s="964"/>
      <c r="H72" s="964"/>
      <c r="I72" s="964"/>
      <c r="J72" s="964"/>
      <c r="K72" s="741"/>
      <c r="L72" s="283"/>
      <c r="M72" s="283"/>
      <c r="N72" s="740"/>
      <c r="O72" s="964"/>
      <c r="P72" s="741"/>
      <c r="Q72" s="283"/>
      <c r="R72" s="283"/>
      <c r="S72" s="740"/>
      <c r="T72" s="964"/>
      <c r="U72" s="741"/>
      <c r="V72" s="283"/>
      <c r="W72" s="283"/>
      <c r="X72" s="740"/>
      <c r="Y72" s="964"/>
      <c r="Z72" s="741"/>
      <c r="AA72" s="283"/>
      <c r="AB72" s="283"/>
      <c r="AC72" s="740"/>
      <c r="AD72" s="964"/>
      <c r="AE72" s="741"/>
      <c r="AF72" s="283"/>
      <c r="AG72" s="283"/>
      <c r="AH72" s="740"/>
      <c r="AI72" s="964"/>
      <c r="AJ72" s="741"/>
      <c r="AK72" s="283"/>
      <c r="AL72" s="283"/>
      <c r="AM72" s="740"/>
      <c r="AN72" s="964"/>
      <c r="AO72" s="741"/>
      <c r="AP72" s="283"/>
      <c r="AQ72" s="283"/>
      <c r="AR72" s="740"/>
      <c r="AS72" s="964"/>
      <c r="AT72" s="741"/>
      <c r="AU72" s="283"/>
      <c r="AV72" s="283"/>
      <c r="AW72" s="740"/>
      <c r="AX72" s="964"/>
      <c r="AY72" s="741"/>
      <c r="AZ72" s="283"/>
      <c r="BA72" s="283"/>
      <c r="BB72" s="740"/>
      <c r="BC72" s="964"/>
      <c r="BD72" s="741"/>
      <c r="BE72" s="283"/>
      <c r="BF72" s="283"/>
      <c r="BG72" s="740"/>
      <c r="BH72" s="964"/>
      <c r="BI72" s="741"/>
      <c r="BJ72" s="283"/>
      <c r="BK72" s="283"/>
      <c r="BL72" s="740"/>
      <c r="BM72" s="964"/>
      <c r="BN72" s="741"/>
      <c r="BO72" s="283"/>
      <c r="BP72" s="283"/>
      <c r="BQ72" s="740"/>
      <c r="BR72" s="964"/>
      <c r="BS72" s="741"/>
      <c r="BT72" s="283"/>
      <c r="BU72" s="283"/>
      <c r="BV72" s="740"/>
      <c r="BW72" s="964"/>
      <c r="BX72" s="741">
        <f>BX73-BX71</f>
        <v>6403.5846197999999</v>
      </c>
      <c r="BY72" s="283">
        <f>BY73-BY71</f>
        <v>6586.8530538311988</v>
      </c>
      <c r="BZ72" s="283">
        <f>BZ73-BZ71</f>
        <v>6801.4097802000024</v>
      </c>
      <c r="CA72" s="740">
        <f>CA73-CA71</f>
        <v>6642.0255045902995</v>
      </c>
      <c r="CB72" s="964">
        <f>SUM(BX72:CA72)</f>
        <v>26433.8729584215</v>
      </c>
      <c r="CC72" s="741">
        <f>CC73-CC71</f>
        <v>6926.4752219999991</v>
      </c>
      <c r="CD72" s="283">
        <f>CD73-CD71</f>
        <v>6874.2902346999999</v>
      </c>
      <c r="CE72" s="283">
        <f>CE73-CE71</f>
        <v>7068.1028850000012</v>
      </c>
      <c r="CF72" s="283">
        <f>CF73-CF71</f>
        <v>6987.757475200001</v>
      </c>
      <c r="CG72" s="1111">
        <f>SUM(CC72:CF72)</f>
        <v>27856.625816899999</v>
      </c>
      <c r="CH72" s="283">
        <f>CH73-CH71</f>
        <v>7147.147461999999</v>
      </c>
      <c r="CI72" s="283">
        <f>CI73-CI71</f>
        <v>7296.3022229999997</v>
      </c>
      <c r="CJ72" s="283">
        <f>CJ73-CJ71</f>
        <v>7710.1038251999998</v>
      </c>
      <c r="CK72" s="283">
        <f>CK73-CK71</f>
        <v>7668.1733199999999</v>
      </c>
      <c r="CL72" s="1111">
        <f>SUM(CH72:CK72)</f>
        <v>29821.726830200001</v>
      </c>
      <c r="CM72" s="283">
        <f>CM73-CM71</f>
        <v>7739.3815064000009</v>
      </c>
      <c r="CN72" s="283">
        <f>CN73-CN71</f>
        <v>7238.7791150000003</v>
      </c>
      <c r="CO72" s="283">
        <f>CO44*CO138</f>
        <v>7291.7914957296407</v>
      </c>
      <c r="CP72" s="283">
        <f>CP44*CP138</f>
        <v>6875.3637433984231</v>
      </c>
      <c r="CQ72" s="1111">
        <f>SUM(CM72:CP72)</f>
        <v>29145.315860528066</v>
      </c>
      <c r="CR72" s="283">
        <f>CR73-CR71</f>
        <v>6724.8299506000021</v>
      </c>
      <c r="CS72" s="283">
        <f>CS73-CS71</f>
        <v>7026.6910629999984</v>
      </c>
      <c r="CT72" s="283">
        <f>CT73-CT71</f>
        <v>7202.7634559999997</v>
      </c>
      <c r="CU72" s="283">
        <f>CU73-CU71</f>
        <v>7454.0227860000005</v>
      </c>
      <c r="CV72" s="1111">
        <f>SUM(CR72:CU72)</f>
        <v>28408.307255600001</v>
      </c>
      <c r="CW72" s="283">
        <f>CW73-CW71</f>
        <v>7732.4980395000011</v>
      </c>
      <c r="CX72" s="283">
        <f>CX73-CX71</f>
        <v>7810.7935620000007</v>
      </c>
      <c r="CY72" s="283">
        <f>CY73-CY71</f>
        <v>7795.2687880000003</v>
      </c>
      <c r="CZ72" s="283">
        <f>CZ73-CZ71</f>
        <v>8048.1972585000021</v>
      </c>
      <c r="DA72" s="1111">
        <f>SUM(CW72:CZ72)</f>
        <v>31386.757648000006</v>
      </c>
      <c r="DB72" s="283">
        <f>DB73-DB71</f>
        <v>8417.5615300959325</v>
      </c>
      <c r="DC72" s="283">
        <f>DC73-DC71</f>
        <v>8854.9861362996999</v>
      </c>
      <c r="DD72" s="283">
        <f>DD73-DD71</f>
        <v>8963.4384300171405</v>
      </c>
      <c r="DE72" s="283">
        <f>DE73-DE71</f>
        <v>9185.6927936662905</v>
      </c>
      <c r="DF72" s="1111">
        <f>SUM(DB72:DE72)</f>
        <v>35421.678890079063</v>
      </c>
      <c r="DG72" s="283">
        <f>DG73-DG71</f>
        <v>9392.0274242842552</v>
      </c>
      <c r="DH72" s="283">
        <f>DH73-DH71</f>
        <v>9212.6733424308222</v>
      </c>
      <c r="DI72" s="283">
        <f>DI73-DI71</f>
        <v>9179.4375375681375</v>
      </c>
      <c r="DJ72" s="283">
        <f>DJ73-DJ71</f>
        <v>8817.6038925716421</v>
      </c>
      <c r="DK72" s="1379">
        <f>SUM(DG72:DJ72)</f>
        <v>36601.742196854859</v>
      </c>
      <c r="DL72" s="283">
        <f>DL73-DL71</f>
        <v>9153.3886449174788</v>
      </c>
      <c r="DM72" s="283">
        <f>DM73-DM71</f>
        <v>9968.403861687053</v>
      </c>
      <c r="DN72" s="283">
        <f>DN73-DN71</f>
        <v>9814.5687140322807</v>
      </c>
      <c r="DO72" s="283">
        <f>DO73-DO71</f>
        <v>9914.3398642197062</v>
      </c>
      <c r="DP72" s="1379">
        <f>SUM(DL72:DO72)</f>
        <v>38850.701084856519</v>
      </c>
      <c r="DQ72" s="283">
        <f>DQ73-DQ71</f>
        <v>10092.345468043011</v>
      </c>
      <c r="DR72" s="283">
        <f t="shared" si="102"/>
        <v>10583.687090324858</v>
      </c>
      <c r="DS72" s="283">
        <f t="shared" si="102"/>
        <v>10658.170560508466</v>
      </c>
      <c r="DT72" s="283">
        <f t="shared" si="102"/>
        <v>11628.13277647924</v>
      </c>
      <c r="DU72" s="1379">
        <f>SUM(DQ72:DT72)</f>
        <v>42962.335895355573</v>
      </c>
      <c r="DV72" s="283">
        <f t="shared" ref="DV72:DY72" si="105">DV44*DV138</f>
        <v>11224.965548508679</v>
      </c>
      <c r="DW72" s="283">
        <f t="shared" ca="1" si="105"/>
        <v>12093.254296679641</v>
      </c>
      <c r="DX72" s="283">
        <f t="shared" ca="1" si="105"/>
        <v>12326.845430937517</v>
      </c>
      <c r="DY72" s="283">
        <f t="shared" si="105"/>
        <v>13001.822740340518</v>
      </c>
      <c r="DZ72" s="1379">
        <f ca="1">SUM(DV72:DY72)</f>
        <v>48646.888016466357</v>
      </c>
      <c r="EA72" s="283">
        <f t="shared" ref="EA72:ED72" si="106">EA44*EA138</f>
        <v>12798.9077537788</v>
      </c>
      <c r="EB72" s="283">
        <f t="shared" ca="1" si="106"/>
        <v>12483.991848933745</v>
      </c>
      <c r="EC72" s="283">
        <f t="shared" ca="1" si="106"/>
        <v>12693.61721782628</v>
      </c>
      <c r="ED72" s="283">
        <f t="shared" si="106"/>
        <v>13369.107455517938</v>
      </c>
      <c r="EE72" s="1379">
        <f ca="1">SUM(EA72:ED72)</f>
        <v>51345.624276056762</v>
      </c>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row>
    <row r="73" spans="2:238" s="161" customFormat="1" ht="12.75" customHeight="1">
      <c r="B73" s="562" t="s">
        <v>392</v>
      </c>
      <c r="C73" s="62"/>
      <c r="D73" s="62"/>
      <c r="E73" s="62"/>
      <c r="F73" s="62"/>
      <c r="G73" s="62"/>
      <c r="H73" s="62"/>
      <c r="I73" s="62"/>
      <c r="J73" s="62"/>
      <c r="K73" s="140"/>
      <c r="L73" s="76"/>
      <c r="M73" s="76"/>
      <c r="N73" s="141"/>
      <c r="O73" s="62"/>
      <c r="P73" s="140"/>
      <c r="Q73" s="76"/>
      <c r="R73" s="76"/>
      <c r="S73" s="141"/>
      <c r="T73" s="62"/>
      <c r="U73" s="140"/>
      <c r="V73" s="76"/>
      <c r="W73" s="76"/>
      <c r="X73" s="141"/>
      <c r="Y73" s="62"/>
      <c r="Z73" s="140"/>
      <c r="AA73" s="76"/>
      <c r="AB73" s="76"/>
      <c r="AC73" s="141"/>
      <c r="AD73" s="62"/>
      <c r="AE73" s="140"/>
      <c r="AF73" s="76"/>
      <c r="AG73" s="76"/>
      <c r="AH73" s="141"/>
      <c r="AI73" s="62"/>
      <c r="AJ73" s="140"/>
      <c r="AK73" s="76"/>
      <c r="AL73" s="76"/>
      <c r="AM73" s="141"/>
      <c r="AN73" s="62"/>
      <c r="AO73" s="140"/>
      <c r="AP73" s="76"/>
      <c r="AQ73" s="76"/>
      <c r="AR73" s="141"/>
      <c r="AS73" s="62"/>
      <c r="AT73" s="140"/>
      <c r="AU73" s="76"/>
      <c r="AV73" s="76"/>
      <c r="AW73" s="141"/>
      <c r="AX73" s="62"/>
      <c r="AY73" s="140"/>
      <c r="AZ73" s="76"/>
      <c r="BA73" s="76"/>
      <c r="BB73" s="141"/>
      <c r="BC73" s="62"/>
      <c r="BD73" s="140"/>
      <c r="BE73" s="76"/>
      <c r="BF73" s="76"/>
      <c r="BG73" s="141"/>
      <c r="BH73" s="62"/>
      <c r="BI73" s="140"/>
      <c r="BJ73" s="76"/>
      <c r="BK73" s="76"/>
      <c r="BL73" s="141"/>
      <c r="BM73" s="62"/>
      <c r="BN73" s="140"/>
      <c r="BO73" s="76"/>
      <c r="BP73" s="76"/>
      <c r="BQ73" s="141"/>
      <c r="BR73" s="62"/>
      <c r="BS73" s="140"/>
      <c r="BT73" s="76"/>
      <c r="BU73" s="76"/>
      <c r="BV73" s="141"/>
      <c r="BW73" s="62"/>
      <c r="BX73" s="140">
        <f>BS67*(1+BX74)</f>
        <v>9378.8628893999994</v>
      </c>
      <c r="BY73" s="76">
        <f>BT67*(1+BY74)</f>
        <v>9812.4727931999987</v>
      </c>
      <c r="BZ73" s="76">
        <f>BU67*(1+BZ74)</f>
        <v>10072.786773000002</v>
      </c>
      <c r="CA73" s="141">
        <f>BV67*(1+CA74)</f>
        <v>9823.6858334999997</v>
      </c>
      <c r="CB73" s="62">
        <f>CB71+CB72</f>
        <v>39087.808289099994</v>
      </c>
      <c r="CC73" s="140">
        <f>BX67*(1+CC74)</f>
        <v>10327.52997</v>
      </c>
      <c r="CD73" s="76">
        <f>BY67*(1+CD74)</f>
        <v>10308.4632</v>
      </c>
      <c r="CE73" s="76">
        <f>BZ67*(1+CE74)</f>
        <v>10607.535100000001</v>
      </c>
      <c r="CF73" s="76">
        <f>CA67*(1+CF74)</f>
        <v>10476.224920000001</v>
      </c>
      <c r="CG73" s="802">
        <f>CG71+CG72</f>
        <v>41719.753190000003</v>
      </c>
      <c r="CH73" s="76">
        <f>CC67*(1+CH74)</f>
        <v>10798.033461999999</v>
      </c>
      <c r="CI73" s="76">
        <f>CD67*(1+CI74)</f>
        <v>11035.760318999999</v>
      </c>
      <c r="CJ73" s="76">
        <f>CE67*(1+CJ74)</f>
        <v>11572.688736</v>
      </c>
      <c r="CK73" s="76">
        <f>CF67*(1+CK74)</f>
        <v>11469.46752</v>
      </c>
      <c r="CL73" s="802">
        <f>CL71+CL72</f>
        <v>44875.950037000002</v>
      </c>
      <c r="CM73" s="76">
        <f>CH67*(1+CM74)</f>
        <v>11574.410652</v>
      </c>
      <c r="CN73" s="76">
        <f>CI67*(1+CN74)</f>
        <v>11004.412922</v>
      </c>
      <c r="CO73" s="76">
        <f>CO71+CO72</f>
        <v>11013.793349229642</v>
      </c>
      <c r="CP73" s="76">
        <f>CP71+CP72</f>
        <v>10554.995743398424</v>
      </c>
      <c r="CQ73" s="802">
        <f>CQ71+CQ72</f>
        <v>44147.612666628062</v>
      </c>
      <c r="CR73" s="76">
        <f>CM67*(1+CR74)</f>
        <v>10548.944645000001</v>
      </c>
      <c r="CS73" s="76">
        <f>CN67*(1+CS74)</f>
        <v>11033.633183999998</v>
      </c>
      <c r="CT73" s="76">
        <f>CO67*(1+CT74)</f>
        <v>11389.328159999999</v>
      </c>
      <c r="CU73" s="76">
        <f>CP67*(1+CU74)</f>
        <v>11553.367392</v>
      </c>
      <c r="CV73" s="802">
        <f>CV71+CV72</f>
        <v>44525.273380999999</v>
      </c>
      <c r="CW73" s="76">
        <f>CR67*(1+CW74)</f>
        <v>11843.035776000001</v>
      </c>
      <c r="CX73" s="76">
        <f>CS67*(1+CX74)</f>
        <v>12054.129386000001</v>
      </c>
      <c r="CY73" s="76">
        <f>CT67*(1+CY74)</f>
        <v>12283.499689</v>
      </c>
      <c r="CZ73" s="76">
        <f>CU67*(1+CZ74)</f>
        <v>12404.371518000002</v>
      </c>
      <c r="DA73" s="802">
        <f>DA71+DA72</f>
        <v>48585.036369000009</v>
      </c>
      <c r="DB73" s="76">
        <f>CW67*(1+DB74)</f>
        <v>12843.148629000001</v>
      </c>
      <c r="DC73" s="76">
        <f>CX67*(1+DC74)</f>
        <v>13377.158069999999</v>
      </c>
      <c r="DD73" s="76">
        <f>CY67*(1+DD74)</f>
        <v>13631.220204000001</v>
      </c>
      <c r="DE73" s="76">
        <f>CZ67*(1+DE74)</f>
        <v>13772.493900000001</v>
      </c>
      <c r="DF73" s="802">
        <f t="shared" ref="DF73" si="107">DF71+DF72</f>
        <v>53624.020803000007</v>
      </c>
      <c r="DG73" s="76">
        <f>DB67*(1+DG74)</f>
        <v>14276.844696</v>
      </c>
      <c r="DH73" s="76">
        <f>DC67*(1+DH74)</f>
        <v>13853.120064000001</v>
      </c>
      <c r="DI73" s="76">
        <f>DD67*(1+DI74)</f>
        <v>14310.980500000001</v>
      </c>
      <c r="DJ73" s="76">
        <f>DE67*(1+DJ74)</f>
        <v>13844.21535</v>
      </c>
      <c r="DK73" s="807">
        <f>DK71+DK72</f>
        <v>56285.160610000006</v>
      </c>
      <c r="DL73" s="76">
        <f>DG67*(1+DL74)</f>
        <v>14211.741600000001</v>
      </c>
      <c r="DM73" s="76">
        <f>DH67*(1+DM74)</f>
        <v>14561.95</v>
      </c>
      <c r="DN73" s="76">
        <f>DI67*(1+DN74)</f>
        <v>15106.854020000001</v>
      </c>
      <c r="DO73" s="76">
        <f>DJ67*(1+DO74)</f>
        <v>15117.094079999999</v>
      </c>
      <c r="DP73" s="807">
        <f t="shared" ref="DP73:DU73" si="108">DP71+DP72</f>
        <v>58997.6397</v>
      </c>
      <c r="DQ73" s="76">
        <f>DL67*(1+DQ74)</f>
        <v>15331.746305999999</v>
      </c>
      <c r="DR73" s="76">
        <f t="shared" si="108"/>
        <v>14928.573862896297</v>
      </c>
      <c r="DS73" s="76">
        <f t="shared" si="108"/>
        <v>15674.933860112365</v>
      </c>
      <c r="DT73" s="76">
        <f t="shared" si="108"/>
        <v>16560.95005262113</v>
      </c>
      <c r="DU73" s="807">
        <f t="shared" si="108"/>
        <v>62496.204081629789</v>
      </c>
      <c r="DV73" s="76">
        <f t="shared" ref="DV73:DZ73" si="109">DV71+DV72</f>
        <v>16444.749974623952</v>
      </c>
      <c r="DW73" s="76">
        <f t="shared" ca="1" si="109"/>
        <v>16887.817767136541</v>
      </c>
      <c r="DX73" s="76">
        <f t="shared" ca="1" si="109"/>
        <v>17937.38819449408</v>
      </c>
      <c r="DY73" s="76">
        <f t="shared" si="109"/>
        <v>18342.172764968851</v>
      </c>
      <c r="DZ73" s="807">
        <f t="shared" ca="1" si="109"/>
        <v>69612.128701223424</v>
      </c>
      <c r="EA73" s="76">
        <f t="shared" ref="EA73:EE73" si="110">EA71+EA72</f>
        <v>18689.598940042637</v>
      </c>
      <c r="EB73" s="76">
        <f t="shared" ca="1" si="110"/>
        <v>17389.669500342836</v>
      </c>
      <c r="EC73" s="76">
        <f t="shared" ca="1" si="110"/>
        <v>18428.393930145132</v>
      </c>
      <c r="ED73" s="76">
        <f t="shared" si="110"/>
        <v>18828.078628353207</v>
      </c>
      <c r="EE73" s="807">
        <f t="shared" ca="1" si="110"/>
        <v>73335.740998883804</v>
      </c>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row>
    <row r="74" spans="2:238" s="182" customFormat="1" ht="12.75" customHeight="1">
      <c r="B74" s="556" t="s">
        <v>106</v>
      </c>
      <c r="C74" s="107"/>
      <c r="D74" s="107"/>
      <c r="E74" s="143"/>
      <c r="F74" s="143"/>
      <c r="G74" s="143"/>
      <c r="H74" s="143"/>
      <c r="I74" s="202">
        <v>0.121</v>
      </c>
      <c r="J74" s="202">
        <v>0.13800000000000001</v>
      </c>
      <c r="K74" s="144"/>
      <c r="L74" s="145"/>
      <c r="M74" s="145"/>
      <c r="N74" s="146"/>
      <c r="O74" s="202">
        <v>0.13</v>
      </c>
      <c r="P74" s="144"/>
      <c r="Q74" s="145"/>
      <c r="R74" s="145"/>
      <c r="S74" s="146"/>
      <c r="T74" s="202">
        <v>0.13025</v>
      </c>
      <c r="U74" s="144"/>
      <c r="V74" s="145"/>
      <c r="W74" s="145"/>
      <c r="X74" s="146"/>
      <c r="Y74" s="202">
        <v>0.156</v>
      </c>
      <c r="Z74" s="144"/>
      <c r="AA74" s="145"/>
      <c r="AB74" s="145"/>
      <c r="AC74" s="146"/>
      <c r="AD74" s="202">
        <v>0.19400000000000001</v>
      </c>
      <c r="AE74" s="144"/>
      <c r="AF74" s="145"/>
      <c r="AG74" s="145"/>
      <c r="AH74" s="146"/>
      <c r="AI74" s="202">
        <v>0.19</v>
      </c>
      <c r="AJ74" s="144"/>
      <c r="AK74" s="145"/>
      <c r="AL74" s="145"/>
      <c r="AM74" s="146"/>
      <c r="AN74" s="202">
        <v>0.17599999999999999</v>
      </c>
      <c r="AO74" s="144"/>
      <c r="AP74" s="145"/>
      <c r="AQ74" s="145"/>
      <c r="AR74" s="146"/>
      <c r="AS74" s="202">
        <v>0.16275000000000001</v>
      </c>
      <c r="AT74" s="144"/>
      <c r="AU74" s="145"/>
      <c r="AV74" s="145"/>
      <c r="AW74" s="146"/>
      <c r="AX74" s="202">
        <v>0.13275000000000001</v>
      </c>
      <c r="AY74" s="144"/>
      <c r="AZ74" s="145"/>
      <c r="BA74" s="145"/>
      <c r="BB74" s="146"/>
      <c r="BC74" s="202">
        <v>0.14024999999999999</v>
      </c>
      <c r="BD74" s="144"/>
      <c r="BE74" s="145"/>
      <c r="BF74" s="145"/>
      <c r="BG74" s="146"/>
      <c r="BH74" s="202">
        <v>9.8250000000000004E-2</v>
      </c>
      <c r="BI74" s="144"/>
      <c r="BJ74" s="145"/>
      <c r="BK74" s="145"/>
      <c r="BL74" s="146"/>
      <c r="BM74" s="202">
        <v>9.1749999999999998E-2</v>
      </c>
      <c r="BN74" s="144"/>
      <c r="BO74" s="145"/>
      <c r="BP74" s="145"/>
      <c r="BQ74" s="146"/>
      <c r="BR74" s="202">
        <v>9.5249999999999987E-2</v>
      </c>
      <c r="BS74" s="144"/>
      <c r="BT74" s="145"/>
      <c r="BU74" s="145"/>
      <c r="BV74" s="146"/>
      <c r="BW74" s="143">
        <v>3.9E-2</v>
      </c>
      <c r="BX74" s="144">
        <v>2.5999999999999999E-2</v>
      </c>
      <c r="BY74" s="145">
        <v>2.9000000000000001E-2</v>
      </c>
      <c r="BZ74" s="145">
        <v>3.7999999999999999E-2</v>
      </c>
      <c r="CA74" s="146">
        <v>4.4999999999999998E-2</v>
      </c>
      <c r="CB74" s="143">
        <f>CB73/BW67-1</f>
        <v>3.4566784986823862E-2</v>
      </c>
      <c r="CC74" s="179">
        <v>6.0999999999999999E-2</v>
      </c>
      <c r="CD74" s="180">
        <v>5.8999999999999999E-3</v>
      </c>
      <c r="CE74" s="180">
        <v>0.01</v>
      </c>
      <c r="CF74" s="180">
        <v>1.6E-2</v>
      </c>
      <c r="CG74" s="803">
        <f>CG73/CB67-1</f>
        <v>2.2655136562159672E-2</v>
      </c>
      <c r="CH74" s="180">
        <v>8.9999999999999993E-3</v>
      </c>
      <c r="CI74" s="180">
        <v>3.9E-2</v>
      </c>
      <c r="CJ74" s="180">
        <v>4.1000000000000002E-2</v>
      </c>
      <c r="CK74" s="147">
        <v>4.3999999999999997E-2</v>
      </c>
      <c r="CL74" s="803">
        <f>CL73/CG67-1</f>
        <v>3.3383868177320863E-2</v>
      </c>
      <c r="CM74" s="147">
        <v>2.5999999999999999E-2</v>
      </c>
      <c r="CN74" s="147">
        <v>-3.9E-2</v>
      </c>
      <c r="CO74" s="147">
        <v>-9.9000000000000005E-2</v>
      </c>
      <c r="CP74" s="147">
        <v>-0.128</v>
      </c>
      <c r="CQ74" s="803">
        <f>CQ73/CL67-1</f>
        <v>-4.6710068933001114E-2</v>
      </c>
      <c r="CR74" s="147">
        <v>-0.113</v>
      </c>
      <c r="CS74" s="147">
        <v>-2.7E-2</v>
      </c>
      <c r="CT74" s="147">
        <v>0.02</v>
      </c>
      <c r="CU74" s="147">
        <v>6.4000000000000001E-2</v>
      </c>
      <c r="CV74" s="803">
        <f>CV73/CQ67-1</f>
        <v>-1.6169970205103135E-2</v>
      </c>
      <c r="CW74" s="147">
        <v>7.1999999999999995E-2</v>
      </c>
      <c r="CX74" s="147">
        <v>5.8000000000000003E-2</v>
      </c>
      <c r="CY74" s="147">
        <v>6.3E-2</v>
      </c>
      <c r="CZ74" s="147">
        <v>8.2000000000000003E-2</v>
      </c>
      <c r="DA74" s="803">
        <f>DA73/CV67-1</f>
        <v>6.8725459867810867E-2</v>
      </c>
      <c r="DB74" s="147">
        <v>8.3000000000000004E-2</v>
      </c>
      <c r="DC74" s="1725">
        <v>9.7000000000000003E-2</v>
      </c>
      <c r="DD74" s="1725">
        <v>9.0999999999999998E-2</v>
      </c>
      <c r="DE74" s="1725">
        <v>0.1</v>
      </c>
      <c r="DF74" s="803">
        <f t="shared" ref="DF74:DP74" si="111">DF73/DA67-1</f>
        <v>9.2854146194171205E-2</v>
      </c>
      <c r="DG74" s="1725">
        <v>9.2999999999999999E-2</v>
      </c>
      <c r="DH74" s="1725">
        <v>2.1999999999999999E-2</v>
      </c>
      <c r="DI74" s="1725">
        <v>0.06</v>
      </c>
      <c r="DJ74" s="1725">
        <v>0.05</v>
      </c>
      <c r="DK74" s="1380">
        <f t="shared" si="111"/>
        <v>5.5949787962660924E-2</v>
      </c>
      <c r="DL74" s="1725">
        <v>0.02</v>
      </c>
      <c r="DM74" s="1725">
        <v>4.2000000000000003E-2</v>
      </c>
      <c r="DN74" s="1725">
        <v>5.8000000000000003E-2</v>
      </c>
      <c r="DO74" s="1725">
        <v>5.6000000000000001E-2</v>
      </c>
      <c r="DP74" s="1380">
        <f t="shared" si="111"/>
        <v>4.4165354623359798E-2</v>
      </c>
      <c r="DQ74" s="2344">
        <v>7.3999999999999996E-2</v>
      </c>
      <c r="DR74" s="203">
        <f t="shared" ref="DR74" si="112">DR73/DM67-1</f>
        <v>2.9108978292639254E-2</v>
      </c>
      <c r="DS74" s="203">
        <f>DS73/DN66-1</f>
        <v>-4.5810509971397906E-3</v>
      </c>
      <c r="DT74" s="203">
        <f t="shared" ref="DT74:DZ74" si="113">DT73/DO66-1</f>
        <v>2.9972537048190473E-2</v>
      </c>
      <c r="DU74" s="1380">
        <f t="shared" si="113"/>
        <v>3.1158249500242263E-2</v>
      </c>
      <c r="DV74" s="203">
        <f t="shared" si="113"/>
        <v>1.8507827401141874E-2</v>
      </c>
      <c r="DW74" s="203">
        <f t="shared" ca="1" si="113"/>
        <v>2.4017120405588788E-2</v>
      </c>
      <c r="DX74" s="203">
        <f t="shared" ca="1" si="113"/>
        <v>1.2115192381281226E-2</v>
      </c>
      <c r="DY74" s="203">
        <f t="shared" si="113"/>
        <v>4.6285430256365112E-2</v>
      </c>
      <c r="DZ74" s="1380">
        <f t="shared" ca="1" si="113"/>
        <v>2.5350044193463317E-2</v>
      </c>
      <c r="EA74" s="203">
        <f t="shared" ref="EA74" si="114">EA73/DV66-1</f>
        <v>3.6683420895950558E-2</v>
      </c>
      <c r="EB74" s="203">
        <f t="shared" ref="EB74" ca="1" si="115">EB73/DW66-1</f>
        <v>2.7031420614511914E-2</v>
      </c>
      <c r="EC74" s="203">
        <f t="shared" ref="EC74" ca="1" si="116">EC73/DX66-1</f>
        <v>1.4605839746983262E-2</v>
      </c>
      <c r="ED74" s="203">
        <f t="shared" ref="ED74" si="117">ED73/DY66-1</f>
        <v>4.8439605780938644E-2</v>
      </c>
      <c r="EE74" s="1380">
        <f t="shared" ref="EE74" ca="1" si="118">EE73/DZ66-1</f>
        <v>3.1713000969238792E-2</v>
      </c>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row>
    <row r="75" spans="2:238" s="150" customFormat="1" ht="12.75" customHeight="1">
      <c r="B75" s="558"/>
      <c r="C75" s="130"/>
      <c r="D75" s="130"/>
      <c r="E75" s="131"/>
      <c r="F75" s="131"/>
      <c r="G75" s="131"/>
      <c r="H75" s="131"/>
      <c r="I75" s="131"/>
      <c r="J75" s="131"/>
      <c r="K75" s="126"/>
      <c r="L75" s="127"/>
      <c r="M75" s="127"/>
      <c r="N75" s="132"/>
      <c r="O75" s="131"/>
      <c r="P75" s="126"/>
      <c r="Q75" s="127"/>
      <c r="R75" s="127"/>
      <c r="S75" s="132"/>
      <c r="T75" s="131"/>
      <c r="U75" s="126"/>
      <c r="V75" s="127"/>
      <c r="W75" s="127"/>
      <c r="X75" s="132"/>
      <c r="Y75" s="131"/>
      <c r="Z75" s="126"/>
      <c r="AA75" s="127"/>
      <c r="AB75" s="127"/>
      <c r="AC75" s="132"/>
      <c r="AD75" s="131"/>
      <c r="AE75" s="126"/>
      <c r="AF75" s="127"/>
      <c r="AG75" s="127"/>
      <c r="AH75" s="132"/>
      <c r="AI75" s="131"/>
      <c r="AJ75" s="126"/>
      <c r="AK75" s="127"/>
      <c r="AL75" s="127"/>
      <c r="AM75" s="132"/>
      <c r="AN75" s="131"/>
      <c r="AO75" s="126"/>
      <c r="AP75" s="127"/>
      <c r="AQ75" s="127"/>
      <c r="AR75" s="132"/>
      <c r="AS75" s="131"/>
      <c r="AT75" s="126"/>
      <c r="AU75" s="127"/>
      <c r="AV75" s="127"/>
      <c r="AW75" s="132"/>
      <c r="AX75" s="131"/>
      <c r="AY75" s="126"/>
      <c r="AZ75" s="127"/>
      <c r="BA75" s="127"/>
      <c r="BB75" s="132"/>
      <c r="BC75" s="131"/>
      <c r="BD75" s="126"/>
      <c r="BE75" s="127"/>
      <c r="BF75" s="127"/>
      <c r="BG75" s="132"/>
      <c r="BH75" s="131"/>
      <c r="BI75" s="126"/>
      <c r="BJ75" s="127"/>
      <c r="BK75" s="127"/>
      <c r="BL75" s="132"/>
      <c r="BM75" s="131"/>
      <c r="BN75" s="126"/>
      <c r="BO75" s="127"/>
      <c r="BP75" s="127"/>
      <c r="BQ75" s="132"/>
      <c r="BR75" s="131"/>
      <c r="BS75" s="126"/>
      <c r="BT75" s="127"/>
      <c r="BU75" s="127"/>
      <c r="BV75" s="132"/>
      <c r="BW75" s="131"/>
      <c r="BX75" s="126"/>
      <c r="BY75" s="127"/>
      <c r="BZ75" s="127"/>
      <c r="CA75" s="132"/>
      <c r="CB75" s="131"/>
      <c r="CC75" s="126"/>
      <c r="CD75" s="127"/>
      <c r="CE75" s="127"/>
      <c r="CF75" s="127"/>
      <c r="CG75" s="613"/>
      <c r="CH75" s="127"/>
      <c r="CI75" s="127"/>
      <c r="CJ75" s="127"/>
      <c r="CK75" s="129"/>
      <c r="CL75" s="613"/>
      <c r="CM75" s="129"/>
      <c r="CN75" s="129"/>
      <c r="CO75" s="128"/>
      <c r="CP75" s="129"/>
      <c r="CQ75" s="831"/>
      <c r="CR75" s="147"/>
      <c r="CS75" s="147"/>
      <c r="CT75" s="147"/>
      <c r="CU75" s="129"/>
      <c r="CV75" s="831"/>
      <c r="CW75" s="129"/>
      <c r="CX75" s="129"/>
      <c r="CY75" s="129"/>
      <c r="CZ75" s="129"/>
      <c r="DA75" s="831"/>
      <c r="DB75" s="129"/>
      <c r="DC75" s="129"/>
      <c r="DD75" s="129"/>
      <c r="DE75" s="129"/>
      <c r="DF75" s="831"/>
      <c r="DG75" s="129"/>
      <c r="DH75" s="129"/>
      <c r="DI75" s="129"/>
      <c r="DJ75" s="129"/>
      <c r="DK75" s="1371"/>
      <c r="DL75" s="129"/>
      <c r="DM75" s="129"/>
      <c r="DN75" s="129"/>
      <c r="DO75" s="129"/>
      <c r="DP75" s="1371"/>
      <c r="DQ75" s="129"/>
      <c r="DR75" s="129"/>
      <c r="DS75" s="129"/>
      <c r="DT75" s="129"/>
      <c r="DU75" s="1371"/>
      <c r="DV75" s="129"/>
      <c r="DW75" s="129"/>
      <c r="DX75" s="129"/>
      <c r="DY75" s="129"/>
      <c r="DZ75" s="1371"/>
      <c r="EA75" s="129"/>
      <c r="EB75" s="129"/>
      <c r="EC75" s="129"/>
      <c r="ED75" s="129"/>
      <c r="EE75" s="1371"/>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row>
    <row r="76" spans="2:238" s="93" customFormat="1" ht="12.75" customHeight="1">
      <c r="B76" s="558" t="s">
        <v>327</v>
      </c>
      <c r="C76" s="159"/>
      <c r="D76" s="159"/>
      <c r="E76" s="204"/>
      <c r="F76" s="204"/>
      <c r="G76" s="204"/>
      <c r="H76" s="204"/>
      <c r="I76" s="204"/>
      <c r="J76" s="204"/>
      <c r="K76" s="205"/>
      <c r="L76" s="160"/>
      <c r="M76" s="160"/>
      <c r="N76" s="206"/>
      <c r="O76" s="204"/>
      <c r="P76" s="205"/>
      <c r="Q76" s="160"/>
      <c r="R76" s="160"/>
      <c r="S76" s="206"/>
      <c r="T76" s="204"/>
      <c r="U76" s="205"/>
      <c r="V76" s="160"/>
      <c r="W76" s="160"/>
      <c r="X76" s="206"/>
      <c r="Y76" s="204"/>
      <c r="Z76" s="205"/>
      <c r="AA76" s="160"/>
      <c r="AB76" s="160"/>
      <c r="AC76" s="206"/>
      <c r="AD76" s="204"/>
      <c r="AE76" s="205"/>
      <c r="AF76" s="160"/>
      <c r="AG76" s="160"/>
      <c r="AH76" s="206"/>
      <c r="AI76" s="204"/>
      <c r="AJ76" s="205"/>
      <c r="AK76" s="160"/>
      <c r="AL76" s="160"/>
      <c r="AM76" s="206"/>
      <c r="AN76" s="204"/>
      <c r="AO76" s="205"/>
      <c r="AP76" s="160"/>
      <c r="AQ76" s="160"/>
      <c r="AR76" s="206"/>
      <c r="AS76" s="204"/>
      <c r="AT76" s="205"/>
      <c r="AU76" s="160"/>
      <c r="AV76" s="160"/>
      <c r="AW76" s="206"/>
      <c r="AX76" s="204"/>
      <c r="AY76" s="205"/>
      <c r="AZ76" s="160"/>
      <c r="BA76" s="160"/>
      <c r="BB76" s="206"/>
      <c r="BC76" s="204"/>
      <c r="BD76" s="205"/>
      <c r="BE76" s="160"/>
      <c r="BF76" s="160"/>
      <c r="BG76" s="206"/>
      <c r="BH76" s="204"/>
      <c r="BI76" s="205"/>
      <c r="BJ76" s="160"/>
      <c r="BK76" s="160"/>
      <c r="BL76" s="206"/>
      <c r="BM76" s="204"/>
      <c r="BN76" s="205"/>
      <c r="BO76" s="160"/>
      <c r="BP76" s="160"/>
      <c r="BQ76" s="206"/>
      <c r="BR76" s="204"/>
      <c r="BS76" s="205"/>
      <c r="BT76" s="160"/>
      <c r="BU76" s="160"/>
      <c r="BV76" s="206"/>
      <c r="BW76" s="204"/>
      <c r="BX76" s="205"/>
      <c r="BY76" s="160"/>
      <c r="BZ76" s="160"/>
      <c r="CA76" s="206"/>
      <c r="CB76" s="204"/>
      <c r="CC76" s="205"/>
      <c r="CD76" s="160"/>
      <c r="CE76" s="160"/>
      <c r="CF76" s="160"/>
      <c r="CG76" s="809"/>
      <c r="CH76" s="160"/>
      <c r="CI76" s="160"/>
      <c r="CJ76" s="160"/>
      <c r="CK76" s="207"/>
      <c r="CL76" s="809"/>
      <c r="CM76" s="207"/>
      <c r="CN76" s="207"/>
      <c r="CO76" s="207"/>
      <c r="CP76" s="207"/>
      <c r="CQ76" s="836"/>
      <c r="CR76" s="207"/>
      <c r="CS76" s="207"/>
      <c r="CT76" s="207"/>
      <c r="CU76" s="207"/>
      <c r="CV76" s="836"/>
      <c r="CW76" s="207"/>
      <c r="CX76" s="207"/>
      <c r="CY76" s="207"/>
      <c r="CZ76" s="207"/>
      <c r="DA76" s="836"/>
      <c r="DB76" s="207"/>
      <c r="DC76" s="207"/>
      <c r="DD76" s="207"/>
      <c r="DE76" s="207"/>
      <c r="DF76" s="836"/>
      <c r="DG76" s="207"/>
      <c r="DH76" s="207"/>
      <c r="DI76" s="207"/>
      <c r="DJ76" s="207"/>
      <c r="DK76" s="1381"/>
      <c r="DL76" s="207"/>
      <c r="DM76" s="207"/>
      <c r="DN76" s="207"/>
      <c r="DO76" s="207"/>
      <c r="DP76" s="1381"/>
      <c r="DQ76" s="207"/>
      <c r="DR76" s="207"/>
      <c r="DS76" s="207"/>
      <c r="DT76" s="207"/>
      <c r="DU76" s="1381"/>
      <c r="DV76" s="207"/>
      <c r="DW76" s="207"/>
      <c r="DX76" s="207"/>
      <c r="DY76" s="207"/>
      <c r="DZ76" s="1381"/>
      <c r="EA76" s="207"/>
      <c r="EB76" s="207"/>
      <c r="EC76" s="207"/>
      <c r="ED76" s="207"/>
      <c r="EE76" s="1381"/>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row>
    <row r="77" spans="2:238" s="161" customFormat="1" ht="12.75" customHeight="1">
      <c r="B77" s="561" t="s">
        <v>161</v>
      </c>
      <c r="C77" s="62"/>
      <c r="D77" s="62"/>
      <c r="E77" s="62"/>
      <c r="F77" s="62"/>
      <c r="G77" s="62"/>
      <c r="H77" s="62"/>
      <c r="I77" s="62"/>
      <c r="J77" s="62"/>
      <c r="K77" s="140"/>
      <c r="L77" s="76"/>
      <c r="M77" s="76"/>
      <c r="N77" s="141"/>
      <c r="O77" s="62"/>
      <c r="P77" s="140"/>
      <c r="Q77" s="76"/>
      <c r="R77" s="76"/>
      <c r="S77" s="141"/>
      <c r="T77" s="62"/>
      <c r="U77" s="140"/>
      <c r="V77" s="76"/>
      <c r="W77" s="76"/>
      <c r="X77" s="141"/>
      <c r="Y77" s="62"/>
      <c r="Z77" s="140"/>
      <c r="AA77" s="76"/>
      <c r="AB77" s="76"/>
      <c r="AC77" s="141"/>
      <c r="AD77" s="62"/>
      <c r="AE77" s="140"/>
      <c r="AF77" s="76"/>
      <c r="AG77" s="76"/>
      <c r="AH77" s="141"/>
      <c r="AI77" s="62"/>
      <c r="AJ77" s="140"/>
      <c r="AK77" s="76"/>
      <c r="AL77" s="76"/>
      <c r="AM77" s="141"/>
      <c r="AN77" s="62"/>
      <c r="AO77" s="140"/>
      <c r="AP77" s="76"/>
      <c r="AQ77" s="76"/>
      <c r="AR77" s="141"/>
      <c r="AS77" s="62"/>
      <c r="AT77" s="140"/>
      <c r="AU77" s="76"/>
      <c r="AV77" s="76"/>
      <c r="AW77" s="141"/>
      <c r="AX77" s="62"/>
      <c r="AY77" s="140"/>
      <c r="AZ77" s="76"/>
      <c r="BA77" s="76"/>
      <c r="BB77" s="141"/>
      <c r="BC77" s="62"/>
      <c r="BD77" s="140"/>
      <c r="BE77" s="76"/>
      <c r="BF77" s="76"/>
      <c r="BG77" s="141"/>
      <c r="BH77" s="62"/>
      <c r="BI77" s="140"/>
      <c r="BJ77" s="76"/>
      <c r="BK77" s="76"/>
      <c r="BL77" s="141"/>
      <c r="BM77" s="62"/>
      <c r="BN77" s="140"/>
      <c r="BO77" s="76"/>
      <c r="BP77" s="76"/>
      <c r="BQ77" s="141"/>
      <c r="BR77" s="62"/>
      <c r="BS77" s="140">
        <f t="shared" ref="BS77:DD77" si="119">BS64-BS82</f>
        <v>1022.2275689999999</v>
      </c>
      <c r="BT77" s="76">
        <f t="shared" si="119"/>
        <v>1084.9457682</v>
      </c>
      <c r="BU77" s="76">
        <f t="shared" si="119"/>
        <v>1089.5539999999999</v>
      </c>
      <c r="BV77" s="141">
        <f t="shared" si="119"/>
        <v>1054.1436839999997</v>
      </c>
      <c r="BW77" s="62">
        <f t="shared" si="119"/>
        <v>4250.8710211999987</v>
      </c>
      <c r="BX77" s="140">
        <f t="shared" si="119"/>
        <v>1117.5800000000002</v>
      </c>
      <c r="BY77" s="76">
        <f t="shared" si="119"/>
        <v>1162.9648199999997</v>
      </c>
      <c r="BZ77" s="76">
        <f t="shared" si="119"/>
        <v>1230.5871599999991</v>
      </c>
      <c r="CA77" s="141">
        <f t="shared" si="119"/>
        <v>1161.3151550000007</v>
      </c>
      <c r="CB77" s="62">
        <f t="shared" si="119"/>
        <v>4672.4471350000003</v>
      </c>
      <c r="CC77" s="140">
        <f t="shared" si="119"/>
        <v>1277.8741199999999</v>
      </c>
      <c r="CD77" s="76">
        <f t="shared" si="119"/>
        <v>1330.3200993599999</v>
      </c>
      <c r="CE77" s="76">
        <f t="shared" si="119"/>
        <v>1383.7241087999996</v>
      </c>
      <c r="CF77" s="76">
        <f t="shared" si="119"/>
        <v>1264.1684856000006</v>
      </c>
      <c r="CG77" s="802">
        <f t="shared" si="119"/>
        <v>5256.0868137599991</v>
      </c>
      <c r="CH77" s="76">
        <f t="shared" si="119"/>
        <v>1310.3146827</v>
      </c>
      <c r="CI77" s="76">
        <f t="shared" si="119"/>
        <v>1413.2397491147808</v>
      </c>
      <c r="CJ77" s="76">
        <f t="shared" si="119"/>
        <v>1408.5206251199993</v>
      </c>
      <c r="CK77" s="76">
        <f t="shared" si="119"/>
        <v>1264.166759797251</v>
      </c>
      <c r="CL77" s="802">
        <f t="shared" si="119"/>
        <v>5396.2418167320338</v>
      </c>
      <c r="CM77" s="76">
        <f t="shared" si="119"/>
        <v>1398.822385642241</v>
      </c>
      <c r="CN77" s="76">
        <f t="shared" si="119"/>
        <v>1364.1379219145351</v>
      </c>
      <c r="CO77" s="76">
        <f t="shared" si="119"/>
        <v>1295.3971154933752</v>
      </c>
      <c r="CP77" s="76">
        <f t="shared" si="119"/>
        <v>1210.4383785615005</v>
      </c>
      <c r="CQ77" s="802">
        <f t="shared" si="119"/>
        <v>5268.7958016116499</v>
      </c>
      <c r="CR77" s="76">
        <f t="shared" si="119"/>
        <v>1346.58311272839</v>
      </c>
      <c r="CS77" s="76">
        <f t="shared" si="119"/>
        <v>1408.1015282879284</v>
      </c>
      <c r="CT77" s="76">
        <f t="shared" si="119"/>
        <v>1422.0394958974121</v>
      </c>
      <c r="CU77" s="76">
        <f t="shared" si="119"/>
        <v>1277.7331148394651</v>
      </c>
      <c r="CV77" s="802">
        <f t="shared" si="119"/>
        <v>5454.4572517531942</v>
      </c>
      <c r="CW77" s="76">
        <f t="shared" si="119"/>
        <v>1392.9121252567884</v>
      </c>
      <c r="CX77" s="76">
        <f t="shared" si="119"/>
        <v>1444.184714167106</v>
      </c>
      <c r="CY77" s="76">
        <f>CY64-CY82</f>
        <v>1473.2907005847633</v>
      </c>
      <c r="CZ77" s="76">
        <f t="shared" si="119"/>
        <v>1343.7446248544484</v>
      </c>
      <c r="DA77" s="802">
        <f t="shared" si="119"/>
        <v>5654.1321648631092</v>
      </c>
      <c r="DB77" s="76">
        <f>DB64-DB82</f>
        <v>1497.7496216031273</v>
      </c>
      <c r="DC77" s="76">
        <f t="shared" si="119"/>
        <v>1525.0459112740486</v>
      </c>
      <c r="DD77" s="76">
        <f t="shared" si="119"/>
        <v>1516.3910193751226</v>
      </c>
      <c r="DE77" s="76">
        <f>DE64-DE82</f>
        <v>1384.2753919684865</v>
      </c>
      <c r="DF77" s="802">
        <f>SUM(DB77:DE77)</f>
        <v>5923.461944220785</v>
      </c>
      <c r="DG77" s="76">
        <f t="shared" ref="DG77:DI78" si="120">DG64-DG82</f>
        <v>1745.5115410062467</v>
      </c>
      <c r="DH77" s="76">
        <f t="shared" si="120"/>
        <v>1564.8342782109335</v>
      </c>
      <c r="DI77" s="76">
        <f t="shared" si="120"/>
        <v>1890.3921590189225</v>
      </c>
      <c r="DJ77" s="76">
        <f t="shared" ref="DJ77:DL77" si="121">DJ64-DJ82</f>
        <v>1770.6468236530959</v>
      </c>
      <c r="DK77" s="807">
        <f>SUM(DG77:DJ77)</f>
        <v>6971.3848018891986</v>
      </c>
      <c r="DL77" s="76">
        <f t="shared" si="121"/>
        <v>1889.1953080631015</v>
      </c>
      <c r="DM77" s="76">
        <f t="shared" ref="DM77:DN77" si="122">DM64-DM82</f>
        <v>1251.7767979367527</v>
      </c>
      <c r="DN77" s="76">
        <f t="shared" si="122"/>
        <v>1876.7152470887931</v>
      </c>
      <c r="DO77" s="76">
        <f t="shared" ref="DO77:DQ77" si="123">DO64-DO82</f>
        <v>1758.6545532941636</v>
      </c>
      <c r="DP77" s="807">
        <f>SUM(DL77:DO77)</f>
        <v>6776.3419063828114</v>
      </c>
      <c r="DQ77" s="76">
        <f t="shared" si="123"/>
        <v>1893.5594865189087</v>
      </c>
      <c r="DR77" s="76">
        <f t="shared" ref="DR77:DT78" ca="1" si="124">DR64-DR82</f>
        <v>1119.6893333693993</v>
      </c>
      <c r="DS77" s="76">
        <f t="shared" ca="1" si="124"/>
        <v>1718.6258691444368</v>
      </c>
      <c r="DT77" s="76">
        <f t="shared" si="124"/>
        <v>1530.9216732267914</v>
      </c>
      <c r="DU77" s="807">
        <f ca="1">SUM(DQ77:DT77)</f>
        <v>6262.7963622595362</v>
      </c>
      <c r="DV77" s="76">
        <f t="shared" ref="DV77:DY77" si="125">DV64-DV82</f>
        <v>1894.184015115789</v>
      </c>
      <c r="DW77" s="76">
        <f t="shared" ca="1" si="125"/>
        <v>952.88969419267778</v>
      </c>
      <c r="DX77" s="76">
        <f t="shared" ca="1" si="125"/>
        <v>1565.7822366811579</v>
      </c>
      <c r="DY77" s="76">
        <f t="shared" si="125"/>
        <v>1371.2412994402375</v>
      </c>
      <c r="DZ77" s="807">
        <f ca="1">SUM(DV77:DY77)</f>
        <v>5784.0972454298617</v>
      </c>
      <c r="EA77" s="76">
        <f t="shared" ref="EA77:ED77" si="126">EA64-EA82</f>
        <v>1823.9914262695756</v>
      </c>
      <c r="EB77" s="76">
        <f t="shared" ca="1" si="126"/>
        <v>890.17999031771706</v>
      </c>
      <c r="EC77" s="76">
        <f t="shared" ca="1" si="126"/>
        <v>1520.8745749970412</v>
      </c>
      <c r="ED77" s="76">
        <f t="shared" si="126"/>
        <v>1335.6548727915424</v>
      </c>
      <c r="EE77" s="807">
        <f ca="1">SUM(EA77:ED77)</f>
        <v>5570.7008643758763</v>
      </c>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row>
    <row r="78" spans="2:238" s="201" customFormat="1" ht="12.75" customHeight="1">
      <c r="B78" s="623" t="s">
        <v>162</v>
      </c>
      <c r="C78" s="964"/>
      <c r="D78" s="964"/>
      <c r="E78" s="964"/>
      <c r="F78" s="964"/>
      <c r="G78" s="964"/>
      <c r="H78" s="964"/>
      <c r="I78" s="964"/>
      <c r="J78" s="964"/>
      <c r="K78" s="741"/>
      <c r="L78" s="283"/>
      <c r="M78" s="283"/>
      <c r="N78" s="740"/>
      <c r="O78" s="964"/>
      <c r="P78" s="741"/>
      <c r="Q78" s="283"/>
      <c r="R78" s="283"/>
      <c r="S78" s="740"/>
      <c r="T78" s="964"/>
      <c r="U78" s="741"/>
      <c r="V78" s="283"/>
      <c r="W78" s="283"/>
      <c r="X78" s="740"/>
      <c r="Y78" s="964"/>
      <c r="Z78" s="741"/>
      <c r="AA78" s="283"/>
      <c r="AB78" s="283"/>
      <c r="AC78" s="740"/>
      <c r="AD78" s="964"/>
      <c r="AE78" s="741"/>
      <c r="AF78" s="283"/>
      <c r="AG78" s="283"/>
      <c r="AH78" s="740"/>
      <c r="AI78" s="964"/>
      <c r="AJ78" s="741"/>
      <c r="AK78" s="283"/>
      <c r="AL78" s="283"/>
      <c r="AM78" s="740"/>
      <c r="AN78" s="964"/>
      <c r="AO78" s="741"/>
      <c r="AP78" s="283"/>
      <c r="AQ78" s="283"/>
      <c r="AR78" s="740"/>
      <c r="AS78" s="964"/>
      <c r="AT78" s="741"/>
      <c r="AU78" s="283"/>
      <c r="AV78" s="283"/>
      <c r="AW78" s="740"/>
      <c r="AX78" s="964"/>
      <c r="AY78" s="741"/>
      <c r="AZ78" s="283"/>
      <c r="BA78" s="283"/>
      <c r="BB78" s="740"/>
      <c r="BC78" s="964"/>
      <c r="BD78" s="741"/>
      <c r="BE78" s="283"/>
      <c r="BF78" s="283"/>
      <c r="BG78" s="740"/>
      <c r="BH78" s="964"/>
      <c r="BI78" s="741"/>
      <c r="BJ78" s="283"/>
      <c r="BK78" s="283"/>
      <c r="BL78" s="740"/>
      <c r="BM78" s="964"/>
      <c r="BN78" s="741"/>
      <c r="BO78" s="283"/>
      <c r="BP78" s="283"/>
      <c r="BQ78" s="740"/>
      <c r="BR78" s="964"/>
      <c r="BS78" s="741">
        <f t="shared" ref="BS78:DD78" si="127">BS65-BS83</f>
        <v>5877.9556640000001</v>
      </c>
      <c r="BT78" s="283">
        <f t="shared" si="127"/>
        <v>6096.0198858000003</v>
      </c>
      <c r="BU78" s="283">
        <f t="shared" si="127"/>
        <v>6245.2445000000016</v>
      </c>
      <c r="BV78" s="740">
        <f t="shared" si="127"/>
        <v>6061.8161760000012</v>
      </c>
      <c r="BW78" s="964">
        <f t="shared" si="127"/>
        <v>24281.036225800006</v>
      </c>
      <c r="BX78" s="741">
        <f t="shared" si="127"/>
        <v>6227.8212000000003</v>
      </c>
      <c r="BY78" s="283">
        <f t="shared" si="127"/>
        <v>6547.2667600000004</v>
      </c>
      <c r="BZ78" s="283">
        <f t="shared" si="127"/>
        <v>6672.2413600000009</v>
      </c>
      <c r="CA78" s="740">
        <f t="shared" si="127"/>
        <v>6573.5528600000007</v>
      </c>
      <c r="CB78" s="964">
        <f t="shared" si="127"/>
        <v>26020.882180000001</v>
      </c>
      <c r="CC78" s="741">
        <f t="shared" si="127"/>
        <v>6743.6766112000005</v>
      </c>
      <c r="CD78" s="283">
        <f t="shared" si="127"/>
        <v>6661.2688656000009</v>
      </c>
      <c r="CE78" s="283">
        <f t="shared" si="127"/>
        <v>7019.5437168000008</v>
      </c>
      <c r="CF78" s="283">
        <f t="shared" si="127"/>
        <v>6948.5420672</v>
      </c>
      <c r="CG78" s="1111">
        <f t="shared" si="127"/>
        <v>27373.031260800002</v>
      </c>
      <c r="CH78" s="283">
        <f t="shared" si="127"/>
        <v>7117.9807990080008</v>
      </c>
      <c r="CI78" s="283">
        <f t="shared" si="127"/>
        <v>7202.7912590800006</v>
      </c>
      <c r="CJ78" s="283">
        <f t="shared" si="127"/>
        <v>7477.2926743200005</v>
      </c>
      <c r="CK78" s="283">
        <f t="shared" si="127"/>
        <v>7519.5961273279991</v>
      </c>
      <c r="CL78" s="1111">
        <f t="shared" si="127"/>
        <v>29317.660859736003</v>
      </c>
      <c r="CM78" s="283">
        <f t="shared" si="127"/>
        <v>7588.5418257280016</v>
      </c>
      <c r="CN78" s="283">
        <f t="shared" si="127"/>
        <v>7198.2861748857586</v>
      </c>
      <c r="CO78" s="283">
        <f t="shared" si="127"/>
        <v>7088.3043382937594</v>
      </c>
      <c r="CP78" s="283">
        <f t="shared" si="127"/>
        <v>6841.6091862400008</v>
      </c>
      <c r="CQ78" s="1111">
        <f t="shared" si="127"/>
        <v>28716.741525147521</v>
      </c>
      <c r="CR78" s="283">
        <f t="shared" si="127"/>
        <v>6785.6731872953715</v>
      </c>
      <c r="CS78" s="283">
        <f t="shared" si="127"/>
        <v>6971.8470669821081</v>
      </c>
      <c r="CT78" s="283">
        <f t="shared" si="127"/>
        <v>6971.7993079870812</v>
      </c>
      <c r="CU78" s="283">
        <f t="shared" si="127"/>
        <v>7049.2551394721413</v>
      </c>
      <c r="CV78" s="1111">
        <f t="shared" si="127"/>
        <v>27778.574701736703</v>
      </c>
      <c r="CW78" s="283">
        <f t="shared" si="127"/>
        <v>7333.2517597398628</v>
      </c>
      <c r="CX78" s="283">
        <f t="shared" si="127"/>
        <v>7596.836503035579</v>
      </c>
      <c r="CY78" s="283">
        <f>CY65-CY83</f>
        <v>7676.7119661478164</v>
      </c>
      <c r="CZ78" s="283">
        <f t="shared" si="127"/>
        <v>7879.3344259676642</v>
      </c>
      <c r="DA78" s="1111">
        <f t="shared" si="127"/>
        <v>30486.134654890921</v>
      </c>
      <c r="DB78" s="283">
        <f>DB65-DB83</f>
        <v>8265.1457497920055</v>
      </c>
      <c r="DC78" s="283">
        <f t="shared" si="127"/>
        <v>8719.5604290994088</v>
      </c>
      <c r="DD78" s="283">
        <f t="shared" ca="1" si="127"/>
        <v>8515.0796847918973</v>
      </c>
      <c r="DE78" s="283">
        <f ca="1">DE65-DE83</f>
        <v>8316.0377461670687</v>
      </c>
      <c r="DF78" s="1111">
        <f ca="1">SUM(DB78:DE78)</f>
        <v>33815.823609850384</v>
      </c>
      <c r="DG78" s="283">
        <f t="shared" si="120"/>
        <v>8726.1859116325322</v>
      </c>
      <c r="DH78" s="283">
        <f t="shared" ca="1" si="120"/>
        <v>8950.2571107138137</v>
      </c>
      <c r="DI78" s="283">
        <f t="shared" ca="1" si="120"/>
        <v>8832.9279336471391</v>
      </c>
      <c r="DJ78" s="283">
        <f t="shared" ref="DJ78:DL78" ca="1" si="128">DJ65-DJ83</f>
        <v>9028.4927224365947</v>
      </c>
      <c r="DK78" s="1379">
        <f ca="1">SUM(DG78:DJ78)</f>
        <v>35537.863678430083</v>
      </c>
      <c r="DL78" s="283">
        <f t="shared" si="128"/>
        <v>8905.6243192313977</v>
      </c>
      <c r="DM78" s="283">
        <f t="shared" ref="DM78:DN78" si="129">DM65-DM83</f>
        <v>9672.2514090070963</v>
      </c>
      <c r="DN78" s="283">
        <f t="shared" si="129"/>
        <v>10095.178236731899</v>
      </c>
      <c r="DO78" s="283">
        <f t="shared" ref="DO78:DQ78" si="130">DO65-DO83</f>
        <v>10569.837545068203</v>
      </c>
      <c r="DP78" s="1379">
        <f>SUM(DL78:DO78)</f>
        <v>39242.891510038593</v>
      </c>
      <c r="DQ78" s="283">
        <f t="shared" si="130"/>
        <v>10526.03941555353</v>
      </c>
      <c r="DR78" s="283">
        <f t="shared" ca="1" si="124"/>
        <v>11368.811838153128</v>
      </c>
      <c r="DS78" s="283">
        <f t="shared" ca="1" si="124"/>
        <v>11773.485457228138</v>
      </c>
      <c r="DT78" s="283">
        <f t="shared" si="124"/>
        <v>11917.851486052094</v>
      </c>
      <c r="DU78" s="1379">
        <f ca="1">SUM(DQ78:DT78)</f>
        <v>45586.188196986892</v>
      </c>
      <c r="DV78" s="283">
        <f t="shared" ref="DV78:DY78" si="131">DV65-DV83</f>
        <v>11921.856591675474</v>
      </c>
      <c r="DW78" s="283">
        <f t="shared" ca="1" si="131"/>
        <v>11817.648027519603</v>
      </c>
      <c r="DX78" s="283">
        <f t="shared" ca="1" si="131"/>
        <v>12222.881013175022</v>
      </c>
      <c r="DY78" s="283">
        <f t="shared" si="131"/>
        <v>12351.525998787294</v>
      </c>
      <c r="DZ78" s="1379">
        <f ca="1">SUM(DV78:DY78)</f>
        <v>48313.911631157389</v>
      </c>
      <c r="EA78" s="283">
        <f t="shared" ref="EA78:ED78" si="132">EA65-EA83</f>
        <v>12320.600108591369</v>
      </c>
      <c r="EB78" s="283">
        <f t="shared" ca="1" si="132"/>
        <v>12211.157102795025</v>
      </c>
      <c r="EC78" s="283">
        <f t="shared" ca="1" si="132"/>
        <v>12631.414385806655</v>
      </c>
      <c r="ED78" s="283">
        <f t="shared" si="132"/>
        <v>12756.986357075491</v>
      </c>
      <c r="EE78" s="1379">
        <f ca="1">SUM(EA78:ED78)</f>
        <v>49920.157954268536</v>
      </c>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row>
    <row r="79" spans="2:238" s="161" customFormat="1" ht="12.75" customHeight="1">
      <c r="B79" s="562" t="s">
        <v>392</v>
      </c>
      <c r="C79" s="62"/>
      <c r="D79" s="62"/>
      <c r="E79" s="62"/>
      <c r="F79" s="62"/>
      <c r="G79" s="62"/>
      <c r="H79" s="62"/>
      <c r="I79" s="62"/>
      <c r="J79" s="62"/>
      <c r="K79" s="140"/>
      <c r="L79" s="76"/>
      <c r="M79" s="76"/>
      <c r="N79" s="141"/>
      <c r="O79" s="62"/>
      <c r="P79" s="140"/>
      <c r="Q79" s="76"/>
      <c r="R79" s="76"/>
      <c r="S79" s="141"/>
      <c r="T79" s="62"/>
      <c r="U79" s="140"/>
      <c r="V79" s="76"/>
      <c r="W79" s="76"/>
      <c r="X79" s="141"/>
      <c r="Y79" s="62"/>
      <c r="Z79" s="140"/>
      <c r="AA79" s="76"/>
      <c r="AB79" s="76"/>
      <c r="AC79" s="141"/>
      <c r="AD79" s="62"/>
      <c r="AE79" s="140"/>
      <c r="AF79" s="76"/>
      <c r="AG79" s="76"/>
      <c r="AH79" s="141"/>
      <c r="AI79" s="62"/>
      <c r="AJ79" s="140"/>
      <c r="AK79" s="76"/>
      <c r="AL79" s="76"/>
      <c r="AM79" s="141"/>
      <c r="AN79" s="62"/>
      <c r="AO79" s="140"/>
      <c r="AP79" s="76"/>
      <c r="AQ79" s="76"/>
      <c r="AR79" s="141"/>
      <c r="AS79" s="62"/>
      <c r="AT79" s="140"/>
      <c r="AU79" s="76"/>
      <c r="AV79" s="76"/>
      <c r="AW79" s="141"/>
      <c r="AX79" s="62"/>
      <c r="AY79" s="140"/>
      <c r="AZ79" s="76"/>
      <c r="BA79" s="76"/>
      <c r="BB79" s="141"/>
      <c r="BC79" s="62"/>
      <c r="BD79" s="140"/>
      <c r="BE79" s="76"/>
      <c r="BF79" s="76"/>
      <c r="BG79" s="141"/>
      <c r="BH79" s="62"/>
      <c r="BI79" s="140"/>
      <c r="BJ79" s="76"/>
      <c r="BK79" s="76"/>
      <c r="BL79" s="141"/>
      <c r="BM79" s="62"/>
      <c r="BN79" s="140"/>
      <c r="BO79" s="76"/>
      <c r="BP79" s="76"/>
      <c r="BQ79" s="141"/>
      <c r="BR79" s="62"/>
      <c r="BS79" s="140">
        <f t="shared" ref="BS79:DF79" si="133">BS77+BS78</f>
        <v>6900.1832329999997</v>
      </c>
      <c r="BT79" s="76">
        <f t="shared" si="133"/>
        <v>7180.9656540000005</v>
      </c>
      <c r="BU79" s="76">
        <f t="shared" si="133"/>
        <v>7334.7985000000017</v>
      </c>
      <c r="BV79" s="141">
        <f t="shared" si="133"/>
        <v>7115.9598600000008</v>
      </c>
      <c r="BW79" s="62">
        <f t="shared" si="133"/>
        <v>28531.907247000003</v>
      </c>
      <c r="BX79" s="140">
        <f t="shared" si="133"/>
        <v>7345.4012000000002</v>
      </c>
      <c r="BY79" s="76">
        <f t="shared" si="133"/>
        <v>7710.2315799999997</v>
      </c>
      <c r="BZ79" s="76">
        <f t="shared" si="133"/>
        <v>7902.82852</v>
      </c>
      <c r="CA79" s="141">
        <f t="shared" si="133"/>
        <v>7734.8680150000018</v>
      </c>
      <c r="CB79" s="62">
        <f t="shared" si="133"/>
        <v>30693.329315000003</v>
      </c>
      <c r="CC79" s="140">
        <f t="shared" si="133"/>
        <v>8021.5507312000009</v>
      </c>
      <c r="CD79" s="76">
        <f t="shared" si="133"/>
        <v>7991.5889649600012</v>
      </c>
      <c r="CE79" s="76">
        <f t="shared" si="133"/>
        <v>8403.2678255999999</v>
      </c>
      <c r="CF79" s="76">
        <f t="shared" si="133"/>
        <v>8212.7105528000011</v>
      </c>
      <c r="CG79" s="802">
        <f t="shared" si="133"/>
        <v>32629.11807456</v>
      </c>
      <c r="CH79" s="76">
        <f t="shared" si="133"/>
        <v>8428.2954817080008</v>
      </c>
      <c r="CI79" s="76">
        <f t="shared" si="133"/>
        <v>8616.031008194781</v>
      </c>
      <c r="CJ79" s="76">
        <f t="shared" si="133"/>
        <v>8885.8132994400003</v>
      </c>
      <c r="CK79" s="76">
        <f t="shared" si="133"/>
        <v>8783.7628871252491</v>
      </c>
      <c r="CL79" s="802">
        <f t="shared" si="133"/>
        <v>34713.902676468038</v>
      </c>
      <c r="CM79" s="76">
        <f t="shared" si="133"/>
        <v>8987.3642113702426</v>
      </c>
      <c r="CN79" s="76">
        <f t="shared" si="133"/>
        <v>8562.4240968002941</v>
      </c>
      <c r="CO79" s="76">
        <f t="shared" si="133"/>
        <v>8383.7014537871346</v>
      </c>
      <c r="CP79" s="76">
        <f t="shared" si="133"/>
        <v>8052.0475648015017</v>
      </c>
      <c r="CQ79" s="802">
        <f t="shared" si="133"/>
        <v>33985.537326759171</v>
      </c>
      <c r="CR79" s="76">
        <f t="shared" si="133"/>
        <v>8132.2563000237615</v>
      </c>
      <c r="CS79" s="76">
        <f t="shared" si="133"/>
        <v>8379.9485952700361</v>
      </c>
      <c r="CT79" s="76">
        <f t="shared" si="133"/>
        <v>8393.8388038844932</v>
      </c>
      <c r="CU79" s="76">
        <f t="shared" si="133"/>
        <v>8326.9882543116073</v>
      </c>
      <c r="CV79" s="802">
        <f t="shared" si="133"/>
        <v>33233.031953489895</v>
      </c>
      <c r="CW79" s="76">
        <f t="shared" si="133"/>
        <v>8726.1638849966512</v>
      </c>
      <c r="CX79" s="76">
        <f t="shared" si="133"/>
        <v>9041.0212172026841</v>
      </c>
      <c r="CY79" s="76">
        <f>CY77+CY78</f>
        <v>9150.0026667325801</v>
      </c>
      <c r="CZ79" s="76">
        <f t="shared" si="133"/>
        <v>9223.0790508221125</v>
      </c>
      <c r="DA79" s="802">
        <f t="shared" si="133"/>
        <v>36140.266819754033</v>
      </c>
      <c r="DB79" s="76">
        <f>DB77+DB78</f>
        <v>9762.8953713951323</v>
      </c>
      <c r="DC79" s="76">
        <f t="shared" si="133"/>
        <v>10244.606340373457</v>
      </c>
      <c r="DD79" s="76">
        <f t="shared" ca="1" si="133"/>
        <v>10031.470704167019</v>
      </c>
      <c r="DE79" s="76">
        <f ca="1">DE77+DE78</f>
        <v>9700.3131381355561</v>
      </c>
      <c r="DF79" s="802">
        <f t="shared" ca="1" si="133"/>
        <v>39739.285554071168</v>
      </c>
      <c r="DG79" s="76">
        <f t="shared" ref="DG79:DL79" si="134">DG77+DG78</f>
        <v>10471.697452638778</v>
      </c>
      <c r="DH79" s="76">
        <f t="shared" ca="1" si="134"/>
        <v>10515.091388924748</v>
      </c>
      <c r="DI79" s="76">
        <f t="shared" ca="1" si="134"/>
        <v>10723.320092666061</v>
      </c>
      <c r="DJ79" s="76">
        <f t="shared" ca="1" si="134"/>
        <v>10799.139546089691</v>
      </c>
      <c r="DK79" s="807">
        <f t="shared" ca="1" si="134"/>
        <v>42509.248480319278</v>
      </c>
      <c r="DL79" s="76">
        <f t="shared" si="134"/>
        <v>10794.819627294499</v>
      </c>
      <c r="DM79" s="76">
        <f t="shared" ref="DM79:DN79" si="135">DM77+DM78</f>
        <v>10924.028206943849</v>
      </c>
      <c r="DN79" s="76">
        <f t="shared" si="135"/>
        <v>11971.893483820691</v>
      </c>
      <c r="DO79" s="76">
        <f t="shared" ref="DO79:DQ79" si="136">DO77+DO78</f>
        <v>12328.492098362367</v>
      </c>
      <c r="DP79" s="807">
        <f t="shared" ref="DP79:DU79" si="137">DP77+DP78</f>
        <v>46019.233416421404</v>
      </c>
      <c r="DQ79" s="76">
        <f t="shared" si="136"/>
        <v>12419.598902072439</v>
      </c>
      <c r="DR79" s="76">
        <f t="shared" ca="1" si="137"/>
        <v>12488.501171522526</v>
      </c>
      <c r="DS79" s="76">
        <f t="shared" ca="1" si="137"/>
        <v>13492.111326372575</v>
      </c>
      <c r="DT79" s="76">
        <f t="shared" si="137"/>
        <v>13448.773159278884</v>
      </c>
      <c r="DU79" s="807">
        <f t="shared" ca="1" si="137"/>
        <v>51848.984559246426</v>
      </c>
      <c r="DV79" s="76">
        <f t="shared" ref="DV79:DZ79" si="138">DV77+DV78</f>
        <v>13816.040606791263</v>
      </c>
      <c r="DW79" s="76">
        <f t="shared" ca="1" si="138"/>
        <v>12770.53772171228</v>
      </c>
      <c r="DX79" s="76">
        <f t="shared" ca="1" si="138"/>
        <v>13788.663249856179</v>
      </c>
      <c r="DY79" s="76">
        <f t="shared" si="138"/>
        <v>13722.767298227533</v>
      </c>
      <c r="DZ79" s="807">
        <f t="shared" ca="1" si="138"/>
        <v>54098.00887658725</v>
      </c>
      <c r="EA79" s="76">
        <f t="shared" ref="EA79:EE79" si="139">EA77+EA78</f>
        <v>14144.591534860945</v>
      </c>
      <c r="EB79" s="76">
        <f t="shared" ca="1" si="139"/>
        <v>13101.337093112743</v>
      </c>
      <c r="EC79" s="76">
        <f t="shared" ca="1" si="139"/>
        <v>14152.288960803697</v>
      </c>
      <c r="ED79" s="76">
        <f t="shared" si="139"/>
        <v>14092.641229867033</v>
      </c>
      <c r="EE79" s="807">
        <f t="shared" ca="1" si="139"/>
        <v>55490.85881864441</v>
      </c>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row>
    <row r="80" spans="2:238" s="150" customFormat="1" ht="12.75" customHeight="1">
      <c r="B80" s="558"/>
      <c r="C80" s="130"/>
      <c r="D80" s="130"/>
      <c r="E80" s="131"/>
      <c r="F80" s="131"/>
      <c r="G80" s="131"/>
      <c r="H80" s="131"/>
      <c r="I80" s="131"/>
      <c r="J80" s="131"/>
      <c r="K80" s="126"/>
      <c r="L80" s="127"/>
      <c r="M80" s="127"/>
      <c r="N80" s="132"/>
      <c r="O80" s="131"/>
      <c r="P80" s="126"/>
      <c r="Q80" s="127"/>
      <c r="R80" s="127"/>
      <c r="S80" s="132"/>
      <c r="T80" s="131"/>
      <c r="U80" s="126"/>
      <c r="V80" s="127"/>
      <c r="W80" s="127"/>
      <c r="X80" s="132"/>
      <c r="Y80" s="131"/>
      <c r="Z80" s="126"/>
      <c r="AA80" s="127"/>
      <c r="AB80" s="127"/>
      <c r="AC80" s="132"/>
      <c r="AD80" s="131"/>
      <c r="AE80" s="126"/>
      <c r="AF80" s="127"/>
      <c r="AG80" s="127"/>
      <c r="AH80" s="132"/>
      <c r="AI80" s="131"/>
      <c r="AJ80" s="126"/>
      <c r="AK80" s="127"/>
      <c r="AL80" s="127"/>
      <c r="AM80" s="132"/>
      <c r="AN80" s="131"/>
      <c r="AO80" s="126"/>
      <c r="AP80" s="127"/>
      <c r="AQ80" s="127"/>
      <c r="AR80" s="132"/>
      <c r="AS80" s="131"/>
      <c r="AT80" s="126"/>
      <c r="AU80" s="127"/>
      <c r="AV80" s="127"/>
      <c r="AW80" s="132"/>
      <c r="AX80" s="131"/>
      <c r="AY80" s="126"/>
      <c r="AZ80" s="127"/>
      <c r="BA80" s="127"/>
      <c r="BB80" s="132"/>
      <c r="BC80" s="131"/>
      <c r="BD80" s="126"/>
      <c r="BE80" s="127"/>
      <c r="BF80" s="127"/>
      <c r="BG80" s="132"/>
      <c r="BH80" s="131"/>
      <c r="BI80" s="126"/>
      <c r="BJ80" s="127"/>
      <c r="BK80" s="127"/>
      <c r="BL80" s="132"/>
      <c r="BM80" s="131"/>
      <c r="BN80" s="126"/>
      <c r="BO80" s="127"/>
      <c r="BP80" s="127"/>
      <c r="BQ80" s="132"/>
      <c r="BR80" s="131"/>
      <c r="BS80" s="126"/>
      <c r="BT80" s="127"/>
      <c r="BU80" s="127"/>
      <c r="BV80" s="132"/>
      <c r="BW80" s="131"/>
      <c r="BX80" s="126"/>
      <c r="BY80" s="127"/>
      <c r="BZ80" s="127"/>
      <c r="CA80" s="132"/>
      <c r="CB80" s="131"/>
      <c r="CC80" s="126"/>
      <c r="CD80" s="127"/>
      <c r="CE80" s="127"/>
      <c r="CF80" s="127"/>
      <c r="CG80" s="613"/>
      <c r="CH80" s="127"/>
      <c r="CI80" s="127"/>
      <c r="CJ80" s="127"/>
      <c r="CK80" s="127"/>
      <c r="CL80" s="613"/>
      <c r="CM80" s="127"/>
      <c r="CN80" s="127"/>
      <c r="CO80" s="127"/>
      <c r="CP80" s="127"/>
      <c r="CQ80" s="831"/>
      <c r="CR80" s="127"/>
      <c r="CS80" s="127"/>
      <c r="CT80" s="127"/>
      <c r="CU80" s="127"/>
      <c r="CV80" s="831"/>
      <c r="CW80" s="127"/>
      <c r="CX80" s="127"/>
      <c r="CY80" s="127"/>
      <c r="CZ80" s="127"/>
      <c r="DA80" s="831"/>
      <c r="DB80" s="127"/>
      <c r="DC80" s="127"/>
      <c r="DD80" s="127"/>
      <c r="DE80" s="127"/>
      <c r="DF80" s="831"/>
      <c r="DG80" s="127"/>
      <c r="DH80" s="127"/>
      <c r="DI80" s="127"/>
      <c r="DJ80" s="127"/>
      <c r="DK80" s="839"/>
      <c r="DL80" s="127"/>
      <c r="DM80" s="127"/>
      <c r="DN80" s="127"/>
      <c r="DO80" s="127"/>
      <c r="DP80" s="839"/>
      <c r="DQ80" s="127"/>
      <c r="DR80" s="127"/>
      <c r="DS80" s="127"/>
      <c r="DT80" s="127"/>
      <c r="DU80" s="839"/>
      <c r="DV80" s="127"/>
      <c r="DW80" s="127"/>
      <c r="DX80" s="127"/>
      <c r="DY80" s="127"/>
      <c r="DZ80" s="839"/>
      <c r="EA80" s="127"/>
      <c r="EB80" s="127"/>
      <c r="EC80" s="127"/>
      <c r="ED80" s="127"/>
      <c r="EE80" s="839"/>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row>
    <row r="81" spans="2:238" s="93" customFormat="1" ht="12.75" customHeight="1">
      <c r="B81" s="558" t="s">
        <v>328</v>
      </c>
      <c r="C81" s="159"/>
      <c r="D81" s="159"/>
      <c r="E81" s="204"/>
      <c r="F81" s="204"/>
      <c r="G81" s="204"/>
      <c r="H81" s="204"/>
      <c r="I81" s="204"/>
      <c r="J81" s="204"/>
      <c r="K81" s="205"/>
      <c r="L81" s="160"/>
      <c r="M81" s="160"/>
      <c r="N81" s="206"/>
      <c r="O81" s="204"/>
      <c r="P81" s="205"/>
      <c r="Q81" s="160"/>
      <c r="R81" s="160"/>
      <c r="S81" s="206"/>
      <c r="T81" s="204"/>
      <c r="U81" s="205"/>
      <c r="V81" s="160"/>
      <c r="W81" s="160"/>
      <c r="X81" s="206"/>
      <c r="Y81" s="204"/>
      <c r="Z81" s="205"/>
      <c r="AA81" s="160"/>
      <c r="AB81" s="160"/>
      <c r="AC81" s="206"/>
      <c r="AD81" s="204"/>
      <c r="AE81" s="205"/>
      <c r="AF81" s="160"/>
      <c r="AG81" s="160"/>
      <c r="AH81" s="206"/>
      <c r="AI81" s="204"/>
      <c r="AJ81" s="205"/>
      <c r="AK81" s="160"/>
      <c r="AL81" s="160"/>
      <c r="AM81" s="206"/>
      <c r="AN81" s="204"/>
      <c r="AO81" s="205"/>
      <c r="AP81" s="160"/>
      <c r="AQ81" s="160"/>
      <c r="AR81" s="206"/>
      <c r="AS81" s="204"/>
      <c r="AT81" s="205"/>
      <c r="AU81" s="160"/>
      <c r="AV81" s="160"/>
      <c r="AW81" s="206"/>
      <c r="AX81" s="204"/>
      <c r="AY81" s="205"/>
      <c r="AZ81" s="160"/>
      <c r="BA81" s="160"/>
      <c r="BB81" s="206"/>
      <c r="BC81" s="204"/>
      <c r="BD81" s="205"/>
      <c r="BE81" s="160"/>
      <c r="BF81" s="160"/>
      <c r="BG81" s="206"/>
      <c r="BH81" s="204"/>
      <c r="BI81" s="205"/>
      <c r="BJ81" s="160"/>
      <c r="BK81" s="160"/>
      <c r="BL81" s="206"/>
      <c r="BM81" s="204"/>
      <c r="BN81" s="205"/>
      <c r="BO81" s="160"/>
      <c r="BP81" s="160"/>
      <c r="BQ81" s="206"/>
      <c r="BR81" s="204"/>
      <c r="BS81" s="205"/>
      <c r="BT81" s="160"/>
      <c r="BU81" s="160"/>
      <c r="BV81" s="206"/>
      <c r="BW81" s="204"/>
      <c r="BX81" s="205"/>
      <c r="BY81" s="160"/>
      <c r="BZ81" s="160"/>
      <c r="CA81" s="206"/>
      <c r="CB81" s="204"/>
      <c r="CC81" s="205"/>
      <c r="CD81" s="160"/>
      <c r="CE81" s="160"/>
      <c r="CF81" s="160"/>
      <c r="CG81" s="809"/>
      <c r="CH81" s="160"/>
      <c r="CI81" s="160"/>
      <c r="CJ81" s="160"/>
      <c r="CK81" s="160"/>
      <c r="CL81" s="809"/>
      <c r="CM81" s="160"/>
      <c r="CN81" s="160"/>
      <c r="CO81" s="160"/>
      <c r="CP81" s="160"/>
      <c r="CQ81" s="836"/>
      <c r="CR81" s="160"/>
      <c r="CS81" s="160"/>
      <c r="CT81" s="160"/>
      <c r="CU81" s="160"/>
      <c r="CV81" s="836"/>
      <c r="CW81" s="160"/>
      <c r="CX81" s="160"/>
      <c r="CY81" s="160"/>
      <c r="CZ81" s="160"/>
      <c r="DA81" s="836"/>
      <c r="DB81" s="160"/>
      <c r="DC81" s="160"/>
      <c r="DD81" s="160"/>
      <c r="DE81" s="160"/>
      <c r="DF81" s="836"/>
      <c r="DG81" s="160"/>
      <c r="DH81" s="160"/>
      <c r="DI81" s="160"/>
      <c r="DJ81" s="160"/>
      <c r="DK81" s="1382"/>
      <c r="DL81" s="160"/>
      <c r="DM81" s="160"/>
      <c r="DN81" s="160"/>
      <c r="DO81" s="160"/>
      <c r="DP81" s="1382"/>
      <c r="DQ81" s="160"/>
      <c r="DR81" s="160"/>
      <c r="DS81" s="160"/>
      <c r="DT81" s="160"/>
      <c r="DU81" s="1382"/>
      <c r="DV81" s="160"/>
      <c r="DW81" s="160"/>
      <c r="DX81" s="160"/>
      <c r="DY81" s="160"/>
      <c r="DZ81" s="1382"/>
      <c r="EA81" s="160"/>
      <c r="EB81" s="160"/>
      <c r="EC81" s="160"/>
      <c r="ED81" s="160"/>
      <c r="EE81" s="1382"/>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row>
    <row r="82" spans="2:238" s="161" customFormat="1" ht="12.75" customHeight="1">
      <c r="B82" s="561" t="s">
        <v>161</v>
      </c>
      <c r="C82" s="62"/>
      <c r="D82" s="62"/>
      <c r="E82" s="62"/>
      <c r="F82" s="62"/>
      <c r="G82" s="62"/>
      <c r="H82" s="62"/>
      <c r="I82" s="62"/>
      <c r="J82" s="62"/>
      <c r="K82" s="140"/>
      <c r="L82" s="76"/>
      <c r="M82" s="76"/>
      <c r="N82" s="141"/>
      <c r="O82" s="62"/>
      <c r="P82" s="140"/>
      <c r="Q82" s="76"/>
      <c r="R82" s="76"/>
      <c r="S82" s="141"/>
      <c r="T82" s="62"/>
      <c r="U82" s="140"/>
      <c r="V82" s="76"/>
      <c r="W82" s="76"/>
      <c r="X82" s="141"/>
      <c r="Y82" s="62"/>
      <c r="Z82" s="140"/>
      <c r="AA82" s="76"/>
      <c r="AB82" s="76"/>
      <c r="AC82" s="141"/>
      <c r="AD82" s="62"/>
      <c r="AE82" s="140"/>
      <c r="AF82" s="76"/>
      <c r="AG82" s="76"/>
      <c r="AH82" s="141"/>
      <c r="AI82" s="62"/>
      <c r="AJ82" s="140"/>
      <c r="AK82" s="76"/>
      <c r="AL82" s="76"/>
      <c r="AM82" s="141"/>
      <c r="AN82" s="62"/>
      <c r="AO82" s="140"/>
      <c r="AP82" s="76"/>
      <c r="AQ82" s="76"/>
      <c r="AR82" s="141"/>
      <c r="AS82" s="62"/>
      <c r="AT82" s="140"/>
      <c r="AU82" s="76"/>
      <c r="AV82" s="76"/>
      <c r="AW82" s="141"/>
      <c r="AX82" s="62"/>
      <c r="AY82" s="140"/>
      <c r="AZ82" s="76"/>
      <c r="BA82" s="76"/>
      <c r="BB82" s="141"/>
      <c r="BC82" s="62"/>
      <c r="BD82" s="140"/>
      <c r="BE82" s="76"/>
      <c r="BF82" s="76"/>
      <c r="BG82" s="141"/>
      <c r="BH82" s="62"/>
      <c r="BI82" s="140"/>
      <c r="BJ82" s="76"/>
      <c r="BK82" s="76"/>
      <c r="BL82" s="141"/>
      <c r="BM82" s="62"/>
      <c r="BN82" s="140"/>
      <c r="BO82" s="76"/>
      <c r="BP82" s="76"/>
      <c r="BQ82" s="141"/>
      <c r="BR82" s="62"/>
      <c r="BS82" s="140">
        <f t="shared" ref="BS82:BV83" si="140">BS147*BS36</f>
        <v>1775.447883</v>
      </c>
      <c r="BT82" s="76">
        <f t="shared" si="140"/>
        <v>1894.3497540000001</v>
      </c>
      <c r="BU82" s="76">
        <f t="shared" si="140"/>
        <v>1912.5150000000001</v>
      </c>
      <c r="BV82" s="141">
        <f t="shared" si="140"/>
        <v>1860.2535600000001</v>
      </c>
      <c r="BW82" s="62">
        <f>SUM(BS82:BV82)</f>
        <v>7442.5661970000001</v>
      </c>
      <c r="BX82" s="140">
        <f t="shared" ref="BX82:CA83" si="141">BX147*BX36</f>
        <v>1941.0600000000002</v>
      </c>
      <c r="BY82" s="76">
        <f t="shared" si="141"/>
        <v>2087.32458</v>
      </c>
      <c r="BZ82" s="76">
        <f t="shared" si="141"/>
        <v>2140.3496400000004</v>
      </c>
      <c r="CA82" s="141">
        <f t="shared" si="141"/>
        <v>2136.6795449999995</v>
      </c>
      <c r="CB82" s="62">
        <f>SUM(BX82:CA82)</f>
        <v>8305.4137649999993</v>
      </c>
      <c r="CC82" s="140">
        <f t="shared" ref="CC82:CF83" si="142">CC147*CC36</f>
        <v>2214.7078799999999</v>
      </c>
      <c r="CD82" s="76">
        <f t="shared" si="142"/>
        <v>2192.7743006399996</v>
      </c>
      <c r="CE82" s="76">
        <f t="shared" si="142"/>
        <v>2272.5042912000004</v>
      </c>
      <c r="CF82" s="76">
        <f t="shared" si="142"/>
        <v>2355.4059143999993</v>
      </c>
      <c r="CG82" s="802">
        <f>SUM(CC82:CF82)</f>
        <v>9035.3923862400006</v>
      </c>
      <c r="CH82" s="76">
        <f t="shared" ref="CH82:CK83" si="143">CH147*CH36</f>
        <v>2416.5853172999996</v>
      </c>
      <c r="CI82" s="76">
        <f t="shared" si="143"/>
        <v>2407.4785008852186</v>
      </c>
      <c r="CJ82" s="76">
        <f t="shared" si="143"/>
        <v>2508.0003748800004</v>
      </c>
      <c r="CK82" s="76">
        <f t="shared" si="143"/>
        <v>2563.7332402027496</v>
      </c>
      <c r="CL82" s="802">
        <f>SUM(CH82:CK82)</f>
        <v>9895.7974332679678</v>
      </c>
      <c r="CM82" s="76">
        <f t="shared" ref="CM82:CP83" si="144">CM147*CM36</f>
        <v>2480.2944143577593</v>
      </c>
      <c r="CN82" s="76">
        <f t="shared" si="144"/>
        <v>2421.6804780854645</v>
      </c>
      <c r="CO82" s="76">
        <f t="shared" si="144"/>
        <v>2448.2476845066249</v>
      </c>
      <c r="CP82" s="76">
        <f t="shared" si="144"/>
        <v>2511.9616214384996</v>
      </c>
      <c r="CQ82" s="825">
        <f>SUM(CM82:CP82)</f>
        <v>9862.1841983883496</v>
      </c>
      <c r="CR82" s="76">
        <f t="shared" ref="CR82:CU83" si="145">CR87+CR92</f>
        <v>2535.1590372716105</v>
      </c>
      <c r="CS82" s="76">
        <f>CS87+CS92</f>
        <v>2668.8544717120712</v>
      </c>
      <c r="CT82" s="76">
        <f t="shared" si="145"/>
        <v>2833.0960041025883</v>
      </c>
      <c r="CU82" s="76">
        <f t="shared" si="145"/>
        <v>2855.2453851605342</v>
      </c>
      <c r="CV82" s="825">
        <f>SUM(CR82:CU82)</f>
        <v>10892.354898246806</v>
      </c>
      <c r="CW82" s="76">
        <f t="shared" ref="CW82:CZ83" si="146">CW87+CW92</f>
        <v>2735.9437747432121</v>
      </c>
      <c r="CX82" s="76">
        <f>CX87+CX92</f>
        <v>2827.5762858328944</v>
      </c>
      <c r="CY82" s="76">
        <f>CY87+CY92</f>
        <v>3023.8312994152361</v>
      </c>
      <c r="CZ82" s="76">
        <f t="shared" si="146"/>
        <v>3024.3673576455521</v>
      </c>
      <c r="DA82" s="825">
        <f>SUM(CW82:CZ82)</f>
        <v>11611.718717636893</v>
      </c>
      <c r="DB82" s="76">
        <f t="shared" ref="DB82:DE83" si="147">DB87+DB92</f>
        <v>2936.3400461749175</v>
      </c>
      <c r="DC82" s="76">
        <f t="shared" si="147"/>
        <v>2983.0382593929157</v>
      </c>
      <c r="DD82" s="76">
        <f t="shared" si="147"/>
        <v>3132.097470521353</v>
      </c>
      <c r="DE82" s="76">
        <f t="shared" si="147"/>
        <v>3196.7221888489312</v>
      </c>
      <c r="DF82" s="825">
        <f>SUM(DB82:DE82)</f>
        <v>12248.197964938117</v>
      </c>
      <c r="DG82" s="76">
        <f t="shared" ref="DG82:DH82" si="148">DG87+DG92</f>
        <v>3105.6943710571281</v>
      </c>
      <c r="DH82" s="76">
        <f t="shared" si="148"/>
        <v>3130.5871630655506</v>
      </c>
      <c r="DI82" s="76">
        <f t="shared" ref="DI82:DJ82" si="149">DI87+DI92</f>
        <v>3215.7288392936839</v>
      </c>
      <c r="DJ82" s="76">
        <f t="shared" si="149"/>
        <v>3230.7289338745345</v>
      </c>
      <c r="DK82" s="807">
        <f>SUM(DG82:DJ82)</f>
        <v>12682.739307290896</v>
      </c>
      <c r="DL82" s="76">
        <f t="shared" ref="DL82:DM82" si="150">DL87+DL92</f>
        <v>3137.7393056835049</v>
      </c>
      <c r="DM82" s="76">
        <f t="shared" si="150"/>
        <v>3255.7660800332478</v>
      </c>
      <c r="DN82" s="76">
        <f t="shared" ref="DN82:DO82" si="151">DN87+DN92</f>
        <v>3430.0221847218281</v>
      </c>
      <c r="DO82" s="76">
        <f t="shared" si="151"/>
        <v>3459.3971882752612</v>
      </c>
      <c r="DP82" s="807">
        <f>SUM(DL82:DO82)</f>
        <v>13282.924758713843</v>
      </c>
      <c r="DQ82" s="76">
        <f t="shared" ref="DQ82" si="152">DQ87+DQ92</f>
        <v>3375.2755505537161</v>
      </c>
      <c r="DR82" s="76">
        <f t="shared" ref="DR82:DT83" ca="1" si="153">DR87+DR92</f>
        <v>3654.5641469309789</v>
      </c>
      <c r="DS82" s="76">
        <f t="shared" ca="1" si="153"/>
        <v>3862.9407884210991</v>
      </c>
      <c r="DT82" s="76">
        <f t="shared" si="153"/>
        <v>3782.0258425646216</v>
      </c>
      <c r="DU82" s="807">
        <f ca="1">SUM(DQ82:DT82)</f>
        <v>14674.806328470415</v>
      </c>
      <c r="DV82" s="76">
        <f t="shared" ref="DV82:DY82" si="154">DV87+DV92</f>
        <v>3846.8708302227419</v>
      </c>
      <c r="DW82" s="76">
        <f t="shared" ca="1" si="154"/>
        <v>3828.3315907010101</v>
      </c>
      <c r="DX82" s="76">
        <f t="shared" ca="1" si="154"/>
        <v>4023.6882033876709</v>
      </c>
      <c r="DY82" s="76">
        <f t="shared" si="154"/>
        <v>3949.5862563554447</v>
      </c>
      <c r="DZ82" s="807">
        <f ca="1">SUM(DV82:DY82)</f>
        <v>15648.476880666865</v>
      </c>
      <c r="EA82" s="76">
        <f t="shared" ref="EA82:ED82" si="155">EA87+EA92</f>
        <v>4034.1418307889844</v>
      </c>
      <c r="EB82" s="76">
        <f t="shared" ca="1" si="155"/>
        <v>3995.6896210078048</v>
      </c>
      <c r="EC82" s="76">
        <f t="shared" ca="1" si="155"/>
        <v>4199.8032594813239</v>
      </c>
      <c r="ED82" s="76">
        <f t="shared" si="155"/>
        <v>4117.6437430849583</v>
      </c>
      <c r="EE82" s="807">
        <f ca="1">SUM(EA82:ED82)</f>
        <v>16347.278454363071</v>
      </c>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row>
    <row r="83" spans="2:238" s="201" customFormat="1" ht="12.75" customHeight="1">
      <c r="B83" s="623" t="s">
        <v>162</v>
      </c>
      <c r="C83" s="964"/>
      <c r="D83" s="964"/>
      <c r="E83" s="964"/>
      <c r="F83" s="964"/>
      <c r="G83" s="964"/>
      <c r="H83" s="964"/>
      <c r="I83" s="964"/>
      <c r="J83" s="964"/>
      <c r="K83" s="741"/>
      <c r="L83" s="283"/>
      <c r="M83" s="283"/>
      <c r="N83" s="740"/>
      <c r="O83" s="964"/>
      <c r="P83" s="741"/>
      <c r="Q83" s="283"/>
      <c r="R83" s="283"/>
      <c r="S83" s="740"/>
      <c r="T83" s="964"/>
      <c r="U83" s="741"/>
      <c r="V83" s="283"/>
      <c r="W83" s="283"/>
      <c r="X83" s="740"/>
      <c r="Y83" s="964"/>
      <c r="Z83" s="741"/>
      <c r="AA83" s="283"/>
      <c r="AB83" s="283"/>
      <c r="AC83" s="740"/>
      <c r="AD83" s="964"/>
      <c r="AE83" s="741"/>
      <c r="AF83" s="283"/>
      <c r="AG83" s="283"/>
      <c r="AH83" s="740"/>
      <c r="AI83" s="964"/>
      <c r="AJ83" s="741"/>
      <c r="AK83" s="283"/>
      <c r="AL83" s="283"/>
      <c r="AM83" s="740"/>
      <c r="AN83" s="964"/>
      <c r="AO83" s="741"/>
      <c r="AP83" s="283"/>
      <c r="AQ83" s="283"/>
      <c r="AR83" s="740"/>
      <c r="AS83" s="964"/>
      <c r="AT83" s="741"/>
      <c r="AU83" s="283"/>
      <c r="AV83" s="283"/>
      <c r="AW83" s="740"/>
      <c r="AX83" s="964"/>
      <c r="AY83" s="741"/>
      <c r="AZ83" s="283"/>
      <c r="BA83" s="283"/>
      <c r="BB83" s="740"/>
      <c r="BC83" s="964"/>
      <c r="BD83" s="741"/>
      <c r="BE83" s="283"/>
      <c r="BF83" s="283"/>
      <c r="BG83" s="740"/>
      <c r="BH83" s="964"/>
      <c r="BI83" s="741"/>
      <c r="BJ83" s="283"/>
      <c r="BK83" s="283"/>
      <c r="BL83" s="740"/>
      <c r="BM83" s="964"/>
      <c r="BN83" s="741"/>
      <c r="BO83" s="283"/>
      <c r="BP83" s="283"/>
      <c r="BQ83" s="740"/>
      <c r="BR83" s="964"/>
      <c r="BS83" s="741">
        <f t="shared" si="140"/>
        <v>465.56078400000001</v>
      </c>
      <c r="BT83" s="283">
        <f t="shared" si="140"/>
        <v>460.61539199999993</v>
      </c>
      <c r="BU83" s="283">
        <f t="shared" si="140"/>
        <v>456.71999999999991</v>
      </c>
      <c r="BV83" s="740">
        <f t="shared" si="140"/>
        <v>424.44287999999995</v>
      </c>
      <c r="BW83" s="964">
        <f>SUM(BS83:BV83)</f>
        <v>1807.3390559999998</v>
      </c>
      <c r="BX83" s="741">
        <f t="shared" si="141"/>
        <v>447.30879999999991</v>
      </c>
      <c r="BY83" s="283">
        <f t="shared" si="141"/>
        <v>450.44384000000002</v>
      </c>
      <c r="BZ83" s="283">
        <f t="shared" si="141"/>
        <v>459.33184000000011</v>
      </c>
      <c r="CA83" s="740">
        <f t="shared" si="141"/>
        <v>439.69744000000003</v>
      </c>
      <c r="CB83" s="964">
        <f>SUM(BX83:CA83)</f>
        <v>1796.7819199999999</v>
      </c>
      <c r="CC83" s="741">
        <f t="shared" si="142"/>
        <v>465.4593888</v>
      </c>
      <c r="CD83" s="283">
        <f t="shared" si="142"/>
        <v>437.15773440000009</v>
      </c>
      <c r="CE83" s="283">
        <f t="shared" si="142"/>
        <v>441.12388320000002</v>
      </c>
      <c r="CF83" s="283">
        <f t="shared" si="142"/>
        <v>417.96353280000005</v>
      </c>
      <c r="CG83" s="1111">
        <f>SUM(CC83:CF83)</f>
        <v>1761.7045392</v>
      </c>
      <c r="CH83" s="283">
        <f t="shared" si="143"/>
        <v>436.22120099200004</v>
      </c>
      <c r="CI83" s="283">
        <f t="shared" si="143"/>
        <v>427.49249092000002</v>
      </c>
      <c r="CJ83" s="283">
        <f t="shared" si="143"/>
        <v>434.45732568000005</v>
      </c>
      <c r="CK83" s="283">
        <f t="shared" si="143"/>
        <v>402.92187267199984</v>
      </c>
      <c r="CL83" s="1111">
        <f>SUM(CH83:CK83)</f>
        <v>1701.0928902640001</v>
      </c>
      <c r="CM83" s="283">
        <f t="shared" si="144"/>
        <v>425.17637427199998</v>
      </c>
      <c r="CN83" s="283">
        <f t="shared" si="144"/>
        <v>355.70342511424008</v>
      </c>
      <c r="CO83" s="283">
        <f t="shared" si="144"/>
        <v>334.0588617062399</v>
      </c>
      <c r="CP83" s="283">
        <f t="shared" si="144"/>
        <v>294.41881375999992</v>
      </c>
      <c r="CQ83" s="1111">
        <f>SUM(CM83:CP83)</f>
        <v>1409.3574748524798</v>
      </c>
      <c r="CR83" s="283">
        <f t="shared" si="145"/>
        <v>380.19266270462856</v>
      </c>
      <c r="CS83" s="283">
        <f>CS88+CS93</f>
        <v>344.51393301789119</v>
      </c>
      <c r="CT83" s="283">
        <f t="shared" si="145"/>
        <v>328.56819201291955</v>
      </c>
      <c r="CU83" s="283">
        <f t="shared" si="145"/>
        <v>282.06536052786015</v>
      </c>
      <c r="CV83" s="1111">
        <f>SUM(CR83:CU83)</f>
        <v>1335.3401482632994</v>
      </c>
      <c r="CW83" s="283">
        <f t="shared" si="146"/>
        <v>396.75534026013764</v>
      </c>
      <c r="CX83" s="283">
        <f>CX88+CX93</f>
        <v>325.71249696441981</v>
      </c>
      <c r="CY83" s="283">
        <f>CY88+CY93</f>
        <v>320.41003385218448</v>
      </c>
      <c r="CZ83" s="283">
        <f t="shared" si="146"/>
        <v>273.00259153233566</v>
      </c>
      <c r="DA83" s="1111">
        <f>SUM(CW83:CZ83)</f>
        <v>1315.8804626090775</v>
      </c>
      <c r="DB83" s="283">
        <f t="shared" si="147"/>
        <v>362.83658242995165</v>
      </c>
      <c r="DC83" s="283">
        <f t="shared" si="147"/>
        <v>327.26740023362743</v>
      </c>
      <c r="DD83" s="283">
        <f t="shared" ca="1" si="147"/>
        <v>337.35682531162763</v>
      </c>
      <c r="DE83" s="283">
        <f t="shared" ca="1" si="147"/>
        <v>287.93167301551603</v>
      </c>
      <c r="DF83" s="1111">
        <f ca="1">SUM(DB83:DE83)</f>
        <v>1315.3924809907226</v>
      </c>
      <c r="DG83" s="283">
        <f t="shared" ref="DG83:DH83" si="156">DG88+DG93</f>
        <v>355.68817630409507</v>
      </c>
      <c r="DH83" s="283">
        <f t="shared" ca="1" si="156"/>
        <v>329.3214480097015</v>
      </c>
      <c r="DI83" s="283">
        <f t="shared" ref="DI83:DJ83" ca="1" si="157">DI88+DI93</f>
        <v>339.64106804025448</v>
      </c>
      <c r="DJ83" s="283">
        <f t="shared" ca="1" si="157"/>
        <v>285.5615200357729</v>
      </c>
      <c r="DK83" s="1379">
        <f ca="1">SUM(DG83:DJ83)</f>
        <v>1310.2122123898239</v>
      </c>
      <c r="DL83" s="283">
        <f t="shared" ref="DL83:DM83" si="158">DL88+DL93</f>
        <v>342.81006702199619</v>
      </c>
      <c r="DM83" s="283">
        <f t="shared" si="158"/>
        <v>326.51571302290409</v>
      </c>
      <c r="DN83" s="283">
        <f t="shared" ref="DN83:DO83" si="159">DN88+DN93</f>
        <v>345.15633145747853</v>
      </c>
      <c r="DO83" s="283">
        <f t="shared" si="159"/>
        <v>291.13171336237082</v>
      </c>
      <c r="DP83" s="1379">
        <f>SUM(DL83:DO83)</f>
        <v>1305.6138248647496</v>
      </c>
      <c r="DQ83" s="283">
        <f t="shared" ref="DQ83" si="160">DQ88+DQ93</f>
        <v>351.0495473738427</v>
      </c>
      <c r="DR83" s="283">
        <f t="shared" ca="1" si="153"/>
        <v>348.66849205903571</v>
      </c>
      <c r="DS83" s="283">
        <f t="shared" ca="1" si="153"/>
        <v>367.62246762358234</v>
      </c>
      <c r="DT83" s="283">
        <f t="shared" si="153"/>
        <v>299.9552594239766</v>
      </c>
      <c r="DU83" s="1379">
        <f ca="1">SUM(DQ83:DT83)</f>
        <v>1367.2957664804376</v>
      </c>
      <c r="DV83" s="283">
        <f t="shared" ref="DV83:DY83" si="161">DV88+DV93</f>
        <v>365.34922899549599</v>
      </c>
      <c r="DW83" s="283">
        <f t="shared" ca="1" si="161"/>
        <v>333.10487191880867</v>
      </c>
      <c r="DX83" s="283">
        <f t="shared" ca="1" si="161"/>
        <v>350.75505394982105</v>
      </c>
      <c r="DY83" s="283">
        <f t="shared" si="161"/>
        <v>285.83738415875609</v>
      </c>
      <c r="DZ83" s="1379">
        <f ca="1">SUM(DV83:DY83)</f>
        <v>1335.0465390228819</v>
      </c>
      <c r="EA83" s="283">
        <f t="shared" ref="EA83:ED83" si="162">EA88+EA93</f>
        <v>347.01582050515685</v>
      </c>
      <c r="EB83" s="283">
        <f t="shared" ca="1" si="162"/>
        <v>316.40525962960862</v>
      </c>
      <c r="EC83" s="283">
        <f t="shared" ca="1" si="162"/>
        <v>333.19762803599247</v>
      </c>
      <c r="ED83" s="283">
        <f t="shared" si="162"/>
        <v>271.49106748801671</v>
      </c>
      <c r="EE83" s="1379">
        <f ca="1">SUM(EA83:ED83)</f>
        <v>1268.1097756587747</v>
      </c>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row>
    <row r="84" spans="2:238" s="161" customFormat="1" ht="12.75" customHeight="1">
      <c r="B84" s="562" t="s">
        <v>392</v>
      </c>
      <c r="C84" s="62"/>
      <c r="D84" s="62"/>
      <c r="E84" s="62"/>
      <c r="F84" s="62">
        <v>790.72868736000009</v>
      </c>
      <c r="G84" s="73">
        <v>871.28145416000007</v>
      </c>
      <c r="H84" s="73">
        <v>982.27495280000005</v>
      </c>
      <c r="I84" s="73">
        <v>1156.7364043679997</v>
      </c>
      <c r="J84" s="73">
        <v>1357.9529708639998</v>
      </c>
      <c r="K84" s="140"/>
      <c r="L84" s="76"/>
      <c r="M84" s="76"/>
      <c r="N84" s="141"/>
      <c r="O84" s="73">
        <v>958.29127487999995</v>
      </c>
      <c r="P84" s="121">
        <v>396.39702860999989</v>
      </c>
      <c r="Q84" s="73">
        <v>438.56761299999994</v>
      </c>
      <c r="R84" s="73">
        <v>374.80449173999995</v>
      </c>
      <c r="S84" s="75">
        <v>436.95090420899999</v>
      </c>
      <c r="T84" s="73">
        <f>SUM(P84:S84)</f>
        <v>1646.7200375589996</v>
      </c>
      <c r="U84" s="121">
        <v>454.98430119999995</v>
      </c>
      <c r="V84" s="73">
        <v>473.12868773099996</v>
      </c>
      <c r="W84" s="73">
        <v>505.05912976600007</v>
      </c>
      <c r="X84" s="75">
        <v>493.53017536800002</v>
      </c>
      <c r="Y84" s="64">
        <f>SUM(U84:X84)</f>
        <v>1926.7022940649999</v>
      </c>
      <c r="Z84" s="121">
        <v>524.72427520000008</v>
      </c>
      <c r="AA84" s="73">
        <v>568.84803899999997</v>
      </c>
      <c r="AB84" s="73">
        <v>603.31611600000008</v>
      </c>
      <c r="AC84" s="75">
        <v>596.85680000000002</v>
      </c>
      <c r="AD84" s="64">
        <f>SUM(Z84:AC84)</f>
        <v>2293.7452302000002</v>
      </c>
      <c r="AE84" s="121">
        <v>618.60739999999998</v>
      </c>
      <c r="AF84" s="73">
        <v>679.61892239999997</v>
      </c>
      <c r="AG84" s="73">
        <v>708.63831300000004</v>
      </c>
      <c r="AH84" s="75">
        <v>711.6617207999999</v>
      </c>
      <c r="AI84" s="64">
        <f>SUM(AE84:AH84)</f>
        <v>2718.5263561999996</v>
      </c>
      <c r="AJ84" s="121">
        <v>726.16923499999984</v>
      </c>
      <c r="AK84" s="73">
        <v>785.05763999999999</v>
      </c>
      <c r="AL84" s="73">
        <v>805.03988199999992</v>
      </c>
      <c r="AM84" s="75">
        <v>806.52847359999998</v>
      </c>
      <c r="AN84" s="64">
        <f>SUM(AJ84:AM84)</f>
        <v>3122.7952305999997</v>
      </c>
      <c r="AO84" s="121">
        <v>827.31242759999998</v>
      </c>
      <c r="AP84" s="73">
        <v>907.0140624999998</v>
      </c>
      <c r="AQ84" s="73">
        <v>970.14460959999997</v>
      </c>
      <c r="AR84" s="75">
        <v>996.09872999999993</v>
      </c>
      <c r="AS84" s="64">
        <f>SUM(AO84:AR84)</f>
        <v>3700.5698296999999</v>
      </c>
      <c r="AT84" s="121">
        <v>1067.7768000000001</v>
      </c>
      <c r="AU84" s="73">
        <v>1156.25270845</v>
      </c>
      <c r="AV84" s="73">
        <v>1176.3826799999999</v>
      </c>
      <c r="AW84" s="75">
        <v>1176.9099699999999</v>
      </c>
      <c r="AX84" s="64">
        <f>SUM(AT84:AW84)</f>
        <v>4577.3221584499997</v>
      </c>
      <c r="AY84" s="121">
        <v>1266</v>
      </c>
      <c r="AZ84" s="73">
        <v>1361.6550999999999</v>
      </c>
      <c r="BA84" s="73">
        <v>1365.8815</v>
      </c>
      <c r="BB84" s="75">
        <v>1412.1209999999999</v>
      </c>
      <c r="BC84" s="64">
        <f>SUM(AY84:BB84)</f>
        <v>5405.6575999999995</v>
      </c>
      <c r="BD84" s="121">
        <v>1547.8748999999998</v>
      </c>
      <c r="BE84" s="73">
        <v>1643.088213</v>
      </c>
      <c r="BF84" s="73">
        <v>1618.5434999999998</v>
      </c>
      <c r="BG84" s="75">
        <v>1639.8528000000001</v>
      </c>
      <c r="BH84" s="64">
        <f>SUM(BD84:BG84)</f>
        <v>6449.3594130000001</v>
      </c>
      <c r="BI84" s="121">
        <v>1750.6821763859998</v>
      </c>
      <c r="BJ84" s="73">
        <v>1843.8967662068558</v>
      </c>
      <c r="BK84" s="73">
        <v>1919.5265279999996</v>
      </c>
      <c r="BL84" s="75">
        <v>1985.0255913317935</v>
      </c>
      <c r="BM84" s="64">
        <f>SUM(BI84:BL84)</f>
        <v>7499.1310619246487</v>
      </c>
      <c r="BN84" s="121">
        <v>2094.6628609054851</v>
      </c>
      <c r="BO84" s="73">
        <v>2261.3744581447727</v>
      </c>
      <c r="BP84" s="73">
        <v>2217.9799421688817</v>
      </c>
      <c r="BQ84" s="75">
        <v>2084.2469793109672</v>
      </c>
      <c r="BR84" s="64">
        <f>SUM(BN84:BQ84)</f>
        <v>8658.2642405301067</v>
      </c>
      <c r="BS84" s="140">
        <f>BS82+BS83</f>
        <v>2241.0086670000001</v>
      </c>
      <c r="BT84" s="76">
        <f>BT82+BT83</f>
        <v>2354.965146</v>
      </c>
      <c r="BU84" s="76">
        <f>BU82+BU83</f>
        <v>2369.2350000000001</v>
      </c>
      <c r="BV84" s="141">
        <f>BV82+BV83</f>
        <v>2284.6964400000002</v>
      </c>
      <c r="BW84" s="62">
        <f>SUM(BS84:BV84)</f>
        <v>9249.9052530000008</v>
      </c>
      <c r="BX84" s="140">
        <f>BX82+BX83</f>
        <v>2388.3688000000002</v>
      </c>
      <c r="BY84" s="76">
        <f>BY82+BY83</f>
        <v>2537.7684199999999</v>
      </c>
      <c r="BZ84" s="76">
        <f>BZ82+BZ83</f>
        <v>2599.6814800000006</v>
      </c>
      <c r="CA84" s="141">
        <f>CA82+CA83</f>
        <v>2576.3769849999994</v>
      </c>
      <c r="CB84" s="62">
        <f>SUM(BX84:CA84)</f>
        <v>10102.195685000001</v>
      </c>
      <c r="CC84" s="140">
        <f>CC82+CC83</f>
        <v>2680.1672687999999</v>
      </c>
      <c r="CD84" s="76">
        <f>CD82+CD83</f>
        <v>2629.9320350399998</v>
      </c>
      <c r="CE84" s="76">
        <f>CE82+CE83</f>
        <v>2713.6281744000003</v>
      </c>
      <c r="CF84" s="76">
        <f>CF82+CF83</f>
        <v>2773.3694471999993</v>
      </c>
      <c r="CG84" s="802">
        <f>SUM(CC84:CF84)</f>
        <v>10797.096925439999</v>
      </c>
      <c r="CH84" s="76">
        <f>CH82+CH83</f>
        <v>2852.8065182919995</v>
      </c>
      <c r="CI84" s="76">
        <f>CI82+CI83</f>
        <v>2834.9709918052185</v>
      </c>
      <c r="CJ84" s="76">
        <f>CJ82+CJ83</f>
        <v>2942.4577005600004</v>
      </c>
      <c r="CK84" s="76">
        <f>CK82+CK83</f>
        <v>2966.6551128747496</v>
      </c>
      <c r="CL84" s="802">
        <f>SUM(CH84:CK84)</f>
        <v>11596.890323531967</v>
      </c>
      <c r="CM84" s="76">
        <f>CM82+CM83</f>
        <v>2905.4707886297592</v>
      </c>
      <c r="CN84" s="76">
        <f>CN82+CN83</f>
        <v>2777.3839031997045</v>
      </c>
      <c r="CO84" s="76">
        <f>CO82+CO83</f>
        <v>2782.3065462128648</v>
      </c>
      <c r="CP84" s="76">
        <f>CP82+CP83</f>
        <v>2806.3804351984995</v>
      </c>
      <c r="CQ84" s="802">
        <f>SUM(CM84:CP84)</f>
        <v>11271.541673240828</v>
      </c>
      <c r="CR84" s="76">
        <f>CR82+CR83</f>
        <v>2915.3516999762392</v>
      </c>
      <c r="CS84" s="76">
        <f>CS82+CS83</f>
        <v>3013.3684047299625</v>
      </c>
      <c r="CT84" s="76">
        <f>CT82+CT83</f>
        <v>3161.6641961155078</v>
      </c>
      <c r="CU84" s="76">
        <f>CU82+CU83</f>
        <v>3137.3107456883945</v>
      </c>
      <c r="CV84" s="802">
        <f>SUM(CR84:CU84)</f>
        <v>12227.695046510104</v>
      </c>
      <c r="CW84" s="76">
        <f>CW82+CW83</f>
        <v>3132.6991150033496</v>
      </c>
      <c r="CX84" s="76">
        <f>CX82+CX83</f>
        <v>3153.2887827973141</v>
      </c>
      <c r="CY84" s="76">
        <f>CY82+CY83</f>
        <v>3344.2413332674205</v>
      </c>
      <c r="CZ84" s="76">
        <f>CZ82+CZ83</f>
        <v>3297.369949177888</v>
      </c>
      <c r="DA84" s="802">
        <f>SUM(CW84:CZ84)</f>
        <v>12927.599180245972</v>
      </c>
      <c r="DB84" s="76">
        <f>DB82+DB83</f>
        <v>3299.1766286048692</v>
      </c>
      <c r="DC84" s="76">
        <f>DC82+DC83</f>
        <v>3310.3056596265433</v>
      </c>
      <c r="DD84" s="76">
        <f ca="1">DD82+DD83</f>
        <v>3469.4542958329807</v>
      </c>
      <c r="DE84" s="76">
        <f ca="1">DE82+DE83</f>
        <v>3484.6538618644472</v>
      </c>
      <c r="DF84" s="802">
        <f ca="1">SUM(DB84:DE84)</f>
        <v>13563.590445928839</v>
      </c>
      <c r="DG84" s="76">
        <f>DG82+DG83</f>
        <v>3461.3825473612233</v>
      </c>
      <c r="DH84" s="76">
        <f ca="1">DH82+DH83</f>
        <v>3459.9086110752523</v>
      </c>
      <c r="DI84" s="76">
        <f ca="1">DI82+DI83</f>
        <v>3555.3699073339385</v>
      </c>
      <c r="DJ84" s="76">
        <f ca="1">DJ82+DJ83</f>
        <v>3516.2904539103074</v>
      </c>
      <c r="DK84" s="807">
        <f ca="1">SUM(DG84:DJ84)</f>
        <v>13992.951519680722</v>
      </c>
      <c r="DL84" s="76">
        <f>DL82+DL83</f>
        <v>3480.5493727055009</v>
      </c>
      <c r="DM84" s="76">
        <f>DM82+DM83</f>
        <v>3582.2817930561519</v>
      </c>
      <c r="DN84" s="76">
        <f>DN82+DN83</f>
        <v>3775.1785161793068</v>
      </c>
      <c r="DO84" s="76">
        <f>DO82+DO83</f>
        <v>3750.5289016376319</v>
      </c>
      <c r="DP84" s="807">
        <f>SUM(DL84:DO84)</f>
        <v>14588.538583578591</v>
      </c>
      <c r="DQ84" s="76">
        <f>DQ82+DQ83</f>
        <v>3726.325097927559</v>
      </c>
      <c r="DR84" s="76">
        <f ca="1">DR82+DR83</f>
        <v>4003.2326389900145</v>
      </c>
      <c r="DS84" s="76">
        <f ca="1">DS82+DS83</f>
        <v>4230.5632560446811</v>
      </c>
      <c r="DT84" s="76">
        <f>DT82+DT83</f>
        <v>4081.9811019885983</v>
      </c>
      <c r="DU84" s="807">
        <f ca="1">SUM(DQ84:DT84)</f>
        <v>16042.102094950853</v>
      </c>
      <c r="DV84" s="76">
        <f>DV82+DV83</f>
        <v>4212.220059218238</v>
      </c>
      <c r="DW84" s="76">
        <f ca="1">DW82+DW83</f>
        <v>4161.4364626198185</v>
      </c>
      <c r="DX84" s="76">
        <f ca="1">DX82+DX83</f>
        <v>4374.4432573374916</v>
      </c>
      <c r="DY84" s="76">
        <f>DY82+DY83</f>
        <v>4235.423640514201</v>
      </c>
      <c r="DZ84" s="807">
        <f ca="1">SUM(DV84:DY84)</f>
        <v>16983.523419689747</v>
      </c>
      <c r="EA84" s="76">
        <f>EA82+EA83</f>
        <v>4381.157651294141</v>
      </c>
      <c r="EB84" s="76">
        <f ca="1">EB82+EB83</f>
        <v>4312.0948806374136</v>
      </c>
      <c r="EC84" s="76">
        <f ca="1">EC82+EC83</f>
        <v>4533.0008875173162</v>
      </c>
      <c r="ED84" s="76">
        <f>ED82+ED83</f>
        <v>4389.1348105729749</v>
      </c>
      <c r="EE84" s="807">
        <f ca="1">SUM(EA84:ED84)</f>
        <v>17615.388230021843</v>
      </c>
      <c r="EF84" s="2301">
        <f>DP84/DP194</f>
        <v>0.64114171502059381</v>
      </c>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row>
    <row r="85" spans="2:238" s="161" customFormat="1" ht="12.75" customHeight="1">
      <c r="B85" s="562"/>
      <c r="C85" s="62"/>
      <c r="D85" s="62"/>
      <c r="E85" s="62"/>
      <c r="F85" s="62"/>
      <c r="G85" s="73"/>
      <c r="H85" s="73"/>
      <c r="I85" s="73"/>
      <c r="J85" s="73"/>
      <c r="K85" s="140"/>
      <c r="L85" s="76"/>
      <c r="M85" s="76"/>
      <c r="N85" s="141"/>
      <c r="O85" s="73"/>
      <c r="P85" s="121"/>
      <c r="Q85" s="73"/>
      <c r="R85" s="73"/>
      <c r="S85" s="75"/>
      <c r="T85" s="73"/>
      <c r="U85" s="121"/>
      <c r="V85" s="73"/>
      <c r="W85" s="73"/>
      <c r="X85" s="75"/>
      <c r="Y85" s="64"/>
      <c r="Z85" s="121"/>
      <c r="AA85" s="73"/>
      <c r="AB85" s="73"/>
      <c r="AC85" s="75"/>
      <c r="AD85" s="64"/>
      <c r="AE85" s="121"/>
      <c r="AF85" s="73"/>
      <c r="AG85" s="73"/>
      <c r="AH85" s="75"/>
      <c r="AI85" s="64"/>
      <c r="AJ85" s="121"/>
      <c r="AK85" s="73"/>
      <c r="AL85" s="73"/>
      <c r="AM85" s="75"/>
      <c r="AN85" s="64"/>
      <c r="AO85" s="121"/>
      <c r="AP85" s="73"/>
      <c r="AQ85" s="73"/>
      <c r="AR85" s="75"/>
      <c r="AS85" s="64"/>
      <c r="AT85" s="121"/>
      <c r="AU85" s="73"/>
      <c r="AV85" s="73"/>
      <c r="AW85" s="75"/>
      <c r="AX85" s="64"/>
      <c r="AY85" s="121"/>
      <c r="AZ85" s="73"/>
      <c r="BA85" s="73"/>
      <c r="BB85" s="75"/>
      <c r="BC85" s="64"/>
      <c r="BD85" s="121"/>
      <c r="BE85" s="73"/>
      <c r="BF85" s="73"/>
      <c r="BG85" s="75"/>
      <c r="BH85" s="64"/>
      <c r="BI85" s="121"/>
      <c r="BJ85" s="73"/>
      <c r="BK85" s="73"/>
      <c r="BL85" s="75"/>
      <c r="BM85" s="64"/>
      <c r="BN85" s="121"/>
      <c r="BO85" s="73"/>
      <c r="BP85" s="73"/>
      <c r="BQ85" s="75"/>
      <c r="BR85" s="64"/>
      <c r="BS85" s="140"/>
      <c r="BT85" s="76"/>
      <c r="BU85" s="76"/>
      <c r="BV85" s="141"/>
      <c r="BW85" s="62"/>
      <c r="BX85" s="140"/>
      <c r="BY85" s="76"/>
      <c r="BZ85" s="76"/>
      <c r="CA85" s="141"/>
      <c r="CB85" s="62"/>
      <c r="CC85" s="140"/>
      <c r="CD85" s="76"/>
      <c r="CE85" s="76"/>
      <c r="CF85" s="76"/>
      <c r="CG85" s="802"/>
      <c r="CH85" s="76"/>
      <c r="CI85" s="76"/>
      <c r="CJ85" s="76"/>
      <c r="CK85" s="76"/>
      <c r="CL85" s="802"/>
      <c r="CM85" s="76"/>
      <c r="CN85" s="76"/>
      <c r="CO85" s="76"/>
      <c r="CP85" s="76"/>
      <c r="CQ85" s="802"/>
      <c r="CR85" s="76"/>
      <c r="CS85" s="76"/>
      <c r="CT85" s="76"/>
      <c r="CU85" s="124"/>
      <c r="CV85" s="802"/>
      <c r="CW85" s="127"/>
      <c r="CX85" s="76"/>
      <c r="CY85" s="76"/>
      <c r="CZ85" s="76"/>
      <c r="DA85" s="802"/>
      <c r="DB85" s="127"/>
      <c r="DC85" s="76"/>
      <c r="DD85" s="76"/>
      <c r="DE85" s="76"/>
      <c r="DF85" s="802"/>
      <c r="DG85" s="76"/>
      <c r="DH85" s="76"/>
      <c r="DI85" s="76"/>
      <c r="DJ85" s="76"/>
      <c r="DK85" s="807"/>
      <c r="DL85" s="76"/>
      <c r="DM85" s="76"/>
      <c r="DN85" s="76"/>
      <c r="DO85" s="76"/>
      <c r="DP85" s="807"/>
      <c r="DQ85" s="76"/>
      <c r="DR85" s="76"/>
      <c r="DS85" s="76"/>
      <c r="DT85" s="76"/>
      <c r="DU85" s="807"/>
      <c r="DV85" s="76"/>
      <c r="DW85" s="76"/>
      <c r="DX85" s="76"/>
      <c r="DY85" s="76"/>
      <c r="DZ85" s="807"/>
      <c r="EA85" s="76"/>
      <c r="EB85" s="76"/>
      <c r="EC85" s="76"/>
      <c r="ED85" s="76"/>
      <c r="EE85" s="807"/>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row>
    <row r="86" spans="2:238" s="161" customFormat="1" ht="12.75" customHeight="1">
      <c r="B86" s="558" t="s">
        <v>263</v>
      </c>
      <c r="C86" s="62"/>
      <c r="D86" s="62"/>
      <c r="E86" s="62"/>
      <c r="F86" s="62"/>
      <c r="G86" s="73"/>
      <c r="H86" s="73"/>
      <c r="I86" s="73"/>
      <c r="J86" s="73"/>
      <c r="K86" s="140"/>
      <c r="L86" s="76"/>
      <c r="M86" s="76"/>
      <c r="N86" s="141"/>
      <c r="O86" s="73"/>
      <c r="P86" s="121"/>
      <c r="Q86" s="73"/>
      <c r="R86" s="73"/>
      <c r="S86" s="75"/>
      <c r="T86" s="73"/>
      <c r="U86" s="121"/>
      <c r="V86" s="73"/>
      <c r="W86" s="73"/>
      <c r="X86" s="75"/>
      <c r="Y86" s="64"/>
      <c r="Z86" s="121"/>
      <c r="AA86" s="73"/>
      <c r="AB86" s="73"/>
      <c r="AC86" s="75"/>
      <c r="AD86" s="64"/>
      <c r="AE86" s="121"/>
      <c r="AF86" s="73"/>
      <c r="AG86" s="73"/>
      <c r="AH86" s="75"/>
      <c r="AI86" s="64"/>
      <c r="AJ86" s="121"/>
      <c r="AK86" s="73"/>
      <c r="AL86" s="73"/>
      <c r="AM86" s="75"/>
      <c r="AN86" s="64"/>
      <c r="AO86" s="121"/>
      <c r="AP86" s="73"/>
      <c r="AQ86" s="73"/>
      <c r="AR86" s="75"/>
      <c r="AS86" s="64"/>
      <c r="AT86" s="121"/>
      <c r="AU86" s="73"/>
      <c r="AV86" s="73"/>
      <c r="AW86" s="75"/>
      <c r="AX86" s="64"/>
      <c r="AY86" s="121"/>
      <c r="AZ86" s="73"/>
      <c r="BA86" s="73"/>
      <c r="BB86" s="75"/>
      <c r="BC86" s="64"/>
      <c r="BD86" s="121"/>
      <c r="BE86" s="73"/>
      <c r="BF86" s="73"/>
      <c r="BG86" s="75"/>
      <c r="BH86" s="64"/>
      <c r="BI86" s="121"/>
      <c r="BJ86" s="73"/>
      <c r="BK86" s="73"/>
      <c r="BL86" s="75"/>
      <c r="BM86" s="64"/>
      <c r="BN86" s="121"/>
      <c r="BO86" s="73"/>
      <c r="BP86" s="73"/>
      <c r="BQ86" s="75"/>
      <c r="BR86" s="64"/>
      <c r="BS86" s="140"/>
      <c r="BT86" s="76"/>
      <c r="BU86" s="76"/>
      <c r="BV86" s="141"/>
      <c r="BW86" s="62"/>
      <c r="BX86" s="140"/>
      <c r="BY86" s="76"/>
      <c r="BZ86" s="76"/>
      <c r="CA86" s="141"/>
      <c r="CB86" s="62"/>
      <c r="CC86" s="140"/>
      <c r="CD86" s="76"/>
      <c r="CE86" s="76"/>
      <c r="CF86" s="76"/>
      <c r="CG86" s="802"/>
      <c r="CH86" s="76"/>
      <c r="CI86" s="76"/>
      <c r="CJ86" s="76"/>
      <c r="CK86" s="76"/>
      <c r="CL86" s="802"/>
      <c r="CM86" s="76"/>
      <c r="CN86" s="76"/>
      <c r="CO86" s="76"/>
      <c r="CP86" s="76"/>
      <c r="CQ86" s="802"/>
      <c r="CR86" s="76"/>
      <c r="CS86" s="76"/>
      <c r="CT86" s="76"/>
      <c r="CU86" s="76"/>
      <c r="CV86" s="802"/>
      <c r="CW86" s="76"/>
      <c r="CX86" s="76"/>
      <c r="CY86" s="76"/>
      <c r="CZ86" s="76"/>
      <c r="DA86" s="802"/>
      <c r="DB86" s="76"/>
      <c r="DC86" s="76"/>
      <c r="DD86" s="76"/>
      <c r="DE86" s="76"/>
      <c r="DF86" s="802"/>
      <c r="DG86" s="76"/>
      <c r="DH86" s="76"/>
      <c r="DI86" s="76"/>
      <c r="DJ86" s="76"/>
      <c r="DK86" s="807"/>
      <c r="DL86" s="76"/>
      <c r="DM86" s="76"/>
      <c r="DN86" s="76"/>
      <c r="DO86" s="76"/>
      <c r="DP86" s="807"/>
      <c r="DQ86" s="76"/>
      <c r="DR86" s="76"/>
      <c r="DS86" s="76"/>
      <c r="DT86" s="76"/>
      <c r="DU86" s="807"/>
      <c r="DV86" s="76"/>
      <c r="DW86" s="76"/>
      <c r="DX86" s="76"/>
      <c r="DY86" s="76"/>
      <c r="DZ86" s="807"/>
      <c r="EA86" s="76"/>
      <c r="EB86" s="76"/>
      <c r="EC86" s="76"/>
      <c r="ED86" s="76"/>
      <c r="EE86" s="807"/>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row>
    <row r="87" spans="2:238" s="161" customFormat="1" ht="12.75" customHeight="1">
      <c r="B87" s="561" t="s">
        <v>161</v>
      </c>
      <c r="C87" s="62"/>
      <c r="D87" s="62"/>
      <c r="E87" s="62"/>
      <c r="F87" s="62"/>
      <c r="G87" s="73"/>
      <c r="H87" s="73"/>
      <c r="I87" s="73"/>
      <c r="J87" s="73"/>
      <c r="K87" s="140"/>
      <c r="L87" s="76"/>
      <c r="M87" s="76"/>
      <c r="N87" s="141"/>
      <c r="O87" s="73"/>
      <c r="P87" s="121"/>
      <c r="Q87" s="73"/>
      <c r="R87" s="73"/>
      <c r="S87" s="75"/>
      <c r="T87" s="73"/>
      <c r="U87" s="121"/>
      <c r="V87" s="73"/>
      <c r="W87" s="73"/>
      <c r="X87" s="75"/>
      <c r="Y87" s="64"/>
      <c r="Z87" s="121"/>
      <c r="AA87" s="73"/>
      <c r="AB87" s="73"/>
      <c r="AC87" s="75"/>
      <c r="AD87" s="64"/>
      <c r="AE87" s="121"/>
      <c r="AF87" s="73"/>
      <c r="AG87" s="73"/>
      <c r="AH87" s="75"/>
      <c r="AI87" s="64"/>
      <c r="AJ87" s="121"/>
      <c r="AK87" s="73"/>
      <c r="AL87" s="73"/>
      <c r="AM87" s="75"/>
      <c r="AN87" s="64"/>
      <c r="AO87" s="121"/>
      <c r="AP87" s="73"/>
      <c r="AQ87" s="73"/>
      <c r="AR87" s="75"/>
      <c r="AS87" s="64"/>
      <c r="AT87" s="121"/>
      <c r="AU87" s="73"/>
      <c r="AV87" s="73"/>
      <c r="AW87" s="75"/>
      <c r="AX87" s="64"/>
      <c r="AY87" s="121"/>
      <c r="AZ87" s="73"/>
      <c r="BA87" s="73"/>
      <c r="BB87" s="75"/>
      <c r="BC87" s="64"/>
      <c r="BD87" s="121"/>
      <c r="BE87" s="73"/>
      <c r="BF87" s="73"/>
      <c r="BG87" s="75"/>
      <c r="BH87" s="64"/>
      <c r="BI87" s="121"/>
      <c r="BJ87" s="73"/>
      <c r="BK87" s="73"/>
      <c r="BL87" s="75"/>
      <c r="BM87" s="64"/>
      <c r="BN87" s="121"/>
      <c r="BO87" s="73"/>
      <c r="BP87" s="73"/>
      <c r="BQ87" s="75"/>
      <c r="BR87" s="64"/>
      <c r="BS87" s="140">
        <f t="shared" ref="BS87:BV88" si="163">BS82</f>
        <v>1775.447883</v>
      </c>
      <c r="BT87" s="76">
        <f t="shared" si="163"/>
        <v>1894.3497540000001</v>
      </c>
      <c r="BU87" s="76">
        <f t="shared" si="163"/>
        <v>1912.5150000000001</v>
      </c>
      <c r="BV87" s="141">
        <f t="shared" si="163"/>
        <v>1860.2535600000001</v>
      </c>
      <c r="BW87" s="62">
        <f>SUM(BS87:BV87)</f>
        <v>7442.5661970000001</v>
      </c>
      <c r="BX87" s="140">
        <f t="shared" ref="BX87:CA88" si="164">BX82</f>
        <v>1941.0600000000002</v>
      </c>
      <c r="BY87" s="76">
        <f t="shared" si="164"/>
        <v>2087.32458</v>
      </c>
      <c r="BZ87" s="76">
        <f t="shared" si="164"/>
        <v>2140.3496400000004</v>
      </c>
      <c r="CA87" s="141">
        <f t="shared" si="164"/>
        <v>2136.6795449999995</v>
      </c>
      <c r="CB87" s="62">
        <f>SUM(BX87:CA87)</f>
        <v>8305.4137649999993</v>
      </c>
      <c r="CC87" s="140">
        <f t="shared" ref="CC87:CF88" si="165">CC82</f>
        <v>2214.7078799999999</v>
      </c>
      <c r="CD87" s="76">
        <f t="shared" si="165"/>
        <v>2192.7743006399996</v>
      </c>
      <c r="CE87" s="76">
        <f t="shared" si="165"/>
        <v>2272.5042912000004</v>
      </c>
      <c r="CF87" s="76">
        <f t="shared" si="165"/>
        <v>2355.4059143999993</v>
      </c>
      <c r="CG87" s="802">
        <f>SUM(CC87:CF87)</f>
        <v>9035.3923862400006</v>
      </c>
      <c r="CH87" s="140">
        <f t="shared" ref="CH87:CK88" si="166">CH82</f>
        <v>2416.5853172999996</v>
      </c>
      <c r="CI87" s="76">
        <f t="shared" si="166"/>
        <v>2407.4785008852186</v>
      </c>
      <c r="CJ87" s="76">
        <f t="shared" si="166"/>
        <v>2508.0003748800004</v>
      </c>
      <c r="CK87" s="76">
        <f t="shared" si="166"/>
        <v>2563.7332402027496</v>
      </c>
      <c r="CL87" s="802">
        <f>SUM(CH87:CK87)</f>
        <v>9895.7974332679678</v>
      </c>
      <c r="CM87" s="140">
        <f t="shared" ref="CM87:CP88" si="167">CM82</f>
        <v>2480.2944143577593</v>
      </c>
      <c r="CN87" s="76">
        <f t="shared" si="167"/>
        <v>2421.6804780854645</v>
      </c>
      <c r="CO87" s="76">
        <f t="shared" si="167"/>
        <v>2448.2476845066249</v>
      </c>
      <c r="CP87" s="76">
        <f t="shared" si="167"/>
        <v>2511.9616214384996</v>
      </c>
      <c r="CQ87" s="802">
        <f>SUM(CM87:CP87)</f>
        <v>9862.1841983883496</v>
      </c>
      <c r="CR87" s="76">
        <f t="shared" ref="CR87:CU88" si="168">CR147*CR36</f>
        <v>2533.779726926783</v>
      </c>
      <c r="CS87" s="76">
        <f t="shared" si="168"/>
        <v>2651.6130924017266</v>
      </c>
      <c r="CT87" s="76">
        <f t="shared" si="168"/>
        <v>2813.7856592750022</v>
      </c>
      <c r="CU87" s="76">
        <f t="shared" si="168"/>
        <v>2831.5764196432929</v>
      </c>
      <c r="CV87" s="802">
        <f>SUM(CR87:CU87)</f>
        <v>10830.754898246805</v>
      </c>
      <c r="CW87" s="76">
        <f t="shared" ref="CW87:CZ88" si="169">CW147*CW36</f>
        <v>2695.0814790266363</v>
      </c>
      <c r="CX87" s="76">
        <f>CX147*CX36</f>
        <v>2778.3123966044991</v>
      </c>
      <c r="CY87" s="76">
        <f>CY147*CY36</f>
        <v>2973.8036289584938</v>
      </c>
      <c r="CZ87" s="76">
        <f t="shared" si="169"/>
        <v>2992.6705130472656</v>
      </c>
      <c r="DA87" s="802">
        <f>SUM(CW87:CZ87)</f>
        <v>11439.868017636894</v>
      </c>
      <c r="DB87" s="76">
        <f t="shared" ref="DB87:DE88" si="170">DB147*DB36</f>
        <v>2894.3206615595327</v>
      </c>
      <c r="DC87" s="76">
        <f t="shared" si="170"/>
        <v>2932.0147209313773</v>
      </c>
      <c r="DD87" s="76">
        <f t="shared" si="170"/>
        <v>3073.8974705213532</v>
      </c>
      <c r="DE87" s="76">
        <f t="shared" si="170"/>
        <v>3138.5221888489314</v>
      </c>
      <c r="DF87" s="802">
        <f>SUM(DB87:DE87)</f>
        <v>12038.755041861194</v>
      </c>
      <c r="DG87" s="76">
        <f t="shared" ref="DG87:DH87" si="171">DG147*DG36</f>
        <v>3105.6943710571281</v>
      </c>
      <c r="DH87" s="76">
        <f t="shared" si="171"/>
        <v>3130.5871630655506</v>
      </c>
      <c r="DI87" s="76">
        <f t="shared" ref="DI87:DJ87" si="172">DI147*DI36</f>
        <v>3215.7288392936839</v>
      </c>
      <c r="DJ87" s="76">
        <f t="shared" si="172"/>
        <v>3230.7289338745345</v>
      </c>
      <c r="DK87" s="807">
        <f>SUM(DG87:DJ87)</f>
        <v>12682.739307290896</v>
      </c>
      <c r="DL87" s="76">
        <f t="shared" ref="DL87:DM87" si="173">DL147*DL36</f>
        <v>3137.7393056835049</v>
      </c>
      <c r="DM87" s="76">
        <f t="shared" si="173"/>
        <v>3255.7660800332478</v>
      </c>
      <c r="DN87" s="76">
        <f t="shared" ref="DN87:DO87" si="174">DN147*DN36</f>
        <v>3430.0221847218281</v>
      </c>
      <c r="DO87" s="76">
        <f t="shared" si="174"/>
        <v>3459.3971882752612</v>
      </c>
      <c r="DP87" s="807">
        <f>SUM(DL87:DO87)</f>
        <v>13282.924758713843</v>
      </c>
      <c r="DQ87" s="76">
        <f t="shared" ref="DQ87" si="175">DQ147*DQ36</f>
        <v>3375.2755505537161</v>
      </c>
      <c r="DR87" s="76">
        <f t="shared" ref="DR87:DT88" ca="1" si="176">DR147*DR36</f>
        <v>3654.5641469309789</v>
      </c>
      <c r="DS87" s="76">
        <f t="shared" ca="1" si="176"/>
        <v>3842.9407884210991</v>
      </c>
      <c r="DT87" s="76">
        <f t="shared" si="176"/>
        <v>3752.0258425646216</v>
      </c>
      <c r="DU87" s="807">
        <f ca="1">SUM(DQ87:DT87)</f>
        <v>14624.806328470415</v>
      </c>
      <c r="DV87" s="76">
        <f t="shared" ref="DV87:DY87" si="177">DV147*DV36</f>
        <v>3811.8708302227419</v>
      </c>
      <c r="DW87" s="76">
        <f t="shared" ca="1" si="177"/>
        <v>3793.3315907010101</v>
      </c>
      <c r="DX87" s="76">
        <f t="shared" ca="1" si="177"/>
        <v>3988.6882033876709</v>
      </c>
      <c r="DY87" s="76">
        <f t="shared" si="177"/>
        <v>3894.5862563554447</v>
      </c>
      <c r="DZ87" s="807">
        <f ca="1">SUM(DV87:DY87)</f>
        <v>15488.476880666865</v>
      </c>
      <c r="EA87" s="76">
        <f t="shared" ref="EA87:ED87" si="178">EA147*EA36</f>
        <v>3949.1418307889844</v>
      </c>
      <c r="EB87" s="76">
        <f t="shared" ca="1" si="178"/>
        <v>3935.6896210078048</v>
      </c>
      <c r="EC87" s="76">
        <f t="shared" ca="1" si="178"/>
        <v>4144.8032594813239</v>
      </c>
      <c r="ED87" s="76">
        <f t="shared" si="178"/>
        <v>4052.6437430849578</v>
      </c>
      <c r="EE87" s="807">
        <f ca="1">SUM(EA87:ED87)</f>
        <v>16082.278454363071</v>
      </c>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row>
    <row r="88" spans="2:238" s="161" customFormat="1" ht="12.75" customHeight="1">
      <c r="B88" s="623" t="s">
        <v>162</v>
      </c>
      <c r="C88" s="964"/>
      <c r="D88" s="964"/>
      <c r="E88" s="964"/>
      <c r="F88" s="964"/>
      <c r="G88" s="269"/>
      <c r="H88" s="269"/>
      <c r="I88" s="269"/>
      <c r="J88" s="269"/>
      <c r="K88" s="741"/>
      <c r="L88" s="283"/>
      <c r="M88" s="283"/>
      <c r="N88" s="740"/>
      <c r="O88" s="269"/>
      <c r="P88" s="436"/>
      <c r="Q88" s="269"/>
      <c r="R88" s="269"/>
      <c r="S88" s="437"/>
      <c r="T88" s="269"/>
      <c r="U88" s="436"/>
      <c r="V88" s="269"/>
      <c r="W88" s="269"/>
      <c r="X88" s="437"/>
      <c r="Y88" s="270"/>
      <c r="Z88" s="436"/>
      <c r="AA88" s="269"/>
      <c r="AB88" s="269"/>
      <c r="AC88" s="437"/>
      <c r="AD88" s="270"/>
      <c r="AE88" s="436"/>
      <c r="AF88" s="269"/>
      <c r="AG88" s="269"/>
      <c r="AH88" s="437"/>
      <c r="AI88" s="270"/>
      <c r="AJ88" s="436"/>
      <c r="AK88" s="269"/>
      <c r="AL88" s="269"/>
      <c r="AM88" s="437"/>
      <c r="AN88" s="270"/>
      <c r="AO88" s="436"/>
      <c r="AP88" s="269"/>
      <c r="AQ88" s="269"/>
      <c r="AR88" s="437"/>
      <c r="AS88" s="270"/>
      <c r="AT88" s="436"/>
      <c r="AU88" s="269"/>
      <c r="AV88" s="269"/>
      <c r="AW88" s="437"/>
      <c r="AX88" s="270"/>
      <c r="AY88" s="436"/>
      <c r="AZ88" s="269"/>
      <c r="BA88" s="269"/>
      <c r="BB88" s="437"/>
      <c r="BC88" s="270"/>
      <c r="BD88" s="436"/>
      <c r="BE88" s="269"/>
      <c r="BF88" s="269"/>
      <c r="BG88" s="437"/>
      <c r="BH88" s="270"/>
      <c r="BI88" s="436"/>
      <c r="BJ88" s="269"/>
      <c r="BK88" s="269"/>
      <c r="BL88" s="437"/>
      <c r="BM88" s="270"/>
      <c r="BN88" s="436"/>
      <c r="BO88" s="269"/>
      <c r="BP88" s="269"/>
      <c r="BQ88" s="437"/>
      <c r="BR88" s="270"/>
      <c r="BS88" s="741">
        <f t="shared" si="163"/>
        <v>465.56078400000001</v>
      </c>
      <c r="BT88" s="283">
        <f t="shared" si="163"/>
        <v>460.61539199999993</v>
      </c>
      <c r="BU88" s="283">
        <f t="shared" si="163"/>
        <v>456.71999999999991</v>
      </c>
      <c r="BV88" s="740">
        <f t="shared" si="163"/>
        <v>424.44287999999995</v>
      </c>
      <c r="BW88" s="964">
        <f>SUM(BS88:BV88)</f>
        <v>1807.3390559999998</v>
      </c>
      <c r="BX88" s="741">
        <f t="shared" si="164"/>
        <v>447.30879999999991</v>
      </c>
      <c r="BY88" s="283">
        <f t="shared" si="164"/>
        <v>450.44384000000002</v>
      </c>
      <c r="BZ88" s="283">
        <f t="shared" si="164"/>
        <v>459.33184000000011</v>
      </c>
      <c r="CA88" s="740">
        <f t="shared" si="164"/>
        <v>439.69744000000003</v>
      </c>
      <c r="CB88" s="964">
        <f>SUM(BX88:CA88)</f>
        <v>1796.7819199999999</v>
      </c>
      <c r="CC88" s="741">
        <f t="shared" si="165"/>
        <v>465.4593888</v>
      </c>
      <c r="CD88" s="283">
        <f t="shared" si="165"/>
        <v>437.15773440000009</v>
      </c>
      <c r="CE88" s="283">
        <f t="shared" si="165"/>
        <v>441.12388320000002</v>
      </c>
      <c r="CF88" s="283">
        <f t="shared" si="165"/>
        <v>417.96353280000005</v>
      </c>
      <c r="CG88" s="1111">
        <f>SUM(CC88:CF88)</f>
        <v>1761.7045392</v>
      </c>
      <c r="CH88" s="741">
        <f t="shared" si="166"/>
        <v>436.22120099200004</v>
      </c>
      <c r="CI88" s="283">
        <f t="shared" si="166"/>
        <v>427.49249092000002</v>
      </c>
      <c r="CJ88" s="283">
        <f t="shared" si="166"/>
        <v>434.45732568000005</v>
      </c>
      <c r="CK88" s="283">
        <f t="shared" si="166"/>
        <v>402.92187267199984</v>
      </c>
      <c r="CL88" s="1111">
        <f>SUM(CH88:CK88)</f>
        <v>1701.0928902640001</v>
      </c>
      <c r="CM88" s="741">
        <f t="shared" si="167"/>
        <v>425.17637427199998</v>
      </c>
      <c r="CN88" s="283">
        <f t="shared" si="167"/>
        <v>355.70342511424008</v>
      </c>
      <c r="CO88" s="283">
        <f t="shared" si="167"/>
        <v>334.0588617062399</v>
      </c>
      <c r="CP88" s="283">
        <f t="shared" si="167"/>
        <v>294.41881375999992</v>
      </c>
      <c r="CQ88" s="1111">
        <f>SUM(CM88:CP88)</f>
        <v>1409.3574748524798</v>
      </c>
      <c r="CR88" s="283">
        <f t="shared" si="168"/>
        <v>380.19266270462856</v>
      </c>
      <c r="CS88" s="283">
        <f t="shared" si="168"/>
        <v>344.51393301789119</v>
      </c>
      <c r="CT88" s="283">
        <f t="shared" si="168"/>
        <v>328.56819201291955</v>
      </c>
      <c r="CU88" s="283">
        <f t="shared" si="168"/>
        <v>282.06536052786015</v>
      </c>
      <c r="CV88" s="1111">
        <f>SUM(CR88:CU88)</f>
        <v>1335.3401482632994</v>
      </c>
      <c r="CW88" s="283">
        <f t="shared" si="169"/>
        <v>396.75534026013764</v>
      </c>
      <c r="CX88" s="283">
        <f>CX148*CX37</f>
        <v>325.71249696441981</v>
      </c>
      <c r="CY88" s="283">
        <f>CY148*CY37</f>
        <v>320.41003385218448</v>
      </c>
      <c r="CZ88" s="283">
        <f t="shared" si="169"/>
        <v>273.00259153233566</v>
      </c>
      <c r="DA88" s="1111">
        <f>SUM(CW88:CZ88)</f>
        <v>1315.8804626090775</v>
      </c>
      <c r="DB88" s="283">
        <f t="shared" si="170"/>
        <v>362.83658242995165</v>
      </c>
      <c r="DC88" s="283">
        <f t="shared" si="170"/>
        <v>327.26740023362743</v>
      </c>
      <c r="DD88" s="283">
        <f t="shared" si="170"/>
        <v>337.35682531162763</v>
      </c>
      <c r="DE88" s="283">
        <f t="shared" si="170"/>
        <v>287.93167301551603</v>
      </c>
      <c r="DF88" s="1111">
        <f>SUM(DB88:DE88)</f>
        <v>1315.3924809907226</v>
      </c>
      <c r="DG88" s="283">
        <f t="shared" ref="DG88:DH88" si="179">DG148*DG37</f>
        <v>355.68817630409507</v>
      </c>
      <c r="DH88" s="283">
        <f t="shared" si="179"/>
        <v>329.3214480097015</v>
      </c>
      <c r="DI88" s="283">
        <f t="shared" ref="DI88:DJ88" si="180">DI148*DI37</f>
        <v>339.64106804025448</v>
      </c>
      <c r="DJ88" s="283">
        <f t="shared" si="180"/>
        <v>285.5615200357729</v>
      </c>
      <c r="DK88" s="1379">
        <f>SUM(DG88:DJ88)</f>
        <v>1310.2122123898239</v>
      </c>
      <c r="DL88" s="283">
        <f t="shared" ref="DL88:DM88" si="181">DL148*DL37</f>
        <v>342.81006702199619</v>
      </c>
      <c r="DM88" s="283">
        <f t="shared" si="181"/>
        <v>326.51571302290409</v>
      </c>
      <c r="DN88" s="283">
        <f t="shared" ref="DN88:DO88" si="182">DN148*DN37</f>
        <v>345.15633145747853</v>
      </c>
      <c r="DO88" s="283">
        <f t="shared" si="182"/>
        <v>291.13171336237082</v>
      </c>
      <c r="DP88" s="1379">
        <f>SUM(DL88:DO88)</f>
        <v>1305.6138248647496</v>
      </c>
      <c r="DQ88" s="283">
        <f t="shared" ref="DQ88" si="183">DQ148*DQ37</f>
        <v>351.0495473738427</v>
      </c>
      <c r="DR88" s="283">
        <f t="shared" ca="1" si="176"/>
        <v>348.66849205903571</v>
      </c>
      <c r="DS88" s="283">
        <f t="shared" ca="1" si="176"/>
        <v>367.62246762358234</v>
      </c>
      <c r="DT88" s="283">
        <f t="shared" si="176"/>
        <v>299.9552594239766</v>
      </c>
      <c r="DU88" s="1379">
        <f ca="1">SUM(DQ88:DT88)</f>
        <v>1367.2957664804376</v>
      </c>
      <c r="DV88" s="283">
        <f t="shared" ref="DV88:DY88" si="184">DV148*DV37</f>
        <v>365.34922899549599</v>
      </c>
      <c r="DW88" s="283">
        <f t="shared" ca="1" si="184"/>
        <v>333.10487191880867</v>
      </c>
      <c r="DX88" s="283">
        <f t="shared" ca="1" si="184"/>
        <v>350.75505394982105</v>
      </c>
      <c r="DY88" s="283">
        <f t="shared" si="184"/>
        <v>285.83738415875609</v>
      </c>
      <c r="DZ88" s="1379">
        <f ca="1">SUM(DV88:DY88)</f>
        <v>1335.0465390228819</v>
      </c>
      <c r="EA88" s="283">
        <f t="shared" ref="EA88:ED88" si="185">EA148*EA37</f>
        <v>347.01582050515685</v>
      </c>
      <c r="EB88" s="283">
        <f t="shared" ca="1" si="185"/>
        <v>316.40525962960862</v>
      </c>
      <c r="EC88" s="283">
        <f t="shared" ca="1" si="185"/>
        <v>333.19762803599247</v>
      </c>
      <c r="ED88" s="283">
        <f t="shared" si="185"/>
        <v>271.49106748801671</v>
      </c>
      <c r="EE88" s="1379">
        <f ca="1">SUM(EA88:ED88)</f>
        <v>1268.1097756587747</v>
      </c>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row>
    <row r="89" spans="2:238" s="150" customFormat="1" ht="12.75" customHeight="1">
      <c r="B89" s="562" t="s">
        <v>392</v>
      </c>
      <c r="C89" s="130"/>
      <c r="D89" s="130"/>
      <c r="E89" s="131"/>
      <c r="F89" s="62">
        <f>F84</f>
        <v>790.72868736000009</v>
      </c>
      <c r="G89" s="73">
        <f>G84</f>
        <v>871.28145416000007</v>
      </c>
      <c r="H89" s="73">
        <f>H84</f>
        <v>982.27495280000005</v>
      </c>
      <c r="I89" s="73">
        <f>I84</f>
        <v>1156.7364043679997</v>
      </c>
      <c r="J89" s="73">
        <f>J84</f>
        <v>1357.9529708639998</v>
      </c>
      <c r="K89" s="140"/>
      <c r="L89" s="76"/>
      <c r="M89" s="76"/>
      <c r="N89" s="141"/>
      <c r="O89" s="73">
        <f t="shared" ref="O89:BQ89" si="186">O84</f>
        <v>958.29127487999995</v>
      </c>
      <c r="P89" s="121">
        <f t="shared" si="186"/>
        <v>396.39702860999989</v>
      </c>
      <c r="Q89" s="73">
        <f t="shared" si="186"/>
        <v>438.56761299999994</v>
      </c>
      <c r="R89" s="73">
        <f t="shared" si="186"/>
        <v>374.80449173999995</v>
      </c>
      <c r="S89" s="75">
        <f t="shared" si="186"/>
        <v>436.95090420899999</v>
      </c>
      <c r="T89" s="73">
        <f>SUM(P89:S89)</f>
        <v>1646.7200375589996</v>
      </c>
      <c r="U89" s="121">
        <f t="shared" si="186"/>
        <v>454.98430119999995</v>
      </c>
      <c r="V89" s="73">
        <f t="shared" si="186"/>
        <v>473.12868773099996</v>
      </c>
      <c r="W89" s="73">
        <f t="shared" si="186"/>
        <v>505.05912976600007</v>
      </c>
      <c r="X89" s="75">
        <f t="shared" si="186"/>
        <v>493.53017536800002</v>
      </c>
      <c r="Y89" s="73">
        <f>SUM(U89:X89)</f>
        <v>1926.7022940649999</v>
      </c>
      <c r="Z89" s="121">
        <f t="shared" si="186"/>
        <v>524.72427520000008</v>
      </c>
      <c r="AA89" s="73">
        <f t="shared" si="186"/>
        <v>568.84803899999997</v>
      </c>
      <c r="AB89" s="73">
        <f t="shared" si="186"/>
        <v>603.31611600000008</v>
      </c>
      <c r="AC89" s="75">
        <f t="shared" si="186"/>
        <v>596.85680000000002</v>
      </c>
      <c r="AD89" s="73">
        <f>SUM(Z89:AC89)</f>
        <v>2293.7452302000002</v>
      </c>
      <c r="AE89" s="121">
        <f t="shared" si="186"/>
        <v>618.60739999999998</v>
      </c>
      <c r="AF89" s="73">
        <f t="shared" si="186"/>
        <v>679.61892239999997</v>
      </c>
      <c r="AG89" s="73">
        <f t="shared" si="186"/>
        <v>708.63831300000004</v>
      </c>
      <c r="AH89" s="75">
        <f t="shared" si="186"/>
        <v>711.6617207999999</v>
      </c>
      <c r="AI89" s="73">
        <f>SUM(AE89:AH89)</f>
        <v>2718.5263561999996</v>
      </c>
      <c r="AJ89" s="121">
        <f t="shared" si="186"/>
        <v>726.16923499999984</v>
      </c>
      <c r="AK89" s="73">
        <f t="shared" si="186"/>
        <v>785.05763999999999</v>
      </c>
      <c r="AL89" s="73">
        <f t="shared" si="186"/>
        <v>805.03988199999992</v>
      </c>
      <c r="AM89" s="75">
        <f t="shared" si="186"/>
        <v>806.52847359999998</v>
      </c>
      <c r="AN89" s="73">
        <f>SUM(AJ89:AM89)</f>
        <v>3122.7952305999997</v>
      </c>
      <c r="AO89" s="121">
        <f t="shared" si="186"/>
        <v>827.31242759999998</v>
      </c>
      <c r="AP89" s="73">
        <f t="shared" si="186"/>
        <v>907.0140624999998</v>
      </c>
      <c r="AQ89" s="73">
        <f t="shared" si="186"/>
        <v>970.14460959999997</v>
      </c>
      <c r="AR89" s="75">
        <f t="shared" si="186"/>
        <v>996.09872999999993</v>
      </c>
      <c r="AS89" s="73">
        <f>SUM(AO89:AR89)</f>
        <v>3700.5698296999999</v>
      </c>
      <c r="AT89" s="121">
        <f t="shared" si="186"/>
        <v>1067.7768000000001</v>
      </c>
      <c r="AU89" s="73">
        <f t="shared" si="186"/>
        <v>1156.25270845</v>
      </c>
      <c r="AV89" s="73">
        <f t="shared" si="186"/>
        <v>1176.3826799999999</v>
      </c>
      <c r="AW89" s="75">
        <f t="shared" si="186"/>
        <v>1176.9099699999999</v>
      </c>
      <c r="AX89" s="73">
        <f>SUM(AT89:AW89)</f>
        <v>4577.3221584499997</v>
      </c>
      <c r="AY89" s="121">
        <f t="shared" si="186"/>
        <v>1266</v>
      </c>
      <c r="AZ89" s="73">
        <f t="shared" si="186"/>
        <v>1361.6550999999999</v>
      </c>
      <c r="BA89" s="73">
        <f t="shared" si="186"/>
        <v>1365.8815</v>
      </c>
      <c r="BB89" s="75">
        <f t="shared" si="186"/>
        <v>1412.1209999999999</v>
      </c>
      <c r="BC89" s="73">
        <f>SUM(AY89:BB89)</f>
        <v>5405.6575999999995</v>
      </c>
      <c r="BD89" s="121">
        <f t="shared" si="186"/>
        <v>1547.8748999999998</v>
      </c>
      <c r="BE89" s="73">
        <f t="shared" si="186"/>
        <v>1643.088213</v>
      </c>
      <c r="BF89" s="73">
        <f t="shared" si="186"/>
        <v>1618.5434999999998</v>
      </c>
      <c r="BG89" s="75">
        <f t="shared" si="186"/>
        <v>1639.8528000000001</v>
      </c>
      <c r="BH89" s="73">
        <f>SUM(BD89:BG89)</f>
        <v>6449.3594130000001</v>
      </c>
      <c r="BI89" s="121">
        <f t="shared" si="186"/>
        <v>1750.6821763859998</v>
      </c>
      <c r="BJ89" s="73">
        <f t="shared" si="186"/>
        <v>1843.8967662068558</v>
      </c>
      <c r="BK89" s="73">
        <f t="shared" si="186"/>
        <v>1919.5265279999996</v>
      </c>
      <c r="BL89" s="75">
        <f t="shared" si="186"/>
        <v>1985.0255913317935</v>
      </c>
      <c r="BM89" s="73">
        <f>SUM(BI89:BL89)</f>
        <v>7499.1310619246487</v>
      </c>
      <c r="BN89" s="121">
        <f t="shared" si="186"/>
        <v>2094.6628609054851</v>
      </c>
      <c r="BO89" s="73">
        <f t="shared" si="186"/>
        <v>2261.3744581447727</v>
      </c>
      <c r="BP89" s="73">
        <f t="shared" si="186"/>
        <v>2217.9799421688817</v>
      </c>
      <c r="BQ89" s="75">
        <f t="shared" si="186"/>
        <v>2084.2469793109672</v>
      </c>
      <c r="BR89" s="73">
        <f>SUM(BN89:BQ89)</f>
        <v>8658.2642405301067</v>
      </c>
      <c r="BS89" s="140">
        <f>BS87+BS88</f>
        <v>2241.0086670000001</v>
      </c>
      <c r="BT89" s="76">
        <f>BT87+BT88</f>
        <v>2354.965146</v>
      </c>
      <c r="BU89" s="76">
        <f>BU87+BU88</f>
        <v>2369.2350000000001</v>
      </c>
      <c r="BV89" s="141">
        <f>BV87+BV88</f>
        <v>2284.6964400000002</v>
      </c>
      <c r="BW89" s="62">
        <f>SUM(BS89:BV89)</f>
        <v>9249.9052530000008</v>
      </c>
      <c r="BX89" s="140">
        <f>BX87+BX88</f>
        <v>2388.3688000000002</v>
      </c>
      <c r="BY89" s="76">
        <f>BY87+BY88</f>
        <v>2537.7684199999999</v>
      </c>
      <c r="BZ89" s="76">
        <f>BZ87+BZ88</f>
        <v>2599.6814800000006</v>
      </c>
      <c r="CA89" s="141">
        <f>CA87+CA88</f>
        <v>2576.3769849999994</v>
      </c>
      <c r="CB89" s="62">
        <f>SUM(BX89:CA89)</f>
        <v>10102.195685000001</v>
      </c>
      <c r="CC89" s="140">
        <f>CC87+CC88</f>
        <v>2680.1672687999999</v>
      </c>
      <c r="CD89" s="76">
        <f>CD87+CD88</f>
        <v>2629.9320350399998</v>
      </c>
      <c r="CE89" s="76">
        <f>CE87+CE88</f>
        <v>2713.6281744000003</v>
      </c>
      <c r="CF89" s="76">
        <f>CF87+CF88</f>
        <v>2773.3694471999993</v>
      </c>
      <c r="CG89" s="802">
        <f>SUM(CC89:CF89)</f>
        <v>10797.096925439999</v>
      </c>
      <c r="CH89" s="140">
        <f>CH87+CH88</f>
        <v>2852.8065182919995</v>
      </c>
      <c r="CI89" s="76">
        <f>CI87+CI88</f>
        <v>2834.9709918052185</v>
      </c>
      <c r="CJ89" s="76">
        <f>CJ87+CJ88</f>
        <v>2942.4577005600004</v>
      </c>
      <c r="CK89" s="76">
        <f>CK87+CK88</f>
        <v>2966.6551128747496</v>
      </c>
      <c r="CL89" s="802">
        <f>SUM(CH89:CK89)</f>
        <v>11596.890323531967</v>
      </c>
      <c r="CM89" s="140">
        <f>CM87+CM88</f>
        <v>2905.4707886297592</v>
      </c>
      <c r="CN89" s="76">
        <f>CN87+CN88</f>
        <v>2777.3839031997045</v>
      </c>
      <c r="CO89" s="76">
        <f>CO87+CO88</f>
        <v>2782.3065462128648</v>
      </c>
      <c r="CP89" s="76">
        <f>CP87+CP88</f>
        <v>2806.3804351984995</v>
      </c>
      <c r="CQ89" s="802">
        <f>SUM(CM89:CP89)</f>
        <v>11271.541673240828</v>
      </c>
      <c r="CR89" s="140">
        <f>CR87+CR88</f>
        <v>2913.9723896314117</v>
      </c>
      <c r="CS89" s="76">
        <f>CS87+CS88</f>
        <v>2996.1270254196179</v>
      </c>
      <c r="CT89" s="76">
        <f>CT87+CT88</f>
        <v>3142.3538512879218</v>
      </c>
      <c r="CU89" s="76">
        <f>CU87+CU88</f>
        <v>3113.6417801711532</v>
      </c>
      <c r="CV89" s="802">
        <f>SUM(CR89:CU89)</f>
        <v>12166.095046510105</v>
      </c>
      <c r="CW89" s="1534">
        <f>CW87+CW88</f>
        <v>3091.8368192867738</v>
      </c>
      <c r="CX89" s="1535">
        <f>CX87+CX88</f>
        <v>3104.0248935689187</v>
      </c>
      <c r="CY89" s="1535">
        <f>CY87+CY88</f>
        <v>3294.2136628106782</v>
      </c>
      <c r="CZ89" s="76">
        <f>CZ87+CZ88</f>
        <v>3265.6731045796014</v>
      </c>
      <c r="DA89" s="802">
        <f>SUM(CW89:CZ89)</f>
        <v>12755.748480245973</v>
      </c>
      <c r="DB89" s="1534">
        <f>DB87+DB88</f>
        <v>3257.1572439894844</v>
      </c>
      <c r="DC89" s="76">
        <f>DC87+DC88</f>
        <v>3259.2821211650048</v>
      </c>
      <c r="DD89" s="76">
        <f>DD87+DD88</f>
        <v>3411.2542958329809</v>
      </c>
      <c r="DE89" s="76">
        <f>DE87+DE88</f>
        <v>3426.4538618644474</v>
      </c>
      <c r="DF89" s="802">
        <f>SUM(DB89:DE89)</f>
        <v>13354.147522851918</v>
      </c>
      <c r="DG89" s="76">
        <f>DG87+DG88</f>
        <v>3461.3825473612233</v>
      </c>
      <c r="DH89" s="76">
        <f>DH87+DH88</f>
        <v>3459.9086110752523</v>
      </c>
      <c r="DI89" s="76">
        <f>DI87+DI88</f>
        <v>3555.3699073339385</v>
      </c>
      <c r="DJ89" s="76">
        <f>DJ87+DJ88</f>
        <v>3516.2904539103074</v>
      </c>
      <c r="DK89" s="807">
        <f>SUM(DG89:DJ89)</f>
        <v>13992.951519680722</v>
      </c>
      <c r="DL89" s="76">
        <f>DL87+DL88</f>
        <v>3480.5493727055009</v>
      </c>
      <c r="DM89" s="76">
        <f>DM87+DM88</f>
        <v>3582.2817930561519</v>
      </c>
      <c r="DN89" s="76">
        <f>DN87+DN88</f>
        <v>3775.1785161793068</v>
      </c>
      <c r="DO89" s="76">
        <f>DO87+DO88</f>
        <v>3750.5289016376319</v>
      </c>
      <c r="DP89" s="807">
        <f>SUM(DL89:DO89)</f>
        <v>14588.538583578591</v>
      </c>
      <c r="DQ89" s="76">
        <f>DQ87+DQ88</f>
        <v>3726.325097927559</v>
      </c>
      <c r="DR89" s="76">
        <f ca="1">DR87+DR88</f>
        <v>4003.2326389900145</v>
      </c>
      <c r="DS89" s="76">
        <f ca="1">DS87+DS88</f>
        <v>4210.5632560446811</v>
      </c>
      <c r="DT89" s="76">
        <f>DT87+DT88</f>
        <v>4051.9811019885983</v>
      </c>
      <c r="DU89" s="807">
        <f ca="1">SUM(DQ89:DT89)</f>
        <v>15992.102094950853</v>
      </c>
      <c r="DV89" s="76">
        <f>DV87+DV88</f>
        <v>4177.220059218238</v>
      </c>
      <c r="DW89" s="76">
        <f ca="1">DW87+DW88</f>
        <v>4126.4364626198185</v>
      </c>
      <c r="DX89" s="76">
        <f ca="1">DX87+DX88</f>
        <v>4339.4432573374916</v>
      </c>
      <c r="DY89" s="76">
        <f>DY87+DY88</f>
        <v>4180.423640514201</v>
      </c>
      <c r="DZ89" s="807">
        <f ca="1">SUM(DV89:DY89)</f>
        <v>16823.523419689747</v>
      </c>
      <c r="EA89" s="76">
        <f>EA87+EA88</f>
        <v>4296.157651294141</v>
      </c>
      <c r="EB89" s="76">
        <f ca="1">EB87+EB88</f>
        <v>4252.0948806374136</v>
      </c>
      <c r="EC89" s="76">
        <f ca="1">EC87+EC88</f>
        <v>4478.0008875173162</v>
      </c>
      <c r="ED89" s="76">
        <f>ED87+ED88</f>
        <v>4324.1348105729749</v>
      </c>
      <c r="EE89" s="807">
        <f ca="1">SUM(EA89:ED89)</f>
        <v>17350.388230021843</v>
      </c>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row>
    <row r="90" spans="2:238" s="150" customFormat="1" ht="12.75" customHeight="1">
      <c r="B90" s="562"/>
      <c r="C90" s="130"/>
      <c r="D90" s="130"/>
      <c r="E90" s="131"/>
      <c r="F90" s="62"/>
      <c r="G90" s="73"/>
      <c r="H90" s="73"/>
      <c r="I90" s="73"/>
      <c r="J90" s="73"/>
      <c r="K90" s="140"/>
      <c r="L90" s="76"/>
      <c r="M90" s="76"/>
      <c r="N90" s="141"/>
      <c r="O90" s="73"/>
      <c r="P90" s="121"/>
      <c r="Q90" s="73"/>
      <c r="R90" s="73"/>
      <c r="S90" s="75"/>
      <c r="T90" s="73"/>
      <c r="U90" s="121"/>
      <c r="V90" s="73"/>
      <c r="W90" s="73"/>
      <c r="X90" s="75"/>
      <c r="Y90" s="73"/>
      <c r="Z90" s="121"/>
      <c r="AA90" s="73"/>
      <c r="AB90" s="73"/>
      <c r="AC90" s="75"/>
      <c r="AD90" s="73"/>
      <c r="AE90" s="121"/>
      <c r="AF90" s="73"/>
      <c r="AG90" s="73"/>
      <c r="AH90" s="75"/>
      <c r="AI90" s="73"/>
      <c r="AJ90" s="121"/>
      <c r="AK90" s="73"/>
      <c r="AL90" s="73"/>
      <c r="AM90" s="75"/>
      <c r="AN90" s="73"/>
      <c r="AO90" s="121"/>
      <c r="AP90" s="73"/>
      <c r="AQ90" s="73"/>
      <c r="AR90" s="75"/>
      <c r="AS90" s="73"/>
      <c r="AT90" s="121"/>
      <c r="AU90" s="73"/>
      <c r="AV90" s="73"/>
      <c r="AW90" s="75"/>
      <c r="AX90" s="73"/>
      <c r="AY90" s="121"/>
      <c r="AZ90" s="73"/>
      <c r="BA90" s="73"/>
      <c r="BB90" s="75"/>
      <c r="BC90" s="73"/>
      <c r="BD90" s="121"/>
      <c r="BE90" s="73"/>
      <c r="BF90" s="73"/>
      <c r="BG90" s="75"/>
      <c r="BH90" s="73"/>
      <c r="BI90" s="121"/>
      <c r="BJ90" s="73"/>
      <c r="BK90" s="73"/>
      <c r="BL90" s="75"/>
      <c r="BM90" s="73"/>
      <c r="BN90" s="121"/>
      <c r="BO90" s="73"/>
      <c r="BP90" s="73"/>
      <c r="BQ90" s="75"/>
      <c r="BR90" s="73"/>
      <c r="BS90" s="140"/>
      <c r="BT90" s="76"/>
      <c r="BU90" s="76"/>
      <c r="BV90" s="141"/>
      <c r="BW90" s="62"/>
      <c r="BX90" s="140"/>
      <c r="BY90" s="76"/>
      <c r="BZ90" s="76"/>
      <c r="CA90" s="141"/>
      <c r="CB90" s="62"/>
      <c r="CC90" s="140"/>
      <c r="CD90" s="76"/>
      <c r="CE90" s="76"/>
      <c r="CF90" s="76"/>
      <c r="CG90" s="802"/>
      <c r="CH90" s="76"/>
      <c r="CI90" s="76"/>
      <c r="CJ90" s="76"/>
      <c r="CK90" s="76"/>
      <c r="CL90" s="802"/>
      <c r="CM90" s="76"/>
      <c r="CN90" s="76"/>
      <c r="CO90" s="76"/>
      <c r="CP90" s="76"/>
      <c r="CQ90" s="802"/>
      <c r="CR90" s="76"/>
      <c r="CS90" s="76"/>
      <c r="CT90" s="76"/>
      <c r="CU90" s="76"/>
      <c r="CV90" s="802"/>
      <c r="CW90" s="1436"/>
      <c r="CX90" s="76"/>
      <c r="CY90" s="76"/>
      <c r="CZ90" s="76"/>
      <c r="DA90" s="802"/>
      <c r="DB90" s="76"/>
      <c r="DC90" s="76"/>
      <c r="DD90" s="76"/>
      <c r="DE90" s="76"/>
      <c r="DF90" s="802"/>
      <c r="DG90" s="76"/>
      <c r="DH90" s="76"/>
      <c r="DI90" s="76"/>
      <c r="DJ90" s="76"/>
      <c r="DK90" s="807"/>
      <c r="DL90" s="76"/>
      <c r="DM90" s="76"/>
      <c r="DN90" s="76"/>
      <c r="DO90" s="76"/>
      <c r="DP90" s="807"/>
      <c r="DQ90" s="76"/>
      <c r="DR90" s="76"/>
      <c r="DS90" s="76"/>
      <c r="DT90" s="76"/>
      <c r="DU90" s="807"/>
      <c r="DV90" s="76"/>
      <c r="DW90" s="76"/>
      <c r="DX90" s="76"/>
      <c r="DY90" s="76"/>
      <c r="DZ90" s="807"/>
      <c r="EA90" s="76"/>
      <c r="EB90" s="76"/>
      <c r="EC90" s="76"/>
      <c r="ED90" s="76"/>
      <c r="EE90" s="807"/>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row>
    <row r="91" spans="2:238" s="150" customFormat="1" ht="12.75" customHeight="1">
      <c r="B91" s="558" t="s">
        <v>264</v>
      </c>
      <c r="C91" s="130"/>
      <c r="D91" s="130"/>
      <c r="E91" s="131"/>
      <c r="F91" s="62"/>
      <c r="G91" s="73"/>
      <c r="H91" s="73"/>
      <c r="I91" s="73"/>
      <c r="J91" s="73"/>
      <c r="K91" s="140"/>
      <c r="L91" s="76"/>
      <c r="M91" s="76"/>
      <c r="N91" s="141"/>
      <c r="O91" s="73"/>
      <c r="P91" s="121"/>
      <c r="Q91" s="73"/>
      <c r="R91" s="73"/>
      <c r="S91" s="75"/>
      <c r="T91" s="73"/>
      <c r="U91" s="121"/>
      <c r="V91" s="73"/>
      <c r="W91" s="73"/>
      <c r="X91" s="75"/>
      <c r="Y91" s="73"/>
      <c r="Z91" s="121"/>
      <c r="AA91" s="73"/>
      <c r="AB91" s="73"/>
      <c r="AC91" s="75"/>
      <c r="AD91" s="73"/>
      <c r="AE91" s="121"/>
      <c r="AF91" s="73"/>
      <c r="AG91" s="73"/>
      <c r="AH91" s="75"/>
      <c r="AI91" s="73"/>
      <c r="AJ91" s="121"/>
      <c r="AK91" s="73"/>
      <c r="AL91" s="73"/>
      <c r="AM91" s="75"/>
      <c r="AN91" s="73"/>
      <c r="AO91" s="121"/>
      <c r="AP91" s="73"/>
      <c r="AQ91" s="73"/>
      <c r="AR91" s="75"/>
      <c r="AS91" s="73"/>
      <c r="AT91" s="121"/>
      <c r="AU91" s="73"/>
      <c r="AV91" s="73"/>
      <c r="AW91" s="75"/>
      <c r="AX91" s="73"/>
      <c r="AY91" s="121"/>
      <c r="AZ91" s="73"/>
      <c r="BA91" s="73"/>
      <c r="BB91" s="75"/>
      <c r="BC91" s="73"/>
      <c r="BD91" s="121"/>
      <c r="BE91" s="73"/>
      <c r="BF91" s="73"/>
      <c r="BG91" s="75"/>
      <c r="BH91" s="73"/>
      <c r="BI91" s="121"/>
      <c r="BJ91" s="73"/>
      <c r="BK91" s="73"/>
      <c r="BL91" s="75"/>
      <c r="BM91" s="73"/>
      <c r="BN91" s="121"/>
      <c r="BO91" s="73"/>
      <c r="BP91" s="73"/>
      <c r="BQ91" s="75"/>
      <c r="BR91" s="73"/>
      <c r="BS91" s="140"/>
      <c r="BT91" s="76"/>
      <c r="BU91" s="76"/>
      <c r="BV91" s="141"/>
      <c r="BW91" s="62"/>
      <c r="BX91" s="140"/>
      <c r="BY91" s="76"/>
      <c r="BZ91" s="76"/>
      <c r="CA91" s="141"/>
      <c r="CB91" s="62"/>
      <c r="CC91" s="140"/>
      <c r="CD91" s="76"/>
      <c r="CE91" s="76"/>
      <c r="CF91" s="76"/>
      <c r="CG91" s="802"/>
      <c r="CH91" s="76"/>
      <c r="CI91" s="76"/>
      <c r="CJ91" s="76"/>
      <c r="CK91" s="76"/>
      <c r="CL91" s="802"/>
      <c r="CM91" s="76"/>
      <c r="CN91" s="76"/>
      <c r="CO91" s="76"/>
      <c r="CP91" s="76"/>
      <c r="CQ91" s="802"/>
      <c r="CR91" s="76"/>
      <c r="CS91" s="76"/>
      <c r="CT91" s="76"/>
      <c r="CU91" s="76"/>
      <c r="CV91" s="802"/>
      <c r="CW91" s="1353"/>
      <c r="CX91" s="76"/>
      <c r="CY91" s="76"/>
      <c r="CZ91" s="76"/>
      <c r="DA91" s="802"/>
      <c r="DB91" s="76"/>
      <c r="DC91" s="76"/>
      <c r="DD91" s="76"/>
      <c r="DE91" s="76"/>
      <c r="DF91" s="802"/>
      <c r="DG91" s="76"/>
      <c r="DH91" s="76"/>
      <c r="DI91" s="76"/>
      <c r="DJ91" s="76"/>
      <c r="DK91" s="807"/>
      <c r="DL91" s="76"/>
      <c r="DM91" s="76"/>
      <c r="DN91" s="76"/>
      <c r="DO91" s="76"/>
      <c r="DP91" s="807"/>
      <c r="DQ91" s="76"/>
      <c r="DR91" s="76"/>
      <c r="DS91" s="76"/>
      <c r="DT91" s="76"/>
      <c r="DU91" s="807"/>
      <c r="DV91" s="76"/>
      <c r="DW91" s="76"/>
      <c r="DX91" s="76"/>
      <c r="DY91" s="76"/>
      <c r="DZ91" s="807"/>
      <c r="EA91" s="76"/>
      <c r="EB91" s="76"/>
      <c r="EC91" s="76"/>
      <c r="ED91" s="76"/>
      <c r="EE91" s="807"/>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row>
    <row r="92" spans="2:238" s="150" customFormat="1" ht="12.75" customHeight="1">
      <c r="B92" s="561" t="s">
        <v>161</v>
      </c>
      <c r="C92" s="130"/>
      <c r="D92" s="62"/>
      <c r="E92" s="62"/>
      <c r="F92" s="62"/>
      <c r="G92" s="73"/>
      <c r="H92" s="73"/>
      <c r="I92" s="73"/>
      <c r="J92" s="73"/>
      <c r="K92" s="140"/>
      <c r="L92" s="76"/>
      <c r="M92" s="76"/>
      <c r="N92" s="141"/>
      <c r="O92" s="73"/>
      <c r="P92" s="121"/>
      <c r="Q92" s="73"/>
      <c r="R92" s="73"/>
      <c r="S92" s="75"/>
      <c r="T92" s="73"/>
      <c r="U92" s="121"/>
      <c r="V92" s="73"/>
      <c r="W92" s="73"/>
      <c r="X92" s="75"/>
      <c r="Y92" s="64"/>
      <c r="Z92" s="121"/>
      <c r="AA92" s="73"/>
      <c r="AB92" s="73"/>
      <c r="AC92" s="75"/>
      <c r="AD92" s="64"/>
      <c r="AE92" s="121"/>
      <c r="AF92" s="73"/>
      <c r="AG92" s="73"/>
      <c r="AH92" s="75"/>
      <c r="AI92" s="64"/>
      <c r="AJ92" s="121"/>
      <c r="AK92" s="73"/>
      <c r="AL92" s="73"/>
      <c r="AM92" s="75"/>
      <c r="AN92" s="64"/>
      <c r="AO92" s="121"/>
      <c r="AP92" s="73"/>
      <c r="AQ92" s="73"/>
      <c r="AR92" s="75"/>
      <c r="AS92" s="64"/>
      <c r="AT92" s="121"/>
      <c r="AU92" s="73"/>
      <c r="AV92" s="73"/>
      <c r="AW92" s="75"/>
      <c r="AX92" s="64"/>
      <c r="AY92" s="121"/>
      <c r="AZ92" s="73"/>
      <c r="BA92" s="73"/>
      <c r="BB92" s="75"/>
      <c r="BC92" s="64"/>
      <c r="BD92" s="121"/>
      <c r="BE92" s="73"/>
      <c r="BF92" s="73"/>
      <c r="BG92" s="75"/>
      <c r="BH92" s="64"/>
      <c r="BI92" s="121"/>
      <c r="BJ92" s="73"/>
      <c r="BK92" s="73"/>
      <c r="BL92" s="75"/>
      <c r="BM92" s="64"/>
      <c r="BN92" s="121"/>
      <c r="BO92" s="73"/>
      <c r="BP92" s="73"/>
      <c r="BQ92" s="75"/>
      <c r="BR92" s="64"/>
      <c r="BS92" s="140"/>
      <c r="BT92" s="76"/>
      <c r="BU92" s="76"/>
      <c r="BV92" s="141"/>
      <c r="BW92" s="62"/>
      <c r="BX92" s="140"/>
      <c r="BY92" s="76"/>
      <c r="BZ92" s="76"/>
      <c r="CA92" s="141"/>
      <c r="CB92" s="62"/>
      <c r="CC92" s="140"/>
      <c r="CD92" s="76"/>
      <c r="CE92" s="76"/>
      <c r="CF92" s="76"/>
      <c r="CG92" s="802"/>
      <c r="CH92" s="140"/>
      <c r="CI92" s="76"/>
      <c r="CJ92" s="76"/>
      <c r="CK92" s="76"/>
      <c r="CL92" s="802"/>
      <c r="CM92" s="140"/>
      <c r="CN92" s="76"/>
      <c r="CO92" s="76"/>
      <c r="CP92" s="76"/>
      <c r="CQ92" s="802"/>
      <c r="CR92" s="192">
        <v>1.3793103448275863</v>
      </c>
      <c r="CS92" s="192">
        <v>17.241379310344829</v>
      </c>
      <c r="CT92" s="192">
        <v>19.310344827586206</v>
      </c>
      <c r="CU92" s="192">
        <v>23.668965517241382</v>
      </c>
      <c r="CV92" s="802">
        <f>SUM(CR92:CU92)</f>
        <v>61.6</v>
      </c>
      <c r="CW92" s="192">
        <v>40.862295716575886</v>
      </c>
      <c r="CX92" s="192">
        <v>49.263889228395236</v>
      </c>
      <c r="CY92" s="192">
        <v>50.02767045674242</v>
      </c>
      <c r="CZ92" s="1628">
        <v>31.696844598286447</v>
      </c>
      <c r="DA92" s="802">
        <f>SUM(CW92:CZ92)</f>
        <v>171.85069999999999</v>
      </c>
      <c r="DB92" s="192">
        <v>42.019384615384617</v>
      </c>
      <c r="DC92" s="1706">
        <v>51.023538461538465</v>
      </c>
      <c r="DD92" s="1706">
        <v>58.199999999999996</v>
      </c>
      <c r="DE92" s="1706">
        <v>58.199999999999996</v>
      </c>
      <c r="DF92" s="802">
        <f>SUM(DB92:DE92)</f>
        <v>209.44292307692305</v>
      </c>
      <c r="DG92" s="1706">
        <v>0</v>
      </c>
      <c r="DH92" s="1706">
        <v>0</v>
      </c>
      <c r="DI92" s="1706">
        <v>0</v>
      </c>
      <c r="DJ92" s="1706">
        <v>0</v>
      </c>
      <c r="DK92" s="1383">
        <f>SUM(DG92:DJ92)</f>
        <v>0</v>
      </c>
      <c r="DL92" s="1706">
        <v>0</v>
      </c>
      <c r="DM92" s="1706">
        <v>0</v>
      </c>
      <c r="DN92" s="1706">
        <v>0</v>
      </c>
      <c r="DO92" s="1706">
        <v>0</v>
      </c>
      <c r="DP92" s="1383">
        <f>SUM(DL92:DO92)</f>
        <v>0</v>
      </c>
      <c r="DQ92" s="1706">
        <v>0</v>
      </c>
      <c r="DR92" s="1203">
        <f>Scenarios!AP43</f>
        <v>0</v>
      </c>
      <c r="DS92" s="1203">
        <f>Scenarios!AQ43</f>
        <v>20</v>
      </c>
      <c r="DT92" s="1203">
        <f>Scenarios!AR43</f>
        <v>30</v>
      </c>
      <c r="DU92" s="1383">
        <f>SUM(DQ92:DT92)</f>
        <v>50</v>
      </c>
      <c r="DV92" s="1203">
        <f>Scenarios!AT43</f>
        <v>35</v>
      </c>
      <c r="DW92" s="1203">
        <f>Scenarios!AU43</f>
        <v>35</v>
      </c>
      <c r="DX92" s="1203">
        <f>Scenarios!AV43</f>
        <v>35</v>
      </c>
      <c r="DY92" s="1203">
        <f>Scenarios!AW43</f>
        <v>55</v>
      </c>
      <c r="DZ92" s="1383">
        <f>SUM(DV92:DY92)</f>
        <v>160</v>
      </c>
      <c r="EA92" s="1203">
        <f>Scenarios!AY43+25</f>
        <v>85</v>
      </c>
      <c r="EB92" s="1203">
        <f>Scenarios!AZ43</f>
        <v>60</v>
      </c>
      <c r="EC92" s="1203">
        <v>55</v>
      </c>
      <c r="ED92" s="1203">
        <v>65</v>
      </c>
      <c r="EE92" s="1383">
        <f>SUM(EA92:ED92)</f>
        <v>265</v>
      </c>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row>
    <row r="93" spans="2:238" s="150" customFormat="1" ht="12.75" customHeight="1">
      <c r="B93" s="623" t="s">
        <v>162</v>
      </c>
      <c r="C93" s="246"/>
      <c r="D93" s="964"/>
      <c r="E93" s="964"/>
      <c r="F93" s="964"/>
      <c r="G93" s="269"/>
      <c r="H93" s="269"/>
      <c r="I93" s="269"/>
      <c r="J93" s="269"/>
      <c r="K93" s="741"/>
      <c r="L93" s="283"/>
      <c r="M93" s="283"/>
      <c r="N93" s="740"/>
      <c r="O93" s="269"/>
      <c r="P93" s="436"/>
      <c r="Q93" s="269"/>
      <c r="R93" s="269"/>
      <c r="S93" s="437"/>
      <c r="T93" s="269"/>
      <c r="U93" s="436"/>
      <c r="V93" s="269"/>
      <c r="W93" s="269"/>
      <c r="X93" s="437"/>
      <c r="Y93" s="270"/>
      <c r="Z93" s="436"/>
      <c r="AA93" s="269"/>
      <c r="AB93" s="269"/>
      <c r="AC93" s="437"/>
      <c r="AD93" s="270"/>
      <c r="AE93" s="436"/>
      <c r="AF93" s="269"/>
      <c r="AG93" s="269"/>
      <c r="AH93" s="437"/>
      <c r="AI93" s="270"/>
      <c r="AJ93" s="436"/>
      <c r="AK93" s="269"/>
      <c r="AL93" s="269"/>
      <c r="AM93" s="437"/>
      <c r="AN93" s="270"/>
      <c r="AO93" s="436"/>
      <c r="AP93" s="269"/>
      <c r="AQ93" s="269"/>
      <c r="AR93" s="437"/>
      <c r="AS93" s="270"/>
      <c r="AT93" s="436"/>
      <c r="AU93" s="269"/>
      <c r="AV93" s="269"/>
      <c r="AW93" s="437"/>
      <c r="AX93" s="270"/>
      <c r="AY93" s="436"/>
      <c r="AZ93" s="269"/>
      <c r="BA93" s="269"/>
      <c r="BB93" s="437"/>
      <c r="BC93" s="270"/>
      <c r="BD93" s="436"/>
      <c r="BE93" s="269"/>
      <c r="BF93" s="269"/>
      <c r="BG93" s="437"/>
      <c r="BH93" s="270"/>
      <c r="BI93" s="436"/>
      <c r="BJ93" s="269"/>
      <c r="BK93" s="269"/>
      <c r="BL93" s="437"/>
      <c r="BM93" s="270"/>
      <c r="BN93" s="436"/>
      <c r="BO93" s="269"/>
      <c r="BP93" s="269"/>
      <c r="BQ93" s="437"/>
      <c r="BR93" s="270"/>
      <c r="BS93" s="741"/>
      <c r="BT93" s="283"/>
      <c r="BU93" s="283"/>
      <c r="BV93" s="740"/>
      <c r="BW93" s="964"/>
      <c r="BX93" s="741"/>
      <c r="BY93" s="283"/>
      <c r="BZ93" s="283"/>
      <c r="CA93" s="740"/>
      <c r="CB93" s="964"/>
      <c r="CC93" s="741"/>
      <c r="CD93" s="283"/>
      <c r="CE93" s="283"/>
      <c r="CF93" s="283"/>
      <c r="CG93" s="1111"/>
      <c r="CH93" s="741"/>
      <c r="CI93" s="283"/>
      <c r="CJ93" s="283"/>
      <c r="CK93" s="283"/>
      <c r="CL93" s="1111"/>
      <c r="CM93" s="741"/>
      <c r="CN93" s="283"/>
      <c r="CO93" s="283"/>
      <c r="CP93" s="283"/>
      <c r="CQ93" s="1111"/>
      <c r="CR93" s="1256">
        <v>0</v>
      </c>
      <c r="CS93" s="1256">
        <v>0</v>
      </c>
      <c r="CT93" s="1256">
        <v>0</v>
      </c>
      <c r="CU93" s="1256">
        <v>0</v>
      </c>
      <c r="CV93" s="1111">
        <f>SUM(CR93:CU93)</f>
        <v>0</v>
      </c>
      <c r="CW93" s="1256">
        <v>0</v>
      </c>
      <c r="CX93" s="1256">
        <v>0</v>
      </c>
      <c r="CY93" s="1256">
        <v>0</v>
      </c>
      <c r="CZ93" s="1629">
        <v>0</v>
      </c>
      <c r="DA93" s="1111">
        <f>SUM(CW93:CZ93)</f>
        <v>0</v>
      </c>
      <c r="DB93" s="1256">
        <v>0</v>
      </c>
      <c r="DC93" s="1707">
        <v>0</v>
      </c>
      <c r="DD93" s="1707">
        <f ca="1">Scenarios!AB44</f>
        <v>0</v>
      </c>
      <c r="DE93" s="1707">
        <f ca="1">Scenarios!AC44</f>
        <v>0</v>
      </c>
      <c r="DF93" s="1111">
        <f ca="1">SUM(DB93:DE93)</f>
        <v>0</v>
      </c>
      <c r="DG93" s="1707">
        <f>Scenarios!AE44</f>
        <v>0</v>
      </c>
      <c r="DH93" s="1707">
        <f ca="1">Scenarios!AF44</f>
        <v>0</v>
      </c>
      <c r="DI93" s="1707">
        <f ca="1">Scenarios!AG44</f>
        <v>0</v>
      </c>
      <c r="DJ93" s="1707">
        <f ca="1">Scenarios!AH44</f>
        <v>0</v>
      </c>
      <c r="DK93" s="1384">
        <f ca="1">SUM(DG93:DJ93)</f>
        <v>0</v>
      </c>
      <c r="DL93" s="1707">
        <v>0</v>
      </c>
      <c r="DM93" s="1707">
        <v>0</v>
      </c>
      <c r="DN93" s="1707">
        <v>0</v>
      </c>
      <c r="DO93" s="1707">
        <v>0</v>
      </c>
      <c r="DP93" s="1384">
        <f>SUM(DL93:DO93)</f>
        <v>0</v>
      </c>
      <c r="DQ93" s="1707">
        <v>0</v>
      </c>
      <c r="DR93" s="631">
        <f>Scenarios!AP44</f>
        <v>0</v>
      </c>
      <c r="DS93" s="631">
        <f>Scenarios!AQ44</f>
        <v>0</v>
      </c>
      <c r="DT93" s="631">
        <f>Scenarios!AR44</f>
        <v>0</v>
      </c>
      <c r="DU93" s="1384">
        <f>SUM(DQ93:DT93)</f>
        <v>0</v>
      </c>
      <c r="DV93" s="631">
        <f>Scenarios!AT44</f>
        <v>0</v>
      </c>
      <c r="DW93" s="631">
        <f>Scenarios!AU44</f>
        <v>0</v>
      </c>
      <c r="DX93" s="631">
        <f>Scenarios!AV44</f>
        <v>0</v>
      </c>
      <c r="DY93" s="631">
        <f>Scenarios!AW44</f>
        <v>0</v>
      </c>
      <c r="DZ93" s="1384">
        <f>SUM(DV93:DY93)</f>
        <v>0</v>
      </c>
      <c r="EA93" s="631">
        <f>Scenarios!AY44</f>
        <v>0</v>
      </c>
      <c r="EB93" s="631">
        <f>Scenarios!AZ44</f>
        <v>0</v>
      </c>
      <c r="EC93" s="631">
        <f>Scenarios!BA44</f>
        <v>0</v>
      </c>
      <c r="ED93" s="631">
        <f>Scenarios!BB44</f>
        <v>0</v>
      </c>
      <c r="EE93" s="1384">
        <f>SUM(EA93:ED93)</f>
        <v>0</v>
      </c>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row>
    <row r="94" spans="2:238" s="150" customFormat="1" ht="12.75" customHeight="1">
      <c r="B94" s="562" t="s">
        <v>392</v>
      </c>
      <c r="C94" s="130"/>
      <c r="D94" s="130"/>
      <c r="E94" s="131"/>
      <c r="F94" s="62"/>
      <c r="G94" s="73"/>
      <c r="H94" s="73"/>
      <c r="I94" s="73"/>
      <c r="J94" s="73"/>
      <c r="K94" s="140"/>
      <c r="L94" s="76"/>
      <c r="M94" s="76"/>
      <c r="N94" s="141"/>
      <c r="O94" s="73"/>
      <c r="P94" s="121"/>
      <c r="Q94" s="73"/>
      <c r="R94" s="73"/>
      <c r="S94" s="75"/>
      <c r="T94" s="73"/>
      <c r="U94" s="121"/>
      <c r="V94" s="73"/>
      <c r="W94" s="73"/>
      <c r="X94" s="75"/>
      <c r="Y94" s="73"/>
      <c r="Z94" s="121"/>
      <c r="AA94" s="73"/>
      <c r="AB94" s="73"/>
      <c r="AC94" s="75"/>
      <c r="AD94" s="73"/>
      <c r="AE94" s="121"/>
      <c r="AF94" s="73"/>
      <c r="AG94" s="73"/>
      <c r="AH94" s="75"/>
      <c r="AI94" s="73"/>
      <c r="AJ94" s="121"/>
      <c r="AK94" s="73"/>
      <c r="AL94" s="73"/>
      <c r="AM94" s="75"/>
      <c r="AN94" s="73"/>
      <c r="AO94" s="121"/>
      <c r="AP94" s="73"/>
      <c r="AQ94" s="73"/>
      <c r="AR94" s="75"/>
      <c r="AS94" s="73"/>
      <c r="AT94" s="121"/>
      <c r="AU94" s="73"/>
      <c r="AV94" s="73"/>
      <c r="AW94" s="75"/>
      <c r="AX94" s="73"/>
      <c r="AY94" s="121"/>
      <c r="AZ94" s="73"/>
      <c r="BA94" s="73"/>
      <c r="BB94" s="75"/>
      <c r="BC94" s="73"/>
      <c r="BD94" s="121"/>
      <c r="BE94" s="73"/>
      <c r="BF94" s="73"/>
      <c r="BG94" s="75"/>
      <c r="BH94" s="73"/>
      <c r="BI94" s="121"/>
      <c r="BJ94" s="73"/>
      <c r="BK94" s="73"/>
      <c r="BL94" s="75"/>
      <c r="BM94" s="73"/>
      <c r="BN94" s="121"/>
      <c r="BO94" s="73"/>
      <c r="BP94" s="73"/>
      <c r="BQ94" s="75"/>
      <c r="BR94" s="73"/>
      <c r="BS94" s="140"/>
      <c r="BT94" s="76"/>
      <c r="BU94" s="76"/>
      <c r="BV94" s="141"/>
      <c r="BW94" s="62"/>
      <c r="BX94" s="140"/>
      <c r="BY94" s="76"/>
      <c r="BZ94" s="76"/>
      <c r="CA94" s="141"/>
      <c r="CB94" s="62"/>
      <c r="CC94" s="140"/>
      <c r="CD94" s="76"/>
      <c r="CE94" s="76"/>
      <c r="CF94" s="76"/>
      <c r="CG94" s="802"/>
      <c r="CH94" s="140"/>
      <c r="CI94" s="76"/>
      <c r="CJ94" s="76"/>
      <c r="CK94" s="76"/>
      <c r="CL94" s="802"/>
      <c r="CM94" s="140"/>
      <c r="CN94" s="76"/>
      <c r="CO94" s="76"/>
      <c r="CP94" s="76"/>
      <c r="CQ94" s="802"/>
      <c r="CR94" s="140">
        <f>CR92+CR93</f>
        <v>1.3793103448275863</v>
      </c>
      <c r="CS94" s="76">
        <f>CS92+CS93</f>
        <v>17.241379310344829</v>
      </c>
      <c r="CT94" s="76">
        <f>CT92+CT93</f>
        <v>19.310344827586206</v>
      </c>
      <c r="CU94" s="76">
        <f>CU92+CU93</f>
        <v>23.668965517241382</v>
      </c>
      <c r="CV94" s="802">
        <f>SUM(CR94:CU94)</f>
        <v>61.6</v>
      </c>
      <c r="CW94" s="140">
        <f>CW92+CW93</f>
        <v>40.862295716575886</v>
      </c>
      <c r="CX94" s="76">
        <f>CX92+CX93</f>
        <v>49.263889228395236</v>
      </c>
      <c r="CY94" s="76">
        <f>CY92+CY93</f>
        <v>50.02767045674242</v>
      </c>
      <c r="CZ94" s="76">
        <f>CZ92+CZ93</f>
        <v>31.696844598286447</v>
      </c>
      <c r="DA94" s="802">
        <f>SUM(CW94:CZ94)</f>
        <v>171.85069999999999</v>
      </c>
      <c r="DB94" s="140">
        <f>DB92+DB93</f>
        <v>42.019384615384617</v>
      </c>
      <c r="DC94" s="76">
        <f>DC92+DC93</f>
        <v>51.023538461538465</v>
      </c>
      <c r="DD94" s="76">
        <f ca="1">DD92+DD93</f>
        <v>58.199999999999996</v>
      </c>
      <c r="DE94" s="76">
        <f ca="1">DE92+DE93</f>
        <v>58.199999999999996</v>
      </c>
      <c r="DF94" s="802">
        <f ca="1">SUM(DB94:DE94)</f>
        <v>209.44292307692305</v>
      </c>
      <c r="DG94" s="76">
        <f>DG92+DG93</f>
        <v>0</v>
      </c>
      <c r="DH94" s="76">
        <f ca="1">DH92+DH93</f>
        <v>0</v>
      </c>
      <c r="DI94" s="76">
        <f ca="1">DI92+DI93</f>
        <v>0</v>
      </c>
      <c r="DJ94" s="76">
        <f ca="1">DJ92+DJ93</f>
        <v>0</v>
      </c>
      <c r="DK94" s="807">
        <f ca="1">SUM(DG94:DJ94)</f>
        <v>0</v>
      </c>
      <c r="DL94" s="76">
        <f>DL92+DL93</f>
        <v>0</v>
      </c>
      <c r="DM94" s="76">
        <f>DM92+DM93</f>
        <v>0</v>
      </c>
      <c r="DN94" s="76">
        <f>DN92+DN93</f>
        <v>0</v>
      </c>
      <c r="DO94" s="76">
        <f>DO92+DO93</f>
        <v>0</v>
      </c>
      <c r="DP94" s="807">
        <f>SUM(DL94:DO94)</f>
        <v>0</v>
      </c>
      <c r="DQ94" s="76">
        <f>DQ92+DQ93</f>
        <v>0</v>
      </c>
      <c r="DR94" s="76">
        <f>DR92+DR93</f>
        <v>0</v>
      </c>
      <c r="DS94" s="76">
        <f>DS92+DS93</f>
        <v>20</v>
      </c>
      <c r="DT94" s="76">
        <f>DT92+DT93</f>
        <v>30</v>
      </c>
      <c r="DU94" s="807">
        <f>SUM(DQ94:DT94)</f>
        <v>50</v>
      </c>
      <c r="DV94" s="76">
        <f>DV92+DV93</f>
        <v>35</v>
      </c>
      <c r="DW94" s="76">
        <f>DW92+DW93</f>
        <v>35</v>
      </c>
      <c r="DX94" s="76">
        <f>DX92+DX93</f>
        <v>35</v>
      </c>
      <c r="DY94" s="76">
        <f>DY92+DY93</f>
        <v>55</v>
      </c>
      <c r="DZ94" s="807">
        <f>SUM(DV94:DY94)</f>
        <v>160</v>
      </c>
      <c r="EA94" s="76">
        <f>EA92+EA93</f>
        <v>85</v>
      </c>
      <c r="EB94" s="76">
        <f>EB92+EB93</f>
        <v>60</v>
      </c>
      <c r="EC94" s="76">
        <f>EC92+EC93</f>
        <v>55</v>
      </c>
      <c r="ED94" s="76">
        <f>ED92+ED93</f>
        <v>65</v>
      </c>
      <c r="EE94" s="807">
        <f>SUM(EA94:ED94)</f>
        <v>265</v>
      </c>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row>
    <row r="95" spans="2:238" s="150" customFormat="1" ht="12.75" customHeight="1">
      <c r="B95" s="562"/>
      <c r="C95" s="130"/>
      <c r="D95" s="130"/>
      <c r="E95" s="131"/>
      <c r="F95" s="62"/>
      <c r="G95" s="73"/>
      <c r="H95" s="73"/>
      <c r="I95" s="73"/>
      <c r="J95" s="73"/>
      <c r="K95" s="140"/>
      <c r="L95" s="76"/>
      <c r="M95" s="76"/>
      <c r="N95" s="141"/>
      <c r="O95" s="73"/>
      <c r="P95" s="121"/>
      <c r="Q95" s="73"/>
      <c r="R95" s="73"/>
      <c r="S95" s="75"/>
      <c r="T95" s="73"/>
      <c r="U95" s="121"/>
      <c r="V95" s="73"/>
      <c r="W95" s="73"/>
      <c r="X95" s="75"/>
      <c r="Y95" s="73"/>
      <c r="Z95" s="121"/>
      <c r="AA95" s="73"/>
      <c r="AB95" s="73"/>
      <c r="AC95" s="75"/>
      <c r="AD95" s="73"/>
      <c r="AE95" s="121"/>
      <c r="AF95" s="73"/>
      <c r="AG95" s="73"/>
      <c r="AH95" s="75"/>
      <c r="AI95" s="73"/>
      <c r="AJ95" s="121"/>
      <c r="AK95" s="73"/>
      <c r="AL95" s="73"/>
      <c r="AM95" s="75"/>
      <c r="AN95" s="73"/>
      <c r="AO95" s="121"/>
      <c r="AP95" s="73"/>
      <c r="AQ95" s="73"/>
      <c r="AR95" s="75"/>
      <c r="AS95" s="73"/>
      <c r="AT95" s="121"/>
      <c r="AU95" s="73"/>
      <c r="AV95" s="73"/>
      <c r="AW95" s="75"/>
      <c r="AX95" s="73"/>
      <c r="AY95" s="121"/>
      <c r="AZ95" s="73"/>
      <c r="BA95" s="73"/>
      <c r="BB95" s="75"/>
      <c r="BC95" s="73"/>
      <c r="BD95" s="121"/>
      <c r="BE95" s="73"/>
      <c r="BF95" s="73"/>
      <c r="BG95" s="75"/>
      <c r="BH95" s="73"/>
      <c r="BI95" s="121"/>
      <c r="BJ95" s="73"/>
      <c r="BK95" s="73"/>
      <c r="BL95" s="75"/>
      <c r="BM95" s="73"/>
      <c r="BN95" s="121"/>
      <c r="BO95" s="73"/>
      <c r="BP95" s="73"/>
      <c r="BQ95" s="75"/>
      <c r="BR95" s="73"/>
      <c r="BS95" s="140"/>
      <c r="BT95" s="76"/>
      <c r="BU95" s="76"/>
      <c r="BV95" s="141"/>
      <c r="BW95" s="62"/>
      <c r="BX95" s="140"/>
      <c r="BY95" s="76"/>
      <c r="BZ95" s="76"/>
      <c r="CA95" s="141"/>
      <c r="CB95" s="62"/>
      <c r="CC95" s="140"/>
      <c r="CD95" s="76"/>
      <c r="CE95" s="76"/>
      <c r="CF95" s="76"/>
      <c r="CG95" s="802"/>
      <c r="CH95" s="76"/>
      <c r="CI95" s="76"/>
      <c r="CJ95" s="76"/>
      <c r="CK95" s="76"/>
      <c r="CL95" s="802"/>
      <c r="CM95" s="76"/>
      <c r="CN95" s="76"/>
      <c r="CO95" s="76"/>
      <c r="CP95" s="76"/>
      <c r="CQ95" s="802"/>
      <c r="CR95" s="76"/>
      <c r="CS95" s="76"/>
      <c r="CT95" s="76"/>
      <c r="CU95" s="76"/>
      <c r="CV95" s="802"/>
      <c r="CW95" s="76"/>
      <c r="CX95" s="76"/>
      <c r="CY95" s="76"/>
      <c r="CZ95" s="76"/>
      <c r="DA95" s="802"/>
      <c r="DB95" s="76"/>
      <c r="DC95" s="76"/>
      <c r="DD95" s="76"/>
      <c r="DE95" s="76"/>
      <c r="DF95" s="802"/>
      <c r="DG95" s="76"/>
      <c r="DH95" s="76"/>
      <c r="DI95" s="76"/>
      <c r="DJ95" s="76"/>
      <c r="DK95" s="807"/>
      <c r="DL95" s="76"/>
      <c r="DM95" s="76"/>
      <c r="DN95" s="76"/>
      <c r="DO95" s="76"/>
      <c r="DP95" s="807"/>
      <c r="DQ95" s="76"/>
      <c r="DR95" s="76"/>
      <c r="DS95" s="76"/>
      <c r="DT95" s="76"/>
      <c r="DU95" s="807"/>
      <c r="DV95" s="76"/>
      <c r="DW95" s="76"/>
      <c r="DX95" s="76"/>
      <c r="DY95" s="76"/>
      <c r="DZ95" s="807"/>
      <c r="EA95" s="76"/>
      <c r="EB95" s="76"/>
      <c r="EC95" s="76"/>
      <c r="ED95" s="76"/>
      <c r="EE95" s="807"/>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row>
    <row r="96" spans="2:238" s="150" customFormat="1" ht="12.75" customHeight="1">
      <c r="B96" s="558" t="s">
        <v>405</v>
      </c>
      <c r="C96" s="130"/>
      <c r="D96" s="130"/>
      <c r="E96" s="131"/>
      <c r="F96" s="131"/>
      <c r="G96" s="131"/>
      <c r="H96" s="131"/>
      <c r="I96" s="131"/>
      <c r="J96" s="131"/>
      <c r="K96" s="126"/>
      <c r="L96" s="127"/>
      <c r="M96" s="127"/>
      <c r="N96" s="132"/>
      <c r="O96" s="131"/>
      <c r="P96" s="126"/>
      <c r="Q96" s="127"/>
      <c r="R96" s="127"/>
      <c r="S96" s="132"/>
      <c r="T96" s="131"/>
      <c r="U96" s="126"/>
      <c r="V96" s="127"/>
      <c r="W96" s="127"/>
      <c r="X96" s="132"/>
      <c r="Y96" s="131"/>
      <c r="Z96" s="126"/>
      <c r="AA96" s="127"/>
      <c r="AB96" s="127"/>
      <c r="AC96" s="132"/>
      <c r="AD96" s="131"/>
      <c r="AE96" s="126"/>
      <c r="AF96" s="127"/>
      <c r="AG96" s="127"/>
      <c r="AH96" s="132"/>
      <c r="AI96" s="131"/>
      <c r="AJ96" s="126"/>
      <c r="AK96" s="127"/>
      <c r="AL96" s="127"/>
      <c r="AM96" s="132"/>
      <c r="AN96" s="131"/>
      <c r="AO96" s="126"/>
      <c r="AP96" s="127"/>
      <c r="AQ96" s="127"/>
      <c r="AR96" s="132"/>
      <c r="AS96" s="131"/>
      <c r="AT96" s="126"/>
      <c r="AU96" s="127"/>
      <c r="AV96" s="127"/>
      <c r="AW96" s="132"/>
      <c r="AX96" s="131"/>
      <c r="AY96" s="126"/>
      <c r="AZ96" s="127"/>
      <c r="BA96" s="127"/>
      <c r="BB96" s="132"/>
      <c r="BC96" s="131"/>
      <c r="BD96" s="126"/>
      <c r="BE96" s="127"/>
      <c r="BF96" s="127"/>
      <c r="BG96" s="132"/>
      <c r="BH96" s="131"/>
      <c r="BI96" s="126"/>
      <c r="BJ96" s="127"/>
      <c r="BK96" s="127"/>
      <c r="BL96" s="132"/>
      <c r="BM96" s="131"/>
      <c r="BN96" s="126"/>
      <c r="BO96" s="127"/>
      <c r="BP96" s="127"/>
      <c r="BQ96" s="132"/>
      <c r="BR96" s="131"/>
      <c r="BS96" s="126"/>
      <c r="BT96" s="127"/>
      <c r="BU96" s="127"/>
      <c r="BV96" s="132"/>
      <c r="BW96" s="131"/>
      <c r="BX96" s="126"/>
      <c r="BY96" s="127"/>
      <c r="BZ96" s="127"/>
      <c r="CA96" s="132"/>
      <c r="CB96" s="131"/>
      <c r="CC96" s="126"/>
      <c r="CD96" s="127"/>
      <c r="CE96" s="127"/>
      <c r="CF96" s="127"/>
      <c r="CG96" s="613"/>
      <c r="CH96" s="127"/>
      <c r="CI96" s="127"/>
      <c r="CJ96" s="127"/>
      <c r="CK96" s="129"/>
      <c r="CL96" s="613"/>
      <c r="CM96" s="129"/>
      <c r="CN96" s="129"/>
      <c r="CO96" s="129"/>
      <c r="CP96" s="129"/>
      <c r="CQ96" s="831"/>
      <c r="CR96" s="129"/>
      <c r="CS96" s="129"/>
      <c r="CT96" s="129"/>
      <c r="CU96" s="129"/>
      <c r="CV96" s="831"/>
      <c r="CW96" s="129"/>
      <c r="CX96" s="129"/>
      <c r="CY96" s="129"/>
      <c r="CZ96" s="129"/>
      <c r="DA96" s="831"/>
      <c r="DB96" s="129"/>
      <c r="DC96" s="129"/>
      <c r="DD96" s="129"/>
      <c r="DE96" s="129"/>
      <c r="DF96" s="831"/>
      <c r="DG96" s="129"/>
      <c r="DH96" s="129"/>
      <c r="DI96" s="129"/>
      <c r="DJ96" s="129"/>
      <c r="DK96" s="1371"/>
      <c r="DL96" s="129"/>
      <c r="DM96" s="129"/>
      <c r="DN96" s="129"/>
      <c r="DO96" s="129"/>
      <c r="DP96" s="1371"/>
      <c r="DQ96" s="129"/>
      <c r="DR96" s="129"/>
      <c r="DS96" s="129"/>
      <c r="DT96" s="129"/>
      <c r="DU96" s="1371"/>
      <c r="DV96" s="129"/>
      <c r="DW96" s="129"/>
      <c r="DX96" s="129"/>
      <c r="DY96" s="129"/>
      <c r="DZ96" s="1371"/>
      <c r="EA96" s="129"/>
      <c r="EB96" s="129"/>
      <c r="EC96" s="129"/>
      <c r="ED96" s="129"/>
      <c r="EE96" s="1371"/>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row>
    <row r="97" spans="2:238" s="214" customFormat="1" ht="12.75" customHeight="1">
      <c r="B97" s="563" t="s">
        <v>161</v>
      </c>
      <c r="C97" s="208"/>
      <c r="D97" s="208"/>
      <c r="E97" s="209"/>
      <c r="F97" s="209"/>
      <c r="G97" s="209"/>
      <c r="H97" s="209"/>
      <c r="I97" s="209"/>
      <c r="J97" s="209"/>
      <c r="K97" s="210"/>
      <c r="L97" s="211"/>
      <c r="M97" s="211"/>
      <c r="N97" s="212"/>
      <c r="O97" s="209"/>
      <c r="P97" s="210"/>
      <c r="Q97" s="211"/>
      <c r="R97" s="211"/>
      <c r="S97" s="212"/>
      <c r="T97" s="209"/>
      <c r="U97" s="210"/>
      <c r="V97" s="211"/>
      <c r="W97" s="211"/>
      <c r="X97" s="212"/>
      <c r="Y97" s="209"/>
      <c r="Z97" s="210"/>
      <c r="AA97" s="211"/>
      <c r="AB97" s="211"/>
      <c r="AC97" s="212"/>
      <c r="AD97" s="209"/>
      <c r="AE97" s="210"/>
      <c r="AF97" s="211"/>
      <c r="AG97" s="211"/>
      <c r="AH97" s="212"/>
      <c r="AI97" s="209"/>
      <c r="AJ97" s="210"/>
      <c r="AK97" s="211"/>
      <c r="AL97" s="211"/>
      <c r="AM97" s="212"/>
      <c r="AN97" s="209"/>
      <c r="AO97" s="210"/>
      <c r="AP97" s="211"/>
      <c r="AQ97" s="211"/>
      <c r="AR97" s="212"/>
      <c r="AS97" s="209"/>
      <c r="AT97" s="210"/>
      <c r="AU97" s="211"/>
      <c r="AV97" s="211"/>
      <c r="AW97" s="212"/>
      <c r="AX97" s="209"/>
      <c r="AY97" s="210"/>
      <c r="AZ97" s="211"/>
      <c r="BA97" s="211"/>
      <c r="BB97" s="212"/>
      <c r="BC97" s="209"/>
      <c r="BD97" s="210"/>
      <c r="BE97" s="211"/>
      <c r="BF97" s="211"/>
      <c r="BG97" s="212"/>
      <c r="BH97" s="209"/>
      <c r="BI97" s="210"/>
      <c r="BJ97" s="211"/>
      <c r="BK97" s="211"/>
      <c r="BL97" s="212"/>
      <c r="BM97" s="209"/>
      <c r="BN97" s="210"/>
      <c r="BO97" s="211"/>
      <c r="BP97" s="211"/>
      <c r="BQ97" s="212"/>
      <c r="BR97" s="209"/>
      <c r="BS97" s="210">
        <f t="shared" ref="BS97:DF97" si="187">BS82/BS64</f>
        <v>0.63461538461538469</v>
      </c>
      <c r="BT97" s="211">
        <f t="shared" si="187"/>
        <v>0.63583815028901736</v>
      </c>
      <c r="BU97" s="211">
        <f t="shared" si="187"/>
        <v>0.63706563706563712</v>
      </c>
      <c r="BV97" s="212">
        <f t="shared" si="187"/>
        <v>0.63829787234042556</v>
      </c>
      <c r="BW97" s="209">
        <f t="shared" si="187"/>
        <v>0.63647378081580475</v>
      </c>
      <c r="BX97" s="210">
        <f t="shared" si="187"/>
        <v>0.63461538461538458</v>
      </c>
      <c r="BY97" s="211">
        <f t="shared" si="187"/>
        <v>0.64219653179190761</v>
      </c>
      <c r="BZ97" s="211">
        <f t="shared" si="187"/>
        <v>0.63494208494208515</v>
      </c>
      <c r="CA97" s="212">
        <f t="shared" si="187"/>
        <v>0.64787234042553177</v>
      </c>
      <c r="CB97" s="209">
        <f t="shared" si="187"/>
        <v>0.63996785209802942</v>
      </c>
      <c r="CC97" s="210">
        <f t="shared" si="187"/>
        <v>0.63411764705882356</v>
      </c>
      <c r="CD97" s="211">
        <f t="shared" si="187"/>
        <v>0.62240009823182707</v>
      </c>
      <c r="CE97" s="211">
        <f t="shared" si="187"/>
        <v>0.62154330708661432</v>
      </c>
      <c r="CF97" s="211">
        <f t="shared" si="187"/>
        <v>0.65074112426035491</v>
      </c>
      <c r="CG97" s="810">
        <f t="shared" si="187"/>
        <v>0.63222233750583356</v>
      </c>
      <c r="CH97" s="211">
        <f t="shared" si="187"/>
        <v>0.64841699999999991</v>
      </c>
      <c r="CI97" s="211">
        <f t="shared" si="187"/>
        <v>0.63011149824649304</v>
      </c>
      <c r="CJ97" s="211">
        <f t="shared" si="187"/>
        <v>0.64036433734939779</v>
      </c>
      <c r="CK97" s="211">
        <f t="shared" si="187"/>
        <v>0.66974927249999983</v>
      </c>
      <c r="CL97" s="810">
        <f t="shared" si="187"/>
        <v>0.6471208497106079</v>
      </c>
      <c r="CM97" s="213">
        <f t="shared" si="187"/>
        <v>0.63939668286290297</v>
      </c>
      <c r="CN97" s="213">
        <f t="shared" si="187"/>
        <v>0.63967159071482793</v>
      </c>
      <c r="CO97" s="213">
        <f t="shared" si="187"/>
        <v>0.65397435261663306</v>
      </c>
      <c r="CP97" s="213">
        <f t="shared" si="187"/>
        <v>0.67482313062499988</v>
      </c>
      <c r="CQ97" s="810">
        <f t="shared" si="187"/>
        <v>0.65178753777933418</v>
      </c>
      <c r="CR97" s="213">
        <f t="shared" si="187"/>
        <v>0.65309825828374768</v>
      </c>
      <c r="CS97" s="213">
        <f t="shared" si="187"/>
        <v>0.65461939538029634</v>
      </c>
      <c r="CT97" s="213">
        <f t="shared" si="187"/>
        <v>0.66580629549930626</v>
      </c>
      <c r="CU97" s="213">
        <f t="shared" si="187"/>
        <v>0.69084448059929049</v>
      </c>
      <c r="CV97" s="810">
        <f t="shared" si="187"/>
        <v>0.66632899419761216</v>
      </c>
      <c r="CW97" s="213">
        <f t="shared" si="187"/>
        <v>0.66263968542549812</v>
      </c>
      <c r="CX97" s="213">
        <f t="shared" si="187"/>
        <v>0.6619228664321094</v>
      </c>
      <c r="CY97" s="213">
        <f t="shared" si="187"/>
        <v>0.67239254336778864</v>
      </c>
      <c r="CZ97" s="213">
        <f t="shared" si="187"/>
        <v>0.69237404392609381</v>
      </c>
      <c r="DA97" s="810">
        <f t="shared" si="187"/>
        <v>0.67252513627382715</v>
      </c>
      <c r="DB97" s="213">
        <f t="shared" si="187"/>
        <v>0.66221936545688742</v>
      </c>
      <c r="DC97" s="213">
        <f t="shared" si="187"/>
        <v>0.66170864306457255</v>
      </c>
      <c r="DD97" s="213">
        <f t="shared" si="187"/>
        <v>0.67378836740781234</v>
      </c>
      <c r="DE97" s="213">
        <f>DE82/DE64</f>
        <v>0.69782228269121216</v>
      </c>
      <c r="DF97" s="810">
        <f t="shared" si="187"/>
        <v>0.67402747058703016</v>
      </c>
      <c r="DG97" s="213">
        <f t="shared" ref="DG97:DH99" si="188">DG82/DG64</f>
        <v>0.64019017690720448</v>
      </c>
      <c r="DH97" s="213">
        <f t="shared" si="188"/>
        <v>0.66673187960194646</v>
      </c>
      <c r="DI97" s="213">
        <f t="shared" ref="DI97:DJ97" si="189">DI82/DI64</f>
        <v>0.62977920820058308</v>
      </c>
      <c r="DJ97" s="213">
        <f t="shared" si="189"/>
        <v>0.64596804769406213</v>
      </c>
      <c r="DK97" s="1385">
        <f t="shared" ref="DK97:DP97" si="190">DK82/DK64</f>
        <v>0.64529659204538192</v>
      </c>
      <c r="DL97" s="213">
        <f t="shared" si="190"/>
        <v>0.62418542248452435</v>
      </c>
      <c r="DM97" s="213">
        <f t="shared" ref="DM97:DN97" si="191">DM82/DM64</f>
        <v>0.72229286956877536</v>
      </c>
      <c r="DN97" s="213">
        <f t="shared" si="191"/>
        <v>0.64635234525849317</v>
      </c>
      <c r="DO97" s="213">
        <f t="shared" ref="DO97:DQ97" si="192">DO82/DO64</f>
        <v>0.66296720684390609</v>
      </c>
      <c r="DP97" s="1385">
        <f t="shared" si="190"/>
        <v>0.66218396616792974</v>
      </c>
      <c r="DQ97" s="213">
        <f t="shared" si="192"/>
        <v>0.64061135465516983</v>
      </c>
      <c r="DR97" s="213">
        <f t="shared" ref="DR97:DU99" ca="1" si="193">DR82/DR64</f>
        <v>0.76547342155386511</v>
      </c>
      <c r="DS97" s="213">
        <f t="shared" ca="1" si="193"/>
        <v>0.69208898243382533</v>
      </c>
      <c r="DT97" s="213">
        <f t="shared" si="193"/>
        <v>0.7118507817597467</v>
      </c>
      <c r="DU97" s="1385">
        <f t="shared" ca="1" si="193"/>
        <v>0.70088283483226244</v>
      </c>
      <c r="DV97" s="213">
        <f t="shared" ref="DV97:DZ97" si="194">DV82/DV64</f>
        <v>0.67006341758713939</v>
      </c>
      <c r="DW97" s="213">
        <f t="shared" ca="1" si="194"/>
        <v>0.80070161211669044</v>
      </c>
      <c r="DX97" s="213">
        <f t="shared" ca="1" si="194"/>
        <v>0.7198693054253138</v>
      </c>
      <c r="DY97" s="213">
        <f t="shared" si="194"/>
        <v>0.74228796459554103</v>
      </c>
      <c r="DZ97" s="1385">
        <f t="shared" ca="1" si="194"/>
        <v>0.73012587235673998</v>
      </c>
      <c r="EA97" s="213">
        <f t="shared" ref="EA97:EE97" si="195">EA82/EA64</f>
        <v>0.68863947844275841</v>
      </c>
      <c r="EB97" s="213">
        <f t="shared" ca="1" si="195"/>
        <v>0.81780520948527446</v>
      </c>
      <c r="EC97" s="213">
        <f t="shared" ca="1" si="195"/>
        <v>0.73414434110748683</v>
      </c>
      <c r="ED97" s="213">
        <f t="shared" si="195"/>
        <v>0.75507395305605052</v>
      </c>
      <c r="EE97" s="1385">
        <f t="shared" ca="1" si="195"/>
        <v>0.74583875715161563</v>
      </c>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row>
    <row r="98" spans="2:238" s="215" customFormat="1" ht="12.75" customHeight="1">
      <c r="B98" s="1112" t="s">
        <v>162</v>
      </c>
      <c r="C98" s="1113"/>
      <c r="D98" s="1113"/>
      <c r="E98" s="1114"/>
      <c r="F98" s="1114"/>
      <c r="G98" s="1114"/>
      <c r="H98" s="1114"/>
      <c r="I98" s="1114"/>
      <c r="J98" s="1114"/>
      <c r="K98" s="1115"/>
      <c r="L98" s="1116"/>
      <c r="M98" s="1116"/>
      <c r="N98" s="1117"/>
      <c r="O98" s="1114"/>
      <c r="P98" s="1115"/>
      <c r="Q98" s="1116"/>
      <c r="R98" s="1116"/>
      <c r="S98" s="1117"/>
      <c r="T98" s="1114"/>
      <c r="U98" s="1115"/>
      <c r="V98" s="1116"/>
      <c r="W98" s="1116"/>
      <c r="X98" s="1117"/>
      <c r="Y98" s="1114"/>
      <c r="Z98" s="1115"/>
      <c r="AA98" s="1116"/>
      <c r="AB98" s="1116"/>
      <c r="AC98" s="1117"/>
      <c r="AD98" s="1114"/>
      <c r="AE98" s="1115"/>
      <c r="AF98" s="1116"/>
      <c r="AG98" s="1116"/>
      <c r="AH98" s="1117"/>
      <c r="AI98" s="1114"/>
      <c r="AJ98" s="1115"/>
      <c r="AK98" s="1116"/>
      <c r="AL98" s="1116"/>
      <c r="AM98" s="1117"/>
      <c r="AN98" s="1114"/>
      <c r="AO98" s="1115"/>
      <c r="AP98" s="1116"/>
      <c r="AQ98" s="1116"/>
      <c r="AR98" s="1117"/>
      <c r="AS98" s="1114"/>
      <c r="AT98" s="1115"/>
      <c r="AU98" s="1116"/>
      <c r="AV98" s="1116"/>
      <c r="AW98" s="1117"/>
      <c r="AX98" s="1114"/>
      <c r="AY98" s="1115"/>
      <c r="AZ98" s="1116"/>
      <c r="BA98" s="1116"/>
      <c r="BB98" s="1117"/>
      <c r="BC98" s="1114"/>
      <c r="BD98" s="1115"/>
      <c r="BE98" s="1116"/>
      <c r="BF98" s="1116"/>
      <c r="BG98" s="1117"/>
      <c r="BH98" s="1114"/>
      <c r="BI98" s="1115"/>
      <c r="BJ98" s="1116"/>
      <c r="BK98" s="1116"/>
      <c r="BL98" s="1117"/>
      <c r="BM98" s="1114"/>
      <c r="BN98" s="1115"/>
      <c r="BO98" s="1116"/>
      <c r="BP98" s="1116"/>
      <c r="BQ98" s="1117"/>
      <c r="BR98" s="1114"/>
      <c r="BS98" s="1115">
        <f t="shared" ref="BS98:DF98" si="196">BS83/BS65</f>
        <v>7.3391594049824399E-2</v>
      </c>
      <c r="BT98" s="1116">
        <f t="shared" si="196"/>
        <v>7.0251794172475901E-2</v>
      </c>
      <c r="BU98" s="1116">
        <f t="shared" si="196"/>
        <v>6.8147182814829857E-2</v>
      </c>
      <c r="BV98" s="1117">
        <f t="shared" si="196"/>
        <v>6.5437238373539278E-2</v>
      </c>
      <c r="BW98" s="1114">
        <f t="shared" si="196"/>
        <v>6.9277562764165343E-2</v>
      </c>
      <c r="BX98" s="1115">
        <f t="shared" si="196"/>
        <v>6.7011249219116317E-2</v>
      </c>
      <c r="BY98" s="1116">
        <f t="shared" si="196"/>
        <v>6.4370172724776589E-2</v>
      </c>
      <c r="BZ98" s="1116">
        <f t="shared" si="196"/>
        <v>6.4408206593181999E-2</v>
      </c>
      <c r="CA98" s="1117">
        <f t="shared" si="196"/>
        <v>6.2695244172306236E-2</v>
      </c>
      <c r="CB98" s="1114">
        <f t="shared" si="196"/>
        <v>6.4591401835210158E-2</v>
      </c>
      <c r="CC98" s="1115">
        <f t="shared" si="196"/>
        <v>6.4565211254164159E-2</v>
      </c>
      <c r="CD98" s="1116">
        <f t="shared" si="196"/>
        <v>6.1585159505629046E-2</v>
      </c>
      <c r="CE98" s="1116">
        <f t="shared" si="196"/>
        <v>5.9126596552833956E-2</v>
      </c>
      <c r="CF98" s="1116">
        <f t="shared" si="196"/>
        <v>5.6738371691457075E-2</v>
      </c>
      <c r="CG98" s="1118">
        <f t="shared" si="196"/>
        <v>6.0467496643645549E-2</v>
      </c>
      <c r="CH98" s="1116">
        <f t="shared" si="196"/>
        <v>5.7745503892006063E-2</v>
      </c>
      <c r="CI98" s="1116">
        <f t="shared" si="196"/>
        <v>5.6025765872730483E-2</v>
      </c>
      <c r="CJ98" s="1116">
        <f t="shared" si="196"/>
        <v>5.4912923901791637E-2</v>
      </c>
      <c r="CK98" s="1116">
        <f t="shared" si="196"/>
        <v>5.0857804636354233E-2</v>
      </c>
      <c r="CL98" s="1118">
        <f t="shared" si="196"/>
        <v>5.4840787736805834E-2</v>
      </c>
      <c r="CM98" s="1119">
        <f t="shared" si="196"/>
        <v>5.3056067565739946E-2</v>
      </c>
      <c r="CN98" s="1119">
        <f t="shared" si="196"/>
        <v>4.7088153935801041E-2</v>
      </c>
      <c r="CO98" s="1119">
        <f t="shared" si="196"/>
        <v>4.5007075604470544E-2</v>
      </c>
      <c r="CP98" s="1119">
        <f t="shared" si="196"/>
        <v>4.1258079951479995E-2</v>
      </c>
      <c r="CQ98" s="1118">
        <f t="shared" si="196"/>
        <v>4.6781943950077294E-2</v>
      </c>
      <c r="CR98" s="1119">
        <f t="shared" si="196"/>
        <v>5.3056067565739953E-2</v>
      </c>
      <c r="CS98" s="1119">
        <f t="shared" si="196"/>
        <v>4.7088153935801041E-2</v>
      </c>
      <c r="CT98" s="1119">
        <f t="shared" si="196"/>
        <v>4.5007075604470537E-2</v>
      </c>
      <c r="CU98" s="1119">
        <f t="shared" si="196"/>
        <v>3.847401849746715E-2</v>
      </c>
      <c r="CV98" s="1118">
        <f t="shared" si="196"/>
        <v>4.5866045674146066E-2</v>
      </c>
      <c r="CW98" s="1119">
        <f t="shared" si="196"/>
        <v>5.1326646292490161E-2</v>
      </c>
      <c r="CX98" s="1119">
        <f t="shared" si="196"/>
        <v>4.1112083619100348E-2</v>
      </c>
      <c r="CY98" s="1119">
        <f t="shared" si="196"/>
        <v>4.006566785553408E-2</v>
      </c>
      <c r="CZ98" s="1119">
        <f t="shared" si="196"/>
        <v>3.3487647891187744E-2</v>
      </c>
      <c r="DA98" s="1118">
        <f t="shared" si="196"/>
        <v>4.1377266747004829E-2</v>
      </c>
      <c r="DB98" s="1119">
        <f t="shared" si="196"/>
        <v>4.2053468407660805E-2</v>
      </c>
      <c r="DC98" s="1119">
        <f t="shared" si="196"/>
        <v>3.6174823530133952E-2</v>
      </c>
      <c r="DD98" s="1119">
        <f t="shared" ca="1" si="196"/>
        <v>3.8108923450238037E-2</v>
      </c>
      <c r="DE98" s="1119">
        <f ca="1">DE83/DE65</f>
        <v>3.3464980985819313E-2</v>
      </c>
      <c r="DF98" s="1118">
        <f t="shared" ca="1" si="196"/>
        <v>3.7442270076544618E-2</v>
      </c>
      <c r="DG98" s="1119">
        <f t="shared" si="188"/>
        <v>3.9164623166990667E-2</v>
      </c>
      <c r="DH98" s="1119">
        <f t="shared" ca="1" si="188"/>
        <v>3.5488836688613849E-2</v>
      </c>
      <c r="DI98" s="1119">
        <f t="shared" ref="DI98:DJ98" ca="1" si="197">DI83/DI65</f>
        <v>3.7027910935068881E-2</v>
      </c>
      <c r="DJ98" s="1119">
        <f t="shared" ca="1" si="197"/>
        <v>3.0659207322800822E-2</v>
      </c>
      <c r="DK98" s="1386">
        <f t="shared" ref="DK98:DP98" ca="1" si="198">DK83/DK65</f>
        <v>3.5557140521311231E-2</v>
      </c>
      <c r="DL98" s="1119">
        <f t="shared" si="198"/>
        <v>3.7066821551065901E-2</v>
      </c>
      <c r="DM98" s="1119">
        <f t="shared" ref="DM98:DN98" si="199">DM83/DM65</f>
        <v>3.2655597338946046E-2</v>
      </c>
      <c r="DN98" s="1119">
        <f t="shared" si="199"/>
        <v>3.3059891826564089E-2</v>
      </c>
      <c r="DO98" s="1119">
        <f t="shared" ref="DO98:DQ98" si="200">DO83/DO65</f>
        <v>2.6805316029818112E-2</v>
      </c>
      <c r="DP98" s="1386">
        <f t="shared" si="198"/>
        <v>3.2198815075457382E-2</v>
      </c>
      <c r="DQ98" s="1119">
        <f t="shared" si="200"/>
        <v>3.2274218641617509E-2</v>
      </c>
      <c r="DR98" s="1119">
        <f t="shared" ca="1" si="193"/>
        <v>2.9756268603245227E-2</v>
      </c>
      <c r="DS98" s="1119">
        <f t="shared" ca="1" si="193"/>
        <v>3.0279153261712904E-2</v>
      </c>
      <c r="DT98" s="1119">
        <f t="shared" si="193"/>
        <v>2.4550663279646497E-2</v>
      </c>
      <c r="DU98" s="1386">
        <f t="shared" ca="1" si="193"/>
        <v>2.9120219652800993E-2</v>
      </c>
      <c r="DV98" s="1119">
        <f t="shared" ref="DV98:DZ98" si="201">DV83/DV65</f>
        <v>2.9734118100379091E-2</v>
      </c>
      <c r="DW98" s="1119">
        <f t="shared" ca="1" si="201"/>
        <v>2.7414340055767591E-2</v>
      </c>
      <c r="DX98" s="1119">
        <f t="shared" ca="1" si="201"/>
        <v>2.7896071755004012E-2</v>
      </c>
      <c r="DY98" s="1119">
        <f t="shared" si="201"/>
        <v>2.2618435151155799E-2</v>
      </c>
      <c r="DZ98" s="1386">
        <f t="shared" ca="1" si="201"/>
        <v>2.6889719104412669E-2</v>
      </c>
      <c r="EA98" s="1119">
        <f t="shared" ref="EA98:EE98" si="202">EA83/EA65</f>
        <v>2.7393932879515914E-2</v>
      </c>
      <c r="EB98" s="1119">
        <f t="shared" ca="1" si="202"/>
        <v>2.5256729958785879E-2</v>
      </c>
      <c r="EC98" s="1119">
        <f t="shared" ca="1" si="202"/>
        <v>2.5700547589100921E-2</v>
      </c>
      <c r="ED98" s="1119">
        <f t="shared" si="202"/>
        <v>2.0838280532777791E-2</v>
      </c>
      <c r="EE98" s="1386">
        <f t="shared" ca="1" si="202"/>
        <v>2.4773445789363406E-2</v>
      </c>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row>
    <row r="99" spans="2:238" s="214" customFormat="1" ht="12.75" customHeight="1">
      <c r="B99" s="562" t="s">
        <v>329</v>
      </c>
      <c r="C99" s="208"/>
      <c r="D99" s="208"/>
      <c r="E99" s="209"/>
      <c r="F99" s="209">
        <f>F84/F67</f>
        <v>0.32</v>
      </c>
      <c r="G99" s="209">
        <f>G84/G67</f>
        <v>0.31</v>
      </c>
      <c r="H99" s="209">
        <f>H84/H67</f>
        <v>0.31</v>
      </c>
      <c r="I99" s="209">
        <f>I84/I67</f>
        <v>0.30699999999999994</v>
      </c>
      <c r="J99" s="209">
        <f>J84/J67</f>
        <v>0.30099999999999999</v>
      </c>
      <c r="K99" s="210"/>
      <c r="L99" s="211"/>
      <c r="M99" s="211"/>
      <c r="N99" s="212"/>
      <c r="O99" s="209">
        <f>O84/O67</f>
        <v>0.18</v>
      </c>
      <c r="P99" s="216">
        <v>0.29699999999999999</v>
      </c>
      <c r="Q99" s="217">
        <v>0.30499999999999999</v>
      </c>
      <c r="R99" s="217">
        <v>0.29399999999999998</v>
      </c>
      <c r="S99" s="218">
        <v>0.29099999999999998</v>
      </c>
      <c r="T99" s="209">
        <f>T84/T67</f>
        <v>0.29676024114676952</v>
      </c>
      <c r="U99" s="216">
        <v>0.28599999999999998</v>
      </c>
      <c r="V99" s="217">
        <v>0.28699999999999998</v>
      </c>
      <c r="W99" s="217">
        <v>0.27700000000000002</v>
      </c>
      <c r="X99" s="218">
        <v>0.27700000000000002</v>
      </c>
      <c r="Y99" s="209">
        <f>Y84/Y67</f>
        <v>0.28150046754013197</v>
      </c>
      <c r="Z99" s="216">
        <v>0.26800000000000002</v>
      </c>
      <c r="AA99" s="217">
        <v>0.26700000000000002</v>
      </c>
      <c r="AB99" s="217">
        <v>0.26100000000000001</v>
      </c>
      <c r="AC99" s="218">
        <v>0.25700000000000001</v>
      </c>
      <c r="AD99" s="209">
        <f>AD84/AD67</f>
        <v>0.26297181830494942</v>
      </c>
      <c r="AE99" s="216">
        <v>0.25</v>
      </c>
      <c r="AF99" s="217">
        <v>0.253</v>
      </c>
      <c r="AG99" s="217">
        <v>0.249</v>
      </c>
      <c r="AH99" s="218">
        <v>0.249</v>
      </c>
      <c r="AI99" s="209">
        <f>AI84/AI67</f>
        <v>0.25021673024604313</v>
      </c>
      <c r="AJ99" s="216">
        <v>0.23899999999999999</v>
      </c>
      <c r="AK99" s="217">
        <v>0.23899999999999999</v>
      </c>
      <c r="AL99" s="217">
        <v>0.22900000000000001</v>
      </c>
      <c r="AM99" s="218">
        <v>0.22900000000000001</v>
      </c>
      <c r="AN99" s="209">
        <f>AN84/AN67</f>
        <v>0.23373268620686286</v>
      </c>
      <c r="AO99" s="216">
        <v>0.223</v>
      </c>
      <c r="AP99" s="217">
        <v>0.22750000000000001</v>
      </c>
      <c r="AQ99" s="217">
        <v>0.22700000000000001</v>
      </c>
      <c r="AR99" s="218">
        <v>0.23499999999999999</v>
      </c>
      <c r="AS99" s="209">
        <f>AS84/AS67</f>
        <v>0.22829947153725963</v>
      </c>
      <c r="AT99" s="216">
        <v>0.24</v>
      </c>
      <c r="AU99" s="217">
        <v>0.245</v>
      </c>
      <c r="AV99" s="217">
        <v>0.23699999999999999</v>
      </c>
      <c r="AW99" s="218">
        <v>0.23749999999999999</v>
      </c>
      <c r="AX99" s="209">
        <f>AX84/AX67</f>
        <v>0.23980707540306906</v>
      </c>
      <c r="AY99" s="216">
        <v>0.24</v>
      </c>
      <c r="AZ99" s="217">
        <v>0.2419</v>
      </c>
      <c r="BA99" s="217">
        <v>0.23569999999999999</v>
      </c>
      <c r="BB99" s="218">
        <v>0.24579999999999999</v>
      </c>
      <c r="BC99" s="209">
        <f>BC84/BC67</f>
        <v>0.24263455153527913</v>
      </c>
      <c r="BD99" s="216">
        <v>0.25650000000000001</v>
      </c>
      <c r="BE99" s="217">
        <v>0.25650000000000001</v>
      </c>
      <c r="BF99" s="217">
        <v>0.245</v>
      </c>
      <c r="BG99" s="218">
        <v>0.25600000000000001</v>
      </c>
      <c r="BH99" s="209">
        <f>BH84/BH67</f>
        <v>0.25338924840580429</v>
      </c>
      <c r="BI99" s="216">
        <v>0.26300000000000001</v>
      </c>
      <c r="BJ99" s="217">
        <v>0.25900000000000001</v>
      </c>
      <c r="BK99" s="217">
        <v>0.25600000000000001</v>
      </c>
      <c r="BL99" s="218">
        <v>0.26300000000000001</v>
      </c>
      <c r="BM99" s="209">
        <f>BM84/BM67</f>
        <v>0.26019085446637696</v>
      </c>
      <c r="BN99" s="216">
        <v>0.26500000000000001</v>
      </c>
      <c r="BO99" s="217">
        <v>0.26600000000000001</v>
      </c>
      <c r="BP99" s="217">
        <v>0.25990000000000002</v>
      </c>
      <c r="BQ99" s="218">
        <v>0.25</v>
      </c>
      <c r="BR99" s="209">
        <f>BR84/BR67</f>
        <v>0.24979545810336951</v>
      </c>
      <c r="BS99" s="210">
        <f t="shared" ref="BS99:DF99" si="203">BS84/BS66</f>
        <v>0.24515497448423548</v>
      </c>
      <c r="BT99" s="211">
        <f t="shared" si="203"/>
        <v>0.24695702972173414</v>
      </c>
      <c r="BU99" s="211">
        <f t="shared" si="203"/>
        <v>0.2441495075217949</v>
      </c>
      <c r="BV99" s="212">
        <f t="shared" si="203"/>
        <v>0.2430358442101537</v>
      </c>
      <c r="BW99" s="209">
        <f t="shared" si="203"/>
        <v>0.24482428557391203</v>
      </c>
      <c r="BX99" s="210">
        <f t="shared" si="203"/>
        <v>0.24536934815595601</v>
      </c>
      <c r="BY99" s="211">
        <f t="shared" si="203"/>
        <v>0.24763548204527711</v>
      </c>
      <c r="BZ99" s="211">
        <f t="shared" si="203"/>
        <v>0.24752954103352443</v>
      </c>
      <c r="CA99" s="212">
        <f t="shared" si="203"/>
        <v>0.24986090282987158</v>
      </c>
      <c r="CB99" s="209">
        <f t="shared" si="203"/>
        <v>0.24762999581449191</v>
      </c>
      <c r="CC99" s="216">
        <f t="shared" si="203"/>
        <v>0.2504427110488241</v>
      </c>
      <c r="CD99" s="217">
        <f t="shared" si="203"/>
        <v>0.24760408938041922</v>
      </c>
      <c r="CE99" s="217">
        <f t="shared" si="203"/>
        <v>0.2440994477595185</v>
      </c>
      <c r="CF99" s="217">
        <f t="shared" si="203"/>
        <v>0.25244395154595628</v>
      </c>
      <c r="CG99" s="810">
        <f t="shared" si="203"/>
        <v>0.24863085409216526</v>
      </c>
      <c r="CH99" s="217">
        <f t="shared" si="203"/>
        <v>0.25288367380172605</v>
      </c>
      <c r="CI99" s="217">
        <f t="shared" si="203"/>
        <v>0.24757405437578461</v>
      </c>
      <c r="CJ99" s="217">
        <f t="shared" si="203"/>
        <v>0.24876481952095958</v>
      </c>
      <c r="CK99" s="211">
        <f t="shared" si="203"/>
        <v>0.25247230463416276</v>
      </c>
      <c r="CL99" s="810">
        <f t="shared" si="203"/>
        <v>0.25041441902175948</v>
      </c>
      <c r="CM99" s="213">
        <f t="shared" si="203"/>
        <v>0.24430430495586283</v>
      </c>
      <c r="CN99" s="213">
        <f t="shared" si="203"/>
        <v>0.24492336230028805</v>
      </c>
      <c r="CO99" s="213">
        <f t="shared" si="203"/>
        <v>0.24917647795101569</v>
      </c>
      <c r="CP99" s="213">
        <f t="shared" si="203"/>
        <v>0.25845181597175021</v>
      </c>
      <c r="CQ99" s="810">
        <f t="shared" si="203"/>
        <v>0.24905588081017843</v>
      </c>
      <c r="CR99" s="213">
        <f t="shared" si="203"/>
        <v>0.2638898574221894</v>
      </c>
      <c r="CS99" s="213">
        <f t="shared" si="203"/>
        <v>0.26448561070757204</v>
      </c>
      <c r="CT99" s="213">
        <f t="shared" si="203"/>
        <v>0.27360679981784503</v>
      </c>
      <c r="CU99" s="213">
        <f t="shared" si="203"/>
        <v>0.27365918715905735</v>
      </c>
      <c r="CV99" s="810">
        <f t="shared" si="203"/>
        <v>0.26897271234817921</v>
      </c>
      <c r="CW99" s="213">
        <f t="shared" si="203"/>
        <v>0.26416521676684768</v>
      </c>
      <c r="CX99" s="213">
        <f t="shared" si="203"/>
        <v>0.25858689690497572</v>
      </c>
      <c r="CY99" s="213">
        <f t="shared" si="203"/>
        <v>0.26766255991698418</v>
      </c>
      <c r="CZ99" s="213">
        <f t="shared" si="203"/>
        <v>0.26335876206818842</v>
      </c>
      <c r="DA99" s="810">
        <f t="shared" si="203"/>
        <v>0.26346365216384121</v>
      </c>
      <c r="DB99" s="213">
        <f t="shared" si="203"/>
        <v>0.25257682154905203</v>
      </c>
      <c r="DC99" s="213">
        <f t="shared" si="203"/>
        <v>0.24421447071191191</v>
      </c>
      <c r="DD99" s="213">
        <f t="shared" ca="1" si="203"/>
        <v>0.25697900668531826</v>
      </c>
      <c r="DE99" s="213">
        <f ca="1">DE84/DE66</f>
        <v>0.26428991910745375</v>
      </c>
      <c r="DF99" s="810">
        <f t="shared" ca="1" si="203"/>
        <v>0.25446263811222564</v>
      </c>
      <c r="DG99" s="213">
        <f t="shared" si="188"/>
        <v>0.24842910163160067</v>
      </c>
      <c r="DH99" s="213">
        <f t="shared" ca="1" si="188"/>
        <v>0.24757843370842592</v>
      </c>
      <c r="DI99" s="213">
        <f t="shared" ref="DI99:DJ99" ca="1" si="204">DI84/DI66</f>
        <v>0.24899832599026511</v>
      </c>
      <c r="DJ99" s="213">
        <f t="shared" ca="1" si="204"/>
        <v>0.24562939806281109</v>
      </c>
      <c r="DK99" s="1385">
        <f t="shared" ref="DK99:DP99" ca="1" si="205">DK84/DK66</f>
        <v>0.2476532156213514</v>
      </c>
      <c r="DL99" s="213">
        <f t="shared" si="205"/>
        <v>0.24381501961213761</v>
      </c>
      <c r="DM99" s="213">
        <f t="shared" ref="DM99:DN99" si="206">DM84/DM66</f>
        <v>0.2469464524786904</v>
      </c>
      <c r="DN99" s="213">
        <f t="shared" si="206"/>
        <v>0.23973844256121438</v>
      </c>
      <c r="DO99" s="213">
        <f t="shared" ref="DO99:DQ99" si="207">DO84/DO66</f>
        <v>0.23325604846449496</v>
      </c>
      <c r="DP99" s="1385">
        <f t="shared" si="205"/>
        <v>0.24070408962696388</v>
      </c>
      <c r="DQ99" s="213">
        <f t="shared" si="207"/>
        <v>0.23079045200061385</v>
      </c>
      <c r="DR99" s="213">
        <f t="shared" ca="1" si="193"/>
        <v>0.24274176899691297</v>
      </c>
      <c r="DS99" s="213">
        <f t="shared" ca="1" si="193"/>
        <v>0.23870907499717012</v>
      </c>
      <c r="DT99" s="213">
        <f t="shared" si="193"/>
        <v>0.23284686107359021</v>
      </c>
      <c r="DU99" s="1385">
        <f t="shared" ca="1" si="193"/>
        <v>0.23629172672785714</v>
      </c>
      <c r="DV99" s="213">
        <f t="shared" ref="DV99:DZ99" si="208">DV84/DV66</f>
        <v>0.23364539359917075</v>
      </c>
      <c r="DW99" s="213">
        <f t="shared" ca="1" si="208"/>
        <v>0.24577384877367572</v>
      </c>
      <c r="DX99" s="213">
        <f t="shared" ca="1" si="208"/>
        <v>0.2408422400432961</v>
      </c>
      <c r="DY99" s="213">
        <f t="shared" si="208"/>
        <v>0.23584912617099962</v>
      </c>
      <c r="DZ99" s="1385">
        <f t="shared" ca="1" si="208"/>
        <v>0.23893018159625809</v>
      </c>
      <c r="EA99" s="213">
        <f t="shared" ref="EA99:EE99" si="209">EA84/EA66</f>
        <v>0.23649017415005957</v>
      </c>
      <c r="EB99" s="213">
        <f t="shared" ca="1" si="209"/>
        <v>0.24763038596513731</v>
      </c>
      <c r="EC99" s="213">
        <f t="shared" ca="1" si="209"/>
        <v>0.24259730110232325</v>
      </c>
      <c r="ED99" s="213">
        <f t="shared" si="209"/>
        <v>0.23748447124178435</v>
      </c>
      <c r="EE99" s="1385">
        <f t="shared" ca="1" si="209"/>
        <v>0.24095599132992582</v>
      </c>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row>
    <row r="100" spans="2:238" s="214" customFormat="1" ht="12.75" customHeight="1">
      <c r="B100" s="562"/>
      <c r="C100" s="208"/>
      <c r="D100" s="208"/>
      <c r="E100" s="209"/>
      <c r="F100" s="209"/>
      <c r="G100" s="209"/>
      <c r="H100" s="209"/>
      <c r="I100" s="209"/>
      <c r="J100" s="209"/>
      <c r="K100" s="210"/>
      <c r="L100" s="211"/>
      <c r="M100" s="211"/>
      <c r="N100" s="212"/>
      <c r="O100" s="209"/>
      <c r="P100" s="216"/>
      <c r="Q100" s="217"/>
      <c r="R100" s="217"/>
      <c r="S100" s="218"/>
      <c r="T100" s="209"/>
      <c r="U100" s="216"/>
      <c r="V100" s="217"/>
      <c r="W100" s="217"/>
      <c r="X100" s="218"/>
      <c r="Y100" s="209"/>
      <c r="Z100" s="216"/>
      <c r="AA100" s="217"/>
      <c r="AB100" s="217"/>
      <c r="AC100" s="218"/>
      <c r="AD100" s="209"/>
      <c r="AE100" s="216"/>
      <c r="AF100" s="217"/>
      <c r="AG100" s="217"/>
      <c r="AH100" s="218"/>
      <c r="AI100" s="209"/>
      <c r="AJ100" s="216"/>
      <c r="AK100" s="217"/>
      <c r="AL100" s="217"/>
      <c r="AM100" s="218"/>
      <c r="AN100" s="209"/>
      <c r="AO100" s="216"/>
      <c r="AP100" s="217"/>
      <c r="AQ100" s="217"/>
      <c r="AR100" s="218"/>
      <c r="AS100" s="209"/>
      <c r="AT100" s="216"/>
      <c r="AU100" s="217"/>
      <c r="AV100" s="217"/>
      <c r="AW100" s="218"/>
      <c r="AX100" s="209"/>
      <c r="AY100" s="216"/>
      <c r="AZ100" s="217"/>
      <c r="BA100" s="217"/>
      <c r="BB100" s="218"/>
      <c r="BC100" s="209"/>
      <c r="BD100" s="216"/>
      <c r="BE100" s="217"/>
      <c r="BF100" s="217"/>
      <c r="BG100" s="218"/>
      <c r="BH100" s="209"/>
      <c r="BI100" s="216"/>
      <c r="BJ100" s="217"/>
      <c r="BK100" s="217"/>
      <c r="BL100" s="218"/>
      <c r="BM100" s="209"/>
      <c r="BN100" s="216"/>
      <c r="BO100" s="217"/>
      <c r="BP100" s="217"/>
      <c r="BQ100" s="218"/>
      <c r="BR100" s="209"/>
      <c r="BS100" s="210"/>
      <c r="BT100" s="211"/>
      <c r="BU100" s="211"/>
      <c r="BV100" s="212"/>
      <c r="BW100" s="209"/>
      <c r="BX100" s="210"/>
      <c r="BY100" s="211"/>
      <c r="BZ100" s="211"/>
      <c r="CA100" s="212"/>
      <c r="CB100" s="209"/>
      <c r="CC100" s="216"/>
      <c r="CD100" s="217"/>
      <c r="CE100" s="217"/>
      <c r="CF100" s="217"/>
      <c r="CG100" s="810"/>
      <c r="CH100" s="217"/>
      <c r="CI100" s="217"/>
      <c r="CJ100" s="217"/>
      <c r="CK100" s="211"/>
      <c r="CL100" s="810"/>
      <c r="CM100" s="213"/>
      <c r="CN100" s="213"/>
      <c r="CO100" s="213"/>
      <c r="CP100" s="213"/>
      <c r="CQ100" s="810"/>
      <c r="CR100" s="213"/>
      <c r="CS100" s="213"/>
      <c r="CT100" s="213"/>
      <c r="CU100" s="213"/>
      <c r="CV100" s="810"/>
      <c r="CW100" s="213"/>
      <c r="CX100" s="213"/>
      <c r="CY100" s="213"/>
      <c r="CZ100" s="213"/>
      <c r="DA100" s="810"/>
      <c r="DB100" s="213"/>
      <c r="DC100" s="213"/>
      <c r="DD100" s="213"/>
      <c r="DE100" s="213"/>
      <c r="DF100" s="810"/>
      <c r="DG100" s="213"/>
      <c r="DH100" s="213"/>
      <c r="DI100" s="213"/>
      <c r="DJ100" s="213"/>
      <c r="DK100" s="1385"/>
      <c r="DL100" s="213"/>
      <c r="DM100" s="213"/>
      <c r="DN100" s="213"/>
      <c r="DO100" s="213"/>
      <c r="DP100" s="1385"/>
      <c r="DQ100" s="213"/>
      <c r="DR100" s="213"/>
      <c r="DS100" s="213"/>
      <c r="DT100" s="213"/>
      <c r="DU100" s="1385"/>
      <c r="DV100" s="213"/>
      <c r="DW100" s="213"/>
      <c r="DX100" s="213"/>
      <c r="DY100" s="213"/>
      <c r="DZ100" s="1385">
        <f ca="1">DZ99-DU99</f>
        <v>2.6384548684009468E-3</v>
      </c>
      <c r="EA100" s="213"/>
      <c r="EB100" s="213"/>
      <c r="EC100" s="213"/>
      <c r="ED100" s="213"/>
      <c r="EE100" s="1385">
        <f ca="1">EE99-DZ99</f>
        <v>2.0258097336677272E-3</v>
      </c>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row>
    <row r="101" spans="2:238" s="228" customFormat="1" ht="12.75" customHeight="1">
      <c r="B101" s="564" t="s">
        <v>257</v>
      </c>
      <c r="C101" s="219"/>
      <c r="D101" s="219"/>
      <c r="E101" s="220"/>
      <c r="F101" s="220"/>
      <c r="G101" s="220">
        <f>G99-F99</f>
        <v>-1.0000000000000009E-2</v>
      </c>
      <c r="H101" s="220">
        <f>H99-G99</f>
        <v>0</v>
      </c>
      <c r="I101" s="220">
        <f>I99-H99</f>
        <v>-3.0000000000000582E-3</v>
      </c>
      <c r="J101" s="220">
        <f>J99-I99</f>
        <v>-5.9999999999999498E-3</v>
      </c>
      <c r="K101" s="221"/>
      <c r="L101" s="222"/>
      <c r="M101" s="222"/>
      <c r="N101" s="223"/>
      <c r="O101" s="220">
        <f>O99-J99</f>
        <v>-0.121</v>
      </c>
      <c r="P101" s="221"/>
      <c r="Q101" s="222"/>
      <c r="R101" s="222"/>
      <c r="S101" s="223"/>
      <c r="T101" s="220">
        <f>T99-O99</f>
        <v>0.11676024114676953</v>
      </c>
      <c r="U101" s="221"/>
      <c r="V101" s="222"/>
      <c r="W101" s="222"/>
      <c r="X101" s="223"/>
      <c r="Y101" s="220">
        <f>Y99-T99</f>
        <v>-1.525977360663755E-2</v>
      </c>
      <c r="Z101" s="221"/>
      <c r="AA101" s="222"/>
      <c r="AB101" s="222"/>
      <c r="AC101" s="223"/>
      <c r="AD101" s="220">
        <f>AD99-Y99</f>
        <v>-1.8528649235182548E-2</v>
      </c>
      <c r="AE101" s="221"/>
      <c r="AF101" s="222"/>
      <c r="AG101" s="222"/>
      <c r="AH101" s="223"/>
      <c r="AI101" s="220">
        <f>AI99-AD99</f>
        <v>-1.2755088058906294E-2</v>
      </c>
      <c r="AJ101" s="221"/>
      <c r="AK101" s="222"/>
      <c r="AL101" s="222"/>
      <c r="AM101" s="223"/>
      <c r="AN101" s="220">
        <f>AN99-AI99</f>
        <v>-1.6484044039180273E-2</v>
      </c>
      <c r="AO101" s="221"/>
      <c r="AP101" s="222"/>
      <c r="AQ101" s="222"/>
      <c r="AR101" s="223"/>
      <c r="AS101" s="220">
        <f>AS99-AN99</f>
        <v>-5.4332146696032257E-3</v>
      </c>
      <c r="AT101" s="221"/>
      <c r="AU101" s="222"/>
      <c r="AV101" s="222"/>
      <c r="AW101" s="223"/>
      <c r="AX101" s="220">
        <f>AX99-AS99</f>
        <v>1.1507603865809429E-2</v>
      </c>
      <c r="AY101" s="221"/>
      <c r="AZ101" s="222"/>
      <c r="BA101" s="222"/>
      <c r="BB101" s="223"/>
      <c r="BC101" s="220">
        <f>BC99-AX99</f>
        <v>2.8274761322100717E-3</v>
      </c>
      <c r="BD101" s="221"/>
      <c r="BE101" s="222"/>
      <c r="BF101" s="222"/>
      <c r="BG101" s="223"/>
      <c r="BH101" s="220">
        <f>BH99-BC99</f>
        <v>1.075469687052516E-2</v>
      </c>
      <c r="BI101" s="221"/>
      <c r="BJ101" s="222"/>
      <c r="BK101" s="222"/>
      <c r="BL101" s="223"/>
      <c r="BM101" s="220">
        <f>BM99-BH99</f>
        <v>6.8016060605726736E-3</v>
      </c>
      <c r="BN101" s="221"/>
      <c r="BO101" s="222"/>
      <c r="BP101" s="222"/>
      <c r="BQ101" s="223"/>
      <c r="BR101" s="220">
        <f>BR99-BM99</f>
        <v>-1.0395396363007459E-2</v>
      </c>
      <c r="BS101" s="221"/>
      <c r="BT101" s="222"/>
      <c r="BU101" s="222"/>
      <c r="BV101" s="223"/>
      <c r="BW101" s="220">
        <f t="shared" ref="BW101:DQ101" si="210">BW99-BR99</f>
        <v>-4.9711725294574738E-3</v>
      </c>
      <c r="BX101" s="224">
        <f t="shared" si="210"/>
        <v>2.1437367172053023E-4</v>
      </c>
      <c r="BY101" s="225">
        <f t="shared" si="210"/>
        <v>6.7845232354296625E-4</v>
      </c>
      <c r="BZ101" s="225">
        <f t="shared" si="210"/>
        <v>3.3800335117295244E-3</v>
      </c>
      <c r="CA101" s="226">
        <f t="shared" si="210"/>
        <v>6.8250586197178831E-3</v>
      </c>
      <c r="CB101" s="225">
        <f t="shared" si="210"/>
        <v>2.8057102405798784E-3</v>
      </c>
      <c r="CC101" s="224">
        <f t="shared" si="210"/>
        <v>5.073362892868083E-3</v>
      </c>
      <c r="CD101" s="225">
        <f t="shared" si="210"/>
        <v>-3.1392664857882169E-5</v>
      </c>
      <c r="CE101" s="225">
        <f t="shared" si="210"/>
        <v>-3.4300932740059242E-3</v>
      </c>
      <c r="CF101" s="225">
        <f t="shared" si="210"/>
        <v>2.583048716084696E-3</v>
      </c>
      <c r="CG101" s="811">
        <f t="shared" si="210"/>
        <v>1.0008582776733499E-3</v>
      </c>
      <c r="CH101" s="225">
        <f t="shared" si="210"/>
        <v>2.440962752901954E-3</v>
      </c>
      <c r="CI101" s="225">
        <f t="shared" si="210"/>
        <v>-3.0035004634609841E-5</v>
      </c>
      <c r="CJ101" s="225">
        <f t="shared" si="210"/>
        <v>4.6653717614410783E-3</v>
      </c>
      <c r="CK101" s="225">
        <f t="shared" si="210"/>
        <v>2.8353088206478638E-5</v>
      </c>
      <c r="CL101" s="811">
        <f t="shared" si="210"/>
        <v>1.7835649295942224E-3</v>
      </c>
      <c r="CM101" s="227">
        <f t="shared" si="210"/>
        <v>-8.5793688458632167E-3</v>
      </c>
      <c r="CN101" s="227">
        <f t="shared" si="210"/>
        <v>-2.6506920754965635E-3</v>
      </c>
      <c r="CO101" s="227">
        <f t="shared" si="210"/>
        <v>4.1165843005611102E-4</v>
      </c>
      <c r="CP101" s="227">
        <f t="shared" si="210"/>
        <v>5.9795113375874509E-3</v>
      </c>
      <c r="CQ101" s="811">
        <f t="shared" si="210"/>
        <v>-1.3585382115810507E-3</v>
      </c>
      <c r="CR101" s="227">
        <f t="shared" si="210"/>
        <v>1.9585552466326567E-2</v>
      </c>
      <c r="CS101" s="227">
        <f t="shared" si="210"/>
        <v>1.9562248407283989E-2</v>
      </c>
      <c r="CT101" s="227">
        <f t="shared" si="210"/>
        <v>2.4430321866829335E-2</v>
      </c>
      <c r="CU101" s="227">
        <f t="shared" si="210"/>
        <v>1.5207371187307139E-2</v>
      </c>
      <c r="CV101" s="811">
        <f t="shared" si="210"/>
        <v>1.9916831538000779E-2</v>
      </c>
      <c r="CW101" s="227">
        <f t="shared" si="210"/>
        <v>2.7535934465827694E-4</v>
      </c>
      <c r="CX101" s="227">
        <f t="shared" si="210"/>
        <v>-5.8987138025963226E-3</v>
      </c>
      <c r="CY101" s="227">
        <f t="shared" si="210"/>
        <v>-5.9442399008608482E-3</v>
      </c>
      <c r="CZ101" s="227">
        <f t="shared" si="210"/>
        <v>-1.0300425090868925E-2</v>
      </c>
      <c r="DA101" s="811">
        <f t="shared" si="210"/>
        <v>-5.5090601843379994E-3</v>
      </c>
      <c r="DB101" s="227">
        <f t="shared" si="210"/>
        <v>-1.1588395217795644E-2</v>
      </c>
      <c r="DC101" s="227">
        <f t="shared" si="210"/>
        <v>-1.4372426193063809E-2</v>
      </c>
      <c r="DD101" s="227">
        <f t="shared" ca="1" si="210"/>
        <v>-1.0683553231665921E-2</v>
      </c>
      <c r="DE101" s="227">
        <f t="shared" ca="1" si="210"/>
        <v>9.31157039265329E-4</v>
      </c>
      <c r="DF101" s="811">
        <f t="shared" ca="1" si="210"/>
        <v>-9.0010140516155746E-3</v>
      </c>
      <c r="DG101" s="227">
        <f t="shared" si="210"/>
        <v>-4.147719917451359E-3</v>
      </c>
      <c r="DH101" s="227">
        <f t="shared" ca="1" si="210"/>
        <v>3.3639629965140083E-3</v>
      </c>
      <c r="DI101" s="227">
        <f t="shared" ca="1" si="210"/>
        <v>-7.9806806950531439E-3</v>
      </c>
      <c r="DJ101" s="227">
        <f t="shared" ca="1" si="210"/>
        <v>-1.8660521044642664E-2</v>
      </c>
      <c r="DK101" s="1387">
        <f t="shared" ca="1" si="210"/>
        <v>-6.8094224908742396E-3</v>
      </c>
      <c r="DL101" s="227">
        <f t="shared" si="210"/>
        <v>-4.6140820194630616E-3</v>
      </c>
      <c r="DM101" s="227">
        <f t="shared" ca="1" si="210"/>
        <v>-6.3198122973551207E-4</v>
      </c>
      <c r="DN101" s="227">
        <f t="shared" ca="1" si="210"/>
        <v>-9.2598834290507359E-3</v>
      </c>
      <c r="DO101" s="227">
        <f t="shared" ca="1" si="210"/>
        <v>-1.2373349598316125E-2</v>
      </c>
      <c r="DP101" s="1387">
        <f t="shared" ref="DP101:DU101" ca="1" si="211">DP99-DK99</f>
        <v>-6.9491259943875172E-3</v>
      </c>
      <c r="DQ101" s="227">
        <f t="shared" si="210"/>
        <v>-1.3024567611523763E-2</v>
      </c>
      <c r="DR101" s="227">
        <f t="shared" ca="1" si="211"/>
        <v>-4.2046834817774381E-3</v>
      </c>
      <c r="DS101" s="227">
        <f t="shared" ca="1" si="211"/>
        <v>-1.029367564044259E-3</v>
      </c>
      <c r="DT101" s="227">
        <f t="shared" si="211"/>
        <v>-4.0918739090475831E-4</v>
      </c>
      <c r="DU101" s="1387">
        <f t="shared" ca="1" si="211"/>
        <v>-4.4123628991067365E-3</v>
      </c>
      <c r="DV101" s="227">
        <f t="shared" ref="DV101" si="212">DV99-DQ99</f>
        <v>2.8549415985568982E-3</v>
      </c>
      <c r="DW101" s="227">
        <f t="shared" ref="DW101" ca="1" si="213">DW99-DR99</f>
        <v>3.0320797767627583E-3</v>
      </c>
      <c r="DX101" s="227">
        <f t="shared" ref="DX101" ca="1" si="214">DX99-DS99</f>
        <v>2.1331650461259843E-3</v>
      </c>
      <c r="DY101" s="227">
        <f t="shared" ref="DY101" si="215">DY99-DT99</f>
        <v>3.0022650974094178E-3</v>
      </c>
      <c r="DZ101" s="1387">
        <f t="shared" ref="DZ101" ca="1" si="216">DZ99-DU99</f>
        <v>2.6384548684009468E-3</v>
      </c>
      <c r="EA101" s="227">
        <f t="shared" ref="EA101" si="217">EA99-DV99</f>
        <v>2.8447805508888258E-3</v>
      </c>
      <c r="EB101" s="227">
        <f t="shared" ref="EB101" ca="1" si="218">EB99-DW99</f>
        <v>1.856537191461588E-3</v>
      </c>
      <c r="EC101" s="227">
        <f t="shared" ref="EC101" ca="1" si="219">EC99-DX99</f>
        <v>1.7550610590271465E-3</v>
      </c>
      <c r="ED101" s="227">
        <f t="shared" ref="ED101" si="220">ED99-DY99</f>
        <v>1.6353450707847217E-3</v>
      </c>
      <c r="EE101" s="1387">
        <f t="shared" ref="EE101" ca="1" si="221">EE99-DZ99</f>
        <v>2.0258097336677272E-3</v>
      </c>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row>
    <row r="102" spans="2:238" s="228" customFormat="1" ht="12.75" customHeight="1">
      <c r="B102" s="564" t="s">
        <v>260</v>
      </c>
      <c r="C102" s="219"/>
      <c r="D102" s="219"/>
      <c r="E102" s="220"/>
      <c r="F102" s="220"/>
      <c r="G102" s="220"/>
      <c r="H102" s="220"/>
      <c r="I102" s="220"/>
      <c r="J102" s="220"/>
      <c r="K102" s="221"/>
      <c r="L102" s="222"/>
      <c r="M102" s="222"/>
      <c r="N102" s="223"/>
      <c r="O102" s="220"/>
      <c r="P102" s="221"/>
      <c r="Q102" s="222"/>
      <c r="R102" s="222"/>
      <c r="S102" s="223"/>
      <c r="T102" s="220"/>
      <c r="U102" s="221"/>
      <c r="V102" s="222"/>
      <c r="W102" s="222"/>
      <c r="X102" s="223"/>
      <c r="Y102" s="220"/>
      <c r="Z102" s="221"/>
      <c r="AA102" s="222"/>
      <c r="AB102" s="222"/>
      <c r="AC102" s="223"/>
      <c r="AD102" s="220"/>
      <c r="AE102" s="221"/>
      <c r="AF102" s="222"/>
      <c r="AG102" s="222"/>
      <c r="AH102" s="223"/>
      <c r="AI102" s="220"/>
      <c r="AJ102" s="221"/>
      <c r="AK102" s="222"/>
      <c r="AL102" s="222"/>
      <c r="AM102" s="223"/>
      <c r="AN102" s="220"/>
      <c r="AO102" s="221"/>
      <c r="AP102" s="222"/>
      <c r="AQ102" s="222"/>
      <c r="AR102" s="223"/>
      <c r="AS102" s="220"/>
      <c r="AT102" s="221"/>
      <c r="AU102" s="222"/>
      <c r="AV102" s="222"/>
      <c r="AW102" s="223"/>
      <c r="AX102" s="220"/>
      <c r="AY102" s="221"/>
      <c r="AZ102" s="222"/>
      <c r="BA102" s="222"/>
      <c r="BB102" s="223"/>
      <c r="BC102" s="220"/>
      <c r="BD102" s="221"/>
      <c r="BE102" s="222"/>
      <c r="BF102" s="222"/>
      <c r="BG102" s="223"/>
      <c r="BH102" s="220"/>
      <c r="BI102" s="221"/>
      <c r="BJ102" s="222"/>
      <c r="BK102" s="222"/>
      <c r="BL102" s="223"/>
      <c r="BM102" s="220"/>
      <c r="BN102" s="221"/>
      <c r="BO102" s="222"/>
      <c r="BP102" s="222"/>
      <c r="BQ102" s="223"/>
      <c r="BR102" s="220"/>
      <c r="BS102" s="221"/>
      <c r="BT102" s="222"/>
      <c r="BU102" s="222"/>
      <c r="BV102" s="223"/>
      <c r="BW102" s="220"/>
      <c r="BX102" s="224"/>
      <c r="BY102" s="225"/>
      <c r="BZ102" s="225"/>
      <c r="CA102" s="226"/>
      <c r="CB102" s="225"/>
      <c r="CC102" s="224"/>
      <c r="CD102" s="225"/>
      <c r="CE102" s="225"/>
      <c r="CF102" s="225"/>
      <c r="CG102" s="811"/>
      <c r="CH102" s="225"/>
      <c r="CI102" s="225"/>
      <c r="CJ102" s="225"/>
      <c r="CK102" s="225"/>
      <c r="CL102" s="811"/>
      <c r="CM102" s="227">
        <f>CM99-CK99</f>
        <v>-8.1679996782999253E-3</v>
      </c>
      <c r="CN102" s="227">
        <f>CN99-CM99</f>
        <v>6.1905734442521676E-4</v>
      </c>
      <c r="CO102" s="227">
        <f>CO99-CN99</f>
        <v>4.2531156507276402E-3</v>
      </c>
      <c r="CP102" s="227">
        <f>CP99-CO99</f>
        <v>9.2753380207345193E-3</v>
      </c>
      <c r="CQ102" s="811"/>
      <c r="CR102" s="227">
        <f>CR99-CP99</f>
        <v>5.4380414504391905E-3</v>
      </c>
      <c r="CS102" s="227">
        <f>CS99-CR99</f>
        <v>5.9575328538263861E-4</v>
      </c>
      <c r="CT102" s="227">
        <f>CT99-CS99</f>
        <v>9.121189110272987E-3</v>
      </c>
      <c r="CU102" s="227">
        <f>CU99-CT99</f>
        <v>5.2387341212323246E-5</v>
      </c>
      <c r="CV102" s="811"/>
      <c r="CW102" s="227">
        <f>CW99-CU99</f>
        <v>-9.4939703922096719E-3</v>
      </c>
      <c r="CX102" s="227">
        <f>CX99-CW99</f>
        <v>-5.5783198618719609E-3</v>
      </c>
      <c r="CY102" s="227">
        <f>CY99-CX99</f>
        <v>9.0756630120084614E-3</v>
      </c>
      <c r="CZ102" s="227">
        <f>CZ99-CY99</f>
        <v>-4.303797848795754E-3</v>
      </c>
      <c r="DA102" s="811"/>
      <c r="DB102" s="227">
        <f>DB99-CZ99</f>
        <v>-1.078194051913639E-2</v>
      </c>
      <c r="DC102" s="227">
        <f>DC99-DB99</f>
        <v>-8.3623508371401256E-3</v>
      </c>
      <c r="DD102" s="227">
        <f ca="1">DD99-DC99</f>
        <v>1.2764535973406349E-2</v>
      </c>
      <c r="DE102" s="227">
        <f ca="1">DE99-DD99</f>
        <v>7.310912422135496E-3</v>
      </c>
      <c r="DF102" s="811"/>
      <c r="DG102" s="227">
        <f ca="1">DG99-DF99</f>
        <v>-6.0335364806249625E-3</v>
      </c>
      <c r="DH102" s="227">
        <f ca="1">DH99-DG99</f>
        <v>-8.5066792317475826E-4</v>
      </c>
      <c r="DI102" s="227">
        <f ca="1">DI99-DH99</f>
        <v>1.4198922818391968E-3</v>
      </c>
      <c r="DJ102" s="227">
        <f ca="1">DJ99-DI99</f>
        <v>-3.368927927454024E-3</v>
      </c>
      <c r="DK102" s="1387"/>
      <c r="DL102" s="227">
        <f ca="1">DL99-DK99</f>
        <v>-3.8381960092137846E-3</v>
      </c>
      <c r="DM102" s="227">
        <f>DM99-DL99</f>
        <v>3.1314328665527913E-3</v>
      </c>
      <c r="DN102" s="227">
        <f>DN99-DM99</f>
        <v>-7.208009917476027E-3</v>
      </c>
      <c r="DO102" s="227">
        <f>DO99-DN99</f>
        <v>-6.4823940967194127E-3</v>
      </c>
      <c r="DP102" s="1387"/>
      <c r="DQ102" s="227">
        <f>DQ99-DP99</f>
        <v>-9.9136376263500303E-3</v>
      </c>
      <c r="DR102" s="227">
        <f ca="1">DR99-DQ99</f>
        <v>1.1951316996299116E-2</v>
      </c>
      <c r="DS102" s="227">
        <f ca="1">DS99-DR99</f>
        <v>-4.0326939997428479E-3</v>
      </c>
      <c r="DT102" s="227">
        <f ca="1">DT99-DS99</f>
        <v>-5.862213923579912E-3</v>
      </c>
      <c r="DU102" s="1387"/>
      <c r="DV102" s="227">
        <f ca="1">DV99-DU99</f>
        <v>-2.6463331286863956E-3</v>
      </c>
      <c r="DW102" s="227">
        <f ca="1">DW99-DV99</f>
        <v>1.2128455174504976E-2</v>
      </c>
      <c r="DX102" s="227">
        <f ca="1">DX99-DW99</f>
        <v>-4.9316087303796219E-3</v>
      </c>
      <c r="DY102" s="227">
        <f ca="1">DY99-DX99</f>
        <v>-4.9931138722964785E-3</v>
      </c>
      <c r="DZ102" s="1387"/>
      <c r="EA102" s="227">
        <f ca="1">EA99-DZ99</f>
        <v>-2.4400074461985166E-3</v>
      </c>
      <c r="EB102" s="227">
        <f ca="1">EB99-EA99</f>
        <v>1.1140211815077738E-2</v>
      </c>
      <c r="EC102" s="227">
        <f ca="1">EC99-EB99</f>
        <v>-5.0330848628140634E-3</v>
      </c>
      <c r="ED102" s="227">
        <f ca="1">ED99-EC99</f>
        <v>-5.1128298605389033E-3</v>
      </c>
      <c r="EE102" s="1387"/>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row>
    <row r="103" spans="2:238" s="228" customFormat="1" ht="12.75" customHeight="1">
      <c r="B103" s="564"/>
      <c r="C103" s="219"/>
      <c r="D103" s="219"/>
      <c r="E103" s="220"/>
      <c r="F103" s="220"/>
      <c r="G103" s="220"/>
      <c r="H103" s="220"/>
      <c r="I103" s="220"/>
      <c r="J103" s="220"/>
      <c r="K103" s="221"/>
      <c r="L103" s="222"/>
      <c r="M103" s="222"/>
      <c r="N103" s="223"/>
      <c r="O103" s="220"/>
      <c r="P103" s="221"/>
      <c r="Q103" s="222"/>
      <c r="R103" s="222"/>
      <c r="S103" s="223"/>
      <c r="T103" s="220"/>
      <c r="U103" s="221"/>
      <c r="V103" s="222"/>
      <c r="W103" s="222"/>
      <c r="X103" s="223"/>
      <c r="Y103" s="220"/>
      <c r="Z103" s="221"/>
      <c r="AA103" s="222"/>
      <c r="AB103" s="222"/>
      <c r="AC103" s="223"/>
      <c r="AD103" s="220"/>
      <c r="AE103" s="221"/>
      <c r="AF103" s="222"/>
      <c r="AG103" s="222"/>
      <c r="AH103" s="223"/>
      <c r="AI103" s="220"/>
      <c r="AJ103" s="221"/>
      <c r="AK103" s="222"/>
      <c r="AL103" s="222"/>
      <c r="AM103" s="223"/>
      <c r="AN103" s="220"/>
      <c r="AO103" s="221"/>
      <c r="AP103" s="222"/>
      <c r="AQ103" s="222"/>
      <c r="AR103" s="223"/>
      <c r="AS103" s="220"/>
      <c r="AT103" s="221"/>
      <c r="AU103" s="222"/>
      <c r="AV103" s="222"/>
      <c r="AW103" s="223"/>
      <c r="AX103" s="220"/>
      <c r="AY103" s="221"/>
      <c r="AZ103" s="222"/>
      <c r="BA103" s="222"/>
      <c r="BB103" s="223"/>
      <c r="BC103" s="220"/>
      <c r="BD103" s="221"/>
      <c r="BE103" s="222"/>
      <c r="BF103" s="222"/>
      <c r="BG103" s="223"/>
      <c r="BH103" s="220"/>
      <c r="BI103" s="221"/>
      <c r="BJ103" s="222"/>
      <c r="BK103" s="222"/>
      <c r="BL103" s="223"/>
      <c r="BM103" s="220"/>
      <c r="BN103" s="221"/>
      <c r="BO103" s="222"/>
      <c r="BP103" s="222"/>
      <c r="BQ103" s="223"/>
      <c r="BR103" s="220"/>
      <c r="BS103" s="221"/>
      <c r="BT103" s="222"/>
      <c r="BU103" s="222"/>
      <c r="BV103" s="223"/>
      <c r="BW103" s="220"/>
      <c r="BX103" s="224"/>
      <c r="BY103" s="225"/>
      <c r="BZ103" s="225"/>
      <c r="CA103" s="226"/>
      <c r="CB103" s="225"/>
      <c r="CC103" s="224"/>
      <c r="CD103" s="225"/>
      <c r="CE103" s="225"/>
      <c r="CF103" s="225"/>
      <c r="CG103" s="811"/>
      <c r="CH103" s="225"/>
      <c r="CI103" s="225"/>
      <c r="CJ103" s="225"/>
      <c r="CK103" s="225"/>
      <c r="CL103" s="811"/>
      <c r="CM103" s="227"/>
      <c r="CN103" s="227"/>
      <c r="CO103" s="227"/>
      <c r="CP103" s="227"/>
      <c r="CQ103" s="811"/>
      <c r="CR103" s="227"/>
      <c r="CS103" s="227"/>
      <c r="CT103" s="227"/>
      <c r="CU103" s="227"/>
      <c r="CV103" s="811"/>
      <c r="CW103" s="227"/>
      <c r="CX103" s="227"/>
      <c r="CY103" s="227"/>
      <c r="CZ103" s="227"/>
      <c r="DA103" s="811"/>
      <c r="DB103" s="227"/>
      <c r="DC103" s="227"/>
      <c r="DD103" s="227"/>
      <c r="DE103" s="227"/>
      <c r="DF103" s="811"/>
      <c r="DG103" s="227"/>
      <c r="DH103" s="227"/>
      <c r="DI103" s="227"/>
      <c r="DJ103" s="227"/>
      <c r="DK103" s="1387"/>
      <c r="DL103" s="227"/>
      <c r="DM103" s="227"/>
      <c r="DN103" s="227"/>
      <c r="DO103" s="227"/>
      <c r="DP103" s="1387"/>
      <c r="DQ103" s="227"/>
      <c r="DR103" s="227"/>
      <c r="DS103" s="227"/>
      <c r="DT103" s="227"/>
      <c r="DU103" s="1387"/>
      <c r="DV103" s="227"/>
      <c r="DW103" s="227"/>
      <c r="DX103" s="227"/>
      <c r="DY103" s="227"/>
      <c r="DZ103" s="1387"/>
      <c r="EA103" s="227"/>
      <c r="EB103" s="227"/>
      <c r="EC103" s="227"/>
      <c r="ED103" s="227"/>
      <c r="EE103" s="1387"/>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row>
    <row r="104" spans="2:238" s="228" customFormat="1" ht="12.75" customHeight="1">
      <c r="B104" s="564" t="s">
        <v>258</v>
      </c>
      <c r="C104" s="219"/>
      <c r="D104" s="219"/>
      <c r="E104" s="220"/>
      <c r="F104" s="220"/>
      <c r="G104" s="220"/>
      <c r="H104" s="220"/>
      <c r="I104" s="220"/>
      <c r="J104" s="220"/>
      <c r="K104" s="221"/>
      <c r="L104" s="222"/>
      <c r="M104" s="222"/>
      <c r="N104" s="223"/>
      <c r="O104" s="220"/>
      <c r="P104" s="221"/>
      <c r="Q104" s="222"/>
      <c r="R104" s="222"/>
      <c r="S104" s="223"/>
      <c r="T104" s="220"/>
      <c r="U104" s="221"/>
      <c r="V104" s="222"/>
      <c r="W104" s="222"/>
      <c r="X104" s="223"/>
      <c r="Y104" s="220"/>
      <c r="Z104" s="221"/>
      <c r="AA104" s="222"/>
      <c r="AB104" s="222"/>
      <c r="AC104" s="223"/>
      <c r="AD104" s="220"/>
      <c r="AE104" s="221"/>
      <c r="AF104" s="222"/>
      <c r="AG104" s="222"/>
      <c r="AH104" s="223"/>
      <c r="AI104" s="220"/>
      <c r="AJ104" s="221"/>
      <c r="AK104" s="222"/>
      <c r="AL104" s="222"/>
      <c r="AM104" s="223"/>
      <c r="AN104" s="220"/>
      <c r="AO104" s="221"/>
      <c r="AP104" s="222"/>
      <c r="AQ104" s="222"/>
      <c r="AR104" s="223"/>
      <c r="AS104" s="220"/>
      <c r="AT104" s="221"/>
      <c r="AU104" s="222"/>
      <c r="AV104" s="222"/>
      <c r="AW104" s="223"/>
      <c r="AX104" s="220"/>
      <c r="AY104" s="221"/>
      <c r="AZ104" s="222"/>
      <c r="BA104" s="222"/>
      <c r="BB104" s="223"/>
      <c r="BC104" s="220"/>
      <c r="BD104" s="221"/>
      <c r="BE104" s="222"/>
      <c r="BF104" s="222"/>
      <c r="BG104" s="223"/>
      <c r="BH104" s="220"/>
      <c r="BI104" s="221"/>
      <c r="BJ104" s="222"/>
      <c r="BK104" s="222"/>
      <c r="BL104" s="223"/>
      <c r="BM104" s="220"/>
      <c r="BN104" s="221"/>
      <c r="BO104" s="222"/>
      <c r="BP104" s="222"/>
      <c r="BQ104" s="223"/>
      <c r="BR104" s="220"/>
      <c r="BS104" s="221"/>
      <c r="BT104" s="222"/>
      <c r="BU104" s="222"/>
      <c r="BV104" s="223"/>
      <c r="BW104" s="220"/>
      <c r="BX104" s="224"/>
      <c r="BY104" s="225"/>
      <c r="BZ104" s="225"/>
      <c r="CA104" s="226"/>
      <c r="CB104" s="225"/>
      <c r="CC104" s="224"/>
      <c r="CD104" s="225"/>
      <c r="CE104" s="225"/>
      <c r="CF104" s="225"/>
      <c r="CG104" s="811"/>
      <c r="CH104" s="225"/>
      <c r="CI104" s="225"/>
      <c r="CJ104" s="225"/>
      <c r="CK104" s="225"/>
      <c r="CL104" s="811"/>
      <c r="CM104" s="227">
        <f t="shared" ref="CM104:DQ104" si="222">CM97-CH97</f>
        <v>-9.0203171370969448E-3</v>
      </c>
      <c r="CN104" s="227">
        <f t="shared" si="222"/>
        <v>9.5600924683348909E-3</v>
      </c>
      <c r="CO104" s="227">
        <f t="shared" si="222"/>
        <v>1.3610015267235265E-2</v>
      </c>
      <c r="CP104" s="227">
        <f t="shared" si="222"/>
        <v>5.0738581250000525E-3</v>
      </c>
      <c r="CQ104" s="811">
        <f t="shared" si="222"/>
        <v>4.6666880687262768E-3</v>
      </c>
      <c r="CR104" s="227">
        <f t="shared" si="222"/>
        <v>1.3701575420844714E-2</v>
      </c>
      <c r="CS104" s="227">
        <f t="shared" si="222"/>
        <v>1.4947804665468412E-2</v>
      </c>
      <c r="CT104" s="227">
        <f t="shared" si="222"/>
        <v>1.1831942882673196E-2</v>
      </c>
      <c r="CU104" s="227">
        <f t="shared" si="222"/>
        <v>1.6021349974290611E-2</v>
      </c>
      <c r="CV104" s="811">
        <f t="shared" si="222"/>
        <v>1.4541456418277976E-2</v>
      </c>
      <c r="CW104" s="227">
        <f t="shared" si="222"/>
        <v>9.5414271417504359E-3</v>
      </c>
      <c r="CX104" s="227">
        <f t="shared" si="222"/>
        <v>7.3034710518130597E-3</v>
      </c>
      <c r="CY104" s="227">
        <f t="shared" si="222"/>
        <v>6.5862478684823866E-3</v>
      </c>
      <c r="CZ104" s="227">
        <f t="shared" si="222"/>
        <v>1.5295633268033182E-3</v>
      </c>
      <c r="DA104" s="811">
        <f t="shared" si="222"/>
        <v>6.1961420762149944E-3</v>
      </c>
      <c r="DB104" s="227">
        <f t="shared" si="222"/>
        <v>-4.2031996861069398E-4</v>
      </c>
      <c r="DC104" s="227">
        <f t="shared" si="222"/>
        <v>-2.1422336753684768E-4</v>
      </c>
      <c r="DD104" s="227">
        <f t="shared" si="222"/>
        <v>1.3958240400236965E-3</v>
      </c>
      <c r="DE104" s="227">
        <f t="shared" si="222"/>
        <v>5.4482387651183517E-3</v>
      </c>
      <c r="DF104" s="811">
        <f t="shared" si="222"/>
        <v>1.5023343132030131E-3</v>
      </c>
      <c r="DG104" s="227">
        <f t="shared" si="222"/>
        <v>-2.2029188549682943E-2</v>
      </c>
      <c r="DH104" s="227">
        <f t="shared" si="222"/>
        <v>5.0232365373739096E-3</v>
      </c>
      <c r="DI104" s="227">
        <f t="shared" si="222"/>
        <v>-4.4009159207229254E-2</v>
      </c>
      <c r="DJ104" s="227">
        <f t="shared" si="222"/>
        <v>-5.1854234997150028E-2</v>
      </c>
      <c r="DK104" s="1387">
        <f t="shared" si="222"/>
        <v>-2.8730878541648242E-2</v>
      </c>
      <c r="DL104" s="227">
        <f t="shared" si="222"/>
        <v>-1.6004754422680123E-2</v>
      </c>
      <c r="DM104" s="227">
        <f t="shared" si="222"/>
        <v>5.55609899668289E-2</v>
      </c>
      <c r="DN104" s="227">
        <f t="shared" si="222"/>
        <v>1.6573137057910081E-2</v>
      </c>
      <c r="DO104" s="227">
        <f t="shared" si="222"/>
        <v>1.6999159149843956E-2</v>
      </c>
      <c r="DP104" s="1387">
        <f t="shared" ref="DP104:DU104" si="223">DP97-DK97</f>
        <v>1.6887374122547816E-2</v>
      </c>
      <c r="DQ104" s="227">
        <f t="shared" si="222"/>
        <v>1.6425932170645474E-2</v>
      </c>
      <c r="DR104" s="227">
        <f t="shared" ca="1" si="223"/>
        <v>4.3180551985089743E-2</v>
      </c>
      <c r="DS104" s="227">
        <f t="shared" ca="1" si="223"/>
        <v>4.5736637175332162E-2</v>
      </c>
      <c r="DT104" s="227">
        <f t="shared" si="223"/>
        <v>4.8883574915840611E-2</v>
      </c>
      <c r="DU104" s="1387">
        <f t="shared" ca="1" si="223"/>
        <v>3.8698868664332697E-2</v>
      </c>
      <c r="DV104" s="227">
        <f t="shared" ref="DV104" si="224">DV97-DQ97</f>
        <v>2.9452062931969558E-2</v>
      </c>
      <c r="DW104" s="227">
        <f t="shared" ref="DW104" ca="1" si="225">DW97-DR97</f>
        <v>3.5228190562825334E-2</v>
      </c>
      <c r="DX104" s="227">
        <f t="shared" ref="DX104" ca="1" si="226">DX97-DS97</f>
        <v>2.7780322991488471E-2</v>
      </c>
      <c r="DY104" s="227">
        <f t="shared" ref="DY104" si="227">DY97-DT97</f>
        <v>3.043718283579433E-2</v>
      </c>
      <c r="DZ104" s="1387">
        <f t="shared" ref="DZ104" ca="1" si="228">DZ97-DU97</f>
        <v>2.9243037524477544E-2</v>
      </c>
      <c r="EA104" s="227">
        <f t="shared" ref="EA104" si="229">EA97-DV97</f>
        <v>1.8576060855619025E-2</v>
      </c>
      <c r="EB104" s="227">
        <f t="shared" ref="EB104" ca="1" si="230">EB97-DW97</f>
        <v>1.7103597368584023E-2</v>
      </c>
      <c r="EC104" s="227">
        <f t="shared" ref="EC104" ca="1" si="231">EC97-DX97</f>
        <v>1.4275035682173032E-2</v>
      </c>
      <c r="ED104" s="227">
        <f t="shared" ref="ED104" si="232">ED97-DY97</f>
        <v>1.278598846050949E-2</v>
      </c>
      <c r="EE104" s="1387">
        <f t="shared" ref="EE104" ca="1" si="233">EE97-DZ97</f>
        <v>1.5712884794875648E-2</v>
      </c>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row>
    <row r="105" spans="2:238" s="228" customFormat="1" ht="12.75" customHeight="1">
      <c r="B105" s="564" t="s">
        <v>261</v>
      </c>
      <c r="C105" s="219"/>
      <c r="D105" s="219"/>
      <c r="E105" s="220"/>
      <c r="F105" s="220"/>
      <c r="G105" s="220"/>
      <c r="H105" s="220"/>
      <c r="I105" s="220"/>
      <c r="J105" s="220"/>
      <c r="K105" s="221"/>
      <c r="L105" s="222"/>
      <c r="M105" s="222"/>
      <c r="N105" s="223"/>
      <c r="O105" s="220"/>
      <c r="P105" s="221"/>
      <c r="Q105" s="222"/>
      <c r="R105" s="222"/>
      <c r="S105" s="223"/>
      <c r="T105" s="220"/>
      <c r="U105" s="221"/>
      <c r="V105" s="222"/>
      <c r="W105" s="222"/>
      <c r="X105" s="223"/>
      <c r="Y105" s="220"/>
      <c r="Z105" s="221"/>
      <c r="AA105" s="222"/>
      <c r="AB105" s="222"/>
      <c r="AC105" s="223"/>
      <c r="AD105" s="220"/>
      <c r="AE105" s="221"/>
      <c r="AF105" s="222"/>
      <c r="AG105" s="222"/>
      <c r="AH105" s="223"/>
      <c r="AI105" s="220"/>
      <c r="AJ105" s="221"/>
      <c r="AK105" s="222"/>
      <c r="AL105" s="222"/>
      <c r="AM105" s="223"/>
      <c r="AN105" s="220"/>
      <c r="AO105" s="221"/>
      <c r="AP105" s="222"/>
      <c r="AQ105" s="222"/>
      <c r="AR105" s="223"/>
      <c r="AS105" s="220"/>
      <c r="AT105" s="221"/>
      <c r="AU105" s="222"/>
      <c r="AV105" s="222"/>
      <c r="AW105" s="223"/>
      <c r="AX105" s="220"/>
      <c r="AY105" s="221"/>
      <c r="AZ105" s="222"/>
      <c r="BA105" s="222"/>
      <c r="BB105" s="223"/>
      <c r="BC105" s="220"/>
      <c r="BD105" s="221"/>
      <c r="BE105" s="222"/>
      <c r="BF105" s="222"/>
      <c r="BG105" s="223"/>
      <c r="BH105" s="220"/>
      <c r="BI105" s="221"/>
      <c r="BJ105" s="222"/>
      <c r="BK105" s="222"/>
      <c r="BL105" s="223"/>
      <c r="BM105" s="220"/>
      <c r="BN105" s="221"/>
      <c r="BO105" s="222"/>
      <c r="BP105" s="222"/>
      <c r="BQ105" s="223"/>
      <c r="BR105" s="220"/>
      <c r="BS105" s="221"/>
      <c r="BT105" s="222"/>
      <c r="BU105" s="222"/>
      <c r="BV105" s="223"/>
      <c r="BW105" s="220"/>
      <c r="BX105" s="224"/>
      <c r="BY105" s="225"/>
      <c r="BZ105" s="225"/>
      <c r="CA105" s="226"/>
      <c r="CB105" s="225"/>
      <c r="CC105" s="224"/>
      <c r="CD105" s="225"/>
      <c r="CE105" s="225"/>
      <c r="CF105" s="225"/>
      <c r="CG105" s="811"/>
      <c r="CH105" s="225"/>
      <c r="CI105" s="225"/>
      <c r="CJ105" s="225"/>
      <c r="CK105" s="225"/>
      <c r="CL105" s="811"/>
      <c r="CM105" s="227">
        <f>CM97-CK97</f>
        <v>-3.0352589637096861E-2</v>
      </c>
      <c r="CN105" s="227">
        <f>CN97-CM97</f>
        <v>2.7490785192496592E-4</v>
      </c>
      <c r="CO105" s="227">
        <f>CO97-CN97</f>
        <v>1.4302761901805128E-2</v>
      </c>
      <c r="CP105" s="227">
        <f>CP97-CO97</f>
        <v>2.0848778008366819E-2</v>
      </c>
      <c r="CQ105" s="811"/>
      <c r="CR105" s="227">
        <f>CR97-CP97</f>
        <v>-2.1724872341252199E-2</v>
      </c>
      <c r="CS105" s="227">
        <f>CS97-CR97</f>
        <v>1.5211370965486637E-3</v>
      </c>
      <c r="CT105" s="227">
        <f>CT97-CS97</f>
        <v>1.1186900119009913E-2</v>
      </c>
      <c r="CU105" s="227">
        <f>CU97-CT97</f>
        <v>2.5038185099984234E-2</v>
      </c>
      <c r="CV105" s="815"/>
      <c r="CW105" s="227">
        <f>CW97-CU97</f>
        <v>-2.8204795173792374E-2</v>
      </c>
      <c r="CX105" s="227">
        <f>CX97-CW97</f>
        <v>-7.1681899338871258E-4</v>
      </c>
      <c r="CY105" s="227">
        <f>CY97-CX97</f>
        <v>1.046967693567924E-2</v>
      </c>
      <c r="CZ105" s="227">
        <f>CZ97-CY97</f>
        <v>1.9981500558305165E-2</v>
      </c>
      <c r="DA105" s="811"/>
      <c r="DB105" s="227">
        <f>DB97-CZ97</f>
        <v>-3.0154678469206386E-2</v>
      </c>
      <c r="DC105" s="227">
        <f>DC97-DB97</f>
        <v>-5.1072239231486627E-4</v>
      </c>
      <c r="DD105" s="227">
        <f>DD97-DC97</f>
        <v>1.2079724343239784E-2</v>
      </c>
      <c r="DE105" s="227">
        <f>DE97-DD97</f>
        <v>2.403391528339982E-2</v>
      </c>
      <c r="DF105" s="811"/>
      <c r="DG105" s="227">
        <f>DG97-DF97</f>
        <v>-3.3837293679825686E-2</v>
      </c>
      <c r="DH105" s="227">
        <f>DH97-DG97</f>
        <v>2.6541702694741987E-2</v>
      </c>
      <c r="DI105" s="227">
        <f>DI97-DH97</f>
        <v>-3.6952671401363379E-2</v>
      </c>
      <c r="DJ105" s="227">
        <f>DJ97-DI97</f>
        <v>1.6188839493479046E-2</v>
      </c>
      <c r="DK105" s="1387"/>
      <c r="DL105" s="227">
        <f>DL97-DK97</f>
        <v>-2.1111169560857568E-2</v>
      </c>
      <c r="DM105" s="227">
        <f>DM97-DL97</f>
        <v>9.8107447084251009E-2</v>
      </c>
      <c r="DN105" s="227">
        <f>DN97-DM97</f>
        <v>-7.5940524310282198E-2</v>
      </c>
      <c r="DO105" s="227">
        <f>DO97-DN97</f>
        <v>1.6614861585412921E-2</v>
      </c>
      <c r="DP105" s="1387"/>
      <c r="DQ105" s="227">
        <f>DQ97-DP97</f>
        <v>-2.1572611512759909E-2</v>
      </c>
      <c r="DR105" s="227">
        <f ca="1">DR97-DQ97</f>
        <v>0.12486206689869528</v>
      </c>
      <c r="DS105" s="227">
        <f ca="1">DS97-DR97</f>
        <v>-7.3384439120039779E-2</v>
      </c>
      <c r="DT105" s="227">
        <f ca="1">DT97-DS97</f>
        <v>1.976179932592137E-2</v>
      </c>
      <c r="DU105" s="1387"/>
      <c r="DV105" s="227">
        <f ca="1">DV97-DU97</f>
        <v>-3.0819417245123049E-2</v>
      </c>
      <c r="DW105" s="227">
        <f ca="1">DW97-DV97</f>
        <v>0.13063819452955105</v>
      </c>
      <c r="DX105" s="227">
        <f ca="1">DX97-DW97</f>
        <v>-8.0832306691376643E-2</v>
      </c>
      <c r="DY105" s="227">
        <f ca="1">DY97-DX97</f>
        <v>2.2418659170227229E-2</v>
      </c>
      <c r="DZ105" s="1387"/>
      <c r="EA105" s="227">
        <f ca="1">EA97-DZ97</f>
        <v>-4.1486393913981567E-2</v>
      </c>
      <c r="EB105" s="227">
        <f ca="1">EB97-EA97</f>
        <v>0.12916573104251605</v>
      </c>
      <c r="EC105" s="227">
        <f ca="1">EC97-EB97</f>
        <v>-8.3660868377787634E-2</v>
      </c>
      <c r="ED105" s="227">
        <f ca="1">ED97-EC97</f>
        <v>2.0929611948563687E-2</v>
      </c>
      <c r="EE105" s="1387"/>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row>
    <row r="106" spans="2:238" s="228" customFormat="1" ht="12.75" customHeight="1">
      <c r="B106" s="564"/>
      <c r="C106" s="219"/>
      <c r="D106" s="219"/>
      <c r="E106" s="220"/>
      <c r="F106" s="220"/>
      <c r="G106" s="220"/>
      <c r="H106" s="220"/>
      <c r="I106" s="220"/>
      <c r="J106" s="220"/>
      <c r="K106" s="221"/>
      <c r="L106" s="222"/>
      <c r="M106" s="222"/>
      <c r="N106" s="223"/>
      <c r="O106" s="220"/>
      <c r="P106" s="221"/>
      <c r="Q106" s="222"/>
      <c r="R106" s="222"/>
      <c r="S106" s="223"/>
      <c r="T106" s="220"/>
      <c r="U106" s="221"/>
      <c r="V106" s="222"/>
      <c r="W106" s="222"/>
      <c r="X106" s="223"/>
      <c r="Y106" s="220"/>
      <c r="Z106" s="221"/>
      <c r="AA106" s="222"/>
      <c r="AB106" s="222"/>
      <c r="AC106" s="223"/>
      <c r="AD106" s="220"/>
      <c r="AE106" s="221"/>
      <c r="AF106" s="222"/>
      <c r="AG106" s="222"/>
      <c r="AH106" s="223"/>
      <c r="AI106" s="220"/>
      <c r="AJ106" s="221"/>
      <c r="AK106" s="222"/>
      <c r="AL106" s="222"/>
      <c r="AM106" s="223"/>
      <c r="AN106" s="220"/>
      <c r="AO106" s="221"/>
      <c r="AP106" s="222"/>
      <c r="AQ106" s="222"/>
      <c r="AR106" s="223"/>
      <c r="AS106" s="220"/>
      <c r="AT106" s="221"/>
      <c r="AU106" s="222"/>
      <c r="AV106" s="222"/>
      <c r="AW106" s="223"/>
      <c r="AX106" s="220"/>
      <c r="AY106" s="221"/>
      <c r="AZ106" s="222"/>
      <c r="BA106" s="222"/>
      <c r="BB106" s="223"/>
      <c r="BC106" s="220"/>
      <c r="BD106" s="221"/>
      <c r="BE106" s="222"/>
      <c r="BF106" s="222"/>
      <c r="BG106" s="223"/>
      <c r="BH106" s="220"/>
      <c r="BI106" s="221"/>
      <c r="BJ106" s="222"/>
      <c r="BK106" s="222"/>
      <c r="BL106" s="223"/>
      <c r="BM106" s="220"/>
      <c r="BN106" s="221"/>
      <c r="BO106" s="222"/>
      <c r="BP106" s="222"/>
      <c r="BQ106" s="223"/>
      <c r="BR106" s="220"/>
      <c r="BS106" s="221"/>
      <c r="BT106" s="222"/>
      <c r="BU106" s="222"/>
      <c r="BV106" s="223"/>
      <c r="BW106" s="220"/>
      <c r="BX106" s="224"/>
      <c r="BY106" s="225"/>
      <c r="BZ106" s="225"/>
      <c r="CA106" s="226"/>
      <c r="CB106" s="225"/>
      <c r="CC106" s="224"/>
      <c r="CD106" s="225"/>
      <c r="CE106" s="225"/>
      <c r="CF106" s="225"/>
      <c r="CG106" s="811"/>
      <c r="CH106" s="225"/>
      <c r="CI106" s="225"/>
      <c r="CJ106" s="225"/>
      <c r="CK106" s="225"/>
      <c r="CL106" s="811"/>
      <c r="CQ106" s="811"/>
      <c r="CR106" s="227"/>
      <c r="CS106" s="227"/>
      <c r="CT106" s="227"/>
      <c r="CU106" s="227"/>
      <c r="CV106" s="815"/>
      <c r="CW106" s="227"/>
      <c r="CX106" s="227"/>
      <c r="CY106" s="227"/>
      <c r="CZ106" s="227"/>
      <c r="DA106" s="811"/>
      <c r="DB106" s="227"/>
      <c r="DC106" s="227"/>
      <c r="DD106" s="227"/>
      <c r="DE106" s="227"/>
      <c r="DF106" s="811"/>
      <c r="DG106" s="227"/>
      <c r="DH106" s="227"/>
      <c r="DI106" s="227"/>
      <c r="DJ106" s="227"/>
      <c r="DK106" s="1387"/>
      <c r="DL106" s="227"/>
      <c r="DM106" s="227"/>
      <c r="DN106" s="227"/>
      <c r="DO106" s="227"/>
      <c r="DP106" s="1387"/>
      <c r="DQ106" s="227"/>
      <c r="DR106" s="227"/>
      <c r="DS106" s="227"/>
      <c r="DT106" s="227"/>
      <c r="DU106" s="1387"/>
      <c r="DV106" s="227"/>
      <c r="DW106" s="227"/>
      <c r="DX106" s="227"/>
      <c r="DY106" s="227"/>
      <c r="DZ106" s="1387"/>
      <c r="EA106" s="227"/>
      <c r="EB106" s="227"/>
      <c r="EC106" s="227"/>
      <c r="ED106" s="227"/>
      <c r="EE106" s="1387"/>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row>
    <row r="107" spans="2:238" s="228" customFormat="1" ht="12.75" customHeight="1">
      <c r="B107" s="564" t="s">
        <v>259</v>
      </c>
      <c r="C107" s="219"/>
      <c r="D107" s="219"/>
      <c r="E107" s="220"/>
      <c r="F107" s="220"/>
      <c r="G107" s="220"/>
      <c r="H107" s="220"/>
      <c r="I107" s="220"/>
      <c r="J107" s="220"/>
      <c r="K107" s="221"/>
      <c r="L107" s="222"/>
      <c r="M107" s="222"/>
      <c r="N107" s="223"/>
      <c r="O107" s="220"/>
      <c r="P107" s="221"/>
      <c r="Q107" s="222"/>
      <c r="R107" s="222"/>
      <c r="S107" s="223"/>
      <c r="T107" s="220"/>
      <c r="U107" s="221"/>
      <c r="V107" s="222"/>
      <c r="W107" s="222"/>
      <c r="X107" s="223"/>
      <c r="Y107" s="220"/>
      <c r="Z107" s="221"/>
      <c r="AA107" s="222"/>
      <c r="AB107" s="222"/>
      <c r="AC107" s="223"/>
      <c r="AD107" s="220"/>
      <c r="AE107" s="221"/>
      <c r="AF107" s="222"/>
      <c r="AG107" s="222"/>
      <c r="AH107" s="223"/>
      <c r="AI107" s="220"/>
      <c r="AJ107" s="221"/>
      <c r="AK107" s="222"/>
      <c r="AL107" s="222"/>
      <c r="AM107" s="223"/>
      <c r="AN107" s="220"/>
      <c r="AO107" s="221"/>
      <c r="AP107" s="222"/>
      <c r="AQ107" s="222"/>
      <c r="AR107" s="223"/>
      <c r="AS107" s="220"/>
      <c r="AT107" s="221"/>
      <c r="AU107" s="222"/>
      <c r="AV107" s="222"/>
      <c r="AW107" s="223"/>
      <c r="AX107" s="220"/>
      <c r="AY107" s="221"/>
      <c r="AZ107" s="222"/>
      <c r="BA107" s="222"/>
      <c r="BB107" s="223"/>
      <c r="BC107" s="220"/>
      <c r="BD107" s="221"/>
      <c r="BE107" s="222"/>
      <c r="BF107" s="222"/>
      <c r="BG107" s="223"/>
      <c r="BH107" s="220"/>
      <c r="BI107" s="221"/>
      <c r="BJ107" s="222"/>
      <c r="BK107" s="222"/>
      <c r="BL107" s="223"/>
      <c r="BM107" s="220"/>
      <c r="BN107" s="221"/>
      <c r="BO107" s="222"/>
      <c r="BP107" s="222"/>
      <c r="BQ107" s="223"/>
      <c r="BR107" s="220"/>
      <c r="BS107" s="221"/>
      <c r="BT107" s="222"/>
      <c r="BU107" s="222"/>
      <c r="BV107" s="223"/>
      <c r="BW107" s="220"/>
      <c r="BX107" s="224"/>
      <c r="BY107" s="225"/>
      <c r="BZ107" s="225"/>
      <c r="CA107" s="226"/>
      <c r="CB107" s="225"/>
      <c r="CC107" s="224"/>
      <c r="CD107" s="225"/>
      <c r="CE107" s="225"/>
      <c r="CF107" s="225"/>
      <c r="CG107" s="811"/>
      <c r="CH107" s="225"/>
      <c r="CI107" s="225"/>
      <c r="CJ107" s="225"/>
      <c r="CK107" s="225"/>
      <c r="CL107" s="811"/>
      <c r="CM107" s="227">
        <f t="shared" ref="CM107:DQ107" si="234">CM98-CH98</f>
        <v>-4.6894363262661165E-3</v>
      </c>
      <c r="CN107" s="227">
        <f t="shared" si="234"/>
        <v>-8.9376119369294418E-3</v>
      </c>
      <c r="CO107" s="227">
        <f t="shared" si="234"/>
        <v>-9.9058482973210932E-3</v>
      </c>
      <c r="CP107" s="227">
        <f t="shared" si="234"/>
        <v>-9.5997246848742376E-3</v>
      </c>
      <c r="CQ107" s="811">
        <f t="shared" si="234"/>
        <v>-8.0588437867285395E-3</v>
      </c>
      <c r="CR107" s="227">
        <f t="shared" si="234"/>
        <v>0</v>
      </c>
      <c r="CS107" s="227">
        <f t="shared" si="234"/>
        <v>0</v>
      </c>
      <c r="CT107" s="227">
        <f t="shared" si="234"/>
        <v>0</v>
      </c>
      <c r="CU107" s="227">
        <f t="shared" si="234"/>
        <v>-2.7840614540128455E-3</v>
      </c>
      <c r="CV107" s="815">
        <f t="shared" si="234"/>
        <v>-9.1589827593122758E-4</v>
      </c>
      <c r="CW107" s="227">
        <f t="shared" si="234"/>
        <v>-1.7294212732497927E-3</v>
      </c>
      <c r="CX107" s="227">
        <f t="shared" si="234"/>
        <v>-5.9760703167006934E-3</v>
      </c>
      <c r="CY107" s="227">
        <f t="shared" si="234"/>
        <v>-4.9414077489364563E-3</v>
      </c>
      <c r="CZ107" s="227">
        <f t="shared" si="234"/>
        <v>-4.9863706062794055E-3</v>
      </c>
      <c r="DA107" s="811">
        <f t="shared" si="234"/>
        <v>-4.4887789271412376E-3</v>
      </c>
      <c r="DB107" s="227">
        <f t="shared" si="234"/>
        <v>-9.2731778848293561E-3</v>
      </c>
      <c r="DC107" s="227">
        <f t="shared" si="234"/>
        <v>-4.9372600889663956E-3</v>
      </c>
      <c r="DD107" s="227">
        <f t="shared" ca="1" si="234"/>
        <v>-1.9567444052960431E-3</v>
      </c>
      <c r="DE107" s="227">
        <f t="shared" ca="1" si="234"/>
        <v>-2.2666905368430579E-5</v>
      </c>
      <c r="DF107" s="811">
        <f t="shared" ca="1" si="234"/>
        <v>-3.9349966704602113E-3</v>
      </c>
      <c r="DG107" s="227">
        <f t="shared" si="234"/>
        <v>-2.8888452406701376E-3</v>
      </c>
      <c r="DH107" s="227">
        <f t="shared" ca="1" si="234"/>
        <v>-6.8598684152010314E-4</v>
      </c>
      <c r="DI107" s="227">
        <f t="shared" ca="1" si="234"/>
        <v>-1.0810125151691566E-3</v>
      </c>
      <c r="DJ107" s="227">
        <f t="shared" ca="1" si="234"/>
        <v>-2.8057736630184918E-3</v>
      </c>
      <c r="DK107" s="1387">
        <f t="shared" ca="1" si="234"/>
        <v>-1.8851295552333863E-3</v>
      </c>
      <c r="DL107" s="227">
        <f t="shared" si="234"/>
        <v>-2.0978016159247659E-3</v>
      </c>
      <c r="DM107" s="227">
        <f t="shared" ca="1" si="234"/>
        <v>-2.8332393496678029E-3</v>
      </c>
      <c r="DN107" s="227">
        <f t="shared" ca="1" si="234"/>
        <v>-3.9680191085047917E-3</v>
      </c>
      <c r="DO107" s="227">
        <f t="shared" ca="1" si="234"/>
        <v>-3.8538912929827092E-3</v>
      </c>
      <c r="DP107" s="1387">
        <f t="shared" ref="DP107:DU107" ca="1" si="235">DP98-DK98</f>
        <v>-3.3583254458538492E-3</v>
      </c>
      <c r="DQ107" s="227">
        <f t="shared" si="234"/>
        <v>-4.7926029094483916E-3</v>
      </c>
      <c r="DR107" s="227">
        <f t="shared" ca="1" si="235"/>
        <v>-2.8993287357008193E-3</v>
      </c>
      <c r="DS107" s="227">
        <f t="shared" ca="1" si="235"/>
        <v>-2.7807385648511845E-3</v>
      </c>
      <c r="DT107" s="227">
        <f t="shared" si="235"/>
        <v>-2.2546527501716151E-3</v>
      </c>
      <c r="DU107" s="1387">
        <f t="shared" ca="1" si="235"/>
        <v>-3.078595422656389E-3</v>
      </c>
      <c r="DV107" s="227">
        <f t="shared" ref="DV107" si="236">DV98-DQ98</f>
        <v>-2.5401005412384187E-3</v>
      </c>
      <c r="DW107" s="227">
        <f t="shared" ref="DW107" ca="1" si="237">DW98-DR98</f>
        <v>-2.3419285474776362E-3</v>
      </c>
      <c r="DX107" s="227">
        <f t="shared" ref="DX107" ca="1" si="238">DX98-DS98</f>
        <v>-2.3830815067088923E-3</v>
      </c>
      <c r="DY107" s="227">
        <f t="shared" ref="DY107" si="239">DY98-DT98</f>
        <v>-1.9322281284906984E-3</v>
      </c>
      <c r="DZ107" s="1387">
        <f t="shared" ref="DZ107" ca="1" si="240">DZ98-DU98</f>
        <v>-2.2305005483883242E-3</v>
      </c>
      <c r="EA107" s="227">
        <f t="shared" ref="EA107" si="241">EA98-DV98</f>
        <v>-2.3401852208631765E-3</v>
      </c>
      <c r="EB107" s="227">
        <f t="shared" ref="EB107" ca="1" si="242">EB98-DW98</f>
        <v>-2.1576100969817116E-3</v>
      </c>
      <c r="EC107" s="227">
        <f t="shared" ref="EC107" ca="1" si="243">EC98-DX98</f>
        <v>-2.1955241659030907E-3</v>
      </c>
      <c r="ED107" s="227">
        <f t="shared" ref="ED107" si="244">ED98-DY98</f>
        <v>-1.7801546183780076E-3</v>
      </c>
      <c r="EE107" s="1387">
        <f t="shared" ref="EE107" ca="1" si="245">EE98-DZ98</f>
        <v>-2.1162733150492628E-3</v>
      </c>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row>
    <row r="108" spans="2:238" s="228" customFormat="1" ht="12.75" customHeight="1">
      <c r="B108" s="564" t="s">
        <v>262</v>
      </c>
      <c r="C108" s="219"/>
      <c r="D108" s="219"/>
      <c r="E108" s="220"/>
      <c r="F108" s="220"/>
      <c r="G108" s="220"/>
      <c r="H108" s="220"/>
      <c r="I108" s="220"/>
      <c r="J108" s="220"/>
      <c r="K108" s="221"/>
      <c r="L108" s="222"/>
      <c r="M108" s="222"/>
      <c r="N108" s="223"/>
      <c r="O108" s="220"/>
      <c r="P108" s="221"/>
      <c r="Q108" s="222"/>
      <c r="R108" s="222"/>
      <c r="S108" s="223"/>
      <c r="T108" s="220"/>
      <c r="U108" s="221"/>
      <c r="V108" s="222"/>
      <c r="W108" s="222"/>
      <c r="X108" s="223"/>
      <c r="Y108" s="220"/>
      <c r="Z108" s="221"/>
      <c r="AA108" s="222"/>
      <c r="AB108" s="222"/>
      <c r="AC108" s="223"/>
      <c r="AD108" s="220"/>
      <c r="AE108" s="221"/>
      <c r="AF108" s="222"/>
      <c r="AG108" s="222"/>
      <c r="AH108" s="223"/>
      <c r="AI108" s="220"/>
      <c r="AJ108" s="221"/>
      <c r="AK108" s="222"/>
      <c r="AL108" s="222"/>
      <c r="AM108" s="223"/>
      <c r="AN108" s="220"/>
      <c r="AO108" s="221"/>
      <c r="AP108" s="222"/>
      <c r="AQ108" s="222"/>
      <c r="AR108" s="223"/>
      <c r="AS108" s="220"/>
      <c r="AT108" s="221"/>
      <c r="AU108" s="222"/>
      <c r="AV108" s="222"/>
      <c r="AW108" s="223"/>
      <c r="AX108" s="220"/>
      <c r="AY108" s="221"/>
      <c r="AZ108" s="222"/>
      <c r="BA108" s="222"/>
      <c r="BB108" s="223"/>
      <c r="BC108" s="220"/>
      <c r="BD108" s="221"/>
      <c r="BE108" s="222"/>
      <c r="BF108" s="222"/>
      <c r="BG108" s="223"/>
      <c r="BH108" s="220"/>
      <c r="BI108" s="221"/>
      <c r="BJ108" s="222"/>
      <c r="BK108" s="222"/>
      <c r="BL108" s="223"/>
      <c r="BM108" s="220"/>
      <c r="BN108" s="221"/>
      <c r="BO108" s="222"/>
      <c r="BP108" s="222"/>
      <c r="BQ108" s="223"/>
      <c r="BR108" s="220"/>
      <c r="BS108" s="221"/>
      <c r="BT108" s="222"/>
      <c r="BU108" s="222"/>
      <c r="BV108" s="223"/>
      <c r="BW108" s="220"/>
      <c r="BX108" s="224"/>
      <c r="BY108" s="225"/>
      <c r="BZ108" s="225"/>
      <c r="CA108" s="226"/>
      <c r="CB108" s="225"/>
      <c r="CC108" s="224"/>
      <c r="CD108" s="225"/>
      <c r="CE108" s="225"/>
      <c r="CF108" s="225"/>
      <c r="CG108" s="811"/>
      <c r="CH108" s="225"/>
      <c r="CI108" s="225"/>
      <c r="CJ108" s="225"/>
      <c r="CK108" s="225"/>
      <c r="CL108" s="811"/>
      <c r="CM108" s="227">
        <f>CM98-CK98</f>
        <v>2.1982629293857137E-3</v>
      </c>
      <c r="CN108" s="227">
        <f>CN98-CM98</f>
        <v>-5.9679136299389049E-3</v>
      </c>
      <c r="CO108" s="227">
        <f>CO98-CN98</f>
        <v>-2.0810783313304979E-3</v>
      </c>
      <c r="CP108" s="227">
        <f>CP98-CO98</f>
        <v>-3.7489956529905485E-3</v>
      </c>
      <c r="CQ108" s="811"/>
      <c r="CR108" s="227">
        <f>CR98-CP98</f>
        <v>1.1797987614259958E-2</v>
      </c>
      <c r="CS108" s="227">
        <f>CS98-CR98</f>
        <v>-5.9679136299389118E-3</v>
      </c>
      <c r="CT108" s="227">
        <f>CT98-CS98</f>
        <v>-2.0810783313305048E-3</v>
      </c>
      <c r="CU108" s="227">
        <f>CU98-CT98</f>
        <v>-6.5330571070033872E-3</v>
      </c>
      <c r="CV108" s="815"/>
      <c r="CW108" s="227">
        <f>CW98-CU98</f>
        <v>1.2852627795023011E-2</v>
      </c>
      <c r="CX108" s="227">
        <f>CX98-CW98</f>
        <v>-1.0214562673389813E-2</v>
      </c>
      <c r="CY108" s="227">
        <f>CY98-CX98</f>
        <v>-1.0464157635662677E-3</v>
      </c>
      <c r="CZ108" s="227">
        <f>CZ98-CY98</f>
        <v>-6.5780199643463363E-3</v>
      </c>
      <c r="DA108" s="811"/>
      <c r="DB108" s="227">
        <f>DB98-CZ98</f>
        <v>8.5658205164730605E-3</v>
      </c>
      <c r="DC108" s="227">
        <f>DC98-DB98</f>
        <v>-5.8786448775268521E-3</v>
      </c>
      <c r="DD108" s="227">
        <f ca="1">DD98-DC98</f>
        <v>1.9340999201040848E-3</v>
      </c>
      <c r="DE108" s="227">
        <f ca="1">DE98-DD98</f>
        <v>-4.6439424644187238E-3</v>
      </c>
      <c r="DF108" s="811"/>
      <c r="DG108" s="227">
        <f ca="1">DG98-DF98</f>
        <v>1.7223530904460493E-3</v>
      </c>
      <c r="DH108" s="227">
        <f ca="1">DH98-DG98</f>
        <v>-3.6757864783768177E-3</v>
      </c>
      <c r="DI108" s="227">
        <f ca="1">DI98-DH98</f>
        <v>1.5390742464550314E-3</v>
      </c>
      <c r="DJ108" s="227">
        <f ca="1">DJ98-DI98</f>
        <v>-6.368703612268059E-3</v>
      </c>
      <c r="DK108" s="1387"/>
      <c r="DL108" s="227">
        <f ca="1">DL98-DK98</f>
        <v>1.5096810297546698E-3</v>
      </c>
      <c r="DM108" s="227">
        <f>DM98-DL98</f>
        <v>-4.4112242121198547E-3</v>
      </c>
      <c r="DN108" s="227">
        <f>DN98-DM98</f>
        <v>4.0429448761804265E-4</v>
      </c>
      <c r="DO108" s="227">
        <f>DO98-DN98</f>
        <v>-6.2545757967459766E-3</v>
      </c>
      <c r="DP108" s="1387"/>
      <c r="DQ108" s="227">
        <f>DQ98-DP98</f>
        <v>7.5403566160127389E-5</v>
      </c>
      <c r="DR108" s="227">
        <f ca="1">DR98-DQ98</f>
        <v>-2.5179500383722825E-3</v>
      </c>
      <c r="DS108" s="227">
        <f ca="1">DS98-DR98</f>
        <v>5.2288465846767745E-4</v>
      </c>
      <c r="DT108" s="227">
        <f ca="1">DT98-DS98</f>
        <v>-5.7284899820664072E-3</v>
      </c>
      <c r="DU108" s="1387"/>
      <c r="DV108" s="227">
        <f ca="1">DV98-DU98</f>
        <v>6.1389844757809772E-4</v>
      </c>
      <c r="DW108" s="227">
        <f ca="1">DW98-DV98</f>
        <v>-2.3197780446115E-3</v>
      </c>
      <c r="DX108" s="227">
        <f ca="1">DX98-DW98</f>
        <v>4.8173169923642137E-4</v>
      </c>
      <c r="DY108" s="227">
        <f ca="1">DY98-DX98</f>
        <v>-5.2776366038482132E-3</v>
      </c>
      <c r="DZ108" s="1387"/>
      <c r="EA108" s="227">
        <f ca="1">EA98-DZ98</f>
        <v>5.0421377510324536E-4</v>
      </c>
      <c r="EB108" s="227">
        <f ca="1">EB98-EA98</f>
        <v>-2.1372029207300351E-3</v>
      </c>
      <c r="EC108" s="227">
        <f ca="1">EC98-EB98</f>
        <v>4.4381763031504234E-4</v>
      </c>
      <c r="ED108" s="227">
        <f ca="1">ED98-EC98</f>
        <v>-4.8622670563231302E-3</v>
      </c>
      <c r="EE108" s="1387"/>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row>
    <row r="109" spans="2:238" s="228" customFormat="1" ht="12.75" customHeight="1">
      <c r="B109" s="564"/>
      <c r="C109" s="219"/>
      <c r="D109" s="219"/>
      <c r="E109" s="220"/>
      <c r="F109" s="220"/>
      <c r="G109" s="220"/>
      <c r="H109" s="220"/>
      <c r="I109" s="220"/>
      <c r="J109" s="220"/>
      <c r="K109" s="221"/>
      <c r="L109" s="222"/>
      <c r="M109" s="222"/>
      <c r="N109" s="223"/>
      <c r="O109" s="220"/>
      <c r="P109" s="221"/>
      <c r="Q109" s="222"/>
      <c r="R109" s="222"/>
      <c r="S109" s="223"/>
      <c r="T109" s="220"/>
      <c r="U109" s="221"/>
      <c r="V109" s="222"/>
      <c r="W109" s="222"/>
      <c r="X109" s="223"/>
      <c r="Y109" s="220"/>
      <c r="Z109" s="221"/>
      <c r="AA109" s="222"/>
      <c r="AB109" s="222"/>
      <c r="AC109" s="223"/>
      <c r="AD109" s="220"/>
      <c r="AE109" s="221"/>
      <c r="AF109" s="222"/>
      <c r="AG109" s="222"/>
      <c r="AH109" s="223"/>
      <c r="AI109" s="220"/>
      <c r="AJ109" s="221"/>
      <c r="AK109" s="222"/>
      <c r="AL109" s="222"/>
      <c r="AM109" s="223"/>
      <c r="AN109" s="220"/>
      <c r="AO109" s="221"/>
      <c r="AP109" s="222"/>
      <c r="AQ109" s="222"/>
      <c r="AR109" s="223"/>
      <c r="AS109" s="220"/>
      <c r="AT109" s="221"/>
      <c r="AU109" s="222"/>
      <c r="AV109" s="222"/>
      <c r="AW109" s="223"/>
      <c r="AX109" s="220"/>
      <c r="AY109" s="221"/>
      <c r="AZ109" s="222"/>
      <c r="BA109" s="222"/>
      <c r="BB109" s="223"/>
      <c r="BC109" s="220"/>
      <c r="BD109" s="221"/>
      <c r="BE109" s="222"/>
      <c r="BF109" s="222"/>
      <c r="BG109" s="223"/>
      <c r="BH109" s="220"/>
      <c r="BI109" s="221"/>
      <c r="BJ109" s="222"/>
      <c r="BK109" s="222"/>
      <c r="BL109" s="223"/>
      <c r="BM109" s="220"/>
      <c r="BN109" s="221"/>
      <c r="BO109" s="222"/>
      <c r="BP109" s="222"/>
      <c r="BQ109" s="223"/>
      <c r="BR109" s="220"/>
      <c r="BS109" s="221"/>
      <c r="BT109" s="222"/>
      <c r="BU109" s="222"/>
      <c r="BV109" s="223"/>
      <c r="BW109" s="220"/>
      <c r="BX109" s="224"/>
      <c r="BY109" s="225"/>
      <c r="BZ109" s="225"/>
      <c r="CA109" s="226"/>
      <c r="CB109" s="225"/>
      <c r="CC109" s="224"/>
      <c r="CD109" s="225"/>
      <c r="CE109" s="225"/>
      <c r="CF109" s="225"/>
      <c r="CG109" s="811"/>
      <c r="CH109" s="225"/>
      <c r="CI109" s="225"/>
      <c r="CJ109" s="225"/>
      <c r="CK109" s="225"/>
      <c r="CL109" s="811"/>
      <c r="CM109" s="227"/>
      <c r="CN109" s="227"/>
      <c r="CO109" s="227"/>
      <c r="CP109" s="227"/>
      <c r="CQ109" s="811"/>
      <c r="CR109" s="227"/>
      <c r="CS109" s="227"/>
      <c r="CT109" s="227"/>
      <c r="CU109" s="227"/>
      <c r="CV109" s="815"/>
      <c r="CW109" s="227"/>
      <c r="CX109" s="227"/>
      <c r="CY109" s="227"/>
      <c r="CZ109" s="227"/>
      <c r="DA109" s="811"/>
      <c r="DB109" s="227"/>
      <c r="DC109" s="227"/>
      <c r="DD109" s="227"/>
      <c r="DE109" s="227"/>
      <c r="DF109" s="811"/>
      <c r="DG109" s="227"/>
      <c r="DH109" s="227"/>
      <c r="DI109" s="227"/>
      <c r="DJ109" s="227"/>
      <c r="DK109" s="1387"/>
      <c r="DL109" s="227"/>
      <c r="DM109" s="227"/>
      <c r="DN109" s="227"/>
      <c r="DO109" s="227"/>
      <c r="DP109" s="1387"/>
      <c r="DQ109" s="227"/>
      <c r="DR109" s="227"/>
      <c r="DS109" s="227"/>
      <c r="DT109" s="227"/>
      <c r="DU109" s="1387"/>
      <c r="DV109" s="227"/>
      <c r="DW109" s="227"/>
      <c r="DX109" s="227"/>
      <c r="DY109" s="227"/>
      <c r="DZ109" s="1387"/>
      <c r="EA109" s="227"/>
      <c r="EB109" s="227"/>
      <c r="EC109" s="227"/>
      <c r="ED109" s="227"/>
      <c r="EE109" s="1387"/>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row>
    <row r="110" spans="2:238" s="228" customFormat="1" ht="12.75" customHeight="1">
      <c r="B110" s="558" t="s">
        <v>191</v>
      </c>
      <c r="C110" s="219"/>
      <c r="D110" s="219"/>
      <c r="E110" s="220"/>
      <c r="F110" s="220"/>
      <c r="G110" s="220"/>
      <c r="H110" s="220"/>
      <c r="I110" s="220"/>
      <c r="J110" s="220"/>
      <c r="K110" s="221"/>
      <c r="L110" s="222"/>
      <c r="M110" s="222"/>
      <c r="N110" s="223"/>
      <c r="O110" s="220"/>
      <c r="P110" s="221"/>
      <c r="Q110" s="222"/>
      <c r="R110" s="222"/>
      <c r="S110" s="223"/>
      <c r="T110" s="220"/>
      <c r="U110" s="221"/>
      <c r="V110" s="222"/>
      <c r="W110" s="222"/>
      <c r="X110" s="223"/>
      <c r="Y110" s="220"/>
      <c r="Z110" s="221"/>
      <c r="AA110" s="222"/>
      <c r="AB110" s="222"/>
      <c r="AC110" s="223"/>
      <c r="AD110" s="220"/>
      <c r="AE110" s="221"/>
      <c r="AF110" s="222"/>
      <c r="AG110" s="222"/>
      <c r="AH110" s="223"/>
      <c r="AI110" s="220"/>
      <c r="AJ110" s="221"/>
      <c r="AK110" s="222"/>
      <c r="AL110" s="222"/>
      <c r="AM110" s="223"/>
      <c r="AN110" s="220"/>
      <c r="AO110" s="221"/>
      <c r="AP110" s="222"/>
      <c r="AQ110" s="222"/>
      <c r="AR110" s="223"/>
      <c r="AS110" s="220"/>
      <c r="AT110" s="221"/>
      <c r="AU110" s="222"/>
      <c r="AV110" s="222"/>
      <c r="AW110" s="223"/>
      <c r="AX110" s="220"/>
      <c r="AY110" s="221"/>
      <c r="AZ110" s="222"/>
      <c r="BA110" s="222"/>
      <c r="BB110" s="223"/>
      <c r="BC110" s="220"/>
      <c r="BD110" s="221"/>
      <c r="BE110" s="222"/>
      <c r="BF110" s="222"/>
      <c r="BG110" s="223"/>
      <c r="BH110" s="220"/>
      <c r="BI110" s="221"/>
      <c r="BJ110" s="222"/>
      <c r="BK110" s="222"/>
      <c r="BL110" s="223"/>
      <c r="BM110" s="220"/>
      <c r="BN110" s="221"/>
      <c r="BO110" s="222"/>
      <c r="BP110" s="222"/>
      <c r="BQ110" s="223"/>
      <c r="BR110" s="220"/>
      <c r="BS110" s="221"/>
      <c r="BT110" s="222"/>
      <c r="BU110" s="222"/>
      <c r="BV110" s="223"/>
      <c r="BW110" s="220"/>
      <c r="BX110" s="224"/>
      <c r="BY110" s="225"/>
      <c r="BZ110" s="225"/>
      <c r="CA110" s="226"/>
      <c r="CB110" s="225"/>
      <c r="CC110" s="224"/>
      <c r="CD110" s="225"/>
      <c r="CE110" s="225"/>
      <c r="CF110" s="225"/>
      <c r="CG110" s="811"/>
      <c r="CH110" s="225"/>
      <c r="CI110" s="225"/>
      <c r="CJ110" s="225"/>
      <c r="CK110" s="225"/>
      <c r="CL110" s="811"/>
      <c r="CM110" s="227"/>
      <c r="CN110" s="227"/>
      <c r="CO110" s="227"/>
      <c r="CP110" s="227"/>
      <c r="CQ110" s="811"/>
      <c r="CR110" s="227"/>
      <c r="CS110" s="227"/>
      <c r="CT110" s="227"/>
      <c r="CU110" s="227"/>
      <c r="CV110" s="815"/>
      <c r="CW110" s="227"/>
      <c r="CX110" s="227"/>
      <c r="CY110" s="227"/>
      <c r="CZ110" s="227"/>
      <c r="DA110" s="811"/>
      <c r="DB110" s="227"/>
      <c r="DC110" s="227"/>
      <c r="DD110" s="227"/>
      <c r="DE110" s="227"/>
      <c r="DF110" s="811"/>
      <c r="DG110" s="227"/>
      <c r="DH110" s="227"/>
      <c r="DI110" s="227"/>
      <c r="DJ110" s="227"/>
      <c r="DK110" s="1387"/>
      <c r="DL110" s="227"/>
      <c r="DM110" s="227"/>
      <c r="DN110" s="227"/>
      <c r="DO110" s="227"/>
      <c r="DP110" s="1387"/>
      <c r="DQ110" s="227"/>
      <c r="DR110" s="227"/>
      <c r="DS110" s="227"/>
      <c r="DT110" s="227"/>
      <c r="DU110" s="1387"/>
      <c r="DV110" s="227"/>
      <c r="DW110" s="227"/>
      <c r="DX110" s="227"/>
      <c r="DY110" s="227"/>
      <c r="DZ110" s="1387"/>
      <c r="EA110" s="227"/>
      <c r="EB110" s="227"/>
      <c r="EC110" s="227"/>
      <c r="ED110" s="227"/>
      <c r="EE110" s="1387"/>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row>
    <row r="111" spans="2:238" s="228" customFormat="1" ht="12.75" customHeight="1">
      <c r="B111" s="563" t="s">
        <v>161</v>
      </c>
      <c r="C111" s="219"/>
      <c r="D111" s="219"/>
      <c r="E111" s="220"/>
      <c r="F111" s="220"/>
      <c r="G111" s="220"/>
      <c r="H111" s="220"/>
      <c r="I111" s="220"/>
      <c r="J111" s="220"/>
      <c r="K111" s="221"/>
      <c r="L111" s="222"/>
      <c r="M111" s="222"/>
      <c r="N111" s="223"/>
      <c r="O111" s="220"/>
      <c r="P111" s="221"/>
      <c r="Q111" s="222"/>
      <c r="R111" s="222"/>
      <c r="S111" s="223"/>
      <c r="T111" s="220"/>
      <c r="U111" s="221"/>
      <c r="V111" s="222"/>
      <c r="W111" s="222"/>
      <c r="X111" s="223"/>
      <c r="Y111" s="220"/>
      <c r="Z111" s="221"/>
      <c r="AA111" s="222"/>
      <c r="AB111" s="222"/>
      <c r="AC111" s="223"/>
      <c r="AD111" s="220"/>
      <c r="AE111" s="221"/>
      <c r="AF111" s="222"/>
      <c r="AG111" s="222"/>
      <c r="AH111" s="223"/>
      <c r="AI111" s="220"/>
      <c r="AJ111" s="221"/>
      <c r="AK111" s="222"/>
      <c r="AL111" s="222"/>
      <c r="AM111" s="223"/>
      <c r="AN111" s="220"/>
      <c r="AO111" s="221"/>
      <c r="AP111" s="222"/>
      <c r="AQ111" s="222"/>
      <c r="AR111" s="223"/>
      <c r="AS111" s="220"/>
      <c r="AT111" s="221"/>
      <c r="AU111" s="222"/>
      <c r="AV111" s="222"/>
      <c r="AW111" s="223"/>
      <c r="AX111" s="220"/>
      <c r="AY111" s="221"/>
      <c r="AZ111" s="222"/>
      <c r="BA111" s="222"/>
      <c r="BB111" s="223"/>
      <c r="BC111" s="220"/>
      <c r="BD111" s="221"/>
      <c r="BE111" s="222"/>
      <c r="BF111" s="222"/>
      <c r="BG111" s="223"/>
      <c r="BH111" s="220"/>
      <c r="BI111" s="221"/>
      <c r="BJ111" s="222"/>
      <c r="BK111" s="222"/>
      <c r="BL111" s="223"/>
      <c r="BM111" s="220"/>
      <c r="BN111" s="221"/>
      <c r="BO111" s="222"/>
      <c r="BP111" s="222"/>
      <c r="BQ111" s="223"/>
      <c r="BR111" s="220"/>
      <c r="BS111" s="221">
        <f t="shared" ref="BS111:DF111" si="246">BS87/BS64</f>
        <v>0.63461538461538469</v>
      </c>
      <c r="BT111" s="222">
        <f t="shared" si="246"/>
        <v>0.63583815028901736</v>
      </c>
      <c r="BU111" s="222">
        <f t="shared" si="246"/>
        <v>0.63706563706563712</v>
      </c>
      <c r="BV111" s="223">
        <f t="shared" si="246"/>
        <v>0.63829787234042556</v>
      </c>
      <c r="BW111" s="220">
        <f t="shared" si="246"/>
        <v>0.63647378081580475</v>
      </c>
      <c r="BX111" s="224">
        <f t="shared" si="246"/>
        <v>0.63461538461538458</v>
      </c>
      <c r="BY111" s="225">
        <f t="shared" si="246"/>
        <v>0.64219653179190761</v>
      </c>
      <c r="BZ111" s="225">
        <f t="shared" si="246"/>
        <v>0.63494208494208515</v>
      </c>
      <c r="CA111" s="226">
        <f t="shared" si="246"/>
        <v>0.64787234042553177</v>
      </c>
      <c r="CB111" s="225">
        <f t="shared" si="246"/>
        <v>0.63996785209802942</v>
      </c>
      <c r="CC111" s="224">
        <f t="shared" si="246"/>
        <v>0.63411764705882356</v>
      </c>
      <c r="CD111" s="225">
        <f t="shared" si="246"/>
        <v>0.62240009823182707</v>
      </c>
      <c r="CE111" s="225">
        <f t="shared" si="246"/>
        <v>0.62154330708661432</v>
      </c>
      <c r="CF111" s="225">
        <f t="shared" si="246"/>
        <v>0.65074112426035491</v>
      </c>
      <c r="CG111" s="811">
        <f t="shared" si="246"/>
        <v>0.63222233750583356</v>
      </c>
      <c r="CH111" s="225">
        <f t="shared" si="246"/>
        <v>0.64841699999999991</v>
      </c>
      <c r="CI111" s="225">
        <f t="shared" si="246"/>
        <v>0.63011149824649304</v>
      </c>
      <c r="CJ111" s="225">
        <f t="shared" si="246"/>
        <v>0.64036433734939779</v>
      </c>
      <c r="CK111" s="225">
        <f t="shared" si="246"/>
        <v>0.66974927249999983</v>
      </c>
      <c r="CL111" s="811">
        <f t="shared" si="246"/>
        <v>0.6471208497106079</v>
      </c>
      <c r="CM111" s="227">
        <f t="shared" ref="CM111:CQ113" si="247">CM87/CM64</f>
        <v>0.63939668286290297</v>
      </c>
      <c r="CN111" s="227">
        <f t="shared" si="247"/>
        <v>0.63967159071482793</v>
      </c>
      <c r="CO111" s="227">
        <f t="shared" si="247"/>
        <v>0.65397435261663306</v>
      </c>
      <c r="CP111" s="227">
        <f t="shared" si="247"/>
        <v>0.67482313062499988</v>
      </c>
      <c r="CQ111" s="815">
        <f t="shared" si="247"/>
        <v>0.65178753777933418</v>
      </c>
      <c r="CR111" s="227">
        <f t="shared" si="246"/>
        <v>0.65274292547401247</v>
      </c>
      <c r="CS111" s="227">
        <f t="shared" si="246"/>
        <v>0.65039041196464387</v>
      </c>
      <c r="CT111" s="227">
        <f t="shared" si="246"/>
        <v>0.66126816861061233</v>
      </c>
      <c r="CU111" s="227">
        <f t="shared" si="246"/>
        <v>0.6851176263421872</v>
      </c>
      <c r="CV111" s="815">
        <f t="shared" si="246"/>
        <v>0.6625606753697727</v>
      </c>
      <c r="CW111" s="227">
        <f>CW87/CW64</f>
        <v>0.65274292547401236</v>
      </c>
      <c r="CX111" s="227">
        <f t="shared" si="246"/>
        <v>0.65039041196464387</v>
      </c>
      <c r="CY111" s="227">
        <f t="shared" si="246"/>
        <v>0.66126816861061233</v>
      </c>
      <c r="CZ111" s="227">
        <f t="shared" si="246"/>
        <v>0.68511762634218709</v>
      </c>
      <c r="DA111" s="811">
        <f t="shared" si="246"/>
        <v>0.66257192277919541</v>
      </c>
      <c r="DB111" s="227">
        <f t="shared" si="246"/>
        <v>0.65274292547401247</v>
      </c>
      <c r="DC111" s="227">
        <f t="shared" si="246"/>
        <v>0.65039041196464398</v>
      </c>
      <c r="DD111" s="227">
        <f t="shared" si="246"/>
        <v>0.66126816861061233</v>
      </c>
      <c r="DE111" s="227">
        <f>DE87/DE64</f>
        <v>0.68511762634218731</v>
      </c>
      <c r="DF111" s="811">
        <f t="shared" si="246"/>
        <v>0.66250167029559071</v>
      </c>
      <c r="DG111" s="227">
        <f t="shared" ref="DG111:DH113" si="248">DG87/DG64</f>
        <v>0.64019017690720448</v>
      </c>
      <c r="DH111" s="227">
        <f t="shared" si="248"/>
        <v>0.66673187960194646</v>
      </c>
      <c r="DI111" s="227">
        <f t="shared" ref="DI111:DJ111" si="249">DI87/DI64</f>
        <v>0.62977920820058308</v>
      </c>
      <c r="DJ111" s="227">
        <f t="shared" si="249"/>
        <v>0.64596804769406213</v>
      </c>
      <c r="DK111" s="1387">
        <f t="shared" ref="DK111:DP111" si="250">DK87/DK64</f>
        <v>0.64529659204538192</v>
      </c>
      <c r="DL111" s="227">
        <f t="shared" si="250"/>
        <v>0.62418542248452435</v>
      </c>
      <c r="DM111" s="227">
        <f t="shared" ref="DM111:DN111" si="251">DM87/DM64</f>
        <v>0.72229286956877536</v>
      </c>
      <c r="DN111" s="227">
        <f t="shared" si="251"/>
        <v>0.64635234525849317</v>
      </c>
      <c r="DO111" s="227">
        <f t="shared" ref="DO111:DQ111" si="252">DO87/DO64</f>
        <v>0.66296720684390609</v>
      </c>
      <c r="DP111" s="1387">
        <f t="shared" si="250"/>
        <v>0.66218396616792974</v>
      </c>
      <c r="DQ111" s="227">
        <f t="shared" si="252"/>
        <v>0.64061135465516983</v>
      </c>
      <c r="DR111" s="227">
        <f t="shared" ref="DR111:DU113" ca="1" si="253">DR87/DR64</f>
        <v>0.76547342155386511</v>
      </c>
      <c r="DS111" s="227">
        <f t="shared" ca="1" si="253"/>
        <v>0.68850575907969924</v>
      </c>
      <c r="DT111" s="227">
        <f t="shared" si="253"/>
        <v>0.70620419859459549</v>
      </c>
      <c r="DU111" s="1387">
        <f t="shared" ca="1" si="253"/>
        <v>0.69849478684326616</v>
      </c>
      <c r="DV111" s="227">
        <f t="shared" ref="DV111:DZ111" si="254">DV87/DV64</f>
        <v>0.66396697696030604</v>
      </c>
      <c r="DW111" s="227">
        <f t="shared" ca="1" si="254"/>
        <v>0.7933813067146831</v>
      </c>
      <c r="DX111" s="227">
        <f t="shared" ca="1" si="254"/>
        <v>0.71360753154614665</v>
      </c>
      <c r="DY111" s="227">
        <f t="shared" si="254"/>
        <v>0.73195122666835688</v>
      </c>
      <c r="DZ111" s="1387">
        <f t="shared" ca="1" si="254"/>
        <v>0.72266060014731448</v>
      </c>
      <c r="EA111" s="227">
        <f t="shared" ref="EA111:EE111" si="255">EA87/EA64</f>
        <v>0.67412973681173938</v>
      </c>
      <c r="EB111" s="227">
        <f t="shared" ca="1" si="255"/>
        <v>0.80552489814398953</v>
      </c>
      <c r="EC111" s="227">
        <f t="shared" ca="1" si="255"/>
        <v>0.724530095804506</v>
      </c>
      <c r="ED111" s="227">
        <f t="shared" si="255"/>
        <v>0.74315456177042349</v>
      </c>
      <c r="EE111" s="1387">
        <f t="shared" ca="1" si="255"/>
        <v>0.73374822653534499</v>
      </c>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row>
    <row r="112" spans="2:238" s="228" customFormat="1" ht="12.75" customHeight="1">
      <c r="B112" s="1112" t="s">
        <v>162</v>
      </c>
      <c r="C112" s="1209"/>
      <c r="D112" s="1209"/>
      <c r="E112" s="1210"/>
      <c r="F112" s="1210"/>
      <c r="G112" s="1210"/>
      <c r="H112" s="1210"/>
      <c r="I112" s="1210"/>
      <c r="J112" s="1210"/>
      <c r="K112" s="1211"/>
      <c r="L112" s="1212"/>
      <c r="M112" s="1212"/>
      <c r="N112" s="1213"/>
      <c r="O112" s="1210"/>
      <c r="P112" s="1211"/>
      <c r="Q112" s="1212"/>
      <c r="R112" s="1212"/>
      <c r="S112" s="1213"/>
      <c r="T112" s="1210"/>
      <c r="U112" s="1211"/>
      <c r="V112" s="1212"/>
      <c r="W112" s="1212"/>
      <c r="X112" s="1213"/>
      <c r="Y112" s="1210"/>
      <c r="Z112" s="1211"/>
      <c r="AA112" s="1212"/>
      <c r="AB112" s="1212"/>
      <c r="AC112" s="1213"/>
      <c r="AD112" s="1210"/>
      <c r="AE112" s="1211"/>
      <c r="AF112" s="1212"/>
      <c r="AG112" s="1212"/>
      <c r="AH112" s="1213"/>
      <c r="AI112" s="1210"/>
      <c r="AJ112" s="1211"/>
      <c r="AK112" s="1212"/>
      <c r="AL112" s="1212"/>
      <c r="AM112" s="1213"/>
      <c r="AN112" s="1210"/>
      <c r="AO112" s="1211"/>
      <c r="AP112" s="1212"/>
      <c r="AQ112" s="1212"/>
      <c r="AR112" s="1213"/>
      <c r="AS112" s="1210"/>
      <c r="AT112" s="1211"/>
      <c r="AU112" s="1212"/>
      <c r="AV112" s="1212"/>
      <c r="AW112" s="1213"/>
      <c r="AX112" s="1210"/>
      <c r="AY112" s="1211"/>
      <c r="AZ112" s="1212"/>
      <c r="BA112" s="1212"/>
      <c r="BB112" s="1213"/>
      <c r="BC112" s="1210"/>
      <c r="BD112" s="1211"/>
      <c r="BE112" s="1212"/>
      <c r="BF112" s="1212"/>
      <c r="BG112" s="1213"/>
      <c r="BH112" s="1210"/>
      <c r="BI112" s="1211"/>
      <c r="BJ112" s="1212"/>
      <c r="BK112" s="1212"/>
      <c r="BL112" s="1213"/>
      <c r="BM112" s="1210"/>
      <c r="BN112" s="1211"/>
      <c r="BO112" s="1212"/>
      <c r="BP112" s="1212"/>
      <c r="BQ112" s="1213"/>
      <c r="BR112" s="1210"/>
      <c r="BS112" s="1211">
        <f t="shared" ref="BS112:DF112" si="256">BS88/BS65</f>
        <v>7.3391594049824399E-2</v>
      </c>
      <c r="BT112" s="1212">
        <f t="shared" si="256"/>
        <v>7.0251794172475901E-2</v>
      </c>
      <c r="BU112" s="1212">
        <f t="shared" si="256"/>
        <v>6.8147182814829857E-2</v>
      </c>
      <c r="BV112" s="1213">
        <f t="shared" si="256"/>
        <v>6.5437238373539278E-2</v>
      </c>
      <c r="BW112" s="1210">
        <f t="shared" si="256"/>
        <v>6.9277562764165343E-2</v>
      </c>
      <c r="BX112" s="1214">
        <f t="shared" si="256"/>
        <v>6.7011249219116317E-2</v>
      </c>
      <c r="BY112" s="1215">
        <f t="shared" si="256"/>
        <v>6.4370172724776589E-2</v>
      </c>
      <c r="BZ112" s="1215">
        <f t="shared" si="256"/>
        <v>6.4408206593181999E-2</v>
      </c>
      <c r="CA112" s="1216">
        <f t="shared" si="256"/>
        <v>6.2695244172306236E-2</v>
      </c>
      <c r="CB112" s="1215">
        <f t="shared" si="256"/>
        <v>6.4591401835210158E-2</v>
      </c>
      <c r="CC112" s="1214">
        <f t="shared" si="256"/>
        <v>6.4565211254164159E-2</v>
      </c>
      <c r="CD112" s="1215">
        <f t="shared" si="256"/>
        <v>6.1585159505629046E-2</v>
      </c>
      <c r="CE112" s="1215">
        <f t="shared" si="256"/>
        <v>5.9126596552833956E-2</v>
      </c>
      <c r="CF112" s="1215">
        <f t="shared" si="256"/>
        <v>5.6738371691457075E-2</v>
      </c>
      <c r="CG112" s="1217">
        <f t="shared" si="256"/>
        <v>6.0467496643645549E-2</v>
      </c>
      <c r="CH112" s="1215">
        <f t="shared" si="256"/>
        <v>5.7745503892006063E-2</v>
      </c>
      <c r="CI112" s="1215">
        <f t="shared" si="256"/>
        <v>5.6025765872730483E-2</v>
      </c>
      <c r="CJ112" s="1215">
        <f t="shared" si="256"/>
        <v>5.4912923901791637E-2</v>
      </c>
      <c r="CK112" s="1215">
        <f t="shared" si="256"/>
        <v>5.0857804636354233E-2</v>
      </c>
      <c r="CL112" s="1217">
        <f t="shared" si="256"/>
        <v>5.4840787736805834E-2</v>
      </c>
      <c r="CM112" s="1218">
        <f t="shared" si="247"/>
        <v>5.3056067565739946E-2</v>
      </c>
      <c r="CN112" s="1218">
        <f t="shared" si="247"/>
        <v>4.7088153935801041E-2</v>
      </c>
      <c r="CO112" s="1218">
        <f t="shared" si="247"/>
        <v>4.5007075604470544E-2</v>
      </c>
      <c r="CP112" s="1218">
        <f t="shared" si="247"/>
        <v>4.1258079951479995E-2</v>
      </c>
      <c r="CQ112" s="1278">
        <f t="shared" si="247"/>
        <v>4.6781943950077294E-2</v>
      </c>
      <c r="CR112" s="1218">
        <f t="shared" si="256"/>
        <v>5.3056067565739953E-2</v>
      </c>
      <c r="CS112" s="1218">
        <f t="shared" si="256"/>
        <v>4.7088153935801041E-2</v>
      </c>
      <c r="CT112" s="1218">
        <f t="shared" si="256"/>
        <v>4.5007075604470537E-2</v>
      </c>
      <c r="CU112" s="1218">
        <f t="shared" si="256"/>
        <v>3.847401849746715E-2</v>
      </c>
      <c r="CV112" s="1278">
        <f t="shared" si="256"/>
        <v>4.5866045674146066E-2</v>
      </c>
      <c r="CW112" s="1218">
        <f t="shared" si="256"/>
        <v>5.1326646292490161E-2</v>
      </c>
      <c r="CX112" s="1218">
        <f t="shared" si="256"/>
        <v>4.1112083619100348E-2</v>
      </c>
      <c r="CY112" s="1218">
        <f t="shared" si="256"/>
        <v>4.006566785553408E-2</v>
      </c>
      <c r="CZ112" s="1218">
        <f t="shared" si="256"/>
        <v>3.3487647891187744E-2</v>
      </c>
      <c r="DA112" s="1217">
        <f t="shared" si="256"/>
        <v>4.1377266747004829E-2</v>
      </c>
      <c r="DB112" s="1218">
        <f t="shared" si="256"/>
        <v>4.2053468407660805E-2</v>
      </c>
      <c r="DC112" s="1218">
        <f t="shared" si="256"/>
        <v>3.6174823530133952E-2</v>
      </c>
      <c r="DD112" s="1218">
        <f t="shared" si="256"/>
        <v>3.8108923450238037E-2</v>
      </c>
      <c r="DE112" s="1218">
        <f>DE88/DE65</f>
        <v>3.3464980985819313E-2</v>
      </c>
      <c r="DF112" s="1217">
        <f t="shared" si="256"/>
        <v>3.7442270076544618E-2</v>
      </c>
      <c r="DG112" s="1218">
        <f t="shared" si="248"/>
        <v>3.9164623166990667E-2</v>
      </c>
      <c r="DH112" s="1218">
        <f t="shared" si="248"/>
        <v>3.5488836688613849E-2</v>
      </c>
      <c r="DI112" s="1218">
        <f t="shared" ref="DI112:DJ112" si="257">DI88/DI65</f>
        <v>3.7027910935068881E-2</v>
      </c>
      <c r="DJ112" s="1218">
        <f t="shared" si="257"/>
        <v>3.0659207322800822E-2</v>
      </c>
      <c r="DK112" s="1388">
        <f t="shared" ref="DK112:DP112" si="258">DK88/DK65</f>
        <v>3.5557140521311231E-2</v>
      </c>
      <c r="DL112" s="1218">
        <f t="shared" si="258"/>
        <v>3.7066821551065901E-2</v>
      </c>
      <c r="DM112" s="1218">
        <f t="shared" ref="DM112:DN112" si="259">DM88/DM65</f>
        <v>3.2655597338946046E-2</v>
      </c>
      <c r="DN112" s="1218">
        <f t="shared" si="259"/>
        <v>3.3059891826564089E-2</v>
      </c>
      <c r="DO112" s="1218">
        <f t="shared" ref="DO112:DQ112" si="260">DO88/DO65</f>
        <v>2.6805316029818112E-2</v>
      </c>
      <c r="DP112" s="1388">
        <f t="shared" si="258"/>
        <v>3.2198815075457382E-2</v>
      </c>
      <c r="DQ112" s="1218">
        <f t="shared" si="260"/>
        <v>3.2274218641617509E-2</v>
      </c>
      <c r="DR112" s="1218">
        <f t="shared" ca="1" si="253"/>
        <v>2.9756268603245227E-2</v>
      </c>
      <c r="DS112" s="1218">
        <f t="shared" ca="1" si="253"/>
        <v>3.0279153261712904E-2</v>
      </c>
      <c r="DT112" s="1218">
        <f t="shared" si="253"/>
        <v>2.4550663279646497E-2</v>
      </c>
      <c r="DU112" s="1388">
        <f t="shared" ca="1" si="253"/>
        <v>2.9120219652800993E-2</v>
      </c>
      <c r="DV112" s="1218">
        <f t="shared" ref="DV112:DZ112" si="261">DV88/DV65</f>
        <v>2.9734118100379091E-2</v>
      </c>
      <c r="DW112" s="1218">
        <f t="shared" ca="1" si="261"/>
        <v>2.7414340055767591E-2</v>
      </c>
      <c r="DX112" s="1218">
        <f t="shared" ca="1" si="261"/>
        <v>2.7896071755004012E-2</v>
      </c>
      <c r="DY112" s="1218">
        <f t="shared" si="261"/>
        <v>2.2618435151155799E-2</v>
      </c>
      <c r="DZ112" s="1388">
        <f t="shared" ca="1" si="261"/>
        <v>2.6889719104412669E-2</v>
      </c>
      <c r="EA112" s="1218">
        <f t="shared" ref="EA112:EE112" si="262">EA88/EA65</f>
        <v>2.7393932879515914E-2</v>
      </c>
      <c r="EB112" s="1218">
        <f t="shared" ca="1" si="262"/>
        <v>2.5256729958785879E-2</v>
      </c>
      <c r="EC112" s="1218">
        <f t="shared" ca="1" si="262"/>
        <v>2.5700547589100921E-2</v>
      </c>
      <c r="ED112" s="1218">
        <f t="shared" si="262"/>
        <v>2.0838280532777791E-2</v>
      </c>
      <c r="EE112" s="1388">
        <f t="shared" ca="1" si="262"/>
        <v>2.4773445789363406E-2</v>
      </c>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row>
    <row r="113" spans="2:238" s="214" customFormat="1" ht="12.75" customHeight="1">
      <c r="B113" s="562" t="s">
        <v>249</v>
      </c>
      <c r="C113" s="208"/>
      <c r="D113" s="208"/>
      <c r="E113" s="209"/>
      <c r="F113" s="209"/>
      <c r="G113" s="209"/>
      <c r="H113" s="209"/>
      <c r="I113" s="209"/>
      <c r="J113" s="209"/>
      <c r="K113" s="210"/>
      <c r="L113" s="211"/>
      <c r="M113" s="211"/>
      <c r="N113" s="212"/>
      <c r="O113" s="209"/>
      <c r="P113" s="216"/>
      <c r="Q113" s="217"/>
      <c r="R113" s="217"/>
      <c r="S113" s="218"/>
      <c r="T113" s="209"/>
      <c r="U113" s="216"/>
      <c r="V113" s="217"/>
      <c r="W113" s="217"/>
      <c r="X113" s="218"/>
      <c r="Y113" s="209"/>
      <c r="Z113" s="216"/>
      <c r="AA113" s="217"/>
      <c r="AB113" s="217"/>
      <c r="AC113" s="218"/>
      <c r="AD113" s="209"/>
      <c r="AE113" s="216"/>
      <c r="AF113" s="217"/>
      <c r="AG113" s="217"/>
      <c r="AH113" s="218"/>
      <c r="AI113" s="209"/>
      <c r="AJ113" s="216"/>
      <c r="AK113" s="217"/>
      <c r="AL113" s="217"/>
      <c r="AM113" s="218"/>
      <c r="AN113" s="209"/>
      <c r="AO113" s="216"/>
      <c r="AP113" s="217"/>
      <c r="AQ113" s="217"/>
      <c r="AR113" s="218"/>
      <c r="AS113" s="209"/>
      <c r="AT113" s="216"/>
      <c r="AU113" s="217"/>
      <c r="AV113" s="217"/>
      <c r="AW113" s="218"/>
      <c r="AX113" s="209"/>
      <c r="AY113" s="216"/>
      <c r="AZ113" s="217"/>
      <c r="BA113" s="217"/>
      <c r="BB113" s="218"/>
      <c r="BC113" s="209"/>
      <c r="BD113" s="216"/>
      <c r="BE113" s="217"/>
      <c r="BF113" s="217"/>
      <c r="BG113" s="218"/>
      <c r="BH113" s="209"/>
      <c r="BI113" s="216"/>
      <c r="BJ113" s="217"/>
      <c r="BK113" s="217"/>
      <c r="BL113" s="218"/>
      <c r="BM113" s="209"/>
      <c r="BN113" s="216"/>
      <c r="BO113" s="217"/>
      <c r="BP113" s="217"/>
      <c r="BQ113" s="218"/>
      <c r="BR113" s="209"/>
      <c r="BS113" s="210">
        <f t="shared" ref="BS113:DF113" si="263">BS89/BS66</f>
        <v>0.24515497448423548</v>
      </c>
      <c r="BT113" s="211">
        <f t="shared" si="263"/>
        <v>0.24695702972173414</v>
      </c>
      <c r="BU113" s="211">
        <f t="shared" si="263"/>
        <v>0.2441495075217949</v>
      </c>
      <c r="BV113" s="212">
        <f t="shared" si="263"/>
        <v>0.2430358442101537</v>
      </c>
      <c r="BW113" s="1208">
        <f t="shared" si="263"/>
        <v>0.24482428557391203</v>
      </c>
      <c r="BX113" s="210">
        <f t="shared" si="263"/>
        <v>0.24536934815595601</v>
      </c>
      <c r="BY113" s="211">
        <f t="shared" si="263"/>
        <v>0.24763548204527711</v>
      </c>
      <c r="BZ113" s="211">
        <f t="shared" si="263"/>
        <v>0.24752954103352443</v>
      </c>
      <c r="CA113" s="212">
        <f t="shared" si="263"/>
        <v>0.24986090282987158</v>
      </c>
      <c r="CB113" s="1208">
        <f t="shared" si="263"/>
        <v>0.24762999581449191</v>
      </c>
      <c r="CC113" s="213">
        <f t="shared" si="263"/>
        <v>0.2504427110488241</v>
      </c>
      <c r="CD113" s="213">
        <f t="shared" si="263"/>
        <v>0.24760408938041922</v>
      </c>
      <c r="CE113" s="213">
        <f t="shared" si="263"/>
        <v>0.2440994477595185</v>
      </c>
      <c r="CF113" s="213">
        <f t="shared" si="263"/>
        <v>0.25244395154595628</v>
      </c>
      <c r="CG113" s="810">
        <f t="shared" si="263"/>
        <v>0.24863085409216526</v>
      </c>
      <c r="CH113" s="213">
        <f t="shared" si="263"/>
        <v>0.25288367380172605</v>
      </c>
      <c r="CI113" s="213">
        <f t="shared" si="263"/>
        <v>0.24757405437578461</v>
      </c>
      <c r="CJ113" s="213">
        <f t="shared" si="263"/>
        <v>0.24876481952095958</v>
      </c>
      <c r="CK113" s="213">
        <f t="shared" si="263"/>
        <v>0.25247230463416276</v>
      </c>
      <c r="CL113" s="810">
        <f t="shared" si="263"/>
        <v>0.25041441902175948</v>
      </c>
      <c r="CM113" s="213">
        <f t="shared" si="247"/>
        <v>0.24430430495586283</v>
      </c>
      <c r="CN113" s="213">
        <f t="shared" si="247"/>
        <v>0.24492336230028805</v>
      </c>
      <c r="CO113" s="213">
        <f t="shared" si="247"/>
        <v>0.24917647795101569</v>
      </c>
      <c r="CP113" s="213">
        <f t="shared" si="247"/>
        <v>0.25845181597175021</v>
      </c>
      <c r="CQ113" s="810">
        <f t="shared" si="247"/>
        <v>0.24905588081017843</v>
      </c>
      <c r="CR113" s="213">
        <f t="shared" si="263"/>
        <v>0.26376500592991819</v>
      </c>
      <c r="CS113" s="213">
        <f t="shared" si="263"/>
        <v>0.26297232188129394</v>
      </c>
      <c r="CT113" s="213">
        <f t="shared" si="263"/>
        <v>0.27193570468441935</v>
      </c>
      <c r="CU113" s="213">
        <f t="shared" si="263"/>
        <v>0.27159460688971504</v>
      </c>
      <c r="CV113" s="810">
        <f t="shared" si="263"/>
        <v>0.26761769662218787</v>
      </c>
      <c r="CW113" s="213">
        <f t="shared" si="263"/>
        <v>0.26071949893398494</v>
      </c>
      <c r="CX113" s="213">
        <f t="shared" si="263"/>
        <v>0.25454698901117973</v>
      </c>
      <c r="CY113" s="213">
        <f t="shared" si="263"/>
        <v>0.26365850249208178</v>
      </c>
      <c r="CZ113" s="213">
        <f t="shared" si="263"/>
        <v>0.26082715600531586</v>
      </c>
      <c r="DA113" s="810">
        <f t="shared" si="263"/>
        <v>0.25996134578679198</v>
      </c>
      <c r="DB113" s="213">
        <f t="shared" si="263"/>
        <v>0.2493599211510612</v>
      </c>
      <c r="DC113" s="213">
        <f t="shared" si="263"/>
        <v>0.24045026047863718</v>
      </c>
      <c r="DD113" s="213">
        <f t="shared" si="263"/>
        <v>0.25266819094491533</v>
      </c>
      <c r="DE113" s="213">
        <f>DE89/DE66</f>
        <v>0.25987580111990022</v>
      </c>
      <c r="DF113" s="810">
        <f t="shared" si="263"/>
        <v>0.25053333938026001</v>
      </c>
      <c r="DG113" s="213">
        <f t="shared" si="248"/>
        <v>0.24842910163160067</v>
      </c>
      <c r="DH113" s="213">
        <f t="shared" si="248"/>
        <v>0.24757843370842592</v>
      </c>
      <c r="DI113" s="213">
        <f t="shared" ref="DI113:DJ113" si="264">DI89/DI66</f>
        <v>0.24899832599026511</v>
      </c>
      <c r="DJ113" s="213">
        <f t="shared" si="264"/>
        <v>0.24562939806281109</v>
      </c>
      <c r="DK113" s="1385">
        <f t="shared" ref="DK113:DP113" si="265">DK89/DK66</f>
        <v>0.2476532156213514</v>
      </c>
      <c r="DL113" s="213">
        <f t="shared" si="265"/>
        <v>0.24381501961213761</v>
      </c>
      <c r="DM113" s="213">
        <f t="shared" ref="DM113:DN113" si="266">DM89/DM66</f>
        <v>0.2469464524786904</v>
      </c>
      <c r="DN113" s="213">
        <f t="shared" si="266"/>
        <v>0.23973844256121438</v>
      </c>
      <c r="DO113" s="213">
        <f t="shared" ref="DO113:DQ113" si="267">DO89/DO66</f>
        <v>0.23325604846449496</v>
      </c>
      <c r="DP113" s="1385">
        <f t="shared" si="265"/>
        <v>0.24070408962696388</v>
      </c>
      <c r="DQ113" s="213">
        <f t="shared" si="267"/>
        <v>0.23079045200061385</v>
      </c>
      <c r="DR113" s="213">
        <f t="shared" ca="1" si="253"/>
        <v>0.24274176899691297</v>
      </c>
      <c r="DS113" s="213">
        <f t="shared" ca="1" si="253"/>
        <v>0.2375805771563396</v>
      </c>
      <c r="DT113" s="213">
        <f t="shared" si="253"/>
        <v>0.23113558273650905</v>
      </c>
      <c r="DU113" s="1385">
        <f t="shared" ca="1" si="253"/>
        <v>0.23555525302469379</v>
      </c>
      <c r="DV113" s="213">
        <f t="shared" ref="DV113:DZ113" si="268">DV89/DV66</f>
        <v>0.23170399721887605</v>
      </c>
      <c r="DW113" s="213">
        <f t="shared" ca="1" si="268"/>
        <v>0.24370675372504358</v>
      </c>
      <c r="DX113" s="213">
        <f t="shared" ca="1" si="268"/>
        <v>0.23891525690381288</v>
      </c>
      <c r="DY113" s="213">
        <f t="shared" si="268"/>
        <v>0.23278645687498792</v>
      </c>
      <c r="DZ113" s="1385">
        <f t="shared" ca="1" si="268"/>
        <v>0.23667924531462167</v>
      </c>
      <c r="EA113" s="213">
        <f t="shared" ref="EA113:EE113" si="269">EA89/EA66</f>
        <v>0.23190196564384039</v>
      </c>
      <c r="EB113" s="213">
        <f t="shared" ca="1" si="269"/>
        <v>0.24418476995501096</v>
      </c>
      <c r="EC113" s="213">
        <f t="shared" ca="1" si="269"/>
        <v>0.23965380916580709</v>
      </c>
      <c r="ED113" s="213">
        <f t="shared" si="269"/>
        <v>0.23396749322745428</v>
      </c>
      <c r="EE113" s="1385">
        <f t="shared" ca="1" si="269"/>
        <v>0.237331130108099</v>
      </c>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row>
    <row r="114" spans="2:238" s="228" customFormat="1" ht="12.75" customHeight="1">
      <c r="B114" s="564"/>
      <c r="C114" s="219"/>
      <c r="D114" s="219"/>
      <c r="E114" s="220"/>
      <c r="F114" s="220"/>
      <c r="G114" s="220"/>
      <c r="H114" s="220"/>
      <c r="I114" s="220"/>
      <c r="J114" s="220"/>
      <c r="K114" s="221"/>
      <c r="L114" s="222"/>
      <c r="M114" s="222"/>
      <c r="N114" s="223"/>
      <c r="O114" s="220"/>
      <c r="P114" s="221"/>
      <c r="Q114" s="222"/>
      <c r="R114" s="222"/>
      <c r="S114" s="223"/>
      <c r="T114" s="220"/>
      <c r="U114" s="221"/>
      <c r="V114" s="222"/>
      <c r="W114" s="222"/>
      <c r="X114" s="223"/>
      <c r="Y114" s="220"/>
      <c r="Z114" s="221"/>
      <c r="AA114" s="222"/>
      <c r="AB114" s="222"/>
      <c r="AC114" s="223"/>
      <c r="AD114" s="220"/>
      <c r="AE114" s="221"/>
      <c r="AF114" s="222"/>
      <c r="AG114" s="222"/>
      <c r="AH114" s="223"/>
      <c r="AI114" s="220"/>
      <c r="AJ114" s="221"/>
      <c r="AK114" s="222"/>
      <c r="AL114" s="222"/>
      <c r="AM114" s="223"/>
      <c r="AN114" s="220"/>
      <c r="AO114" s="221"/>
      <c r="AP114" s="222"/>
      <c r="AQ114" s="222"/>
      <c r="AR114" s="223"/>
      <c r="AS114" s="220"/>
      <c r="AT114" s="221"/>
      <c r="AU114" s="222"/>
      <c r="AV114" s="222"/>
      <c r="AW114" s="223"/>
      <c r="AX114" s="220"/>
      <c r="AY114" s="221"/>
      <c r="AZ114" s="222"/>
      <c r="BA114" s="222"/>
      <c r="BB114" s="223"/>
      <c r="BC114" s="220"/>
      <c r="BD114" s="221"/>
      <c r="BE114" s="222"/>
      <c r="BF114" s="222"/>
      <c r="BG114" s="223"/>
      <c r="BH114" s="220"/>
      <c r="BI114" s="221"/>
      <c r="BJ114" s="222"/>
      <c r="BK114" s="222"/>
      <c r="BL114" s="223"/>
      <c r="BM114" s="220"/>
      <c r="BN114" s="221"/>
      <c r="BO114" s="222"/>
      <c r="BP114" s="222"/>
      <c r="BQ114" s="223"/>
      <c r="BR114" s="220"/>
      <c r="BS114" s="221"/>
      <c r="BT114" s="222"/>
      <c r="BU114" s="222"/>
      <c r="BV114" s="223"/>
      <c r="BW114" s="220"/>
      <c r="BX114" s="224"/>
      <c r="BY114" s="225"/>
      <c r="BZ114" s="225"/>
      <c r="CA114" s="226"/>
      <c r="CB114" s="225"/>
      <c r="CC114" s="224"/>
      <c r="CD114" s="225"/>
      <c r="CE114" s="225"/>
      <c r="CF114" s="225"/>
      <c r="CG114" s="811"/>
      <c r="CH114" s="225"/>
      <c r="CI114" s="225"/>
      <c r="CJ114" s="225"/>
      <c r="CK114" s="225"/>
      <c r="CL114" s="811"/>
      <c r="CM114" s="227"/>
      <c r="CN114" s="227"/>
      <c r="CO114" s="227"/>
      <c r="CP114" s="227"/>
      <c r="CQ114" s="811"/>
      <c r="CR114" s="227"/>
      <c r="CS114" s="227"/>
      <c r="CT114" s="227"/>
      <c r="CU114" s="227"/>
      <c r="CV114" s="815"/>
      <c r="CW114" s="227"/>
      <c r="CX114" s="227"/>
      <c r="CY114" s="227"/>
      <c r="CZ114" s="227"/>
      <c r="DA114" s="811"/>
      <c r="DB114" s="227"/>
      <c r="DC114" s="227"/>
      <c r="DD114" s="227"/>
      <c r="DE114" s="227"/>
      <c r="DF114" s="811"/>
      <c r="DG114" s="227"/>
      <c r="DH114" s="227"/>
      <c r="DI114" s="227"/>
      <c r="DJ114" s="227"/>
      <c r="DK114" s="1387"/>
      <c r="DL114" s="227"/>
      <c r="DM114" s="227"/>
      <c r="DN114" s="227"/>
      <c r="DO114" s="227"/>
      <c r="DP114" s="1387"/>
      <c r="DQ114" s="227"/>
      <c r="DR114" s="227"/>
      <c r="DS114" s="227"/>
      <c r="DT114" s="227"/>
      <c r="DU114" s="1387"/>
      <c r="DV114" s="227"/>
      <c r="DW114" s="227"/>
      <c r="DX114" s="227"/>
      <c r="DY114" s="227"/>
      <c r="DZ114" s="1387"/>
      <c r="EA114" s="227"/>
      <c r="EB114" s="227"/>
      <c r="EC114" s="227"/>
      <c r="ED114" s="227"/>
      <c r="EE114" s="1387"/>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row>
    <row r="115" spans="2:238" s="228" customFormat="1" ht="12.75" customHeight="1">
      <c r="B115" s="564" t="s">
        <v>250</v>
      </c>
      <c r="C115" s="219"/>
      <c r="D115" s="219"/>
      <c r="E115" s="220"/>
      <c r="F115" s="220"/>
      <c r="G115" s="220"/>
      <c r="H115" s="220"/>
      <c r="I115" s="220"/>
      <c r="J115" s="220"/>
      <c r="K115" s="221"/>
      <c r="L115" s="222"/>
      <c r="M115" s="222"/>
      <c r="N115" s="223"/>
      <c r="O115" s="220"/>
      <c r="P115" s="221"/>
      <c r="Q115" s="222"/>
      <c r="R115" s="222"/>
      <c r="S115" s="223"/>
      <c r="T115" s="220"/>
      <c r="U115" s="221"/>
      <c r="V115" s="222"/>
      <c r="W115" s="222"/>
      <c r="X115" s="223"/>
      <c r="Y115" s="220"/>
      <c r="Z115" s="221"/>
      <c r="AA115" s="222"/>
      <c r="AB115" s="222"/>
      <c r="AC115" s="223"/>
      <c r="AD115" s="220"/>
      <c r="AE115" s="221"/>
      <c r="AF115" s="222"/>
      <c r="AG115" s="222"/>
      <c r="AH115" s="223"/>
      <c r="AI115" s="220"/>
      <c r="AJ115" s="221"/>
      <c r="AK115" s="222"/>
      <c r="AL115" s="222"/>
      <c r="AM115" s="223"/>
      <c r="AN115" s="220"/>
      <c r="AO115" s="221"/>
      <c r="AP115" s="222"/>
      <c r="AQ115" s="222"/>
      <c r="AR115" s="223"/>
      <c r="AS115" s="220"/>
      <c r="AT115" s="221"/>
      <c r="AU115" s="222"/>
      <c r="AV115" s="222"/>
      <c r="AW115" s="223"/>
      <c r="AX115" s="220"/>
      <c r="AY115" s="221"/>
      <c r="AZ115" s="222"/>
      <c r="BA115" s="222"/>
      <c r="BB115" s="223"/>
      <c r="BC115" s="220"/>
      <c r="BD115" s="221"/>
      <c r="BE115" s="222"/>
      <c r="BF115" s="222"/>
      <c r="BG115" s="223"/>
      <c r="BH115" s="220"/>
      <c r="BI115" s="221"/>
      <c r="BJ115" s="222"/>
      <c r="BK115" s="222"/>
      <c r="BL115" s="223"/>
      <c r="BM115" s="220"/>
      <c r="BN115" s="221"/>
      <c r="BO115" s="222"/>
      <c r="BP115" s="222"/>
      <c r="BQ115" s="223"/>
      <c r="BR115" s="220"/>
      <c r="BS115" s="221"/>
      <c r="BT115" s="222"/>
      <c r="BU115" s="222"/>
      <c r="BV115" s="223"/>
      <c r="BW115" s="220"/>
      <c r="BX115" s="224"/>
      <c r="BY115" s="225"/>
      <c r="BZ115" s="225"/>
      <c r="CA115" s="226"/>
      <c r="CB115" s="225">
        <f>CB113-BW113</f>
        <v>2.8057102405798784E-3</v>
      </c>
      <c r="CC115" s="224"/>
      <c r="CD115" s="225"/>
      <c r="CE115" s="225"/>
      <c r="CF115" s="225"/>
      <c r="CG115" s="811">
        <f>CG113-CB113</f>
        <v>1.0008582776733499E-3</v>
      </c>
      <c r="CH115" s="225"/>
      <c r="CI115" s="225"/>
      <c r="CJ115" s="225"/>
      <c r="CK115" s="225"/>
      <c r="CL115" s="811">
        <f t="shared" ref="CL115:DQ115" si="270">CL113-CG113</f>
        <v>1.7835649295942224E-3</v>
      </c>
      <c r="CM115" s="227">
        <f t="shared" si="270"/>
        <v>-8.5793688458632167E-3</v>
      </c>
      <c r="CN115" s="227">
        <f t="shared" si="270"/>
        <v>-2.6506920754965635E-3</v>
      </c>
      <c r="CO115" s="227">
        <f t="shared" si="270"/>
        <v>4.1165843005611102E-4</v>
      </c>
      <c r="CP115" s="227">
        <f t="shared" si="270"/>
        <v>5.9795113375874509E-3</v>
      </c>
      <c r="CQ115" s="815">
        <f t="shared" si="270"/>
        <v>-1.3585382115810507E-3</v>
      </c>
      <c r="CR115" s="227">
        <f t="shared" si="270"/>
        <v>1.9460700974055362E-2</v>
      </c>
      <c r="CS115" s="227">
        <f t="shared" si="270"/>
        <v>1.8048959581005886E-2</v>
      </c>
      <c r="CT115" s="227">
        <f t="shared" si="270"/>
        <v>2.2759226733403665E-2</v>
      </c>
      <c r="CU115" s="227">
        <f t="shared" si="270"/>
        <v>1.3142790917964831E-2</v>
      </c>
      <c r="CV115" s="815">
        <f t="shared" si="270"/>
        <v>1.8561815812009441E-2</v>
      </c>
      <c r="CW115" s="227">
        <f t="shared" si="270"/>
        <v>-3.0455069959332559E-3</v>
      </c>
      <c r="CX115" s="227">
        <f t="shared" si="270"/>
        <v>-8.4253328701142105E-3</v>
      </c>
      <c r="CY115" s="227">
        <f t="shared" si="270"/>
        <v>-8.2772021923375738E-3</v>
      </c>
      <c r="CZ115" s="227">
        <f t="shared" si="270"/>
        <v>-1.0767450884399177E-2</v>
      </c>
      <c r="DA115" s="815">
        <f t="shared" si="270"/>
        <v>-7.6563508353958976E-3</v>
      </c>
      <c r="DB115" s="227">
        <f t="shared" si="270"/>
        <v>-1.1359577782923735E-2</v>
      </c>
      <c r="DC115" s="227">
        <f t="shared" si="270"/>
        <v>-1.4096728532542541E-2</v>
      </c>
      <c r="DD115" s="227">
        <f t="shared" si="270"/>
        <v>-1.0990311547166454E-2</v>
      </c>
      <c r="DE115" s="227">
        <f t="shared" si="270"/>
        <v>-9.5135488541564506E-4</v>
      </c>
      <c r="DF115" s="815">
        <f t="shared" si="270"/>
        <v>-9.4280064065319635E-3</v>
      </c>
      <c r="DG115" s="227">
        <f t="shared" si="270"/>
        <v>-9.3081951946052954E-4</v>
      </c>
      <c r="DH115" s="227">
        <f t="shared" si="270"/>
        <v>7.1281732297887312E-3</v>
      </c>
      <c r="DI115" s="227">
        <f t="shared" si="270"/>
        <v>-3.6698649546502149E-3</v>
      </c>
      <c r="DJ115" s="227">
        <f t="shared" si="270"/>
        <v>-1.424640305708913E-2</v>
      </c>
      <c r="DK115" s="1387">
        <f t="shared" si="270"/>
        <v>-2.8801237589086148E-3</v>
      </c>
      <c r="DL115" s="227">
        <f t="shared" si="270"/>
        <v>-4.6140820194630616E-3</v>
      </c>
      <c r="DM115" s="227">
        <f t="shared" si="270"/>
        <v>-6.3198122973551207E-4</v>
      </c>
      <c r="DN115" s="227">
        <f t="shared" si="270"/>
        <v>-9.2598834290507359E-3</v>
      </c>
      <c r="DO115" s="227">
        <f t="shared" si="270"/>
        <v>-1.2373349598316125E-2</v>
      </c>
      <c r="DP115" s="1387">
        <f t="shared" ref="DP115:DU115" si="271">DP113-DK113</f>
        <v>-6.9491259943875172E-3</v>
      </c>
      <c r="DQ115" s="227">
        <f t="shared" si="270"/>
        <v>-1.3024567611523763E-2</v>
      </c>
      <c r="DR115" s="227">
        <f t="shared" ca="1" si="271"/>
        <v>-4.2046834817774381E-3</v>
      </c>
      <c r="DS115" s="227">
        <f t="shared" ca="1" si="271"/>
        <v>-2.1578654048747814E-3</v>
      </c>
      <c r="DT115" s="227">
        <f t="shared" si="271"/>
        <v>-2.1204657279859096E-3</v>
      </c>
      <c r="DU115" s="1387">
        <f t="shared" ca="1" si="271"/>
        <v>-5.1488366022700849E-3</v>
      </c>
      <c r="DV115" s="227">
        <f t="shared" ref="DV115" si="272">DV113-DQ113</f>
        <v>9.135452182622017E-4</v>
      </c>
      <c r="DW115" s="227">
        <f t="shared" ref="DW115" ca="1" si="273">DW113-DR113</f>
        <v>9.6498472813061342E-4</v>
      </c>
      <c r="DX115" s="227">
        <f t="shared" ref="DX115" ca="1" si="274">DX113-DS113</f>
        <v>1.334679747473283E-3</v>
      </c>
      <c r="DY115" s="227">
        <f t="shared" ref="DY115" si="275">DY113-DT113</f>
        <v>1.6508741384788639E-3</v>
      </c>
      <c r="DZ115" s="1387">
        <f t="shared" ref="DZ115" ca="1" si="276">DZ113-DU113</f>
        <v>1.1239922899278776E-3</v>
      </c>
      <c r="EA115" s="227">
        <f t="shared" ref="EA115" si="277">EA113-DV113</f>
        <v>1.9796842496433431E-4</v>
      </c>
      <c r="EB115" s="227">
        <f t="shared" ref="EB115" ca="1" si="278">EB113-DW113</f>
        <v>4.7801622996737625E-4</v>
      </c>
      <c r="EC115" s="227">
        <f t="shared" ref="EC115" ca="1" si="279">EC113-DX113</f>
        <v>7.3855226199420754E-4</v>
      </c>
      <c r="ED115" s="227">
        <f t="shared" ref="ED115" si="280">ED113-DY113</f>
        <v>1.1810363524663581E-3</v>
      </c>
      <c r="EE115" s="1387">
        <f t="shared" ref="EE115" ca="1" si="281">EE113-DZ113</f>
        <v>6.5188479347733086E-4</v>
      </c>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row>
    <row r="116" spans="2:238" s="228" customFormat="1" ht="12.75" customHeight="1">
      <c r="B116" s="564" t="s">
        <v>190</v>
      </c>
      <c r="C116" s="219"/>
      <c r="D116" s="219"/>
      <c r="E116" s="220"/>
      <c r="F116" s="220"/>
      <c r="G116" s="220"/>
      <c r="H116" s="220"/>
      <c r="I116" s="220"/>
      <c r="J116" s="220"/>
      <c r="K116" s="221"/>
      <c r="L116" s="222"/>
      <c r="M116" s="222"/>
      <c r="N116" s="223"/>
      <c r="O116" s="220"/>
      <c r="P116" s="221"/>
      <c r="Q116" s="222"/>
      <c r="R116" s="222"/>
      <c r="S116" s="223"/>
      <c r="T116" s="220"/>
      <c r="U116" s="221"/>
      <c r="V116" s="222"/>
      <c r="W116" s="222"/>
      <c r="X116" s="223"/>
      <c r="Y116" s="220"/>
      <c r="Z116" s="221"/>
      <c r="AA116" s="222"/>
      <c r="AB116" s="222"/>
      <c r="AC116" s="223"/>
      <c r="AD116" s="220"/>
      <c r="AE116" s="221"/>
      <c r="AF116" s="222"/>
      <c r="AG116" s="222"/>
      <c r="AH116" s="223"/>
      <c r="AI116" s="220"/>
      <c r="AJ116" s="221"/>
      <c r="AK116" s="222"/>
      <c r="AL116" s="222"/>
      <c r="AM116" s="223"/>
      <c r="AN116" s="220"/>
      <c r="AO116" s="221"/>
      <c r="AP116" s="222"/>
      <c r="AQ116" s="222"/>
      <c r="AR116" s="223"/>
      <c r="AS116" s="220"/>
      <c r="AT116" s="221"/>
      <c r="AU116" s="222"/>
      <c r="AV116" s="222"/>
      <c r="AW116" s="223"/>
      <c r="AX116" s="220"/>
      <c r="AY116" s="221"/>
      <c r="AZ116" s="222"/>
      <c r="BA116" s="222"/>
      <c r="BB116" s="223"/>
      <c r="BC116" s="220"/>
      <c r="BD116" s="221"/>
      <c r="BE116" s="222"/>
      <c r="BF116" s="222"/>
      <c r="BG116" s="223"/>
      <c r="BH116" s="220"/>
      <c r="BI116" s="221"/>
      <c r="BJ116" s="222"/>
      <c r="BK116" s="222"/>
      <c r="BL116" s="223"/>
      <c r="BM116" s="220"/>
      <c r="BN116" s="221"/>
      <c r="BO116" s="222"/>
      <c r="BP116" s="222"/>
      <c r="BQ116" s="223"/>
      <c r="BR116" s="220"/>
      <c r="BS116" s="221"/>
      <c r="BT116" s="222"/>
      <c r="BU116" s="222"/>
      <c r="BV116" s="223"/>
      <c r="BW116" s="220"/>
      <c r="BX116" s="224"/>
      <c r="BY116" s="225"/>
      <c r="BZ116" s="225"/>
      <c r="CA116" s="226"/>
      <c r="CB116" s="225"/>
      <c r="CC116" s="224"/>
      <c r="CD116" s="225"/>
      <c r="CE116" s="225"/>
      <c r="CF116" s="225"/>
      <c r="CG116" s="811"/>
      <c r="CH116" s="225"/>
      <c r="CI116" s="225"/>
      <c r="CJ116" s="225"/>
      <c r="CK116" s="225"/>
      <c r="CL116" s="811"/>
      <c r="CM116" s="227">
        <f>CM113-CK113</f>
        <v>-8.1679996782999253E-3</v>
      </c>
      <c r="CN116" s="227">
        <f>CN113-CM113</f>
        <v>6.1905734442521676E-4</v>
      </c>
      <c r="CO116" s="227">
        <f>CO113-CN113</f>
        <v>4.2531156507276402E-3</v>
      </c>
      <c r="CP116" s="227">
        <f>CP113-CO113</f>
        <v>9.2753380207345193E-3</v>
      </c>
      <c r="CQ116" s="811"/>
      <c r="CR116" s="227">
        <f>CR113-CP113</f>
        <v>5.3131899581679853E-3</v>
      </c>
      <c r="CS116" s="227">
        <f>CS113-CR113</f>
        <v>-7.9268404862425923E-4</v>
      </c>
      <c r="CT116" s="227">
        <f>CT113-CS113</f>
        <v>8.9633828031254192E-3</v>
      </c>
      <c r="CU116" s="227">
        <f>CU113-CT113</f>
        <v>-3.4109779470431478E-4</v>
      </c>
      <c r="CV116" s="815"/>
      <c r="CW116" s="227">
        <f>CW113-CU113</f>
        <v>-1.0875107955730101E-2</v>
      </c>
      <c r="CX116" s="227">
        <f>CX113-CW113</f>
        <v>-6.1725099228052138E-3</v>
      </c>
      <c r="CY116" s="227">
        <f>CY113-CX113</f>
        <v>9.1115134809020559E-3</v>
      </c>
      <c r="CZ116" s="227">
        <f>CZ113-CY113</f>
        <v>-2.8313464867659177E-3</v>
      </c>
      <c r="DA116" s="811"/>
      <c r="DB116" s="227">
        <f>DB113-CZ113</f>
        <v>-1.146723485425466E-2</v>
      </c>
      <c r="DC116" s="227">
        <f>DC113-DB113</f>
        <v>-8.909660672424019E-3</v>
      </c>
      <c r="DD116" s="227">
        <f>DD113-DC113</f>
        <v>1.2217930466278143E-2</v>
      </c>
      <c r="DE116" s="227">
        <f>DE113-DD113</f>
        <v>7.2076101749848909E-3</v>
      </c>
      <c r="DF116" s="811"/>
      <c r="DG116" s="227">
        <f>DG113-DF113</f>
        <v>-2.1042377486593378E-3</v>
      </c>
      <c r="DH116" s="227">
        <f>DH113-DG113</f>
        <v>-8.5066792317475826E-4</v>
      </c>
      <c r="DI116" s="227">
        <f>DI113-DH113</f>
        <v>1.4198922818391968E-3</v>
      </c>
      <c r="DJ116" s="227">
        <f>DJ113-DI113</f>
        <v>-3.368927927454024E-3</v>
      </c>
      <c r="DK116" s="1387"/>
      <c r="DL116" s="227">
        <f>DL113-DK113</f>
        <v>-3.8381960092137846E-3</v>
      </c>
      <c r="DM116" s="227">
        <f>DM113-DL113</f>
        <v>3.1314328665527913E-3</v>
      </c>
      <c r="DN116" s="227">
        <f>DN113-DM113</f>
        <v>-7.208009917476027E-3</v>
      </c>
      <c r="DO116" s="227">
        <f>DO113-DN113</f>
        <v>-6.4823940967194127E-3</v>
      </c>
      <c r="DP116" s="1387"/>
      <c r="DQ116" s="227">
        <f>DQ113-DP113</f>
        <v>-9.9136376263500303E-3</v>
      </c>
      <c r="DR116" s="227">
        <f ca="1">DR113-DQ113</f>
        <v>1.1951316996299116E-2</v>
      </c>
      <c r="DS116" s="227">
        <f ca="1">DS113-DR113</f>
        <v>-5.1611918405733703E-3</v>
      </c>
      <c r="DT116" s="227">
        <f ca="1">DT113-DS113</f>
        <v>-6.4449944198305409E-3</v>
      </c>
      <c r="DU116" s="1387"/>
      <c r="DV116" s="227">
        <f ca="1">DV113-DU113</f>
        <v>-3.8512558058177437E-3</v>
      </c>
      <c r="DW116" s="227">
        <f ca="1">DW113-DV113</f>
        <v>1.2002756506167528E-2</v>
      </c>
      <c r="DX116" s="227">
        <f ca="1">DX113-DW113</f>
        <v>-4.7914968212307008E-3</v>
      </c>
      <c r="DY116" s="227">
        <f ca="1">DY113-DX113</f>
        <v>-6.12880002882496E-3</v>
      </c>
      <c r="DZ116" s="1387"/>
      <c r="EA116" s="227">
        <f ca="1">EA113-DZ113</f>
        <v>-4.777279670781287E-3</v>
      </c>
      <c r="EB116" s="227">
        <f ca="1">EB113-EA113</f>
        <v>1.228280431117057E-2</v>
      </c>
      <c r="EC116" s="227">
        <f ca="1">EC113-EB113</f>
        <v>-4.5309607892038695E-3</v>
      </c>
      <c r="ED116" s="227">
        <f ca="1">ED113-EC113</f>
        <v>-5.6863159383528095E-3</v>
      </c>
      <c r="EE116" s="1387"/>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row>
    <row r="117" spans="2:238" s="228" customFormat="1" ht="12.75" customHeight="1">
      <c r="B117" s="564"/>
      <c r="C117" s="219"/>
      <c r="D117" s="219"/>
      <c r="E117" s="220"/>
      <c r="F117" s="220"/>
      <c r="G117" s="220"/>
      <c r="H117" s="220"/>
      <c r="I117" s="220"/>
      <c r="J117" s="220"/>
      <c r="K117" s="221"/>
      <c r="L117" s="222"/>
      <c r="M117" s="222"/>
      <c r="N117" s="223"/>
      <c r="O117" s="220"/>
      <c r="P117" s="221"/>
      <c r="Q117" s="222"/>
      <c r="R117" s="222"/>
      <c r="S117" s="223"/>
      <c r="T117" s="220"/>
      <c r="U117" s="221"/>
      <c r="V117" s="222"/>
      <c r="W117" s="222"/>
      <c r="X117" s="223"/>
      <c r="Y117" s="220"/>
      <c r="Z117" s="221"/>
      <c r="AA117" s="222"/>
      <c r="AB117" s="222"/>
      <c r="AC117" s="223"/>
      <c r="AD117" s="220"/>
      <c r="AE117" s="221"/>
      <c r="AF117" s="222"/>
      <c r="AG117" s="222"/>
      <c r="AH117" s="223"/>
      <c r="AI117" s="220"/>
      <c r="AJ117" s="221"/>
      <c r="AK117" s="222"/>
      <c r="AL117" s="222"/>
      <c r="AM117" s="223"/>
      <c r="AN117" s="220"/>
      <c r="AO117" s="221"/>
      <c r="AP117" s="222"/>
      <c r="AQ117" s="222"/>
      <c r="AR117" s="223"/>
      <c r="AS117" s="220"/>
      <c r="AT117" s="221"/>
      <c r="AU117" s="222"/>
      <c r="AV117" s="222"/>
      <c r="AW117" s="223"/>
      <c r="AX117" s="220"/>
      <c r="AY117" s="221"/>
      <c r="AZ117" s="222"/>
      <c r="BA117" s="222"/>
      <c r="BB117" s="223"/>
      <c r="BC117" s="220"/>
      <c r="BD117" s="221"/>
      <c r="BE117" s="222"/>
      <c r="BF117" s="222"/>
      <c r="BG117" s="223"/>
      <c r="BH117" s="220"/>
      <c r="BI117" s="221"/>
      <c r="BJ117" s="222"/>
      <c r="BK117" s="222"/>
      <c r="BL117" s="223"/>
      <c r="BM117" s="220"/>
      <c r="BN117" s="221"/>
      <c r="BO117" s="222"/>
      <c r="BP117" s="222"/>
      <c r="BQ117" s="223"/>
      <c r="BR117" s="220"/>
      <c r="BS117" s="221"/>
      <c r="BT117" s="222"/>
      <c r="BU117" s="222"/>
      <c r="BV117" s="223"/>
      <c r="BW117" s="220"/>
      <c r="BX117" s="224"/>
      <c r="BY117" s="225"/>
      <c r="BZ117" s="225"/>
      <c r="CA117" s="226"/>
      <c r="CB117" s="225"/>
      <c r="CC117" s="224"/>
      <c r="CD117" s="225"/>
      <c r="CE117" s="225"/>
      <c r="CF117" s="225"/>
      <c r="CG117" s="811"/>
      <c r="CH117" s="225"/>
      <c r="CI117" s="225"/>
      <c r="CJ117" s="225"/>
      <c r="CK117" s="225"/>
      <c r="CL117" s="811"/>
      <c r="CM117" s="227"/>
      <c r="CN117" s="227"/>
      <c r="CO117" s="227"/>
      <c r="CP117" s="227"/>
      <c r="CQ117" s="811"/>
      <c r="CR117" s="227"/>
      <c r="CS117" s="227"/>
      <c r="CT117" s="227"/>
      <c r="CU117" s="227"/>
      <c r="CV117" s="815"/>
      <c r="CW117" s="227"/>
      <c r="CX117" s="227"/>
      <c r="CY117" s="227"/>
      <c r="CZ117" s="227"/>
      <c r="DA117" s="811"/>
      <c r="DB117" s="227"/>
      <c r="DC117" s="227"/>
      <c r="DD117" s="227"/>
      <c r="DE117" s="227"/>
      <c r="DF117" s="811"/>
      <c r="DG117" s="227"/>
      <c r="DH117" s="227"/>
      <c r="DI117" s="227"/>
      <c r="DJ117" s="227"/>
      <c r="DK117" s="1387"/>
      <c r="DL117" s="227"/>
      <c r="DM117" s="227"/>
      <c r="DN117" s="227"/>
      <c r="DO117" s="227"/>
      <c r="DP117" s="1387"/>
      <c r="DQ117" s="227"/>
      <c r="DR117" s="227"/>
      <c r="DS117" s="227"/>
      <c r="DT117" s="227"/>
      <c r="DU117" s="1387"/>
      <c r="DV117" s="227"/>
      <c r="DW117" s="227"/>
      <c r="DX117" s="227"/>
      <c r="DY117" s="227"/>
      <c r="DZ117" s="1387"/>
      <c r="EA117" s="227"/>
      <c r="EB117" s="227"/>
      <c r="EC117" s="227"/>
      <c r="ED117" s="227"/>
      <c r="EE117" s="138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row>
    <row r="118" spans="2:238" s="228" customFormat="1" ht="12.75" customHeight="1">
      <c r="B118" s="564" t="s">
        <v>258</v>
      </c>
      <c r="C118" s="219"/>
      <c r="D118" s="219"/>
      <c r="E118" s="220"/>
      <c r="F118" s="220"/>
      <c r="G118" s="220"/>
      <c r="H118" s="220"/>
      <c r="I118" s="220"/>
      <c r="J118" s="220"/>
      <c r="K118" s="221"/>
      <c r="L118" s="222"/>
      <c r="M118" s="222"/>
      <c r="N118" s="223"/>
      <c r="O118" s="220"/>
      <c r="P118" s="221"/>
      <c r="Q118" s="222"/>
      <c r="R118" s="222"/>
      <c r="S118" s="223"/>
      <c r="T118" s="220"/>
      <c r="U118" s="221"/>
      <c r="V118" s="222"/>
      <c r="W118" s="222"/>
      <c r="X118" s="223"/>
      <c r="Y118" s="220"/>
      <c r="Z118" s="221"/>
      <c r="AA118" s="222"/>
      <c r="AB118" s="222"/>
      <c r="AC118" s="223"/>
      <c r="AD118" s="220"/>
      <c r="AE118" s="221"/>
      <c r="AF118" s="222"/>
      <c r="AG118" s="222"/>
      <c r="AH118" s="223"/>
      <c r="AI118" s="220"/>
      <c r="AJ118" s="221"/>
      <c r="AK118" s="222"/>
      <c r="AL118" s="222"/>
      <c r="AM118" s="223"/>
      <c r="AN118" s="220"/>
      <c r="AO118" s="221"/>
      <c r="AP118" s="222"/>
      <c r="AQ118" s="222"/>
      <c r="AR118" s="223"/>
      <c r="AS118" s="220"/>
      <c r="AT118" s="221"/>
      <c r="AU118" s="222"/>
      <c r="AV118" s="222"/>
      <c r="AW118" s="223"/>
      <c r="AX118" s="220"/>
      <c r="AY118" s="221"/>
      <c r="AZ118" s="222"/>
      <c r="BA118" s="222"/>
      <c r="BB118" s="223"/>
      <c r="BC118" s="220"/>
      <c r="BD118" s="221"/>
      <c r="BE118" s="222"/>
      <c r="BF118" s="222"/>
      <c r="BG118" s="223"/>
      <c r="BH118" s="220"/>
      <c r="BI118" s="221"/>
      <c r="BJ118" s="222"/>
      <c r="BK118" s="222"/>
      <c r="BL118" s="223"/>
      <c r="BM118" s="220"/>
      <c r="BN118" s="221"/>
      <c r="BO118" s="222"/>
      <c r="BP118" s="222"/>
      <c r="BQ118" s="223"/>
      <c r="BR118" s="220"/>
      <c r="BS118" s="221"/>
      <c r="BT118" s="222"/>
      <c r="BU118" s="222"/>
      <c r="BV118" s="223"/>
      <c r="BW118" s="220"/>
      <c r="BX118" s="224"/>
      <c r="BY118" s="225"/>
      <c r="BZ118" s="225"/>
      <c r="CA118" s="226"/>
      <c r="CB118" s="225"/>
      <c r="CC118" s="224"/>
      <c r="CD118" s="225"/>
      <c r="CE118" s="225"/>
      <c r="CF118" s="225"/>
      <c r="CG118" s="811"/>
      <c r="CH118" s="225"/>
      <c r="CI118" s="225"/>
      <c r="CJ118" s="225"/>
      <c r="CK118" s="225"/>
      <c r="CL118" s="811"/>
      <c r="CM118" s="227">
        <f t="shared" ref="CM118:DQ118" si="282">CM111-CH111</f>
        <v>-9.0203171370969448E-3</v>
      </c>
      <c r="CN118" s="227">
        <f t="shared" si="282"/>
        <v>9.5600924683348909E-3</v>
      </c>
      <c r="CO118" s="227">
        <f t="shared" si="282"/>
        <v>1.3610015267235265E-2</v>
      </c>
      <c r="CP118" s="227">
        <f t="shared" si="282"/>
        <v>5.0738581250000525E-3</v>
      </c>
      <c r="CQ118" s="811">
        <f t="shared" si="282"/>
        <v>4.6666880687262768E-3</v>
      </c>
      <c r="CR118" s="227">
        <f t="shared" si="282"/>
        <v>1.3346242611109504E-2</v>
      </c>
      <c r="CS118" s="227">
        <f t="shared" si="282"/>
        <v>1.0718821249815935E-2</v>
      </c>
      <c r="CT118" s="227">
        <f t="shared" si="282"/>
        <v>7.2938159939792691E-3</v>
      </c>
      <c r="CU118" s="227">
        <f t="shared" si="282"/>
        <v>1.0294495717187324E-2</v>
      </c>
      <c r="CV118" s="815">
        <f t="shared" si="282"/>
        <v>1.077313759043852E-2</v>
      </c>
      <c r="CW118" s="227">
        <f t="shared" si="282"/>
        <v>0</v>
      </c>
      <c r="CX118" s="227">
        <f t="shared" si="282"/>
        <v>0</v>
      </c>
      <c r="CY118" s="227">
        <f t="shared" si="282"/>
        <v>0</v>
      </c>
      <c r="CZ118" s="227">
        <f t="shared" si="282"/>
        <v>0</v>
      </c>
      <c r="DA118" s="811">
        <f t="shared" si="282"/>
        <v>1.1247409422709964E-5</v>
      </c>
      <c r="DB118" s="227">
        <f t="shared" si="282"/>
        <v>0</v>
      </c>
      <c r="DC118" s="227">
        <f t="shared" si="282"/>
        <v>0</v>
      </c>
      <c r="DD118" s="227">
        <f t="shared" si="282"/>
        <v>0</v>
      </c>
      <c r="DE118" s="227">
        <f t="shared" si="282"/>
        <v>0</v>
      </c>
      <c r="DF118" s="811">
        <f t="shared" si="282"/>
        <v>-7.0252483604704707E-5</v>
      </c>
      <c r="DG118" s="227">
        <f t="shared" si="282"/>
        <v>-1.2552748566807992E-2</v>
      </c>
      <c r="DH118" s="227">
        <f t="shared" si="282"/>
        <v>1.6341467637302487E-2</v>
      </c>
      <c r="DI118" s="227">
        <f t="shared" si="282"/>
        <v>-3.1488960410029243E-2</v>
      </c>
      <c r="DJ118" s="227">
        <f t="shared" si="282"/>
        <v>-3.9149578648125183E-2</v>
      </c>
      <c r="DK118" s="1387">
        <f t="shared" si="282"/>
        <v>-1.7205078250208783E-2</v>
      </c>
      <c r="DL118" s="227">
        <f t="shared" si="282"/>
        <v>-1.6004754422680123E-2</v>
      </c>
      <c r="DM118" s="227">
        <f t="shared" si="282"/>
        <v>5.55609899668289E-2</v>
      </c>
      <c r="DN118" s="227">
        <f t="shared" si="282"/>
        <v>1.6573137057910081E-2</v>
      </c>
      <c r="DO118" s="227">
        <f t="shared" si="282"/>
        <v>1.6999159149843956E-2</v>
      </c>
      <c r="DP118" s="1387">
        <f t="shared" ref="DP118:DU118" si="283">DP111-DK111</f>
        <v>1.6887374122547816E-2</v>
      </c>
      <c r="DQ118" s="227">
        <f t="shared" si="282"/>
        <v>1.6425932170645474E-2</v>
      </c>
      <c r="DR118" s="227">
        <f t="shared" ca="1" si="283"/>
        <v>4.3180551985089743E-2</v>
      </c>
      <c r="DS118" s="227">
        <f t="shared" ca="1" si="283"/>
        <v>4.2153413821206076E-2</v>
      </c>
      <c r="DT118" s="227">
        <f t="shared" si="283"/>
        <v>4.3236991750689402E-2</v>
      </c>
      <c r="DU118" s="1387">
        <f t="shared" ca="1" si="283"/>
        <v>3.6310820675336419E-2</v>
      </c>
      <c r="DV118" s="227">
        <f t="shared" ref="DV118" si="284">DV111-DQ111</f>
        <v>2.3355622305136214E-2</v>
      </c>
      <c r="DW118" s="227">
        <f t="shared" ref="DW118" ca="1" si="285">DW111-DR111</f>
        <v>2.7907885160817991E-2</v>
      </c>
      <c r="DX118" s="227">
        <f t="shared" ref="DX118" ca="1" si="286">DX111-DS111</f>
        <v>2.5101772466447403E-2</v>
      </c>
      <c r="DY118" s="227">
        <f t="shared" ref="DY118" si="287">DY111-DT111</f>
        <v>2.5747028073761391E-2</v>
      </c>
      <c r="DZ118" s="1387">
        <f t="shared" ref="DZ118" ca="1" si="288">DZ111-DU111</f>
        <v>2.4165813304048323E-2</v>
      </c>
      <c r="EA118" s="227">
        <f t="shared" ref="EA118" si="289">EA111-DV111</f>
        <v>1.0162759851433334E-2</v>
      </c>
      <c r="EB118" s="227">
        <f t="shared" ref="EB118" ca="1" si="290">EB111-DW111</f>
        <v>1.2143591429306433E-2</v>
      </c>
      <c r="EC118" s="227">
        <f t="shared" ref="EC118" ca="1" si="291">EC111-DX111</f>
        <v>1.0922564258359357E-2</v>
      </c>
      <c r="ED118" s="227">
        <f t="shared" ref="ED118" si="292">ED111-DY111</f>
        <v>1.1203335102066614E-2</v>
      </c>
      <c r="EE118" s="1387">
        <f t="shared" ref="EE118" ca="1" si="293">EE111-DZ111</f>
        <v>1.1087626388030514E-2</v>
      </c>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row>
    <row r="119" spans="2:238" s="228" customFormat="1" ht="12.75" customHeight="1">
      <c r="B119" s="564" t="s">
        <v>261</v>
      </c>
      <c r="C119" s="219"/>
      <c r="D119" s="219"/>
      <c r="E119" s="220"/>
      <c r="F119" s="220"/>
      <c r="G119" s="220"/>
      <c r="H119" s="220"/>
      <c r="I119" s="220"/>
      <c r="J119" s="220"/>
      <c r="K119" s="221"/>
      <c r="L119" s="222"/>
      <c r="M119" s="222"/>
      <c r="N119" s="223"/>
      <c r="O119" s="220"/>
      <c r="P119" s="221"/>
      <c r="Q119" s="222"/>
      <c r="R119" s="222"/>
      <c r="S119" s="223"/>
      <c r="T119" s="220"/>
      <c r="U119" s="221"/>
      <c r="V119" s="222"/>
      <c r="W119" s="222"/>
      <c r="X119" s="223"/>
      <c r="Y119" s="220"/>
      <c r="Z119" s="221"/>
      <c r="AA119" s="222"/>
      <c r="AB119" s="222"/>
      <c r="AC119" s="223"/>
      <c r="AD119" s="220"/>
      <c r="AE119" s="221"/>
      <c r="AF119" s="222"/>
      <c r="AG119" s="222"/>
      <c r="AH119" s="223"/>
      <c r="AI119" s="220"/>
      <c r="AJ119" s="221"/>
      <c r="AK119" s="222"/>
      <c r="AL119" s="222"/>
      <c r="AM119" s="223"/>
      <c r="AN119" s="220"/>
      <c r="AO119" s="221"/>
      <c r="AP119" s="222"/>
      <c r="AQ119" s="222"/>
      <c r="AR119" s="223"/>
      <c r="AS119" s="220"/>
      <c r="AT119" s="221"/>
      <c r="AU119" s="222"/>
      <c r="AV119" s="222"/>
      <c r="AW119" s="223"/>
      <c r="AX119" s="220"/>
      <c r="AY119" s="221"/>
      <c r="AZ119" s="222"/>
      <c r="BA119" s="222"/>
      <c r="BB119" s="223"/>
      <c r="BC119" s="220"/>
      <c r="BD119" s="221"/>
      <c r="BE119" s="222"/>
      <c r="BF119" s="222"/>
      <c r="BG119" s="223"/>
      <c r="BH119" s="220"/>
      <c r="BI119" s="221"/>
      <c r="BJ119" s="222"/>
      <c r="BK119" s="222"/>
      <c r="BL119" s="223"/>
      <c r="BM119" s="220"/>
      <c r="BN119" s="221"/>
      <c r="BO119" s="222"/>
      <c r="BP119" s="222"/>
      <c r="BQ119" s="223"/>
      <c r="BR119" s="220"/>
      <c r="BS119" s="221"/>
      <c r="BT119" s="222"/>
      <c r="BU119" s="222"/>
      <c r="BV119" s="223"/>
      <c r="BW119" s="220"/>
      <c r="BX119" s="224"/>
      <c r="BY119" s="225"/>
      <c r="BZ119" s="225"/>
      <c r="CA119" s="226"/>
      <c r="CB119" s="225"/>
      <c r="CC119" s="224"/>
      <c r="CD119" s="225"/>
      <c r="CE119" s="225"/>
      <c r="CF119" s="225"/>
      <c r="CG119" s="811"/>
      <c r="CH119" s="225"/>
      <c r="CI119" s="225"/>
      <c r="CJ119" s="225"/>
      <c r="CK119" s="225"/>
      <c r="CL119" s="811"/>
      <c r="CM119" s="227">
        <f>CM111-CK111</f>
        <v>-3.0352589637096861E-2</v>
      </c>
      <c r="CN119" s="227">
        <f>CN111-CM111</f>
        <v>2.7490785192496592E-4</v>
      </c>
      <c r="CO119" s="227">
        <f>CO111-CN111</f>
        <v>1.4302761901805128E-2</v>
      </c>
      <c r="CP119" s="227">
        <f>CP111-CO111</f>
        <v>2.0848778008366819E-2</v>
      </c>
      <c r="CQ119" s="811"/>
      <c r="CR119" s="227">
        <f>CR111-CP111</f>
        <v>-2.2080205150987409E-2</v>
      </c>
      <c r="CS119" s="227">
        <f>CS111-CR111</f>
        <v>-2.3525135093686034E-3</v>
      </c>
      <c r="CT119" s="227">
        <f>CT111-CS111</f>
        <v>1.0877756645968462E-2</v>
      </c>
      <c r="CU119" s="227">
        <f>CU111-CT111</f>
        <v>2.3849457731574875E-2</v>
      </c>
      <c r="CV119" s="815"/>
      <c r="CW119" s="227">
        <f>CW111-CU111</f>
        <v>-3.2374700868174844E-2</v>
      </c>
      <c r="CX119" s="227">
        <f>CX111-CW111</f>
        <v>-2.3525135093684924E-3</v>
      </c>
      <c r="CY119" s="227">
        <f>CY111-CX111</f>
        <v>1.0877756645968462E-2</v>
      </c>
      <c r="CZ119" s="227">
        <f>CZ111-CY111</f>
        <v>2.3849457731574764E-2</v>
      </c>
      <c r="DA119" s="811"/>
      <c r="DB119" s="227">
        <f>DB111-CZ111</f>
        <v>-3.2374700868174622E-2</v>
      </c>
      <c r="DC119" s="227">
        <f>DC111-DB111</f>
        <v>-2.3525135093684924E-3</v>
      </c>
      <c r="DD119" s="227">
        <f>DD111-DC111</f>
        <v>1.0877756645968351E-2</v>
      </c>
      <c r="DE119" s="227">
        <f>DE111-DD111</f>
        <v>2.3849457731574986E-2</v>
      </c>
      <c r="DF119" s="811"/>
      <c r="DG119" s="227">
        <f>DG111-DF111</f>
        <v>-2.2311493388386228E-2</v>
      </c>
      <c r="DH119" s="227">
        <f>DH111-DG111</f>
        <v>2.6541702694741987E-2</v>
      </c>
      <c r="DI119" s="227">
        <f>DI111-DH111</f>
        <v>-3.6952671401363379E-2</v>
      </c>
      <c r="DJ119" s="227">
        <f>DJ111-DI111</f>
        <v>1.6188839493479046E-2</v>
      </c>
      <c r="DK119" s="1387"/>
      <c r="DL119" s="227">
        <f>DL111-DK111</f>
        <v>-2.1111169560857568E-2</v>
      </c>
      <c r="DM119" s="227">
        <f>DM111-DL111</f>
        <v>9.8107447084251009E-2</v>
      </c>
      <c r="DN119" s="227">
        <f>DN111-DM111</f>
        <v>-7.5940524310282198E-2</v>
      </c>
      <c r="DO119" s="227">
        <f>DO111-DN111</f>
        <v>1.6614861585412921E-2</v>
      </c>
      <c r="DP119" s="1387"/>
      <c r="DQ119" s="227">
        <f>DQ111-DP111</f>
        <v>-2.1572611512759909E-2</v>
      </c>
      <c r="DR119" s="227">
        <f ca="1">DR111-DQ111</f>
        <v>0.12486206689869528</v>
      </c>
      <c r="DS119" s="227">
        <f ca="1">DS111-DR111</f>
        <v>-7.6967662474165865E-2</v>
      </c>
      <c r="DT119" s="227">
        <f ca="1">DT111-DS111</f>
        <v>1.7698439514896247E-2</v>
      </c>
      <c r="DU119" s="1387"/>
      <c r="DV119" s="227">
        <f ca="1">DV111-DU111</f>
        <v>-3.4527809882960114E-2</v>
      </c>
      <c r="DW119" s="227">
        <f ca="1">DW111-DV111</f>
        <v>0.12941432975437706</v>
      </c>
      <c r="DX119" s="227">
        <f ca="1">DX111-DW111</f>
        <v>-7.9773775168536454E-2</v>
      </c>
      <c r="DY119" s="227">
        <f ca="1">DY111-DX111</f>
        <v>1.8343695122210235E-2</v>
      </c>
      <c r="DZ119" s="1387"/>
      <c r="EA119" s="227">
        <f ca="1">EA111-DZ111</f>
        <v>-4.8530863335575103E-2</v>
      </c>
      <c r="EB119" s="227">
        <f ca="1">EB111-EA111</f>
        <v>0.13139516133225015</v>
      </c>
      <c r="EC119" s="227">
        <f ca="1">EC111-EB111</f>
        <v>-8.0994802339483529E-2</v>
      </c>
      <c r="ED119" s="227">
        <f ca="1">ED111-EC111</f>
        <v>1.8624465965917492E-2</v>
      </c>
      <c r="EE119" s="1387"/>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row>
    <row r="120" spans="2:238" s="228" customFormat="1" ht="12.75" customHeight="1">
      <c r="B120" s="564"/>
      <c r="C120" s="219"/>
      <c r="D120" s="219"/>
      <c r="E120" s="220"/>
      <c r="F120" s="220"/>
      <c r="G120" s="220"/>
      <c r="H120" s="220"/>
      <c r="I120" s="220"/>
      <c r="J120" s="220"/>
      <c r="K120" s="221"/>
      <c r="L120" s="222"/>
      <c r="M120" s="222"/>
      <c r="N120" s="223"/>
      <c r="O120" s="220"/>
      <c r="P120" s="221"/>
      <c r="Q120" s="222"/>
      <c r="R120" s="222"/>
      <c r="S120" s="223"/>
      <c r="T120" s="220"/>
      <c r="U120" s="221"/>
      <c r="V120" s="222"/>
      <c r="W120" s="222"/>
      <c r="X120" s="223"/>
      <c r="Y120" s="220"/>
      <c r="Z120" s="221"/>
      <c r="AA120" s="222"/>
      <c r="AB120" s="222"/>
      <c r="AC120" s="223"/>
      <c r="AD120" s="220"/>
      <c r="AE120" s="221"/>
      <c r="AF120" s="222"/>
      <c r="AG120" s="222"/>
      <c r="AH120" s="223"/>
      <c r="AI120" s="220"/>
      <c r="AJ120" s="221"/>
      <c r="AK120" s="222"/>
      <c r="AL120" s="222"/>
      <c r="AM120" s="223"/>
      <c r="AN120" s="220"/>
      <c r="AO120" s="221"/>
      <c r="AP120" s="222"/>
      <c r="AQ120" s="222"/>
      <c r="AR120" s="223"/>
      <c r="AS120" s="220"/>
      <c r="AT120" s="221"/>
      <c r="AU120" s="222"/>
      <c r="AV120" s="222"/>
      <c r="AW120" s="223"/>
      <c r="AX120" s="220"/>
      <c r="AY120" s="221"/>
      <c r="AZ120" s="222"/>
      <c r="BA120" s="222"/>
      <c r="BB120" s="223"/>
      <c r="BC120" s="220"/>
      <c r="BD120" s="221"/>
      <c r="BE120" s="222"/>
      <c r="BF120" s="222"/>
      <c r="BG120" s="223"/>
      <c r="BH120" s="220"/>
      <c r="BI120" s="221"/>
      <c r="BJ120" s="222"/>
      <c r="BK120" s="222"/>
      <c r="BL120" s="223"/>
      <c r="BM120" s="220"/>
      <c r="BN120" s="221"/>
      <c r="BO120" s="222"/>
      <c r="BP120" s="222"/>
      <c r="BQ120" s="223"/>
      <c r="BR120" s="220"/>
      <c r="BS120" s="221"/>
      <c r="BT120" s="222"/>
      <c r="BU120" s="222"/>
      <c r="BV120" s="223"/>
      <c r="BW120" s="220"/>
      <c r="BX120" s="224"/>
      <c r="BY120" s="225"/>
      <c r="BZ120" s="225"/>
      <c r="CA120" s="226"/>
      <c r="CB120" s="225"/>
      <c r="CC120" s="224"/>
      <c r="CD120" s="225"/>
      <c r="CE120" s="225"/>
      <c r="CF120" s="225"/>
      <c r="CG120" s="811"/>
      <c r="CH120" s="225"/>
      <c r="CI120" s="225"/>
      <c r="CJ120" s="225"/>
      <c r="CK120" s="225"/>
      <c r="CL120" s="811"/>
      <c r="CQ120" s="811"/>
      <c r="CR120" s="227"/>
      <c r="CS120" s="227"/>
      <c r="CT120" s="227"/>
      <c r="CU120" s="227"/>
      <c r="CV120" s="811"/>
      <c r="CW120" s="227"/>
      <c r="CX120" s="227"/>
      <c r="CY120" s="227"/>
      <c r="CZ120" s="227"/>
      <c r="DA120" s="811"/>
      <c r="DB120" s="227"/>
      <c r="DC120" s="227"/>
      <c r="DD120" s="227"/>
      <c r="DE120" s="227"/>
      <c r="DF120" s="811"/>
      <c r="DG120" s="227"/>
      <c r="DH120" s="227"/>
      <c r="DI120" s="227"/>
      <c r="DJ120" s="227"/>
      <c r="DK120" s="1387"/>
      <c r="DL120" s="227"/>
      <c r="DM120" s="227"/>
      <c r="DN120" s="227"/>
      <c r="DO120" s="227"/>
      <c r="DP120" s="1387"/>
      <c r="DQ120" s="227"/>
      <c r="DR120" s="227"/>
      <c r="DS120" s="227"/>
      <c r="DT120" s="227"/>
      <c r="DU120" s="1387"/>
      <c r="DV120" s="227"/>
      <c r="DW120" s="227"/>
      <c r="DX120" s="227"/>
      <c r="DY120" s="227"/>
      <c r="DZ120" s="1387"/>
      <c r="EA120" s="227"/>
      <c r="EB120" s="227"/>
      <c r="EC120" s="227"/>
      <c r="ED120" s="227"/>
      <c r="EE120" s="1387"/>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row>
    <row r="121" spans="2:238" s="228" customFormat="1" ht="12.75" customHeight="1">
      <c r="B121" s="564" t="s">
        <v>259</v>
      </c>
      <c r="C121" s="219"/>
      <c r="D121" s="219"/>
      <c r="E121" s="220"/>
      <c r="F121" s="220"/>
      <c r="G121" s="220"/>
      <c r="H121" s="220"/>
      <c r="I121" s="220"/>
      <c r="J121" s="220"/>
      <c r="K121" s="221"/>
      <c r="L121" s="222"/>
      <c r="M121" s="222"/>
      <c r="N121" s="223"/>
      <c r="O121" s="220"/>
      <c r="P121" s="221"/>
      <c r="Q121" s="222"/>
      <c r="R121" s="222"/>
      <c r="S121" s="223"/>
      <c r="T121" s="220"/>
      <c r="U121" s="221"/>
      <c r="V121" s="222"/>
      <c r="W121" s="222"/>
      <c r="X121" s="223"/>
      <c r="Y121" s="220"/>
      <c r="Z121" s="221"/>
      <c r="AA121" s="222"/>
      <c r="AB121" s="222"/>
      <c r="AC121" s="223"/>
      <c r="AD121" s="220"/>
      <c r="AE121" s="221"/>
      <c r="AF121" s="222"/>
      <c r="AG121" s="222"/>
      <c r="AH121" s="223"/>
      <c r="AI121" s="220"/>
      <c r="AJ121" s="221"/>
      <c r="AK121" s="222"/>
      <c r="AL121" s="222"/>
      <c r="AM121" s="223"/>
      <c r="AN121" s="220"/>
      <c r="AO121" s="221"/>
      <c r="AP121" s="222"/>
      <c r="AQ121" s="222"/>
      <c r="AR121" s="223"/>
      <c r="AS121" s="220"/>
      <c r="AT121" s="221"/>
      <c r="AU121" s="222"/>
      <c r="AV121" s="222"/>
      <c r="AW121" s="223"/>
      <c r="AX121" s="220"/>
      <c r="AY121" s="221"/>
      <c r="AZ121" s="222"/>
      <c r="BA121" s="222"/>
      <c r="BB121" s="223"/>
      <c r="BC121" s="220"/>
      <c r="BD121" s="221"/>
      <c r="BE121" s="222"/>
      <c r="BF121" s="222"/>
      <c r="BG121" s="223"/>
      <c r="BH121" s="220"/>
      <c r="BI121" s="221"/>
      <c r="BJ121" s="222"/>
      <c r="BK121" s="222"/>
      <c r="BL121" s="223"/>
      <c r="BM121" s="220"/>
      <c r="BN121" s="221"/>
      <c r="BO121" s="222"/>
      <c r="BP121" s="222"/>
      <c r="BQ121" s="223"/>
      <c r="BR121" s="220"/>
      <c r="BS121" s="221"/>
      <c r="BT121" s="222"/>
      <c r="BU121" s="222"/>
      <c r="BV121" s="223"/>
      <c r="BW121" s="220"/>
      <c r="BX121" s="224"/>
      <c r="BY121" s="225"/>
      <c r="BZ121" s="225"/>
      <c r="CA121" s="226"/>
      <c r="CB121" s="225"/>
      <c r="CC121" s="224"/>
      <c r="CD121" s="225"/>
      <c r="CE121" s="225"/>
      <c r="CF121" s="225"/>
      <c r="CG121" s="811"/>
      <c r="CH121" s="225"/>
      <c r="CI121" s="225"/>
      <c r="CJ121" s="225"/>
      <c r="CK121" s="225"/>
      <c r="CL121" s="811"/>
      <c r="CM121" s="227">
        <f t="shared" ref="CM121:DQ121" si="294">CM112-CH112</f>
        <v>-4.6894363262661165E-3</v>
      </c>
      <c r="CN121" s="227">
        <f t="shared" si="294"/>
        <v>-8.9376119369294418E-3</v>
      </c>
      <c r="CO121" s="227">
        <f t="shared" si="294"/>
        <v>-9.9058482973210932E-3</v>
      </c>
      <c r="CP121" s="227">
        <f t="shared" si="294"/>
        <v>-9.5997246848742376E-3</v>
      </c>
      <c r="CQ121" s="811">
        <f t="shared" si="294"/>
        <v>-8.0588437867285395E-3</v>
      </c>
      <c r="CR121" s="227">
        <f t="shared" si="294"/>
        <v>0</v>
      </c>
      <c r="CS121" s="227">
        <f t="shared" si="294"/>
        <v>0</v>
      </c>
      <c r="CT121" s="227">
        <f t="shared" si="294"/>
        <v>0</v>
      </c>
      <c r="CU121" s="227">
        <f t="shared" si="294"/>
        <v>-2.7840614540128455E-3</v>
      </c>
      <c r="CV121" s="811">
        <f t="shared" si="294"/>
        <v>-9.1589827593122758E-4</v>
      </c>
      <c r="CW121" s="227">
        <f t="shared" si="294"/>
        <v>-1.7294212732497927E-3</v>
      </c>
      <c r="CX121" s="227">
        <f t="shared" si="294"/>
        <v>-5.9760703167006934E-3</v>
      </c>
      <c r="CY121" s="227">
        <f t="shared" si="294"/>
        <v>-4.9414077489364563E-3</v>
      </c>
      <c r="CZ121" s="227">
        <f t="shared" si="294"/>
        <v>-4.9863706062794055E-3</v>
      </c>
      <c r="DA121" s="811">
        <f t="shared" si="294"/>
        <v>-4.4887789271412376E-3</v>
      </c>
      <c r="DB121" s="227">
        <f t="shared" si="294"/>
        <v>-9.2731778848293561E-3</v>
      </c>
      <c r="DC121" s="227">
        <f t="shared" si="294"/>
        <v>-4.9372600889663956E-3</v>
      </c>
      <c r="DD121" s="227">
        <f t="shared" si="294"/>
        <v>-1.9567444052960431E-3</v>
      </c>
      <c r="DE121" s="227">
        <f t="shared" si="294"/>
        <v>-2.2666905368430579E-5</v>
      </c>
      <c r="DF121" s="811">
        <f t="shared" si="294"/>
        <v>-3.9349966704602113E-3</v>
      </c>
      <c r="DG121" s="227">
        <f t="shared" si="294"/>
        <v>-2.8888452406701376E-3</v>
      </c>
      <c r="DH121" s="227">
        <f t="shared" si="294"/>
        <v>-6.8598684152010314E-4</v>
      </c>
      <c r="DI121" s="227">
        <f t="shared" si="294"/>
        <v>-1.0810125151691566E-3</v>
      </c>
      <c r="DJ121" s="227">
        <f t="shared" si="294"/>
        <v>-2.8057736630184918E-3</v>
      </c>
      <c r="DK121" s="1387">
        <f t="shared" si="294"/>
        <v>-1.8851295552333863E-3</v>
      </c>
      <c r="DL121" s="227">
        <f t="shared" si="294"/>
        <v>-2.0978016159247659E-3</v>
      </c>
      <c r="DM121" s="227">
        <f t="shared" si="294"/>
        <v>-2.8332393496678029E-3</v>
      </c>
      <c r="DN121" s="227">
        <f t="shared" si="294"/>
        <v>-3.9680191085047917E-3</v>
      </c>
      <c r="DO121" s="227">
        <f t="shared" si="294"/>
        <v>-3.8538912929827092E-3</v>
      </c>
      <c r="DP121" s="1387">
        <f t="shared" ref="DP121:DU121" si="295">DP112-DK112</f>
        <v>-3.3583254458538492E-3</v>
      </c>
      <c r="DQ121" s="227">
        <f t="shared" si="294"/>
        <v>-4.7926029094483916E-3</v>
      </c>
      <c r="DR121" s="227">
        <f t="shared" ca="1" si="295"/>
        <v>-2.8993287357008193E-3</v>
      </c>
      <c r="DS121" s="227">
        <f t="shared" ca="1" si="295"/>
        <v>-2.7807385648511845E-3</v>
      </c>
      <c r="DT121" s="227">
        <f t="shared" si="295"/>
        <v>-2.2546527501716151E-3</v>
      </c>
      <c r="DU121" s="1387">
        <f t="shared" ca="1" si="295"/>
        <v>-3.078595422656389E-3</v>
      </c>
      <c r="DV121" s="227">
        <f t="shared" ref="DV121" si="296">DV112-DQ112</f>
        <v>-2.5401005412384187E-3</v>
      </c>
      <c r="DW121" s="227">
        <f t="shared" ref="DW121" ca="1" si="297">DW112-DR112</f>
        <v>-2.3419285474776362E-3</v>
      </c>
      <c r="DX121" s="227">
        <f t="shared" ref="DX121" ca="1" si="298">DX112-DS112</f>
        <v>-2.3830815067088923E-3</v>
      </c>
      <c r="DY121" s="227">
        <f t="shared" ref="DY121" si="299">DY112-DT112</f>
        <v>-1.9322281284906984E-3</v>
      </c>
      <c r="DZ121" s="1387">
        <f t="shared" ref="DZ121" ca="1" si="300">DZ112-DU112</f>
        <v>-2.2305005483883242E-3</v>
      </c>
      <c r="EA121" s="227">
        <f t="shared" ref="EA121" si="301">EA112-DV112</f>
        <v>-2.3401852208631765E-3</v>
      </c>
      <c r="EB121" s="227">
        <f t="shared" ref="EB121" ca="1" si="302">EB112-DW112</f>
        <v>-2.1576100969817116E-3</v>
      </c>
      <c r="EC121" s="227">
        <f t="shared" ref="EC121" ca="1" si="303">EC112-DX112</f>
        <v>-2.1955241659030907E-3</v>
      </c>
      <c r="ED121" s="227">
        <f t="shared" ref="ED121" si="304">ED112-DY112</f>
        <v>-1.7801546183780076E-3</v>
      </c>
      <c r="EE121" s="1387">
        <f t="shared" ref="EE121" ca="1" si="305">EE112-DZ112</f>
        <v>-2.1162733150492628E-3</v>
      </c>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row>
    <row r="122" spans="2:238" s="228" customFormat="1" ht="12.75" customHeight="1">
      <c r="B122" s="564" t="s">
        <v>262</v>
      </c>
      <c r="C122" s="219"/>
      <c r="D122" s="219"/>
      <c r="E122" s="220"/>
      <c r="F122" s="220"/>
      <c r="G122" s="220"/>
      <c r="H122" s="220"/>
      <c r="I122" s="220"/>
      <c r="J122" s="220"/>
      <c r="K122" s="221"/>
      <c r="L122" s="222"/>
      <c r="M122" s="222"/>
      <c r="N122" s="223"/>
      <c r="O122" s="220"/>
      <c r="P122" s="221"/>
      <c r="Q122" s="222"/>
      <c r="R122" s="222"/>
      <c r="S122" s="223"/>
      <c r="T122" s="220"/>
      <c r="U122" s="221"/>
      <c r="V122" s="222"/>
      <c r="W122" s="222"/>
      <c r="X122" s="223"/>
      <c r="Y122" s="220"/>
      <c r="Z122" s="221"/>
      <c r="AA122" s="222"/>
      <c r="AB122" s="222"/>
      <c r="AC122" s="223"/>
      <c r="AD122" s="220"/>
      <c r="AE122" s="221"/>
      <c r="AF122" s="222"/>
      <c r="AG122" s="222"/>
      <c r="AH122" s="223"/>
      <c r="AI122" s="220"/>
      <c r="AJ122" s="221"/>
      <c r="AK122" s="222"/>
      <c r="AL122" s="222"/>
      <c r="AM122" s="223"/>
      <c r="AN122" s="220"/>
      <c r="AO122" s="221"/>
      <c r="AP122" s="222"/>
      <c r="AQ122" s="222"/>
      <c r="AR122" s="223"/>
      <c r="AS122" s="220"/>
      <c r="AT122" s="221"/>
      <c r="AU122" s="222"/>
      <c r="AV122" s="222"/>
      <c r="AW122" s="223"/>
      <c r="AX122" s="220"/>
      <c r="AY122" s="221"/>
      <c r="AZ122" s="222"/>
      <c r="BA122" s="222"/>
      <c r="BB122" s="223"/>
      <c r="BC122" s="220"/>
      <c r="BD122" s="221"/>
      <c r="BE122" s="222"/>
      <c r="BF122" s="222"/>
      <c r="BG122" s="223"/>
      <c r="BH122" s="220"/>
      <c r="BI122" s="221"/>
      <c r="BJ122" s="222"/>
      <c r="BK122" s="222"/>
      <c r="BL122" s="223"/>
      <c r="BM122" s="220"/>
      <c r="BN122" s="221"/>
      <c r="BO122" s="222"/>
      <c r="BP122" s="222"/>
      <c r="BQ122" s="223"/>
      <c r="BR122" s="220"/>
      <c r="BS122" s="221"/>
      <c r="BT122" s="222"/>
      <c r="BU122" s="222"/>
      <c r="BV122" s="223"/>
      <c r="BW122" s="220"/>
      <c r="BX122" s="224"/>
      <c r="BY122" s="225"/>
      <c r="BZ122" s="225"/>
      <c r="CA122" s="226"/>
      <c r="CB122" s="225"/>
      <c r="CC122" s="224"/>
      <c r="CD122" s="225"/>
      <c r="CE122" s="225"/>
      <c r="CF122" s="225"/>
      <c r="CG122" s="811"/>
      <c r="CH122" s="225"/>
      <c r="CI122" s="225"/>
      <c r="CJ122" s="225"/>
      <c r="CK122" s="225"/>
      <c r="CL122" s="811"/>
      <c r="CM122" s="227">
        <f>CM112-CK112</f>
        <v>2.1982629293857137E-3</v>
      </c>
      <c r="CN122" s="227">
        <f>CN112-CM112</f>
        <v>-5.9679136299389049E-3</v>
      </c>
      <c r="CO122" s="227">
        <f>CO112-CN112</f>
        <v>-2.0810783313304979E-3</v>
      </c>
      <c r="CP122" s="227">
        <f>CP112-CO112</f>
        <v>-3.7489956529905485E-3</v>
      </c>
      <c r="CQ122" s="811"/>
      <c r="CR122" s="227">
        <f>CR112-CP112</f>
        <v>1.1797987614259958E-2</v>
      </c>
      <c r="CS122" s="227">
        <f>CS112-CR112</f>
        <v>-5.9679136299389118E-3</v>
      </c>
      <c r="CT122" s="227">
        <f>CT112-CS112</f>
        <v>-2.0810783313305048E-3</v>
      </c>
      <c r="CU122" s="227">
        <f>CU112-CT112</f>
        <v>-6.5330571070033872E-3</v>
      </c>
      <c r="CV122" s="811"/>
      <c r="CW122" s="227">
        <f>CW112-CU112</f>
        <v>1.2852627795023011E-2</v>
      </c>
      <c r="CX122" s="227">
        <f>CX112-CW112</f>
        <v>-1.0214562673389813E-2</v>
      </c>
      <c r="CY122" s="227">
        <f>CY112-CX112</f>
        <v>-1.0464157635662677E-3</v>
      </c>
      <c r="CZ122" s="227">
        <f>CZ112-CY112</f>
        <v>-6.5780199643463363E-3</v>
      </c>
      <c r="DA122" s="811"/>
      <c r="DB122" s="227">
        <f>DB112-CZ112</f>
        <v>8.5658205164730605E-3</v>
      </c>
      <c r="DC122" s="227">
        <f>DC112-DB112</f>
        <v>-5.8786448775268521E-3</v>
      </c>
      <c r="DD122" s="227">
        <f>DD112-DC112</f>
        <v>1.9340999201040848E-3</v>
      </c>
      <c r="DE122" s="227">
        <f>DE112-DD112</f>
        <v>-4.6439424644187238E-3</v>
      </c>
      <c r="DF122" s="811"/>
      <c r="DG122" s="227">
        <f>DG112-DF112</f>
        <v>1.7223530904460493E-3</v>
      </c>
      <c r="DH122" s="227">
        <f>DH112-DG112</f>
        <v>-3.6757864783768177E-3</v>
      </c>
      <c r="DI122" s="227">
        <f>DI112-DH112</f>
        <v>1.5390742464550314E-3</v>
      </c>
      <c r="DJ122" s="227">
        <f>DJ112-DI112</f>
        <v>-6.368703612268059E-3</v>
      </c>
      <c r="DK122" s="1387"/>
      <c r="DL122" s="227">
        <f>DL112-DK112</f>
        <v>1.5096810297546698E-3</v>
      </c>
      <c r="DM122" s="227">
        <f>DM112-DL112</f>
        <v>-4.4112242121198547E-3</v>
      </c>
      <c r="DN122" s="227">
        <f>DN112-DM112</f>
        <v>4.0429448761804265E-4</v>
      </c>
      <c r="DO122" s="227">
        <f>DO112-DN112</f>
        <v>-6.2545757967459766E-3</v>
      </c>
      <c r="DP122" s="1387"/>
      <c r="DQ122" s="227">
        <f>DQ112-DP112</f>
        <v>7.5403566160127389E-5</v>
      </c>
      <c r="DR122" s="227">
        <f ca="1">DR112-DQ112</f>
        <v>-2.5179500383722825E-3</v>
      </c>
      <c r="DS122" s="227">
        <f ca="1">DS112-DR112</f>
        <v>5.2288465846767745E-4</v>
      </c>
      <c r="DT122" s="227">
        <f ca="1">DT112-DS112</f>
        <v>-5.7284899820664072E-3</v>
      </c>
      <c r="DU122" s="1387"/>
      <c r="DV122" s="227">
        <f ca="1">DV112-DU112</f>
        <v>6.1389844757809772E-4</v>
      </c>
      <c r="DW122" s="227">
        <f ca="1">DW112-DV112</f>
        <v>-2.3197780446115E-3</v>
      </c>
      <c r="DX122" s="227">
        <f ca="1">DX112-DW112</f>
        <v>4.8173169923642137E-4</v>
      </c>
      <c r="DY122" s="227">
        <f ca="1">DY112-DX112</f>
        <v>-5.2776366038482132E-3</v>
      </c>
      <c r="DZ122" s="1387"/>
      <c r="EA122" s="227">
        <f ca="1">EA112-DZ112</f>
        <v>5.0421377510324536E-4</v>
      </c>
      <c r="EB122" s="227">
        <f ca="1">EB112-EA112</f>
        <v>-2.1372029207300351E-3</v>
      </c>
      <c r="EC122" s="227">
        <f ca="1">EC112-EB112</f>
        <v>4.4381763031504234E-4</v>
      </c>
      <c r="ED122" s="227">
        <f ca="1">ED112-EC112</f>
        <v>-4.8622670563231302E-3</v>
      </c>
      <c r="EE122" s="1387"/>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row>
    <row r="123" spans="2:238" s="228" customFormat="1" ht="12.75" customHeight="1">
      <c r="B123" s="564"/>
      <c r="C123" s="219"/>
      <c r="D123" s="219"/>
      <c r="E123" s="220"/>
      <c r="F123" s="220"/>
      <c r="G123" s="220"/>
      <c r="H123" s="220"/>
      <c r="I123" s="220"/>
      <c r="J123" s="220"/>
      <c r="K123" s="221"/>
      <c r="L123" s="222"/>
      <c r="M123" s="222"/>
      <c r="N123" s="223"/>
      <c r="O123" s="220"/>
      <c r="P123" s="221"/>
      <c r="Q123" s="222"/>
      <c r="R123" s="222"/>
      <c r="S123" s="223"/>
      <c r="T123" s="220"/>
      <c r="U123" s="221"/>
      <c r="V123" s="222"/>
      <c r="W123" s="222"/>
      <c r="X123" s="223"/>
      <c r="Y123" s="220"/>
      <c r="Z123" s="221"/>
      <c r="AA123" s="222"/>
      <c r="AB123" s="222"/>
      <c r="AC123" s="223"/>
      <c r="AD123" s="220"/>
      <c r="AE123" s="221"/>
      <c r="AF123" s="222"/>
      <c r="AG123" s="222"/>
      <c r="AH123" s="223"/>
      <c r="AI123" s="220"/>
      <c r="AJ123" s="221"/>
      <c r="AK123" s="222"/>
      <c r="AL123" s="222"/>
      <c r="AM123" s="223"/>
      <c r="AN123" s="220"/>
      <c r="AO123" s="221"/>
      <c r="AP123" s="222"/>
      <c r="AQ123" s="222"/>
      <c r="AR123" s="223"/>
      <c r="AS123" s="220"/>
      <c r="AT123" s="221"/>
      <c r="AU123" s="222"/>
      <c r="AV123" s="222"/>
      <c r="AW123" s="223"/>
      <c r="AX123" s="220"/>
      <c r="AY123" s="221"/>
      <c r="AZ123" s="222"/>
      <c r="BA123" s="222"/>
      <c r="BB123" s="223"/>
      <c r="BC123" s="220"/>
      <c r="BD123" s="221"/>
      <c r="BE123" s="222"/>
      <c r="BF123" s="222"/>
      <c r="BG123" s="223"/>
      <c r="BH123" s="220"/>
      <c r="BI123" s="221"/>
      <c r="BJ123" s="222"/>
      <c r="BK123" s="222"/>
      <c r="BL123" s="223"/>
      <c r="BM123" s="220"/>
      <c r="BN123" s="221"/>
      <c r="BO123" s="222"/>
      <c r="BP123" s="222"/>
      <c r="BQ123" s="223"/>
      <c r="BR123" s="220"/>
      <c r="BS123" s="221"/>
      <c r="BT123" s="222"/>
      <c r="BU123" s="222"/>
      <c r="BV123" s="223"/>
      <c r="BW123" s="220"/>
      <c r="BX123" s="224"/>
      <c r="BY123" s="225"/>
      <c r="BZ123" s="225"/>
      <c r="CA123" s="226"/>
      <c r="CB123" s="225"/>
      <c r="CC123" s="224"/>
      <c r="CD123" s="225"/>
      <c r="CE123" s="225"/>
      <c r="CF123" s="225"/>
      <c r="CG123" s="811"/>
      <c r="CH123" s="225"/>
      <c r="CI123" s="225"/>
      <c r="CJ123" s="225"/>
      <c r="CK123" s="225"/>
      <c r="CL123" s="811"/>
      <c r="CM123" s="227"/>
      <c r="CN123" s="227"/>
      <c r="CO123" s="227"/>
      <c r="CP123" s="227"/>
      <c r="CQ123" s="811"/>
      <c r="CR123" s="227"/>
      <c r="CS123" s="227"/>
      <c r="CT123" s="227"/>
      <c r="CU123" s="227"/>
      <c r="CV123" s="811"/>
      <c r="CW123" s="227"/>
      <c r="CX123" s="227"/>
      <c r="CY123" s="227"/>
      <c r="CZ123" s="227"/>
      <c r="DA123" s="811"/>
      <c r="DB123" s="227"/>
      <c r="DC123" s="227"/>
      <c r="DD123" s="227"/>
      <c r="DE123" s="227"/>
      <c r="DF123" s="811"/>
      <c r="DG123" s="227"/>
      <c r="DH123" s="227"/>
      <c r="DI123" s="227"/>
      <c r="DJ123" s="227"/>
      <c r="DK123" s="1387"/>
      <c r="DL123" s="227"/>
      <c r="DM123" s="227"/>
      <c r="DN123" s="227"/>
      <c r="DO123" s="227"/>
      <c r="DP123" s="1387"/>
      <c r="DQ123" s="227"/>
      <c r="DR123" s="227"/>
      <c r="DS123" s="227"/>
      <c r="DT123" s="227"/>
      <c r="DU123" s="1387"/>
      <c r="DV123" s="227"/>
      <c r="DW123" s="227"/>
      <c r="DX123" s="227"/>
      <c r="DY123" s="227"/>
      <c r="DZ123" s="1387"/>
      <c r="EA123" s="227"/>
      <c r="EB123" s="227"/>
      <c r="EC123" s="227"/>
      <c r="ED123" s="227"/>
      <c r="EE123" s="1387"/>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row>
    <row r="124" spans="2:238" s="150" customFormat="1" ht="12.75" customHeight="1">
      <c r="B124" s="558"/>
      <c r="C124" s="130"/>
      <c r="D124" s="130"/>
      <c r="E124" s="131"/>
      <c r="F124" s="131"/>
      <c r="G124" s="131"/>
      <c r="H124" s="131"/>
      <c r="I124" s="131"/>
      <c r="J124" s="131"/>
      <c r="K124" s="126"/>
      <c r="L124" s="127"/>
      <c r="M124" s="127"/>
      <c r="N124" s="132"/>
      <c r="O124" s="131"/>
      <c r="P124" s="126"/>
      <c r="Q124" s="127"/>
      <c r="R124" s="127"/>
      <c r="S124" s="132"/>
      <c r="T124" s="131"/>
      <c r="U124" s="126"/>
      <c r="V124" s="127"/>
      <c r="W124" s="127"/>
      <c r="X124" s="132"/>
      <c r="Y124" s="131"/>
      <c r="Z124" s="126"/>
      <c r="AA124" s="127"/>
      <c r="AB124" s="127"/>
      <c r="AC124" s="132"/>
      <c r="AD124" s="131"/>
      <c r="AE124" s="126"/>
      <c r="AF124" s="127"/>
      <c r="AG124" s="127"/>
      <c r="AH124" s="132"/>
      <c r="AI124" s="131"/>
      <c r="AJ124" s="126"/>
      <c r="AK124" s="127"/>
      <c r="AL124" s="127"/>
      <c r="AM124" s="132"/>
      <c r="AN124" s="131"/>
      <c r="AO124" s="126"/>
      <c r="AP124" s="127"/>
      <c r="AQ124" s="127"/>
      <c r="AR124" s="132"/>
      <c r="AS124" s="131"/>
      <c r="AT124" s="126"/>
      <c r="AU124" s="127"/>
      <c r="AV124" s="127"/>
      <c r="AW124" s="132"/>
      <c r="AX124" s="131"/>
      <c r="AY124" s="126"/>
      <c r="AZ124" s="127"/>
      <c r="BA124" s="127"/>
      <c r="BB124" s="132"/>
      <c r="BC124" s="131"/>
      <c r="BD124" s="126"/>
      <c r="BE124" s="127"/>
      <c r="BF124" s="127"/>
      <c r="BG124" s="132"/>
      <c r="BH124" s="131"/>
      <c r="BI124" s="126"/>
      <c r="BJ124" s="127"/>
      <c r="BK124" s="127"/>
      <c r="BL124" s="132"/>
      <c r="BM124" s="131"/>
      <c r="BN124" s="126"/>
      <c r="BO124" s="127"/>
      <c r="BP124" s="127"/>
      <c r="BQ124" s="132"/>
      <c r="BR124" s="131"/>
      <c r="BS124" s="126"/>
      <c r="BT124" s="127"/>
      <c r="BU124" s="127"/>
      <c r="BV124" s="132"/>
      <c r="BW124" s="131"/>
      <c r="BX124" s="126"/>
      <c r="BY124" s="127"/>
      <c r="BZ124" s="127"/>
      <c r="CA124" s="132"/>
      <c r="CB124" s="131"/>
      <c r="CC124" s="126"/>
      <c r="CD124" s="127"/>
      <c r="CE124" s="127"/>
      <c r="CF124" s="127"/>
      <c r="CG124" s="613"/>
      <c r="CH124" s="127"/>
      <c r="CI124" s="127"/>
      <c r="CJ124" s="127"/>
      <c r="CK124" s="129"/>
      <c r="CL124" s="613"/>
      <c r="CM124" s="129"/>
      <c r="CN124" s="129"/>
      <c r="CO124" s="129"/>
      <c r="CP124" s="129"/>
      <c r="CQ124" s="831"/>
      <c r="CR124" s="129"/>
      <c r="CS124" s="129"/>
      <c r="CT124" s="129"/>
      <c r="CU124" s="129"/>
      <c r="CV124" s="831"/>
      <c r="CW124" s="129"/>
      <c r="CX124" s="129"/>
      <c r="CY124" s="129"/>
      <c r="CZ124" s="129"/>
      <c r="DA124" s="831"/>
      <c r="DB124" s="129"/>
      <c r="DC124" s="129"/>
      <c r="DD124" s="129"/>
      <c r="DE124" s="129"/>
      <c r="DF124" s="831"/>
      <c r="DG124" s="129"/>
      <c r="DH124" s="129"/>
      <c r="DI124" s="129"/>
      <c r="DJ124" s="129"/>
      <c r="DK124" s="1371"/>
      <c r="DL124" s="129"/>
      <c r="DM124" s="129"/>
      <c r="DN124" s="129"/>
      <c r="DO124" s="129"/>
      <c r="DP124" s="1371"/>
      <c r="DQ124" s="129"/>
      <c r="DR124" s="129"/>
      <c r="DS124" s="129"/>
      <c r="DT124" s="129"/>
      <c r="DU124" s="1371"/>
      <c r="DV124" s="129"/>
      <c r="DW124" s="129"/>
      <c r="DX124" s="129"/>
      <c r="DY124" s="129"/>
      <c r="DZ124" s="1371"/>
      <c r="EA124" s="129"/>
      <c r="EB124" s="129"/>
      <c r="EC124" s="129"/>
      <c r="ED124" s="129"/>
      <c r="EE124" s="1371"/>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row>
    <row r="125" spans="2:238" s="93" customFormat="1" ht="12.75" customHeight="1">
      <c r="B125" s="558" t="s">
        <v>265</v>
      </c>
      <c r="C125" s="159"/>
      <c r="D125" s="159"/>
      <c r="E125" s="204"/>
      <c r="F125" s="204"/>
      <c r="G125" s="204"/>
      <c r="H125" s="204"/>
      <c r="I125" s="204"/>
      <c r="J125" s="204"/>
      <c r="K125" s="205"/>
      <c r="L125" s="160"/>
      <c r="M125" s="160"/>
      <c r="N125" s="206"/>
      <c r="O125" s="204"/>
      <c r="P125" s="205"/>
      <c r="Q125" s="160"/>
      <c r="R125" s="160"/>
      <c r="S125" s="206"/>
      <c r="T125" s="204"/>
      <c r="U125" s="205"/>
      <c r="V125" s="160"/>
      <c r="W125" s="160"/>
      <c r="X125" s="206"/>
      <c r="Y125" s="204"/>
      <c r="Z125" s="205"/>
      <c r="AA125" s="160"/>
      <c r="AB125" s="160"/>
      <c r="AC125" s="206"/>
      <c r="AD125" s="204"/>
      <c r="AE125" s="205"/>
      <c r="AF125" s="160"/>
      <c r="AG125" s="160"/>
      <c r="AH125" s="206"/>
      <c r="AI125" s="204"/>
      <c r="AJ125" s="205"/>
      <c r="AK125" s="160"/>
      <c r="AL125" s="160"/>
      <c r="AM125" s="206"/>
      <c r="AN125" s="204"/>
      <c r="AO125" s="205"/>
      <c r="AP125" s="160"/>
      <c r="AQ125" s="160"/>
      <c r="AR125" s="206"/>
      <c r="AS125" s="204"/>
      <c r="AT125" s="205"/>
      <c r="AU125" s="160"/>
      <c r="AV125" s="160"/>
      <c r="AW125" s="206"/>
      <c r="AX125" s="204"/>
      <c r="AY125" s="205"/>
      <c r="AZ125" s="160"/>
      <c r="BA125" s="160"/>
      <c r="BB125" s="206"/>
      <c r="BC125" s="204"/>
      <c r="BD125" s="205"/>
      <c r="BE125" s="160"/>
      <c r="BF125" s="160"/>
      <c r="BG125" s="206"/>
      <c r="BH125" s="204"/>
      <c r="BI125" s="205"/>
      <c r="BJ125" s="160"/>
      <c r="BK125" s="160"/>
      <c r="BL125" s="206"/>
      <c r="BM125" s="204"/>
      <c r="BN125" s="205"/>
      <c r="BO125" s="160"/>
      <c r="BP125" s="160"/>
      <c r="BQ125" s="206"/>
      <c r="BR125" s="204"/>
      <c r="BS125" s="205"/>
      <c r="BT125" s="160"/>
      <c r="BU125" s="160"/>
      <c r="BV125" s="206"/>
      <c r="BW125" s="204"/>
      <c r="BX125" s="205"/>
      <c r="BY125" s="160"/>
      <c r="BZ125" s="160"/>
      <c r="CA125" s="206"/>
      <c r="CB125" s="204"/>
      <c r="CC125" s="205"/>
      <c r="CD125" s="160"/>
      <c r="CE125" s="160"/>
      <c r="CF125" s="160"/>
      <c r="CG125" s="809"/>
      <c r="CH125" s="160"/>
      <c r="CI125" s="160"/>
      <c r="CJ125" s="160"/>
      <c r="CK125" s="207"/>
      <c r="CL125" s="809"/>
      <c r="CM125" s="207"/>
      <c r="CN125" s="207"/>
      <c r="CO125" s="207"/>
      <c r="CP125" s="207"/>
      <c r="CQ125" s="836"/>
      <c r="CR125" s="207"/>
      <c r="CS125" s="207"/>
      <c r="CT125" s="207"/>
      <c r="CU125" s="207"/>
      <c r="CV125" s="836"/>
      <c r="CW125" s="207"/>
      <c r="CX125" s="207"/>
      <c r="CY125" s="207"/>
      <c r="CZ125" s="207"/>
      <c r="DA125" s="836"/>
      <c r="DB125" s="1617"/>
      <c r="DC125" s="1657"/>
      <c r="DD125" s="1657"/>
      <c r="DE125" s="1657"/>
      <c r="DF125" s="836"/>
      <c r="DG125" s="1657"/>
      <c r="DH125" s="1657"/>
      <c r="DI125" s="1657"/>
      <c r="DJ125" s="1657"/>
      <c r="DK125" s="1381"/>
      <c r="DL125" s="1657"/>
      <c r="DM125" s="1657"/>
      <c r="DN125" s="1657"/>
      <c r="DO125" s="1657"/>
      <c r="DP125" s="1381"/>
      <c r="DQ125" s="1657"/>
      <c r="DR125" s="207"/>
      <c r="DS125" s="207"/>
      <c r="DT125" s="207"/>
      <c r="DU125" s="1381"/>
      <c r="DV125" s="207"/>
      <c r="DW125" s="207"/>
      <c r="DX125" s="207"/>
      <c r="DY125" s="207"/>
      <c r="DZ125" s="1381"/>
      <c r="EA125" s="207"/>
      <c r="EB125" s="207"/>
      <c r="EC125" s="207"/>
      <c r="ED125" s="207"/>
      <c r="EE125" s="1381"/>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row>
    <row r="126" spans="2:238" s="150" customFormat="1" ht="12.75" customHeight="1">
      <c r="B126" s="558"/>
      <c r="C126" s="130"/>
      <c r="D126" s="130"/>
      <c r="E126" s="131"/>
      <c r="F126" s="131"/>
      <c r="G126" s="131"/>
      <c r="H126" s="131"/>
      <c r="I126" s="131"/>
      <c r="J126" s="131"/>
      <c r="K126" s="126"/>
      <c r="L126" s="127"/>
      <c r="M126" s="127"/>
      <c r="N126" s="132"/>
      <c r="O126" s="131"/>
      <c r="P126" s="126"/>
      <c r="Q126" s="127"/>
      <c r="R126" s="127"/>
      <c r="S126" s="132"/>
      <c r="T126" s="131"/>
      <c r="U126" s="126"/>
      <c r="V126" s="127"/>
      <c r="W126" s="127"/>
      <c r="X126" s="132"/>
      <c r="Y126" s="131"/>
      <c r="Z126" s="126"/>
      <c r="AA126" s="127"/>
      <c r="AB126" s="127"/>
      <c r="AC126" s="132"/>
      <c r="AD126" s="131"/>
      <c r="AE126" s="126"/>
      <c r="AF126" s="127"/>
      <c r="AG126" s="127"/>
      <c r="AH126" s="132"/>
      <c r="AI126" s="131"/>
      <c r="AJ126" s="126"/>
      <c r="AK126" s="127"/>
      <c r="AL126" s="127"/>
      <c r="AM126" s="132"/>
      <c r="AN126" s="131"/>
      <c r="AO126" s="126"/>
      <c r="AP126" s="127"/>
      <c r="AQ126" s="127"/>
      <c r="AR126" s="132"/>
      <c r="AS126" s="131"/>
      <c r="AT126" s="126"/>
      <c r="AU126" s="127"/>
      <c r="AV126" s="127"/>
      <c r="AW126" s="132"/>
      <c r="AX126" s="131"/>
      <c r="AY126" s="126"/>
      <c r="AZ126" s="127"/>
      <c r="BA126" s="127"/>
      <c r="BB126" s="132"/>
      <c r="BC126" s="131"/>
      <c r="BD126" s="126"/>
      <c r="BE126" s="127"/>
      <c r="BF126" s="127"/>
      <c r="BG126" s="132"/>
      <c r="BH126" s="131"/>
      <c r="BI126" s="126"/>
      <c r="BJ126" s="127"/>
      <c r="BK126" s="127"/>
      <c r="BL126" s="132"/>
      <c r="BM126" s="131"/>
      <c r="BN126" s="126"/>
      <c r="BO126" s="127"/>
      <c r="BP126" s="127"/>
      <c r="BQ126" s="132"/>
      <c r="BR126" s="131"/>
      <c r="BS126" s="126"/>
      <c r="BT126" s="127"/>
      <c r="BU126" s="127"/>
      <c r="BV126" s="132"/>
      <c r="BW126" s="131"/>
      <c r="BX126" s="126"/>
      <c r="BY126" s="127"/>
      <c r="BZ126" s="127"/>
      <c r="CA126" s="132"/>
      <c r="CB126" s="131"/>
      <c r="CC126" s="126"/>
      <c r="CD126" s="127"/>
      <c r="CE126" s="127"/>
      <c r="CF126" s="127"/>
      <c r="CG126" s="613"/>
      <c r="CH126" s="127"/>
      <c r="CI126" s="127"/>
      <c r="CJ126" s="127"/>
      <c r="CK126" s="129"/>
      <c r="CL126" s="613"/>
      <c r="CM126" s="129"/>
      <c r="CN126" s="129"/>
      <c r="CO126" s="129"/>
      <c r="CP126" s="129"/>
      <c r="CQ126" s="831"/>
      <c r="CR126" s="129"/>
      <c r="CS126" s="129"/>
      <c r="CT126" s="129"/>
      <c r="CU126" s="129"/>
      <c r="CV126" s="831"/>
      <c r="CW126" s="129"/>
      <c r="CX126" s="129"/>
      <c r="CY126" s="129"/>
      <c r="CZ126" s="1610"/>
      <c r="DA126" s="831"/>
      <c r="DB126" s="129"/>
      <c r="DC126" s="1657"/>
      <c r="DD126" s="1657"/>
      <c r="DE126" s="1657"/>
      <c r="DF126" s="831"/>
      <c r="DG126" s="1657"/>
      <c r="DH126" s="1657"/>
      <c r="DI126" s="1657"/>
      <c r="DJ126" s="1657"/>
      <c r="DK126" s="1371"/>
      <c r="DL126" s="1657"/>
      <c r="DM126" s="1657"/>
      <c r="DN126" s="1657"/>
      <c r="DO126" s="1657"/>
      <c r="DP126" s="1371"/>
      <c r="DQ126" s="1657"/>
      <c r="DR126" s="129"/>
      <c r="DS126" s="129"/>
      <c r="DT126" s="129"/>
      <c r="DU126" s="1371"/>
      <c r="DV126" s="129"/>
      <c r="DW126" s="129"/>
      <c r="DX126" s="129"/>
      <c r="DY126" s="129"/>
      <c r="DZ126" s="1371"/>
      <c r="EA126" s="129"/>
      <c r="EB126" s="129"/>
      <c r="EC126" s="129"/>
      <c r="ED126" s="129"/>
      <c r="EE126" s="1371"/>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row>
    <row r="127" spans="2:238" s="150" customFormat="1" ht="12.75" customHeight="1">
      <c r="B127" s="555" t="s">
        <v>32</v>
      </c>
      <c r="C127" s="130"/>
      <c r="D127" s="130"/>
      <c r="E127" s="131"/>
      <c r="F127" s="131"/>
      <c r="G127" s="131"/>
      <c r="H127" s="131"/>
      <c r="I127" s="131"/>
      <c r="J127" s="131"/>
      <c r="K127" s="126"/>
      <c r="L127" s="127"/>
      <c r="M127" s="127"/>
      <c r="N127" s="132"/>
      <c r="O127" s="131"/>
      <c r="P127" s="126"/>
      <c r="Q127" s="127"/>
      <c r="R127" s="127"/>
      <c r="S127" s="132"/>
      <c r="T127" s="131"/>
      <c r="U127" s="126"/>
      <c r="V127" s="127"/>
      <c r="W127" s="127"/>
      <c r="X127" s="132"/>
      <c r="Y127" s="131"/>
      <c r="Z127" s="126"/>
      <c r="AA127" s="127"/>
      <c r="AB127" s="127"/>
      <c r="AC127" s="132"/>
      <c r="AD127" s="131"/>
      <c r="AE127" s="126"/>
      <c r="AF127" s="127"/>
      <c r="AG127" s="127"/>
      <c r="AH127" s="132"/>
      <c r="AI127" s="131"/>
      <c r="AJ127" s="126"/>
      <c r="AK127" s="127"/>
      <c r="AL127" s="127"/>
      <c r="AM127" s="132"/>
      <c r="AN127" s="131"/>
      <c r="AO127" s="126"/>
      <c r="AP127" s="127"/>
      <c r="AQ127" s="127"/>
      <c r="AR127" s="132"/>
      <c r="AS127" s="131"/>
      <c r="AT127" s="126"/>
      <c r="AU127" s="127"/>
      <c r="AV127" s="127"/>
      <c r="AW127" s="132"/>
      <c r="AX127" s="131"/>
      <c r="AY127" s="126"/>
      <c r="AZ127" s="127"/>
      <c r="BA127" s="127"/>
      <c r="BB127" s="132"/>
      <c r="BC127" s="131"/>
      <c r="BD127" s="126"/>
      <c r="BE127" s="127"/>
      <c r="BF127" s="127"/>
      <c r="BG127" s="132"/>
      <c r="BH127" s="131"/>
      <c r="BI127" s="126"/>
      <c r="BJ127" s="127"/>
      <c r="BK127" s="127"/>
      <c r="BL127" s="132"/>
      <c r="BM127" s="131"/>
      <c r="BN127" s="126"/>
      <c r="BO127" s="127"/>
      <c r="BP127" s="127"/>
      <c r="BQ127" s="132"/>
      <c r="BR127" s="131"/>
      <c r="BS127" s="126"/>
      <c r="BT127" s="127"/>
      <c r="BU127" s="127"/>
      <c r="BV127" s="132"/>
      <c r="BW127" s="131"/>
      <c r="BX127" s="126"/>
      <c r="BY127" s="127"/>
      <c r="BZ127" s="127"/>
      <c r="CA127" s="132"/>
      <c r="CB127" s="131"/>
      <c r="CC127" s="126"/>
      <c r="CD127" s="127"/>
      <c r="CE127" s="127"/>
      <c r="CF127" s="127"/>
      <c r="CG127" s="613"/>
      <c r="CH127" s="127"/>
      <c r="CI127" s="127"/>
      <c r="CJ127" s="127"/>
      <c r="CK127" s="129"/>
      <c r="CL127" s="613"/>
      <c r="CM127" s="129"/>
      <c r="CN127" s="129"/>
      <c r="CO127" s="129"/>
      <c r="CP127" s="129"/>
      <c r="CQ127" s="831"/>
      <c r="CR127" s="129"/>
      <c r="CS127" s="129"/>
      <c r="CT127" s="129"/>
      <c r="CU127" s="129"/>
      <c r="CV127" s="831"/>
      <c r="CW127" s="129"/>
      <c r="CX127" s="129"/>
      <c r="CY127" s="129"/>
      <c r="CZ127" s="129"/>
      <c r="DA127" s="831"/>
      <c r="DB127" s="129"/>
      <c r="DC127" s="129"/>
      <c r="DD127" s="129"/>
      <c r="DE127" s="129"/>
      <c r="DF127" s="831"/>
      <c r="DG127" s="129"/>
      <c r="DH127" s="129"/>
      <c r="DI127" s="129"/>
      <c r="DJ127" s="129"/>
      <c r="DK127" s="1371"/>
      <c r="DL127" s="129"/>
      <c r="DM127" s="129"/>
      <c r="DN127" s="129"/>
      <c r="DO127" s="129"/>
      <c r="DP127" s="1371"/>
      <c r="DQ127" s="129"/>
      <c r="DR127" s="129"/>
      <c r="DS127" s="129"/>
      <c r="DT127" s="129"/>
      <c r="DU127" s="1371"/>
      <c r="DV127" s="129"/>
      <c r="DW127" s="129"/>
      <c r="DX127" s="129"/>
      <c r="DY127" s="129"/>
      <c r="DZ127" s="1371"/>
      <c r="EA127" s="129"/>
      <c r="EB127" s="129"/>
      <c r="EC127" s="129"/>
      <c r="ED127" s="129"/>
      <c r="EE127" s="1371"/>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row>
    <row r="128" spans="2:238" s="236" customFormat="1" ht="12.75" customHeight="1">
      <c r="B128" s="565" t="s">
        <v>97</v>
      </c>
      <c r="C128" s="229"/>
      <c r="D128" s="229"/>
      <c r="E128" s="230"/>
      <c r="F128" s="230"/>
      <c r="G128" s="230"/>
      <c r="H128" s="230"/>
      <c r="I128" s="230"/>
      <c r="J128" s="230"/>
      <c r="K128" s="231"/>
      <c r="L128" s="232"/>
      <c r="M128" s="232"/>
      <c r="N128" s="233"/>
      <c r="O128" s="230"/>
      <c r="P128" s="231"/>
      <c r="Q128" s="232"/>
      <c r="R128" s="232"/>
      <c r="S128" s="233"/>
      <c r="T128" s="230"/>
      <c r="U128" s="231"/>
      <c r="V128" s="232"/>
      <c r="W128" s="232"/>
      <c r="X128" s="233"/>
      <c r="Y128" s="230"/>
      <c r="Z128" s="231"/>
      <c r="AA128" s="232"/>
      <c r="AB128" s="232"/>
      <c r="AC128" s="233"/>
      <c r="AD128" s="230"/>
      <c r="AE128" s="231"/>
      <c r="AF128" s="232"/>
      <c r="AG128" s="232"/>
      <c r="AH128" s="233"/>
      <c r="AI128" s="230"/>
      <c r="AJ128" s="231"/>
      <c r="AK128" s="232"/>
      <c r="AL128" s="232"/>
      <c r="AM128" s="233"/>
      <c r="AN128" s="230"/>
      <c r="AO128" s="231"/>
      <c r="AP128" s="232"/>
      <c r="AQ128" s="232"/>
      <c r="AR128" s="233"/>
      <c r="AS128" s="230"/>
      <c r="AT128" s="231"/>
      <c r="AU128" s="232"/>
      <c r="AV128" s="232"/>
      <c r="AW128" s="233"/>
      <c r="AX128" s="230"/>
      <c r="AY128" s="231"/>
      <c r="AZ128" s="232"/>
      <c r="BA128" s="232"/>
      <c r="BB128" s="233"/>
      <c r="BC128" s="230"/>
      <c r="BD128" s="231"/>
      <c r="BE128" s="232"/>
      <c r="BF128" s="232"/>
      <c r="BG128" s="233"/>
      <c r="BH128" s="230"/>
      <c r="BI128" s="231"/>
      <c r="BJ128" s="232"/>
      <c r="BK128" s="232"/>
      <c r="BL128" s="233"/>
      <c r="BM128" s="230"/>
      <c r="BN128" s="231"/>
      <c r="BO128" s="232"/>
      <c r="BP128" s="232"/>
      <c r="BQ128" s="233"/>
      <c r="BR128" s="230"/>
      <c r="BS128" s="231">
        <v>26</v>
      </c>
      <c r="BT128" s="232">
        <f>BS128-0.05</f>
        <v>25.95</v>
      </c>
      <c r="BU128" s="232">
        <f>BT128-0.05</f>
        <v>25.9</v>
      </c>
      <c r="BV128" s="233">
        <f>BU128-0.05</f>
        <v>25.849999999999998</v>
      </c>
      <c r="BW128" s="230">
        <f>BW64/BW36</f>
        <v>25.924084380743867</v>
      </c>
      <c r="BX128" s="231">
        <f>+BS128</f>
        <v>26</v>
      </c>
      <c r="BY128" s="232">
        <f>BT128</f>
        <v>25.95</v>
      </c>
      <c r="BZ128" s="232">
        <f>BU128</f>
        <v>25.9</v>
      </c>
      <c r="CA128" s="233">
        <v>25.85</v>
      </c>
      <c r="CB128" s="230">
        <f>CB64/CB36</f>
        <v>25.923265871129345</v>
      </c>
      <c r="CC128" s="231">
        <v>25.5</v>
      </c>
      <c r="CD128" s="232">
        <v>25.45</v>
      </c>
      <c r="CE128" s="232">
        <v>25.4</v>
      </c>
      <c r="CF128" s="232">
        <v>25.35</v>
      </c>
      <c r="CG128" s="812">
        <f>CG64/CG36</f>
        <v>25.423978253985762</v>
      </c>
      <c r="CH128" s="232">
        <v>25</v>
      </c>
      <c r="CI128" s="232">
        <v>24.95</v>
      </c>
      <c r="CJ128" s="232">
        <v>24.9</v>
      </c>
      <c r="CK128" s="232">
        <v>25</v>
      </c>
      <c r="CL128" s="812">
        <f>CL64/CL36</f>
        <v>24.961826475595686</v>
      </c>
      <c r="CM128" s="232">
        <v>24.8</v>
      </c>
      <c r="CN128" s="234">
        <v>24.7</v>
      </c>
      <c r="CO128" s="234">
        <v>24.65</v>
      </c>
      <c r="CP128" s="234">
        <v>24.75</v>
      </c>
      <c r="CQ128" s="812">
        <f>CQ64/CQ36</f>
        <v>24.725439571213801</v>
      </c>
      <c r="CR128" s="232">
        <v>24.05</v>
      </c>
      <c r="CS128" s="234">
        <v>24.05</v>
      </c>
      <c r="CT128" s="234">
        <v>24.5</v>
      </c>
      <c r="CU128" s="234">
        <v>24.5</v>
      </c>
      <c r="CV128" s="812">
        <f>CV64/CV36</f>
        <v>24.278825997519661</v>
      </c>
      <c r="CW128" s="235">
        <f>CR128*(1+CW133)</f>
        <v>24.05</v>
      </c>
      <c r="CX128" s="235">
        <f>CS128*(1+CX133)</f>
        <v>24.05</v>
      </c>
      <c r="CY128" s="235">
        <f>CT128*(1+CY133)</f>
        <v>24.5</v>
      </c>
      <c r="CZ128" s="235">
        <f>CU128*(1+CZ133)</f>
        <v>24.5</v>
      </c>
      <c r="DA128" s="812">
        <f>DA64/DA36</f>
        <v>24.278970170589222</v>
      </c>
      <c r="DB128" s="235">
        <f t="shared" ref="DB128:DQ128" si="306">CW128*(1+DB133)</f>
        <v>24.05</v>
      </c>
      <c r="DC128" s="235">
        <f t="shared" si="306"/>
        <v>24.05</v>
      </c>
      <c r="DD128" s="235">
        <f t="shared" si="306"/>
        <v>24.5</v>
      </c>
      <c r="DE128" s="235">
        <f t="shared" si="306"/>
        <v>24.5</v>
      </c>
      <c r="DF128" s="812">
        <f>DF64/DF36</f>
        <v>24.276472213317806</v>
      </c>
      <c r="DG128" s="235">
        <f t="shared" si="306"/>
        <v>25.012</v>
      </c>
      <c r="DH128" s="235">
        <f t="shared" si="306"/>
        <v>23.929750000000002</v>
      </c>
      <c r="DI128" s="235">
        <f t="shared" si="306"/>
        <v>25.725000000000001</v>
      </c>
      <c r="DJ128" s="235">
        <f t="shared" si="306"/>
        <v>25.725000000000001</v>
      </c>
      <c r="DK128" s="1389">
        <f>DK64/DK36</f>
        <v>25.098563516079185</v>
      </c>
      <c r="DL128" s="235">
        <f t="shared" si="306"/>
        <v>25.012</v>
      </c>
      <c r="DM128" s="235">
        <f t="shared" si="306"/>
        <v>21.536775000000002</v>
      </c>
      <c r="DN128" s="235">
        <f t="shared" si="306"/>
        <v>24.438749999999999</v>
      </c>
      <c r="DO128" s="235">
        <f t="shared" si="306"/>
        <v>24.438749999999999</v>
      </c>
      <c r="DP128" s="1389">
        <f>DP64/DP36</f>
        <v>23.853500883336462</v>
      </c>
      <c r="DQ128" s="235">
        <f t="shared" si="306"/>
        <v>23.761399999999998</v>
      </c>
      <c r="DR128" s="235">
        <f t="shared" ref="DR128:DT129" si="307">DM128*(1+DR133)</f>
        <v>19.813833000000002</v>
      </c>
      <c r="DS128" s="235">
        <f t="shared" si="307"/>
        <v>22.483650000000001</v>
      </c>
      <c r="DT128" s="235">
        <f t="shared" si="307"/>
        <v>22.483650000000001</v>
      </c>
      <c r="DU128" s="1389">
        <f ca="1">DU64/DU36</f>
        <v>22.103622675437755</v>
      </c>
      <c r="DV128" s="235">
        <f t="shared" ref="DV128:DV129" si="308">DQ128*(1+DV133)</f>
        <v>22.810943999999999</v>
      </c>
      <c r="DW128" s="235">
        <f t="shared" ref="DW128:DW129" si="309">DR128*(1+DW133)</f>
        <v>19.021279680000003</v>
      </c>
      <c r="DX128" s="235">
        <f t="shared" ref="DX128:DX129" si="310">DS128*(1+DX133)</f>
        <v>21.584303999999999</v>
      </c>
      <c r="DY128" s="235">
        <f t="shared" ref="DY128:DY129" si="311">DT128*(1+DY133)</f>
        <v>21.584303999999999</v>
      </c>
      <c r="DZ128" s="1389">
        <f ca="1">DZ64/DZ36</f>
        <v>21.251611363333573</v>
      </c>
      <c r="EA128" s="235">
        <f t="shared" ref="EA128:EA129" si="312">DV128*(1+EA133)</f>
        <v>22.354725119999998</v>
      </c>
      <c r="EB128" s="235">
        <f t="shared" ref="EB128:EB129" si="313">DW128*(1+EB133)</f>
        <v>18.640854086400001</v>
      </c>
      <c r="EC128" s="235">
        <f t="shared" ref="EC128:EC129" si="314">DX128*(1+EC133)</f>
        <v>21.152617920000001</v>
      </c>
      <c r="ED128" s="235">
        <f t="shared" ref="ED128:ED129" si="315">DY128*(1+ED133)</f>
        <v>21.152617920000001</v>
      </c>
      <c r="EE128" s="1389">
        <f ca="1">EE64/EE36</f>
        <v>20.826386351464432</v>
      </c>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row>
    <row r="129" spans="2:238" s="238" customFormat="1" ht="12.75" customHeight="1">
      <c r="B129" s="1120" t="s">
        <v>33</v>
      </c>
      <c r="C129" s="1121"/>
      <c r="D129" s="1121"/>
      <c r="E129" s="1122"/>
      <c r="F129" s="1122"/>
      <c r="G129" s="1122"/>
      <c r="H129" s="1122"/>
      <c r="I129" s="1122"/>
      <c r="J129" s="1122"/>
      <c r="K129" s="1123"/>
      <c r="L129" s="1124"/>
      <c r="M129" s="1124"/>
      <c r="N129" s="1125"/>
      <c r="O129" s="1122"/>
      <c r="P129" s="1123"/>
      <c r="Q129" s="1124"/>
      <c r="R129" s="1124"/>
      <c r="S129" s="1125"/>
      <c r="T129" s="1122"/>
      <c r="U129" s="1123"/>
      <c r="V129" s="1124"/>
      <c r="W129" s="1124"/>
      <c r="X129" s="1125"/>
      <c r="Y129" s="1122"/>
      <c r="Z129" s="1123"/>
      <c r="AA129" s="1124"/>
      <c r="AB129" s="1124"/>
      <c r="AC129" s="1125"/>
      <c r="AD129" s="1122"/>
      <c r="AE129" s="1123"/>
      <c r="AF129" s="1124"/>
      <c r="AG129" s="1124"/>
      <c r="AH129" s="1125"/>
      <c r="AI129" s="1122"/>
      <c r="AJ129" s="1123"/>
      <c r="AK129" s="1124"/>
      <c r="AL129" s="1124"/>
      <c r="AM129" s="1125"/>
      <c r="AN129" s="1122"/>
      <c r="AO129" s="1123"/>
      <c r="AP129" s="1124"/>
      <c r="AQ129" s="1124"/>
      <c r="AR129" s="1125"/>
      <c r="AS129" s="1122"/>
      <c r="AT129" s="1123"/>
      <c r="AU129" s="1124"/>
      <c r="AV129" s="1124"/>
      <c r="AW129" s="1125"/>
      <c r="AX129" s="1122"/>
      <c r="AY129" s="1123"/>
      <c r="AZ129" s="1124"/>
      <c r="BA129" s="1124"/>
      <c r="BB129" s="1125"/>
      <c r="BC129" s="1122"/>
      <c r="BD129" s="1123"/>
      <c r="BE129" s="1124"/>
      <c r="BF129" s="1124"/>
      <c r="BG129" s="1125"/>
      <c r="BH129" s="1122"/>
      <c r="BI129" s="1123"/>
      <c r="BJ129" s="1124"/>
      <c r="BK129" s="1124"/>
      <c r="BL129" s="1125"/>
      <c r="BM129" s="1122"/>
      <c r="BN129" s="1123"/>
      <c r="BO129" s="1124"/>
      <c r="BP129" s="1124"/>
      <c r="BQ129" s="1125"/>
      <c r="BR129" s="1122"/>
      <c r="BS129" s="1123">
        <f>BS65/BS37</f>
        <v>109.00430905709618</v>
      </c>
      <c r="BT129" s="1124">
        <f>BT65/BT37</f>
        <v>113.87609518354959</v>
      </c>
      <c r="BU129" s="1124">
        <f>BU65/BU37</f>
        <v>117.39296724470141</v>
      </c>
      <c r="BV129" s="1125">
        <f>BV65/BV37</f>
        <v>122.25454800419791</v>
      </c>
      <c r="BW129" s="1122">
        <f>BW65/BW37</f>
        <v>115.47750354950558</v>
      </c>
      <c r="BX129" s="1123">
        <f>BX65/BX37</f>
        <v>120.57677023121391</v>
      </c>
      <c r="BY129" s="1124">
        <f>BY65/BY37</f>
        <v>125.52397574800889</v>
      </c>
      <c r="BZ129" s="1124">
        <f>BZ65/BZ37</f>
        <v>125.44985223754571</v>
      </c>
      <c r="CA129" s="1125">
        <f>CA65/CA37</f>
        <v>128.87739902238229</v>
      </c>
      <c r="CB129" s="1122">
        <f>CB65/CB37</f>
        <v>125.09404921438657</v>
      </c>
      <c r="CC129" s="1123">
        <f>CC65/CC37</f>
        <v>126.39624097061505</v>
      </c>
      <c r="CD129" s="1124">
        <f>CD65/CD37</f>
        <v>132.51244399641575</v>
      </c>
      <c r="CE129" s="1124">
        <f>CE65/CE37</f>
        <v>138.02248862248862</v>
      </c>
      <c r="CF129" s="1124">
        <f>CF65/CF37</f>
        <v>143.83211496407372</v>
      </c>
      <c r="CG129" s="1126">
        <f>CG65/CG37</f>
        <v>134.961763806665</v>
      </c>
      <c r="CH129" s="1124">
        <f>CH65/CH37</f>
        <v>142.73679238152823</v>
      </c>
      <c r="CI129" s="1124">
        <f>CI65/CI37</f>
        <v>147.1181673575629</v>
      </c>
      <c r="CJ129" s="1124">
        <f>CJ65/CJ37</f>
        <v>150.09960159362549</v>
      </c>
      <c r="CK129" s="1127">
        <f>CK65/CK37</f>
        <v>162.06771131658624</v>
      </c>
      <c r="CL129" s="1126">
        <f>CL65/CL37</f>
        <v>150.29703875803725</v>
      </c>
      <c r="CM129" s="1124">
        <f>CM65/CM37</f>
        <v>155.35278768610422</v>
      </c>
      <c r="CN129" s="1127">
        <f>CN65/CN37</f>
        <v>176.79249204268856</v>
      </c>
      <c r="CO129" s="1127">
        <f>CO65/CO37</f>
        <v>184.96718500797454</v>
      </c>
      <c r="CP129" s="1128">
        <f>CP65/CP37</f>
        <v>189.78797872340428</v>
      </c>
      <c r="CQ129" s="1126">
        <f>CQ65/CQ37</f>
        <v>175.11101488026043</v>
      </c>
      <c r="CR129" s="1124">
        <f>CR65/CR37</f>
        <v>180.96991817561945</v>
      </c>
      <c r="CS129" s="1127">
        <f>CS65/CS37</f>
        <v>190.13412162162152</v>
      </c>
      <c r="CT129" s="1127">
        <f>CT65/CT37</f>
        <v>206.68631975312138</v>
      </c>
      <c r="CU129" s="1127">
        <f>CU65/CU37</f>
        <v>213.69751071209953</v>
      </c>
      <c r="CV129" s="1126">
        <f>CV65/CV37</f>
        <v>197.1085261162452</v>
      </c>
      <c r="CW129" s="1127">
        <f>CW65/CW37</f>
        <v>187.06759353371086</v>
      </c>
      <c r="CX129" s="1127">
        <f>CX65/CX37</f>
        <v>217.77210005497525</v>
      </c>
      <c r="CY129" s="1127">
        <f>CY65/CY37</f>
        <v>232.17750551620014</v>
      </c>
      <c r="CZ129" s="1127">
        <f>CZ65/CZ37</f>
        <v>245.5174518889863</v>
      </c>
      <c r="DA129" s="1126">
        <f>DA65/DA37</f>
        <v>218.79503735155342</v>
      </c>
      <c r="DB129" s="1127">
        <f>DB65/DB37</f>
        <v>228.31772430791935</v>
      </c>
      <c r="DC129" s="1127">
        <f>DC65/DC37</f>
        <v>247.49435971427053</v>
      </c>
      <c r="DD129" s="1127">
        <f>DD65/DD37</f>
        <v>244.09891378026848</v>
      </c>
      <c r="DE129" s="1127">
        <f>DE65/DE37</f>
        <v>245.68374873674557</v>
      </c>
      <c r="DF129" s="1126">
        <f>DF65/DF37</f>
        <v>241.23724132671137</v>
      </c>
      <c r="DG129" s="1127">
        <f>DG65/DG37</f>
        <v>245.15880480077297</v>
      </c>
      <c r="DH129" s="1127">
        <f>DH65/DH37</f>
        <v>252.2783394091841</v>
      </c>
      <c r="DI129" s="1127">
        <f>DI65/DI37</f>
        <v>251.22526722749348</v>
      </c>
      <c r="DJ129" s="1127">
        <f>DJ65/DJ37</f>
        <v>265.48579271802328</v>
      </c>
      <c r="DK129" s="1390">
        <f>DK65/DK37</f>
        <v>253.38660539134915</v>
      </c>
      <c r="DL129" s="1127">
        <f>DL65/DL37</f>
        <v>252.55775945187816</v>
      </c>
      <c r="DM129" s="1127">
        <f>DM65/DM37</f>
        <v>267.31215714961974</v>
      </c>
      <c r="DN129" s="1127">
        <f>DN65/DN37</f>
        <v>274.3441568602575</v>
      </c>
      <c r="DO129" s="1127">
        <f>DO65/DO37</f>
        <v>296.06419683196134</v>
      </c>
      <c r="DP129" s="1390">
        <f>DP65/DP37</f>
        <v>272.56926700536633</v>
      </c>
      <c r="DQ129" s="1127">
        <f>DQ65/DQ37</f>
        <v>282.81011748945787</v>
      </c>
      <c r="DR129" s="1127">
        <f t="shared" si="307"/>
        <v>286.02400815009315</v>
      </c>
      <c r="DS129" s="1127">
        <f t="shared" si="307"/>
        <v>293.54824784047554</v>
      </c>
      <c r="DT129" s="1127">
        <f t="shared" si="307"/>
        <v>316.78869061019867</v>
      </c>
      <c r="DU129" s="1390">
        <f ca="1">DU65/DU37</f>
        <v>294.64698776660788</v>
      </c>
      <c r="DV129" s="1127">
        <f t="shared" si="308"/>
        <v>305.43492688861454</v>
      </c>
      <c r="DW129" s="1127">
        <f t="shared" si="309"/>
        <v>308.90592880210062</v>
      </c>
      <c r="DX129" s="1127">
        <f t="shared" si="310"/>
        <v>317.0321076677136</v>
      </c>
      <c r="DY129" s="1127">
        <f t="shared" si="311"/>
        <v>342.1317858590146</v>
      </c>
      <c r="DZ129" s="1390">
        <f ca="1">DZ65/DZ37</f>
        <v>317.93457681794058</v>
      </c>
      <c r="EA129" s="1127">
        <f t="shared" si="312"/>
        <v>329.86972103970373</v>
      </c>
      <c r="EB129" s="1127">
        <f t="shared" si="313"/>
        <v>333.61840310626872</v>
      </c>
      <c r="EC129" s="1127">
        <f t="shared" si="314"/>
        <v>342.39467628113073</v>
      </c>
      <c r="ED129" s="1127">
        <f t="shared" si="315"/>
        <v>369.5023287277358</v>
      </c>
      <c r="EE129" s="1390">
        <f ca="1">EE65/EE37</f>
        <v>343.36912327008412</v>
      </c>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row>
    <row r="130" spans="2:238" s="236" customFormat="1" ht="12.75" customHeight="1">
      <c r="B130" s="566" t="s">
        <v>392</v>
      </c>
      <c r="C130" s="229"/>
      <c r="D130" s="229"/>
      <c r="E130" s="230"/>
      <c r="F130" s="230"/>
      <c r="G130" s="230"/>
      <c r="H130" s="230"/>
      <c r="I130" s="230"/>
      <c r="J130" s="230"/>
      <c r="K130" s="239"/>
      <c r="L130" s="237"/>
      <c r="M130" s="237"/>
      <c r="N130" s="240"/>
      <c r="O130" s="230"/>
      <c r="P130" s="239"/>
      <c r="Q130" s="237"/>
      <c r="R130" s="237"/>
      <c r="S130" s="240"/>
      <c r="T130" s="230"/>
      <c r="U130" s="239"/>
      <c r="V130" s="237"/>
      <c r="W130" s="237"/>
      <c r="X130" s="240"/>
      <c r="Y130" s="230"/>
      <c r="Z130" s="239"/>
      <c r="AA130" s="237"/>
      <c r="AB130" s="237"/>
      <c r="AC130" s="240"/>
      <c r="AD130" s="230"/>
      <c r="AE130" s="239"/>
      <c r="AF130" s="237"/>
      <c r="AG130" s="237"/>
      <c r="AH130" s="240"/>
      <c r="AI130" s="230"/>
      <c r="AJ130" s="239"/>
      <c r="AK130" s="237"/>
      <c r="AL130" s="237"/>
      <c r="AM130" s="240"/>
      <c r="AN130" s="230"/>
      <c r="AO130" s="239"/>
      <c r="AP130" s="237"/>
      <c r="AQ130" s="237"/>
      <c r="AR130" s="240"/>
      <c r="AS130" s="230"/>
      <c r="AT130" s="239"/>
      <c r="AU130" s="237"/>
      <c r="AV130" s="237"/>
      <c r="AW130" s="240"/>
      <c r="AX130" s="230"/>
      <c r="AY130" s="239"/>
      <c r="AZ130" s="237"/>
      <c r="BA130" s="237"/>
      <c r="BB130" s="240"/>
      <c r="BC130" s="230"/>
      <c r="BD130" s="239"/>
      <c r="BE130" s="237"/>
      <c r="BF130" s="237"/>
      <c r="BG130" s="240"/>
      <c r="BH130" s="230"/>
      <c r="BI130" s="239"/>
      <c r="BJ130" s="237"/>
      <c r="BK130" s="237"/>
      <c r="BL130" s="240"/>
      <c r="BM130" s="230"/>
      <c r="BN130" s="239"/>
      <c r="BO130" s="237"/>
      <c r="BP130" s="237"/>
      <c r="BQ130" s="240"/>
      <c r="BR130" s="230"/>
      <c r="BS130" s="239">
        <f>BS67/BS34</f>
        <v>55.134512479040758</v>
      </c>
      <c r="BT130" s="237">
        <f>BT67/BT34</f>
        <v>55.31731579130556</v>
      </c>
      <c r="BU130" s="237">
        <f>BU67/BU34</f>
        <v>56.092679190751454</v>
      </c>
      <c r="BV130" s="240">
        <f>BV67/BV34</f>
        <v>56.699455361343325</v>
      </c>
      <c r="BW130" s="230">
        <f>BW66/BW34</f>
        <v>55.809183257457377</v>
      </c>
      <c r="BX130" s="239">
        <f>BX67/BX34</f>
        <v>56.264566473988445</v>
      </c>
      <c r="BY130" s="237">
        <f>BY67/BY34</f>
        <v>56.618784530386741</v>
      </c>
      <c r="BZ130" s="237">
        <f>BZ67/BZ34</f>
        <v>56.163155080213905</v>
      </c>
      <c r="CA130" s="240">
        <f>CA67/CA34</f>
        <v>56.65519230769231</v>
      </c>
      <c r="CB130" s="230">
        <f>CB66/CB34</f>
        <v>56.425345781466113</v>
      </c>
      <c r="CC130" s="239">
        <f>CC67/CC34</f>
        <v>55.16349484536083</v>
      </c>
      <c r="CD130" s="237">
        <f>CD67/CD34</f>
        <v>55.320421875000001</v>
      </c>
      <c r="CE130" s="237">
        <f>CE67/CE34</f>
        <v>56.1459393939394</v>
      </c>
      <c r="CF130" s="237">
        <f>CF67/CF34</f>
        <v>56.629278350515463</v>
      </c>
      <c r="CG130" s="812">
        <f>CG66/CG34</f>
        <v>55.817757069408742</v>
      </c>
      <c r="CH130" s="237">
        <f>CH67/CH34</f>
        <v>55.847039603960397</v>
      </c>
      <c r="CI130" s="237">
        <f>CI67/CI34</f>
        <v>55.858546341463416</v>
      </c>
      <c r="CJ130" s="237">
        <f>CJ67/CJ34</f>
        <v>56.325100000000006</v>
      </c>
      <c r="CK130" s="237">
        <f>CK67/CK34</f>
        <v>58.170386138613857</v>
      </c>
      <c r="CL130" s="812">
        <f>CL66/CL34</f>
        <v>56.545534798534803</v>
      </c>
      <c r="CM130" s="237">
        <f>CM67/CM34</f>
        <v>57.177091346153851</v>
      </c>
      <c r="CN130" s="237">
        <f>CN67/CN34</f>
        <v>57.856163265306115</v>
      </c>
      <c r="CO130" s="237">
        <f>CO67/CO34</f>
        <v>58.156291666666668</v>
      </c>
      <c r="CP130" s="237">
        <f>CP67/CP34</f>
        <v>57.757595744680849</v>
      </c>
      <c r="CQ130" s="812">
        <f>CQ66/CQ34</f>
        <v>57.72586607142857</v>
      </c>
      <c r="CR130" s="237">
        <f>CR67/CR34</f>
        <v>54.963223880597013</v>
      </c>
      <c r="CS130" s="237">
        <f>CS67/CS34</f>
        <v>54.775562499999992</v>
      </c>
      <c r="CT130" s="237">
        <f>CT67/CT34</f>
        <v>55.289488038277511</v>
      </c>
      <c r="CU130" s="237">
        <f>CU67/CU34</f>
        <v>56.47437931034483</v>
      </c>
      <c r="CV130" s="812">
        <f>CV66/CV34</f>
        <v>55.372383678440926</v>
      </c>
      <c r="CW130" s="237">
        <f>CW67/CW34</f>
        <v>55.675413145539913</v>
      </c>
      <c r="CX130" s="237">
        <f>CX67/CX34</f>
        <v>56.982757009345789</v>
      </c>
      <c r="CY130" s="237">
        <f>CY67/CY34</f>
        <v>57.313045871559638</v>
      </c>
      <c r="CZ130" s="237">
        <f>CZ67/CZ34</f>
        <v>59.199739946570844</v>
      </c>
      <c r="DA130" s="812">
        <f>DA66/DA34</f>
        <v>57.289144711878066</v>
      </c>
      <c r="DB130" s="237">
        <f>DB67/DB34</f>
        <v>58.796051476645111</v>
      </c>
      <c r="DC130" s="237">
        <f>DC67/DC34</f>
        <v>60.512999999999998</v>
      </c>
      <c r="DD130" s="237">
        <f>DD67/DD34</f>
        <v>59.73860619469027</v>
      </c>
      <c r="DE130" s="237">
        <f>DE67/DE34</f>
        <v>59.391743243243248</v>
      </c>
      <c r="DF130" s="812">
        <f>DF66/DF34</f>
        <v>59.612301615260826</v>
      </c>
      <c r="DG130" s="237">
        <f>DG67/DG34</f>
        <v>60.316363636363647</v>
      </c>
      <c r="DH130" s="237">
        <f>DH67/DH34</f>
        <v>59.978540772532192</v>
      </c>
      <c r="DI130" s="237">
        <f>DI67/DI34</f>
        <v>60.760382978723406</v>
      </c>
      <c r="DJ130" s="237">
        <f>DJ67/DJ34</f>
        <v>62.376601307189539</v>
      </c>
      <c r="DK130" s="1391">
        <f>DK66/DK34</f>
        <v>60.853204092622512</v>
      </c>
      <c r="DL130" s="237">
        <f>DL67/DL34</f>
        <v>60.081519360269354</v>
      </c>
      <c r="DM130" s="237">
        <f>DM67/DM34</f>
        <v>58.801418727199035</v>
      </c>
      <c r="DN130" s="237">
        <f>DN67/DN34</f>
        <v>61.704827586206889</v>
      </c>
      <c r="DO130" s="237">
        <f>DO67/DO34</f>
        <v>64.264672262190246</v>
      </c>
      <c r="DP130" s="1391">
        <f>DP66/DP34</f>
        <v>61.238528847125387</v>
      </c>
      <c r="DQ130" s="237">
        <f>DQ67/DQ34</f>
        <v>62.051975403535742</v>
      </c>
      <c r="DR130" s="237">
        <f ca="1">DR67/DR34</f>
        <v>63.800312889397027</v>
      </c>
      <c r="DS130" s="237">
        <f ca="1">DS67/DS34</f>
        <v>63.836481431749959</v>
      </c>
      <c r="DT130" s="237">
        <f>DT67/DT34</f>
        <v>66.561384060515365</v>
      </c>
      <c r="DU130" s="1391">
        <f ca="1">DU66/DU34</f>
        <v>61.350918777063576</v>
      </c>
      <c r="DV130" s="237">
        <f>DV67/DV34</f>
        <v>64.329291880636191</v>
      </c>
      <c r="DW130" s="237">
        <f ca="1">DW67/DW34</f>
        <v>64.317592030093579</v>
      </c>
      <c r="DX130" s="237">
        <f ca="1">DX67/DX34</f>
        <v>63.423600825393208</v>
      </c>
      <c r="DY130" s="237">
        <f>DY67/DY34</f>
        <v>66.094933260608215</v>
      </c>
      <c r="DZ130" s="1391">
        <f ca="1">DZ66/DZ34</f>
        <v>61.031155074390412</v>
      </c>
      <c r="EA130" s="237">
        <f>EA67/EA34</f>
        <v>64.192564956192257</v>
      </c>
      <c r="EB130" s="237">
        <f ca="1">EB67/EB34</f>
        <v>64.089585339049592</v>
      </c>
      <c r="EC130" s="237">
        <f ca="1">EC67/EC34</f>
        <v>63.161326271269203</v>
      </c>
      <c r="ED130" s="237">
        <f>ED67/ED34</f>
        <v>65.752581132270478</v>
      </c>
      <c r="EE130" s="1391">
        <f ca="1">EE66/EE34</f>
        <v>60.846299309936782</v>
      </c>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row>
    <row r="131" spans="2:238" s="150" customFormat="1" ht="12.75" customHeight="1">
      <c r="B131" s="558"/>
      <c r="C131" s="130"/>
      <c r="D131" s="130"/>
      <c r="E131" s="131"/>
      <c r="F131" s="131"/>
      <c r="G131" s="131"/>
      <c r="H131" s="131"/>
      <c r="I131" s="131"/>
      <c r="J131" s="131"/>
      <c r="K131" s="126"/>
      <c r="L131" s="127"/>
      <c r="M131" s="127"/>
      <c r="N131" s="132"/>
      <c r="O131" s="131"/>
      <c r="P131" s="126"/>
      <c r="Q131" s="127"/>
      <c r="R131" s="127"/>
      <c r="S131" s="132"/>
      <c r="T131" s="131"/>
      <c r="U131" s="126"/>
      <c r="V131" s="127"/>
      <c r="W131" s="127"/>
      <c r="X131" s="132"/>
      <c r="Y131" s="131"/>
      <c r="Z131" s="126"/>
      <c r="AA131" s="127"/>
      <c r="AB131" s="127"/>
      <c r="AC131" s="132"/>
      <c r="AD131" s="131"/>
      <c r="AE131" s="126"/>
      <c r="AF131" s="127"/>
      <c r="AG131" s="127"/>
      <c r="AH131" s="132"/>
      <c r="AI131" s="131"/>
      <c r="AJ131" s="126"/>
      <c r="AK131" s="127"/>
      <c r="AL131" s="127"/>
      <c r="AM131" s="132"/>
      <c r="AN131" s="131"/>
      <c r="AO131" s="126"/>
      <c r="AP131" s="127"/>
      <c r="AQ131" s="127"/>
      <c r="AR131" s="132"/>
      <c r="AS131" s="131"/>
      <c r="AT131" s="126"/>
      <c r="AU131" s="127"/>
      <c r="AV131" s="127"/>
      <c r="AW131" s="132"/>
      <c r="AX131" s="131"/>
      <c r="AY131" s="126"/>
      <c r="AZ131" s="127"/>
      <c r="BA131" s="127"/>
      <c r="BB131" s="132"/>
      <c r="BC131" s="131"/>
      <c r="BD131" s="126"/>
      <c r="BE131" s="127"/>
      <c r="BF131" s="127"/>
      <c r="BG131" s="132"/>
      <c r="BH131" s="131"/>
      <c r="BI131" s="126"/>
      <c r="BJ131" s="127"/>
      <c r="BK131" s="127"/>
      <c r="BL131" s="132"/>
      <c r="BM131" s="131"/>
      <c r="BN131" s="126"/>
      <c r="BO131" s="127"/>
      <c r="BP131" s="127"/>
      <c r="BQ131" s="132"/>
      <c r="BR131" s="131"/>
      <c r="BS131" s="126"/>
      <c r="BT131" s="127"/>
      <c r="BU131" s="127"/>
      <c r="BV131" s="132"/>
      <c r="BW131" s="131"/>
      <c r="BX131" s="126"/>
      <c r="BY131" s="127"/>
      <c r="BZ131" s="127"/>
      <c r="CA131" s="132"/>
      <c r="CB131" s="131"/>
      <c r="CC131" s="126"/>
      <c r="CD131" s="127"/>
      <c r="CE131" s="127"/>
      <c r="CF131" s="127"/>
      <c r="CG131" s="613"/>
      <c r="CH131" s="127"/>
      <c r="CI131" s="127"/>
      <c r="CJ131" s="127"/>
      <c r="CK131" s="129"/>
      <c r="CL131" s="613"/>
      <c r="CM131" s="129"/>
      <c r="CN131" s="129"/>
      <c r="CO131" s="129"/>
      <c r="CP131" s="129"/>
      <c r="CQ131" s="831"/>
      <c r="CR131" s="129"/>
      <c r="CS131" s="129"/>
      <c r="CT131" s="129"/>
      <c r="CU131" s="129"/>
      <c r="CV131" s="831"/>
      <c r="CW131" s="129"/>
      <c r="CX131" s="129"/>
      <c r="CY131" s="129"/>
      <c r="CZ131" s="129"/>
      <c r="DA131" s="831"/>
      <c r="DB131" s="129"/>
      <c r="DC131" s="129"/>
      <c r="DD131" s="129"/>
      <c r="DE131" s="129"/>
      <c r="DF131" s="831"/>
      <c r="DG131" s="129"/>
      <c r="DH131" s="129"/>
      <c r="DI131" s="129"/>
      <c r="DJ131" s="129"/>
      <c r="DK131" s="1371"/>
      <c r="DL131" s="129"/>
      <c r="DM131" s="129"/>
      <c r="DN131" s="129"/>
      <c r="DO131" s="129"/>
      <c r="DP131" s="1371"/>
      <c r="DQ131" s="129"/>
      <c r="DR131" s="129"/>
      <c r="DS131" s="129"/>
      <c r="DT131" s="129"/>
      <c r="DU131" s="1371"/>
      <c r="DV131" s="129"/>
      <c r="DW131" s="129"/>
      <c r="DX131" s="129"/>
      <c r="DY131" s="129"/>
      <c r="DZ131" s="1371"/>
      <c r="EA131" s="129"/>
      <c r="EB131" s="129"/>
      <c r="EC131" s="129"/>
      <c r="ED131" s="129"/>
      <c r="EE131" s="137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row>
    <row r="132" spans="2:238" s="150" customFormat="1" ht="12.75" customHeight="1">
      <c r="B132" s="555" t="s">
        <v>34</v>
      </c>
      <c r="C132" s="130"/>
      <c r="D132" s="130"/>
      <c r="E132" s="131"/>
      <c r="F132" s="131"/>
      <c r="G132" s="131"/>
      <c r="H132" s="131"/>
      <c r="I132" s="131"/>
      <c r="J132" s="131"/>
      <c r="K132" s="126"/>
      <c r="L132" s="127"/>
      <c r="M132" s="127"/>
      <c r="N132" s="132"/>
      <c r="O132" s="131"/>
      <c r="P132" s="126"/>
      <c r="Q132" s="127"/>
      <c r="R132" s="127"/>
      <c r="S132" s="132"/>
      <c r="T132" s="131"/>
      <c r="U132" s="126"/>
      <c r="V132" s="127"/>
      <c r="W132" s="127"/>
      <c r="X132" s="132"/>
      <c r="Y132" s="131"/>
      <c r="Z132" s="126"/>
      <c r="AA132" s="127"/>
      <c r="AB132" s="127"/>
      <c r="AC132" s="132"/>
      <c r="AD132" s="131"/>
      <c r="AE132" s="126"/>
      <c r="AF132" s="127"/>
      <c r="AG132" s="127"/>
      <c r="AH132" s="132"/>
      <c r="AI132" s="131"/>
      <c r="AJ132" s="126"/>
      <c r="AK132" s="127"/>
      <c r="AL132" s="127"/>
      <c r="AM132" s="132"/>
      <c r="AN132" s="131"/>
      <c r="AO132" s="126"/>
      <c r="AP132" s="127"/>
      <c r="AQ132" s="127"/>
      <c r="AR132" s="132"/>
      <c r="AS132" s="131"/>
      <c r="AT132" s="126"/>
      <c r="AU132" s="127"/>
      <c r="AV132" s="127"/>
      <c r="AW132" s="132"/>
      <c r="AX132" s="131"/>
      <c r="AY132" s="126"/>
      <c r="AZ132" s="127"/>
      <c r="BA132" s="127"/>
      <c r="BB132" s="132"/>
      <c r="BC132" s="131"/>
      <c r="BD132" s="126"/>
      <c r="BE132" s="127"/>
      <c r="BF132" s="127"/>
      <c r="BG132" s="132"/>
      <c r="BH132" s="131"/>
      <c r="BI132" s="126"/>
      <c r="BJ132" s="127"/>
      <c r="BK132" s="127"/>
      <c r="BL132" s="132"/>
      <c r="BM132" s="131"/>
      <c r="BN132" s="126"/>
      <c r="BO132" s="127"/>
      <c r="BP132" s="127"/>
      <c r="BQ132" s="132"/>
      <c r="BR132" s="131"/>
      <c r="BS132" s="126"/>
      <c r="BT132" s="127"/>
      <c r="BU132" s="127"/>
      <c r="BV132" s="132"/>
      <c r="BW132" s="131"/>
      <c r="BX132" s="126"/>
      <c r="BY132" s="127"/>
      <c r="BZ132" s="127"/>
      <c r="CA132" s="132"/>
      <c r="CB132" s="131"/>
      <c r="CC132" s="126"/>
      <c r="CD132" s="127"/>
      <c r="CE132" s="127"/>
      <c r="CF132" s="127"/>
      <c r="CG132" s="613"/>
      <c r="CH132" s="127"/>
      <c r="CI132" s="127"/>
      <c r="CJ132" s="127"/>
      <c r="CK132" s="129"/>
      <c r="CL132" s="613"/>
      <c r="CM132" s="129"/>
      <c r="CN132" s="129"/>
      <c r="CO132" s="129"/>
      <c r="CP132" s="129"/>
      <c r="CQ132" s="831"/>
      <c r="CR132" s="129"/>
      <c r="CS132" s="129"/>
      <c r="CT132" s="129"/>
      <c r="CU132" s="129"/>
      <c r="CV132" s="831"/>
      <c r="CW132" s="129"/>
      <c r="CX132" s="129"/>
      <c r="CY132" s="129"/>
      <c r="CZ132" s="129"/>
      <c r="DA132" s="831"/>
      <c r="DB132" s="129"/>
      <c r="DC132" s="129"/>
      <c r="DD132" s="129"/>
      <c r="DE132" s="129"/>
      <c r="DF132" s="831"/>
      <c r="DG132" s="129"/>
      <c r="DH132" s="129"/>
      <c r="DI132" s="129"/>
      <c r="DJ132" s="129"/>
      <c r="DK132" s="1371"/>
      <c r="DL132" s="129"/>
      <c r="DM132" s="129"/>
      <c r="DN132" s="129"/>
      <c r="DO132" s="129"/>
      <c r="DP132" s="1371"/>
      <c r="DQ132" s="129"/>
      <c r="DR132" s="129"/>
      <c r="DS132" s="129"/>
      <c r="DT132" s="129"/>
      <c r="DU132" s="1371"/>
      <c r="DV132" s="129"/>
      <c r="DW132" s="129"/>
      <c r="DX132" s="129"/>
      <c r="DY132" s="129"/>
      <c r="DZ132" s="1371"/>
      <c r="EA132" s="129"/>
      <c r="EB132" s="129"/>
      <c r="EC132" s="129"/>
      <c r="ED132" s="129"/>
      <c r="EE132" s="1371"/>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row>
    <row r="133" spans="2:238" s="150" customFormat="1" ht="12.75" customHeight="1">
      <c r="B133" s="557" t="s">
        <v>97</v>
      </c>
      <c r="C133" s="130"/>
      <c r="D133" s="130"/>
      <c r="E133" s="131"/>
      <c r="F133" s="131"/>
      <c r="G133" s="131"/>
      <c r="H133" s="131"/>
      <c r="I133" s="131"/>
      <c r="J133" s="131"/>
      <c r="K133" s="126"/>
      <c r="L133" s="127"/>
      <c r="M133" s="127"/>
      <c r="N133" s="132"/>
      <c r="O133" s="131"/>
      <c r="P133" s="126"/>
      <c r="Q133" s="127"/>
      <c r="R133" s="127"/>
      <c r="S133" s="132"/>
      <c r="T133" s="131"/>
      <c r="U133" s="126"/>
      <c r="V133" s="127"/>
      <c r="W133" s="127"/>
      <c r="X133" s="132"/>
      <c r="Y133" s="131"/>
      <c r="Z133" s="126"/>
      <c r="AA133" s="127"/>
      <c r="AB133" s="127"/>
      <c r="AC133" s="132"/>
      <c r="AD133" s="131"/>
      <c r="AE133" s="126"/>
      <c r="AF133" s="127"/>
      <c r="AG133" s="127"/>
      <c r="AH133" s="132"/>
      <c r="AI133" s="131"/>
      <c r="AJ133" s="126"/>
      <c r="AK133" s="127"/>
      <c r="AL133" s="127"/>
      <c r="AM133" s="132"/>
      <c r="AN133" s="131"/>
      <c r="AO133" s="126"/>
      <c r="AP133" s="127"/>
      <c r="AQ133" s="127"/>
      <c r="AR133" s="132"/>
      <c r="AS133" s="131"/>
      <c r="AT133" s="126"/>
      <c r="AU133" s="127"/>
      <c r="AV133" s="127"/>
      <c r="AW133" s="132"/>
      <c r="AX133" s="131"/>
      <c r="AY133" s="126"/>
      <c r="AZ133" s="127"/>
      <c r="BA133" s="127"/>
      <c r="BB133" s="132"/>
      <c r="BC133" s="131"/>
      <c r="BD133" s="126"/>
      <c r="BE133" s="127"/>
      <c r="BF133" s="127"/>
      <c r="BG133" s="132"/>
      <c r="BH133" s="131"/>
      <c r="BI133" s="126"/>
      <c r="BJ133" s="127"/>
      <c r="BK133" s="127"/>
      <c r="BL133" s="132"/>
      <c r="BM133" s="131"/>
      <c r="BN133" s="126"/>
      <c r="BO133" s="127"/>
      <c r="BP133" s="127"/>
      <c r="BQ133" s="132"/>
      <c r="BR133" s="131"/>
      <c r="BS133" s="126"/>
      <c r="BT133" s="127"/>
      <c r="BU133" s="127"/>
      <c r="BV133" s="132"/>
      <c r="BW133" s="131"/>
      <c r="BX133" s="126">
        <f t="shared" ref="BX133:CG134" si="316">BX128/BS128-1</f>
        <v>0</v>
      </c>
      <c r="BY133" s="127">
        <f t="shared" si="316"/>
        <v>0</v>
      </c>
      <c r="BZ133" s="127">
        <f t="shared" si="316"/>
        <v>0</v>
      </c>
      <c r="CA133" s="132">
        <f t="shared" si="316"/>
        <v>0</v>
      </c>
      <c r="CB133" s="131">
        <f t="shared" si="316"/>
        <v>-3.1573327817557839E-5</v>
      </c>
      <c r="CC133" s="126">
        <f t="shared" si="316"/>
        <v>-1.9230769230769273E-2</v>
      </c>
      <c r="CD133" s="127">
        <f t="shared" si="316"/>
        <v>-1.9267822736030782E-2</v>
      </c>
      <c r="CE133" s="127">
        <f t="shared" si="316"/>
        <v>-1.9305019305019266E-2</v>
      </c>
      <c r="CF133" s="127">
        <f t="shared" si="316"/>
        <v>-1.934235976789167E-2</v>
      </c>
      <c r="CG133" s="613">
        <f t="shared" si="316"/>
        <v>-1.9260212799793841E-2</v>
      </c>
      <c r="CH133" s="127">
        <f t="shared" ref="CH133:CQ134" si="317">CH128/CC128-1</f>
        <v>-1.9607843137254943E-2</v>
      </c>
      <c r="CI133" s="127">
        <f t="shared" si="317"/>
        <v>-1.9646365422396839E-2</v>
      </c>
      <c r="CJ133" s="127">
        <f t="shared" si="317"/>
        <v>-1.9685039370078705E-2</v>
      </c>
      <c r="CK133" s="127">
        <f t="shared" si="317"/>
        <v>-1.3806706114398493E-2</v>
      </c>
      <c r="CL133" s="613">
        <f t="shared" si="317"/>
        <v>-1.8177791601816873E-2</v>
      </c>
      <c r="CM133" s="127">
        <f t="shared" si="317"/>
        <v>-8.0000000000000071E-3</v>
      </c>
      <c r="CN133" s="127">
        <f t="shared" si="317"/>
        <v>-1.0020040080160331E-2</v>
      </c>
      <c r="CO133" s="127">
        <f t="shared" si="317"/>
        <v>-1.0040160642570295E-2</v>
      </c>
      <c r="CP133" s="241">
        <f t="shared" si="317"/>
        <v>-1.0000000000000009E-2</v>
      </c>
      <c r="CQ133" s="613">
        <f t="shared" si="317"/>
        <v>-9.4699362089145644E-3</v>
      </c>
      <c r="CR133" s="127">
        <f t="shared" ref="CR133:CU134" si="318">CR128/CM128-1</f>
        <v>-3.0241935483870996E-2</v>
      </c>
      <c r="CS133" s="241">
        <f t="shared" si="318"/>
        <v>-2.6315789473684181E-2</v>
      </c>
      <c r="CT133" s="241">
        <f t="shared" si="318"/>
        <v>-6.0851926977687487E-3</v>
      </c>
      <c r="CU133" s="127">
        <f t="shared" si="318"/>
        <v>-1.0101010101010055E-2</v>
      </c>
      <c r="CV133" s="613">
        <f>CV128/CQ128-1</f>
        <v>-1.8062917442086768E-2</v>
      </c>
      <c r="CW133" s="244">
        <v>0</v>
      </c>
      <c r="CX133" s="244">
        <v>0</v>
      </c>
      <c r="CY133" s="244">
        <v>0</v>
      </c>
      <c r="CZ133" s="244">
        <v>0</v>
      </c>
      <c r="DA133" s="613">
        <f>DA128/CV128-1</f>
        <v>5.9382224484316737E-6</v>
      </c>
      <c r="DB133" s="244">
        <v>0</v>
      </c>
      <c r="DC133" s="244">
        <v>0</v>
      </c>
      <c r="DD133" s="244">
        <v>0</v>
      </c>
      <c r="DE133" s="244">
        <v>0</v>
      </c>
      <c r="DF133" s="613">
        <f>DF128/DA128-1</f>
        <v>-1.0288563534055495E-4</v>
      </c>
      <c r="DG133" s="244">
        <v>0.04</v>
      </c>
      <c r="DH133" s="244">
        <v>-5.0000000000000001E-3</v>
      </c>
      <c r="DI133" s="244">
        <v>0.05</v>
      </c>
      <c r="DJ133" s="244">
        <v>0.05</v>
      </c>
      <c r="DK133" s="1392">
        <f>DK128/DF128-1</f>
        <v>3.3863705382629172E-2</v>
      </c>
      <c r="DL133" s="244">
        <v>0</v>
      </c>
      <c r="DM133" s="244">
        <v>-0.1</v>
      </c>
      <c r="DN133" s="244">
        <v>-0.05</v>
      </c>
      <c r="DO133" s="244">
        <v>-0.05</v>
      </c>
      <c r="DP133" s="1392">
        <f>DP128/DK128-1</f>
        <v>-4.9606927979965243E-2</v>
      </c>
      <c r="DQ133" s="244">
        <v>-0.05</v>
      </c>
      <c r="DR133" s="244">
        <v>-0.08</v>
      </c>
      <c r="DS133" s="244">
        <v>-0.08</v>
      </c>
      <c r="DT133" s="244">
        <v>-0.08</v>
      </c>
      <c r="DU133" s="1392">
        <f ca="1">DU128/DP128-1</f>
        <v>-7.3359387221903938E-2</v>
      </c>
      <c r="DV133" s="244">
        <v>-0.04</v>
      </c>
      <c r="DW133" s="244">
        <v>-0.04</v>
      </c>
      <c r="DX133" s="244">
        <v>-0.04</v>
      </c>
      <c r="DY133" s="244">
        <v>-0.04</v>
      </c>
      <c r="DZ133" s="1392">
        <f ca="1">DZ128/DU128-1</f>
        <v>-3.85462294853125E-2</v>
      </c>
      <c r="EA133" s="244">
        <v>-0.02</v>
      </c>
      <c r="EB133" s="244">
        <v>-0.02</v>
      </c>
      <c r="EC133" s="244">
        <v>-0.02</v>
      </c>
      <c r="ED133" s="244">
        <v>-0.02</v>
      </c>
      <c r="EE133" s="1392">
        <f ca="1">EE128/DZ128-1</f>
        <v>-2.0009071528703126E-2</v>
      </c>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row>
    <row r="134" spans="2:238" s="150" customFormat="1" ht="12.75" customHeight="1">
      <c r="B134" s="557" t="s">
        <v>33</v>
      </c>
      <c r="C134" s="130"/>
      <c r="D134" s="130"/>
      <c r="E134" s="131"/>
      <c r="F134" s="131"/>
      <c r="G134" s="131"/>
      <c r="H134" s="131"/>
      <c r="I134" s="131"/>
      <c r="J134" s="131"/>
      <c r="K134" s="126"/>
      <c r="L134" s="127"/>
      <c r="M134" s="127"/>
      <c r="N134" s="132"/>
      <c r="O134" s="131"/>
      <c r="P134" s="126"/>
      <c r="Q134" s="127"/>
      <c r="R134" s="127"/>
      <c r="S134" s="132"/>
      <c r="T134" s="131"/>
      <c r="U134" s="126"/>
      <c r="V134" s="127"/>
      <c r="W134" s="127"/>
      <c r="X134" s="132"/>
      <c r="Y134" s="131"/>
      <c r="Z134" s="126"/>
      <c r="AA134" s="127"/>
      <c r="AB134" s="127"/>
      <c r="AC134" s="132"/>
      <c r="AD134" s="131"/>
      <c r="AE134" s="126"/>
      <c r="AF134" s="127"/>
      <c r="AG134" s="127"/>
      <c r="AH134" s="132"/>
      <c r="AI134" s="131"/>
      <c r="AJ134" s="126"/>
      <c r="AK134" s="127"/>
      <c r="AL134" s="127"/>
      <c r="AM134" s="132"/>
      <c r="AN134" s="131"/>
      <c r="AO134" s="126"/>
      <c r="AP134" s="127"/>
      <c r="AQ134" s="127"/>
      <c r="AR134" s="132"/>
      <c r="AS134" s="131"/>
      <c r="AT134" s="126"/>
      <c r="AU134" s="127"/>
      <c r="AV134" s="127"/>
      <c r="AW134" s="132"/>
      <c r="AX134" s="131"/>
      <c r="AY134" s="126"/>
      <c r="AZ134" s="127"/>
      <c r="BA134" s="127"/>
      <c r="BB134" s="132"/>
      <c r="BC134" s="131"/>
      <c r="BD134" s="126"/>
      <c r="BE134" s="127"/>
      <c r="BF134" s="127"/>
      <c r="BG134" s="132"/>
      <c r="BH134" s="131"/>
      <c r="BI134" s="126"/>
      <c r="BJ134" s="127"/>
      <c r="BK134" s="127"/>
      <c r="BL134" s="132"/>
      <c r="BM134" s="131"/>
      <c r="BN134" s="126"/>
      <c r="BO134" s="127"/>
      <c r="BP134" s="127"/>
      <c r="BQ134" s="132"/>
      <c r="BR134" s="131"/>
      <c r="BS134" s="126"/>
      <c r="BT134" s="127"/>
      <c r="BU134" s="127"/>
      <c r="BV134" s="132"/>
      <c r="BW134" s="131"/>
      <c r="BX134" s="126">
        <f t="shared" si="316"/>
        <v>0.10616517158102545</v>
      </c>
      <c r="BY134" s="127">
        <f t="shared" si="316"/>
        <v>0.10228556349499707</v>
      </c>
      <c r="BZ134" s="127">
        <f t="shared" si="316"/>
        <v>6.8631751815677378E-2</v>
      </c>
      <c r="CA134" s="132">
        <f t="shared" si="316"/>
        <v>5.4172635098671096E-2</v>
      </c>
      <c r="CB134" s="131">
        <f t="shared" si="316"/>
        <v>8.3276355734156926E-2</v>
      </c>
      <c r="CC134" s="126">
        <f t="shared" si="316"/>
        <v>4.8263614361555129E-2</v>
      </c>
      <c r="CD134" s="127">
        <f t="shared" si="316"/>
        <v>5.5674369830639447E-2</v>
      </c>
      <c r="CE134" s="127">
        <f t="shared" si="316"/>
        <v>0.10022041605227217</v>
      </c>
      <c r="CF134" s="127">
        <f t="shared" si="316"/>
        <v>0.11603831280839416</v>
      </c>
      <c r="CG134" s="613">
        <f t="shared" si="316"/>
        <v>7.8882366141710847E-2</v>
      </c>
      <c r="CH134" s="127">
        <f t="shared" si="317"/>
        <v>0.12928035901567725</v>
      </c>
      <c r="CI134" s="127">
        <f t="shared" si="317"/>
        <v>0.11022152275406083</v>
      </c>
      <c r="CJ134" s="127">
        <f t="shared" si="317"/>
        <v>8.7501052123248657E-2</v>
      </c>
      <c r="CK134" s="127">
        <f t="shared" si="317"/>
        <v>0.12678389911090027</v>
      </c>
      <c r="CL134" s="613">
        <f t="shared" si="317"/>
        <v>0.11362681191200408</v>
      </c>
      <c r="CM134" s="127">
        <f t="shared" si="317"/>
        <v>8.8386428573048459E-2</v>
      </c>
      <c r="CN134" s="127">
        <f t="shared" si="317"/>
        <v>0.20170401261867132</v>
      </c>
      <c r="CO134" s="127">
        <f t="shared" si="317"/>
        <v>0.23229630887860941</v>
      </c>
      <c r="CP134" s="241">
        <f t="shared" si="317"/>
        <v>0.17104127146380632</v>
      </c>
      <c r="CQ134" s="613">
        <f t="shared" si="317"/>
        <v>0.16509956767791767</v>
      </c>
      <c r="CR134" s="127">
        <f t="shared" si="318"/>
        <v>0.16489649700574116</v>
      </c>
      <c r="CS134" s="241">
        <f t="shared" si="318"/>
        <v>7.5464910442641697E-2</v>
      </c>
      <c r="CT134" s="241">
        <f t="shared" si="318"/>
        <v>0.11742155639234308</v>
      </c>
      <c r="CU134" s="127">
        <f t="shared" si="318"/>
        <v>0.12598022356063354</v>
      </c>
      <c r="CV134" s="613">
        <f>CV129/CQ129-1</f>
        <v>0.12562037431526796</v>
      </c>
      <c r="CW134" s="127">
        <f>CW129/CR129-1</f>
        <v>3.3694414074796786E-2</v>
      </c>
      <c r="CX134" s="127">
        <f>CX129/CS129-1</f>
        <v>0.14536043398015108</v>
      </c>
      <c r="CY134" s="127">
        <f>CY129/CT129-1</f>
        <v>0.12333271884431918</v>
      </c>
      <c r="CZ134" s="127">
        <f>CZ129/CU129-1</f>
        <v>0.14890178678663069</v>
      </c>
      <c r="DA134" s="613">
        <f>DA129/CV129-1</f>
        <v>0.11002320225619533</v>
      </c>
      <c r="DB134" s="127">
        <f>DB129/CW129-1</f>
        <v>0.22050922874984713</v>
      </c>
      <c r="DC134" s="127">
        <f>DC129/CX129-1</f>
        <v>0.13648332202238977</v>
      </c>
      <c r="DD134" s="127">
        <f>DD129/CY129-1</f>
        <v>5.1346095038636408E-2</v>
      </c>
      <c r="DE134" s="127">
        <f>DE129/CZ129-1</f>
        <v>6.7733208568188097E-4</v>
      </c>
      <c r="DF134" s="613">
        <f>DF129/DA129-1</f>
        <v>0.10257181445618668</v>
      </c>
      <c r="DG134" s="127">
        <f>DG129/DB129-1</f>
        <v>7.3761599297218705E-2</v>
      </c>
      <c r="DH134" s="127">
        <f>DH129/DC129-1</f>
        <v>1.9329651392608005E-2</v>
      </c>
      <c r="DI134" s="127">
        <f>DI129/DD129-1</f>
        <v>2.9194531580914562E-2</v>
      </c>
      <c r="DJ134" s="127">
        <f>DJ129/DE129-1</f>
        <v>8.0599730682618054E-2</v>
      </c>
      <c r="DK134" s="1392">
        <f>DK129/DF129-1</f>
        <v>5.0362721766427976E-2</v>
      </c>
      <c r="DL134" s="127">
        <f>DL129/DG129-1</f>
        <v>3.0180252580028322E-2</v>
      </c>
      <c r="DM134" s="127">
        <f>DM129/DH129-1</f>
        <v>5.9592186057842556E-2</v>
      </c>
      <c r="DN134" s="127">
        <f>DN129/DI129-1</f>
        <v>9.202453991950188E-2</v>
      </c>
      <c r="DO134" s="127">
        <f>DO129/DJ129-1</f>
        <v>0.11517906024604452</v>
      </c>
      <c r="DP134" s="1392">
        <f>DP129/DK129-1</f>
        <v>7.5705113079636011E-2</v>
      </c>
      <c r="DQ134" s="127">
        <f>DQ129/DL129-1</f>
        <v>0.11978391835291813</v>
      </c>
      <c r="DR134" s="244">
        <v>7.0000000000000007E-2</v>
      </c>
      <c r="DS134" s="244">
        <v>7.0000000000000007E-2</v>
      </c>
      <c r="DT134" s="244">
        <v>7.0000000000000007E-2</v>
      </c>
      <c r="DU134" s="1392">
        <f ca="1">DU129/DP129-1</f>
        <v>8.0998569661952624E-2</v>
      </c>
      <c r="DV134" s="244">
        <v>0.08</v>
      </c>
      <c r="DW134" s="244">
        <v>0.08</v>
      </c>
      <c r="DX134" s="244">
        <v>0.08</v>
      </c>
      <c r="DY134" s="244">
        <v>0.08</v>
      </c>
      <c r="DZ134" s="1392">
        <f ca="1">DZ129/DU129-1</f>
        <v>7.9035557864854056E-2</v>
      </c>
      <c r="EA134" s="244">
        <v>0.08</v>
      </c>
      <c r="EB134" s="244">
        <v>0.08</v>
      </c>
      <c r="EC134" s="244">
        <v>0.08</v>
      </c>
      <c r="ED134" s="244">
        <v>0.08</v>
      </c>
      <c r="EE134" s="1392">
        <f ca="1">EE129/DZ129-1</f>
        <v>7.9999308998430108E-2</v>
      </c>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row>
    <row r="135" spans="2:238" s="150" customFormat="1" ht="12.75" customHeight="1">
      <c r="B135" s="558"/>
      <c r="C135" s="130"/>
      <c r="D135" s="130"/>
      <c r="E135" s="131"/>
      <c r="F135" s="131"/>
      <c r="G135" s="131"/>
      <c r="H135" s="131"/>
      <c r="I135" s="131"/>
      <c r="J135" s="131"/>
      <c r="K135" s="126"/>
      <c r="L135" s="127"/>
      <c r="M135" s="127"/>
      <c r="N135" s="132"/>
      <c r="O135" s="131"/>
      <c r="P135" s="126"/>
      <c r="Q135" s="127"/>
      <c r="R135" s="127"/>
      <c r="S135" s="132"/>
      <c r="T135" s="131"/>
      <c r="U135" s="126"/>
      <c r="V135" s="127"/>
      <c r="W135" s="127"/>
      <c r="X135" s="132"/>
      <c r="Y135" s="131"/>
      <c r="Z135" s="126"/>
      <c r="AA135" s="127"/>
      <c r="AB135" s="127"/>
      <c r="AC135" s="132"/>
      <c r="AD135" s="131"/>
      <c r="AE135" s="126"/>
      <c r="AF135" s="127"/>
      <c r="AG135" s="127"/>
      <c r="AH135" s="132"/>
      <c r="AI135" s="131"/>
      <c r="AJ135" s="126"/>
      <c r="AK135" s="127"/>
      <c r="AL135" s="127"/>
      <c r="AM135" s="132"/>
      <c r="AN135" s="131"/>
      <c r="AO135" s="126"/>
      <c r="AP135" s="127"/>
      <c r="AQ135" s="127"/>
      <c r="AR135" s="132"/>
      <c r="AS135" s="131"/>
      <c r="AT135" s="126"/>
      <c r="AU135" s="127"/>
      <c r="AV135" s="127"/>
      <c r="AW135" s="132"/>
      <c r="AX135" s="131"/>
      <c r="AY135" s="126"/>
      <c r="AZ135" s="127"/>
      <c r="BA135" s="127"/>
      <c r="BB135" s="132"/>
      <c r="BC135" s="131"/>
      <c r="BD135" s="126"/>
      <c r="BE135" s="127"/>
      <c r="BF135" s="127"/>
      <c r="BG135" s="132"/>
      <c r="BH135" s="131"/>
      <c r="BI135" s="126"/>
      <c r="BJ135" s="127"/>
      <c r="BK135" s="127"/>
      <c r="BL135" s="132"/>
      <c r="BM135" s="131"/>
      <c r="BN135" s="126"/>
      <c r="BO135" s="127"/>
      <c r="BP135" s="127"/>
      <c r="BQ135" s="132"/>
      <c r="BR135" s="131"/>
      <c r="BS135" s="126"/>
      <c r="BT135" s="127"/>
      <c r="BU135" s="127"/>
      <c r="BV135" s="132"/>
      <c r="BW135" s="131"/>
      <c r="BX135" s="126"/>
      <c r="BY135" s="127"/>
      <c r="BZ135" s="127"/>
      <c r="CA135" s="132"/>
      <c r="CB135" s="131"/>
      <c r="CC135" s="126"/>
      <c r="CD135" s="127"/>
      <c r="CE135" s="127"/>
      <c r="CF135" s="127"/>
      <c r="CG135" s="613"/>
      <c r="CH135" s="127"/>
      <c r="CI135" s="127"/>
      <c r="CJ135" s="127"/>
      <c r="CK135" s="188"/>
      <c r="CL135" s="613"/>
      <c r="CM135" s="188"/>
      <c r="CN135" s="188"/>
      <c r="CO135" s="188"/>
      <c r="CP135" s="188"/>
      <c r="CQ135" s="837"/>
      <c r="CR135" s="188"/>
      <c r="CS135" s="188"/>
      <c r="CT135" s="188"/>
      <c r="CU135" s="188"/>
      <c r="CV135" s="837"/>
      <c r="CW135" s="188"/>
      <c r="CX135" s="188"/>
      <c r="CY135" s="188"/>
      <c r="CZ135" s="188"/>
      <c r="DA135" s="837"/>
      <c r="DB135" s="188"/>
      <c r="DC135" s="188"/>
      <c r="DD135" s="188"/>
      <c r="DE135" s="188"/>
      <c r="DF135" s="837"/>
      <c r="DG135" s="188"/>
      <c r="DH135" s="188"/>
      <c r="DI135" s="188"/>
      <c r="DJ135" s="188"/>
      <c r="DK135" s="1374"/>
      <c r="DL135" s="188"/>
      <c r="DM135" s="188"/>
      <c r="DN135" s="188"/>
      <c r="DO135" s="188"/>
      <c r="DP135" s="1374"/>
      <c r="DQ135" s="188"/>
      <c r="DR135" s="188"/>
      <c r="DS135" s="188"/>
      <c r="DT135" s="188"/>
      <c r="DU135" s="1374"/>
      <c r="DV135" s="188"/>
      <c r="DW135" s="188"/>
      <c r="DX135" s="188"/>
      <c r="DY135" s="188"/>
      <c r="DZ135" s="1374"/>
      <c r="EA135" s="188"/>
      <c r="EB135" s="188"/>
      <c r="EC135" s="188"/>
      <c r="ED135" s="188"/>
      <c r="EE135" s="1374"/>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row>
    <row r="136" spans="2:238" s="150" customFormat="1" ht="12.75" customHeight="1">
      <c r="B136" s="555" t="s">
        <v>340</v>
      </c>
      <c r="C136" s="130"/>
      <c r="D136" s="130"/>
      <c r="E136" s="131"/>
      <c r="F136" s="131"/>
      <c r="G136" s="131"/>
      <c r="H136" s="131"/>
      <c r="I136" s="131"/>
      <c r="J136" s="131"/>
      <c r="K136" s="126"/>
      <c r="L136" s="127"/>
      <c r="M136" s="127"/>
      <c r="N136" s="132"/>
      <c r="O136" s="131"/>
      <c r="P136" s="126"/>
      <c r="Q136" s="127"/>
      <c r="R136" s="127"/>
      <c r="S136" s="132"/>
      <c r="T136" s="131"/>
      <c r="U136" s="126"/>
      <c r="V136" s="127"/>
      <c r="W136" s="127"/>
      <c r="X136" s="132"/>
      <c r="Y136" s="131"/>
      <c r="Z136" s="126"/>
      <c r="AA136" s="127"/>
      <c r="AB136" s="127"/>
      <c r="AC136" s="132"/>
      <c r="AD136" s="131"/>
      <c r="AE136" s="126"/>
      <c r="AF136" s="127"/>
      <c r="AG136" s="127"/>
      <c r="AH136" s="132"/>
      <c r="AI136" s="131"/>
      <c r="AJ136" s="126"/>
      <c r="AK136" s="127"/>
      <c r="AL136" s="127"/>
      <c r="AM136" s="132"/>
      <c r="AN136" s="131"/>
      <c r="AO136" s="126"/>
      <c r="AP136" s="127"/>
      <c r="AQ136" s="127"/>
      <c r="AR136" s="132"/>
      <c r="AS136" s="131"/>
      <c r="AT136" s="126"/>
      <c r="AU136" s="127"/>
      <c r="AV136" s="127"/>
      <c r="AW136" s="132"/>
      <c r="AX136" s="131"/>
      <c r="AY136" s="126"/>
      <c r="AZ136" s="127"/>
      <c r="BA136" s="127"/>
      <c r="BB136" s="132"/>
      <c r="BC136" s="131"/>
      <c r="BD136" s="126"/>
      <c r="BE136" s="127"/>
      <c r="BF136" s="127"/>
      <c r="BG136" s="132"/>
      <c r="BH136" s="131"/>
      <c r="BI136" s="126"/>
      <c r="BJ136" s="127"/>
      <c r="BK136" s="127"/>
      <c r="BL136" s="132"/>
      <c r="BM136" s="131"/>
      <c r="BN136" s="126"/>
      <c r="BO136" s="127"/>
      <c r="BP136" s="127"/>
      <c r="BQ136" s="132"/>
      <c r="BR136" s="131"/>
      <c r="BS136" s="126"/>
      <c r="BT136" s="127"/>
      <c r="BU136" s="127"/>
      <c r="BV136" s="132"/>
      <c r="BW136" s="131"/>
      <c r="BX136" s="126"/>
      <c r="BY136" s="127"/>
      <c r="BZ136" s="127"/>
      <c r="CA136" s="132"/>
      <c r="CB136" s="131"/>
      <c r="CC136" s="126"/>
      <c r="CD136" s="127"/>
      <c r="CE136" s="127"/>
      <c r="CF136" s="127"/>
      <c r="CG136" s="613"/>
      <c r="CH136" s="127"/>
      <c r="CI136" s="127"/>
      <c r="CJ136" s="127"/>
      <c r="CK136" s="188"/>
      <c r="CL136" s="613"/>
      <c r="CM136" s="188"/>
      <c r="CN136" s="188"/>
      <c r="CO136" s="188"/>
      <c r="CP136" s="188"/>
      <c r="CQ136" s="837"/>
      <c r="CR136" s="188"/>
      <c r="CS136" s="188"/>
      <c r="CT136" s="188"/>
      <c r="CU136" s="188"/>
      <c r="CV136" s="837"/>
      <c r="CW136" s="188"/>
      <c r="CX136" s="188"/>
      <c r="CY136" s="188"/>
      <c r="CZ136" s="188"/>
      <c r="DA136" s="837"/>
      <c r="DB136" s="188"/>
      <c r="DC136" s="188"/>
      <c r="DD136" s="188"/>
      <c r="DE136" s="188"/>
      <c r="DF136" s="837"/>
      <c r="DG136" s="188"/>
      <c r="DH136" s="188"/>
      <c r="DI136" s="188"/>
      <c r="DJ136" s="188"/>
      <c r="DK136" s="1374"/>
      <c r="DL136" s="188"/>
      <c r="DM136" s="188"/>
      <c r="DN136" s="188"/>
      <c r="DO136" s="188"/>
      <c r="DP136" s="1374"/>
      <c r="DQ136" s="188"/>
      <c r="DR136" s="188"/>
      <c r="DS136" s="188"/>
      <c r="DT136" s="188"/>
      <c r="DU136" s="1374"/>
      <c r="DV136" s="188"/>
      <c r="DW136" s="188"/>
      <c r="DX136" s="188"/>
      <c r="DY136" s="188"/>
      <c r="DZ136" s="1374"/>
      <c r="EA136" s="188"/>
      <c r="EB136" s="188"/>
      <c r="EC136" s="188"/>
      <c r="ED136" s="188"/>
      <c r="EE136" s="1374"/>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row>
    <row r="137" spans="2:238" s="236" customFormat="1" ht="12.75" customHeight="1">
      <c r="B137" s="565" t="s">
        <v>97</v>
      </c>
      <c r="C137" s="229"/>
      <c r="D137" s="229"/>
      <c r="E137" s="230"/>
      <c r="F137" s="230"/>
      <c r="G137" s="230"/>
      <c r="H137" s="230"/>
      <c r="I137" s="230"/>
      <c r="J137" s="230"/>
      <c r="K137" s="239"/>
      <c r="L137" s="237"/>
      <c r="M137" s="237"/>
      <c r="N137" s="240"/>
      <c r="O137" s="230"/>
      <c r="P137" s="239"/>
      <c r="Q137" s="237"/>
      <c r="R137" s="237"/>
      <c r="S137" s="240"/>
      <c r="T137" s="230"/>
      <c r="U137" s="239"/>
      <c r="V137" s="237"/>
      <c r="W137" s="237"/>
      <c r="X137" s="240"/>
      <c r="Y137" s="230"/>
      <c r="Z137" s="239"/>
      <c r="AA137" s="237"/>
      <c r="AB137" s="237"/>
      <c r="AC137" s="240"/>
      <c r="AD137" s="230"/>
      <c r="AE137" s="239"/>
      <c r="AF137" s="237"/>
      <c r="AG137" s="237"/>
      <c r="AH137" s="240"/>
      <c r="AI137" s="230"/>
      <c r="AJ137" s="239"/>
      <c r="AK137" s="237"/>
      <c r="AL137" s="237"/>
      <c r="AM137" s="240"/>
      <c r="AN137" s="230"/>
      <c r="AO137" s="239"/>
      <c r="AP137" s="237"/>
      <c r="AQ137" s="237"/>
      <c r="AR137" s="240"/>
      <c r="AS137" s="230"/>
      <c r="AT137" s="239"/>
      <c r="AU137" s="237"/>
      <c r="AV137" s="237"/>
      <c r="AW137" s="240"/>
      <c r="AX137" s="230"/>
      <c r="AY137" s="239"/>
      <c r="AZ137" s="237"/>
      <c r="BA137" s="237"/>
      <c r="BB137" s="240"/>
      <c r="BC137" s="230"/>
      <c r="BD137" s="239"/>
      <c r="BE137" s="237"/>
      <c r="BF137" s="237"/>
      <c r="BG137" s="240"/>
      <c r="BH137" s="230"/>
      <c r="BI137" s="239"/>
      <c r="BJ137" s="237"/>
      <c r="BK137" s="237"/>
      <c r="BL137" s="240"/>
      <c r="BM137" s="230"/>
      <c r="BN137" s="239"/>
      <c r="BO137" s="237"/>
      <c r="BP137" s="237"/>
      <c r="BQ137" s="240"/>
      <c r="BR137" s="230"/>
      <c r="BS137" s="239"/>
      <c r="BT137" s="237"/>
      <c r="BU137" s="237"/>
      <c r="BV137" s="240"/>
      <c r="BW137" s="230"/>
      <c r="BX137" s="239">
        <f>BX128</f>
        <v>26</v>
      </c>
      <c r="BY137" s="237">
        <f>BY128</f>
        <v>25.95</v>
      </c>
      <c r="BZ137" s="237">
        <f>BZ128</f>
        <v>25.9</v>
      </c>
      <c r="CA137" s="240">
        <f>CA128</f>
        <v>25.85</v>
      </c>
      <c r="CB137" s="230">
        <f>CB71/CB43</f>
        <v>25.923568489557802</v>
      </c>
      <c r="CC137" s="239">
        <f>CC128</f>
        <v>25.5</v>
      </c>
      <c r="CD137" s="237">
        <f>CD128</f>
        <v>25.45</v>
      </c>
      <c r="CE137" s="237">
        <f>CE128</f>
        <v>25.4</v>
      </c>
      <c r="CF137" s="237">
        <f>CF128</f>
        <v>25.35</v>
      </c>
      <c r="CG137" s="812">
        <f>CG71/CG43</f>
        <v>25.42421498038166</v>
      </c>
      <c r="CH137" s="237">
        <f>CH128</f>
        <v>25</v>
      </c>
      <c r="CI137" s="237">
        <f>CI128</f>
        <v>24.95</v>
      </c>
      <c r="CJ137" s="237">
        <f>CJ128</f>
        <v>24.9</v>
      </c>
      <c r="CK137" s="237">
        <f>CK128</f>
        <v>25</v>
      </c>
      <c r="CL137" s="812">
        <f>CL71/CL43</f>
        <v>24.961852585052181</v>
      </c>
      <c r="CM137" s="237">
        <f>CM128</f>
        <v>24.8</v>
      </c>
      <c r="CN137" s="237">
        <f t="shared" ref="CN137:CP138" si="319">CI137*(1+CN133)</f>
        <v>24.7</v>
      </c>
      <c r="CO137" s="237">
        <f t="shared" si="319"/>
        <v>24.65</v>
      </c>
      <c r="CP137" s="237">
        <f t="shared" si="319"/>
        <v>24.75</v>
      </c>
      <c r="CQ137" s="812">
        <f>CQ71/CQ43</f>
        <v>24.725294599468299</v>
      </c>
      <c r="CR137" s="237">
        <f>CR128</f>
        <v>24.05</v>
      </c>
      <c r="CS137" s="237">
        <f>CS128</f>
        <v>24.05</v>
      </c>
      <c r="CT137" s="237">
        <f>CT128</f>
        <v>24.5</v>
      </c>
      <c r="CU137" s="237">
        <f>CU128</f>
        <v>24.5</v>
      </c>
      <c r="CV137" s="812">
        <f>CV71/CV43</f>
        <v>24.279265579611298</v>
      </c>
      <c r="CW137" s="237">
        <f>CR137*(1+CW133)</f>
        <v>24.05</v>
      </c>
      <c r="CX137" s="237">
        <f>CS137*(1+CX133)</f>
        <v>24.05</v>
      </c>
      <c r="CY137" s="237">
        <f>CT137*(1+CY133)</f>
        <v>24.5</v>
      </c>
      <c r="CZ137" s="237">
        <f>CZ128</f>
        <v>24.5</v>
      </c>
      <c r="DA137" s="812">
        <f>DA71/DA43</f>
        <v>24.279333146663983</v>
      </c>
      <c r="DB137" s="237">
        <f>DB128</f>
        <v>24.05</v>
      </c>
      <c r="DC137" s="237">
        <f>DC128</f>
        <v>24.05</v>
      </c>
      <c r="DD137" s="237">
        <f>DD128</f>
        <v>24.5</v>
      </c>
      <c r="DE137" s="237">
        <f>DE128</f>
        <v>24.5</v>
      </c>
      <c r="DF137" s="812">
        <f>DF71/DF43</f>
        <v>24.276707451816787</v>
      </c>
      <c r="DG137" s="237">
        <f>DG128</f>
        <v>25.012</v>
      </c>
      <c r="DH137" s="237">
        <f>DH128</f>
        <v>23.929750000000002</v>
      </c>
      <c r="DI137" s="237">
        <f>DI128</f>
        <v>25.725000000000001</v>
      </c>
      <c r="DJ137" s="237">
        <f>DJ128</f>
        <v>25.725000000000001</v>
      </c>
      <c r="DK137" s="1391">
        <f>DK71/DK43</f>
        <v>25.103412955696911</v>
      </c>
      <c r="DL137" s="237">
        <f>DL128</f>
        <v>25.012</v>
      </c>
      <c r="DM137" s="237">
        <f>DM128</f>
        <v>21.536775000000002</v>
      </c>
      <c r="DN137" s="237">
        <f>DN128</f>
        <v>24.438749999999999</v>
      </c>
      <c r="DO137" s="237">
        <f>DO128</f>
        <v>24.438749999999999</v>
      </c>
      <c r="DP137" s="1391">
        <f>DP71/DP43</f>
        <v>23.843431110628899</v>
      </c>
      <c r="DQ137" s="237">
        <f>DQ128</f>
        <v>23.761399999999998</v>
      </c>
      <c r="DR137" s="237">
        <f>DR128</f>
        <v>19.813833000000002</v>
      </c>
      <c r="DS137" s="237">
        <f>DS128</f>
        <v>22.483650000000001</v>
      </c>
      <c r="DT137" s="237">
        <f>DT128</f>
        <v>22.483650000000001</v>
      </c>
      <c r="DU137" s="1391">
        <f>DU71/DU43</f>
        <v>22.139431656206117</v>
      </c>
      <c r="DV137" s="237">
        <f>DV128</f>
        <v>22.810943999999999</v>
      </c>
      <c r="DW137" s="237">
        <f>DW128</f>
        <v>19.021279680000003</v>
      </c>
      <c r="DX137" s="237">
        <f>DX128</f>
        <v>21.584303999999999</v>
      </c>
      <c r="DY137" s="237">
        <f>DY128</f>
        <v>21.584303999999999</v>
      </c>
      <c r="DZ137" s="1391">
        <f ca="1">DZ71/DZ43</f>
        <v>21.214604140658889</v>
      </c>
      <c r="EA137" s="237">
        <f>EA128</f>
        <v>22.354725119999998</v>
      </c>
      <c r="EB137" s="237">
        <f>EB128</f>
        <v>18.640854086400001</v>
      </c>
      <c r="EC137" s="237">
        <f>EC128</f>
        <v>21.152617920000001</v>
      </c>
      <c r="ED137" s="237">
        <f>ED128</f>
        <v>21.152617920000001</v>
      </c>
      <c r="EE137" s="1391">
        <f ca="1">EE71/EE43</f>
        <v>20.82658378068923</v>
      </c>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row>
    <row r="138" spans="2:238" s="238" customFormat="1" ht="12.75" customHeight="1">
      <c r="B138" s="1120" t="s">
        <v>33</v>
      </c>
      <c r="C138" s="1121"/>
      <c r="D138" s="1121"/>
      <c r="E138" s="1122"/>
      <c r="F138" s="1122"/>
      <c r="G138" s="1122"/>
      <c r="H138" s="1122"/>
      <c r="I138" s="1122"/>
      <c r="J138" s="1122"/>
      <c r="K138" s="1123"/>
      <c r="L138" s="1124"/>
      <c r="M138" s="1124"/>
      <c r="N138" s="1125"/>
      <c r="O138" s="1122"/>
      <c r="P138" s="1123"/>
      <c r="Q138" s="1124"/>
      <c r="R138" s="1124"/>
      <c r="S138" s="1125"/>
      <c r="T138" s="1122"/>
      <c r="U138" s="1123"/>
      <c r="V138" s="1124"/>
      <c r="W138" s="1124"/>
      <c r="X138" s="1125"/>
      <c r="Y138" s="1122"/>
      <c r="Z138" s="1123"/>
      <c r="AA138" s="1124"/>
      <c r="AB138" s="1124"/>
      <c r="AC138" s="1125"/>
      <c r="AD138" s="1122"/>
      <c r="AE138" s="1123"/>
      <c r="AF138" s="1124"/>
      <c r="AG138" s="1124"/>
      <c r="AH138" s="1125"/>
      <c r="AI138" s="1122"/>
      <c r="AJ138" s="1123"/>
      <c r="AK138" s="1124"/>
      <c r="AL138" s="1124"/>
      <c r="AM138" s="1125"/>
      <c r="AN138" s="1122"/>
      <c r="AO138" s="1123"/>
      <c r="AP138" s="1124"/>
      <c r="AQ138" s="1124"/>
      <c r="AR138" s="1125"/>
      <c r="AS138" s="1122"/>
      <c r="AT138" s="1123"/>
      <c r="AU138" s="1124"/>
      <c r="AV138" s="1124"/>
      <c r="AW138" s="1125"/>
      <c r="AX138" s="1122"/>
      <c r="AY138" s="1123"/>
      <c r="AZ138" s="1124"/>
      <c r="BA138" s="1124"/>
      <c r="BB138" s="1125"/>
      <c r="BC138" s="1122"/>
      <c r="BD138" s="1123"/>
      <c r="BE138" s="1124"/>
      <c r="BF138" s="1124"/>
      <c r="BG138" s="1125"/>
      <c r="BH138" s="1122"/>
      <c r="BI138" s="1123"/>
      <c r="BJ138" s="1124"/>
      <c r="BK138" s="1124"/>
      <c r="BL138" s="1125"/>
      <c r="BM138" s="1122"/>
      <c r="BN138" s="1123"/>
      <c r="BO138" s="1124"/>
      <c r="BP138" s="1124"/>
      <c r="BQ138" s="1125"/>
      <c r="BR138" s="1122"/>
      <c r="BS138" s="1123"/>
      <c r="BT138" s="1124"/>
      <c r="BU138" s="1124"/>
      <c r="BV138" s="1125"/>
      <c r="BW138" s="1122"/>
      <c r="BX138" s="1123">
        <f>BX72/BX44</f>
        <v>118.91259175953148</v>
      </c>
      <c r="BY138" s="1124">
        <f>BY72/BY44</f>
        <v>119.0577160220524</v>
      </c>
      <c r="BZ138" s="1124">
        <f>BZ72/BZ44</f>
        <v>123.28316253574836</v>
      </c>
      <c r="CA138" s="1125">
        <f>CA72/CA44</f>
        <v>126.5185200356358</v>
      </c>
      <c r="CB138" s="1122">
        <f>CB72/CB44</f>
        <v>121.90298986082784</v>
      </c>
      <c r="CC138" s="1123">
        <f>CC72/CC44</f>
        <v>124.70854522969061</v>
      </c>
      <c r="CD138" s="1124">
        <f>CD72/CD44</f>
        <v>131.65111672357068</v>
      </c>
      <c r="CE138" s="1124">
        <f>CE72/CE44</f>
        <v>135.07492765484162</v>
      </c>
      <c r="CF138" s="1124">
        <f>CF72/CF44</f>
        <v>141.56470888925952</v>
      </c>
      <c r="CG138" s="1126">
        <f>CG72/CG44</f>
        <v>133.00183988700024</v>
      </c>
      <c r="CH138" s="1124">
        <f>CH72/CH44</f>
        <v>137.8572305753969</v>
      </c>
      <c r="CI138" s="1124">
        <f>CI72/CI44</f>
        <v>143.7357417331732</v>
      </c>
      <c r="CJ138" s="1124">
        <f>CJ72/CJ44</f>
        <v>148.31655522876341</v>
      </c>
      <c r="CK138" s="1124">
        <f>CK72/CK44</f>
        <v>157.96260449645183</v>
      </c>
      <c r="CL138" s="1126">
        <f>CL72/CL44</f>
        <v>146.8075578091437</v>
      </c>
      <c r="CM138" s="1124">
        <f>CM72/CM44</f>
        <v>151.75933928664432</v>
      </c>
      <c r="CN138" s="1124">
        <f t="shared" si="319"/>
        <v>172.72781759747525</v>
      </c>
      <c r="CO138" s="1124">
        <f t="shared" si="319"/>
        <v>182.76994355399557</v>
      </c>
      <c r="CP138" s="1124">
        <f t="shared" si="319"/>
        <v>184.98072921325931</v>
      </c>
      <c r="CQ138" s="1126">
        <f>CQ72/CQ44</f>
        <v>170.87820360783016</v>
      </c>
      <c r="CR138" s="1124">
        <f>CR72/CR44</f>
        <v>172.39108275411888</v>
      </c>
      <c r="CS138" s="1124">
        <f>CS72/CS44</f>
        <v>185.79702317712852</v>
      </c>
      <c r="CT138" s="1124">
        <f>CT72/CT44</f>
        <v>207.26298487836942</v>
      </c>
      <c r="CU138" s="1124">
        <f>CU72/CU44</f>
        <v>219.05677585147109</v>
      </c>
      <c r="CV138" s="1126">
        <f>CV72/CV44</f>
        <v>195.10134484688029</v>
      </c>
      <c r="CW138" s="1124">
        <f>CW72/CW44</f>
        <v>187.96178971026538</v>
      </c>
      <c r="CX138" s="1124">
        <f>CX72/CX44</f>
        <v>216.13843746402668</v>
      </c>
      <c r="CY138" s="1124">
        <f>CY72/CY44</f>
        <v>226.76550532404943</v>
      </c>
      <c r="CZ138" s="1124">
        <f>CU138*(1+CZ134)</f>
        <v>251.67472118347359</v>
      </c>
      <c r="DA138" s="1126">
        <f>DA72/DA44</f>
        <v>216.80959409514065</v>
      </c>
      <c r="DB138" s="1124">
        <f>CW138*(1+DB134)</f>
        <v>229.40909899371695</v>
      </c>
      <c r="DC138" s="1124">
        <f>CX138*(1+DC134)</f>
        <v>245.63772942584558</v>
      </c>
      <c r="DD138" s="1124">
        <f>CY138*(1+DD134)</f>
        <v>238.40902851190248</v>
      </c>
      <c r="DE138" s="1124">
        <f>CZ138*(1+DE134)</f>
        <v>251.8451885472862</v>
      </c>
      <c r="DF138" s="1126">
        <f>DF72/DF44</f>
        <v>242.83715744850903</v>
      </c>
      <c r="DG138" s="1124">
        <f>DB138*(1+DG134)</f>
        <v>246.33068102882748</v>
      </c>
      <c r="DH138" s="1124">
        <f>DC138*(1+DH134)</f>
        <v>250.38582110451895</v>
      </c>
      <c r="DI138" s="1124">
        <f>DD138*(1+DI134)</f>
        <v>245.36926842396838</v>
      </c>
      <c r="DJ138" s="1124">
        <f>DE138*(1+DJ134)</f>
        <v>272.1438429179106</v>
      </c>
      <c r="DK138" s="1393">
        <f>DK72/DK44</f>
        <v>251.37324298034306</v>
      </c>
      <c r="DL138" s="1124">
        <f>DG138*(1+DL134)</f>
        <v>253.76500320048788</v>
      </c>
      <c r="DM138" s="1124">
        <f>DH138*(1+DM134)</f>
        <v>265.30685954202511</v>
      </c>
      <c r="DN138" s="1124">
        <f>DI138*(1+DN134)</f>
        <v>267.94926246106883</v>
      </c>
      <c r="DO138" s="1124">
        <f>DJ138*(1+DO134)</f>
        <v>303.4891149969427</v>
      </c>
      <c r="DP138" s="1393">
        <f>DP72/DP44</f>
        <v>259.878901591258</v>
      </c>
      <c r="DQ138" s="1124">
        <f>DL138*(1+DQ134)</f>
        <v>284.16196962468314</v>
      </c>
      <c r="DR138" s="1124">
        <f>DM138*(1+DR134)</f>
        <v>283.87833970996689</v>
      </c>
      <c r="DS138" s="1124">
        <f>DN138*(1+DS134)</f>
        <v>286.70571083334369</v>
      </c>
      <c r="DT138" s="1124">
        <f>DO138*(1+DT134)</f>
        <v>324.73335304672872</v>
      </c>
      <c r="DU138" s="1393">
        <f>DU72/DU44</f>
        <v>289.28681231092253</v>
      </c>
      <c r="DV138" s="1124">
        <f>DQ138*(1+DV134)</f>
        <v>306.89492719465778</v>
      </c>
      <c r="DW138" s="1124">
        <f>DR138*(1+DW134)</f>
        <v>306.58860688676424</v>
      </c>
      <c r="DX138" s="1124">
        <f>DS138*(1+DX134)</f>
        <v>309.64216770001121</v>
      </c>
      <c r="DY138" s="1124">
        <f>DT138*(1+DY134)</f>
        <v>350.71202129046702</v>
      </c>
      <c r="DZ138" s="1393">
        <f ca="1">DZ72/DZ44</f>
        <v>318.15500276421875</v>
      </c>
      <c r="EA138" s="1124">
        <f>DV138*(1+EA134)</f>
        <v>331.44652137023041</v>
      </c>
      <c r="EB138" s="1124">
        <f>DW138*(1+EB134)</f>
        <v>331.11569543770543</v>
      </c>
      <c r="EC138" s="1124">
        <f>DX138*(1+EC134)</f>
        <v>334.41354111601214</v>
      </c>
      <c r="ED138" s="1124">
        <f>DY138*(1+ED134)</f>
        <v>378.76898299370441</v>
      </c>
      <c r="EE138" s="1393">
        <f ca="1">EE72/EE44</f>
        <v>343.28329552383758</v>
      </c>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row>
    <row r="139" spans="2:238" s="236" customFormat="1" ht="12.75" customHeight="1">
      <c r="B139" s="566" t="s">
        <v>392</v>
      </c>
      <c r="C139" s="229"/>
      <c r="D139" s="229"/>
      <c r="E139" s="230"/>
      <c r="F139" s="230"/>
      <c r="G139" s="230"/>
      <c r="H139" s="230"/>
      <c r="I139" s="230"/>
      <c r="J139" s="230"/>
      <c r="K139" s="239"/>
      <c r="L139" s="237"/>
      <c r="M139" s="237"/>
      <c r="N139" s="240"/>
      <c r="O139" s="230"/>
      <c r="P139" s="239"/>
      <c r="Q139" s="237"/>
      <c r="R139" s="237"/>
      <c r="S139" s="240"/>
      <c r="T139" s="230"/>
      <c r="U139" s="239"/>
      <c r="V139" s="237"/>
      <c r="W139" s="237"/>
      <c r="X139" s="240"/>
      <c r="Y139" s="230"/>
      <c r="Z139" s="239"/>
      <c r="AA139" s="237"/>
      <c r="AB139" s="237"/>
      <c r="AC139" s="240"/>
      <c r="AD139" s="230"/>
      <c r="AE139" s="239"/>
      <c r="AF139" s="237"/>
      <c r="AG139" s="237"/>
      <c r="AH139" s="240"/>
      <c r="AI139" s="230"/>
      <c r="AJ139" s="239"/>
      <c r="AK139" s="237"/>
      <c r="AL139" s="237"/>
      <c r="AM139" s="240"/>
      <c r="AN139" s="230"/>
      <c r="AO139" s="239"/>
      <c r="AP139" s="237"/>
      <c r="AQ139" s="237"/>
      <c r="AR139" s="240"/>
      <c r="AS139" s="230"/>
      <c r="AT139" s="239"/>
      <c r="AU139" s="237"/>
      <c r="AV139" s="237"/>
      <c r="AW139" s="240"/>
      <c r="AX139" s="230"/>
      <c r="AY139" s="239"/>
      <c r="AZ139" s="237"/>
      <c r="BA139" s="237"/>
      <c r="BB139" s="240"/>
      <c r="BC139" s="230"/>
      <c r="BD139" s="239"/>
      <c r="BE139" s="237"/>
      <c r="BF139" s="237"/>
      <c r="BG139" s="240"/>
      <c r="BH139" s="230"/>
      <c r="BI139" s="239"/>
      <c r="BJ139" s="237"/>
      <c r="BK139" s="237"/>
      <c r="BL139" s="240"/>
      <c r="BM139" s="230"/>
      <c r="BN139" s="239"/>
      <c r="BO139" s="237"/>
      <c r="BP139" s="237"/>
      <c r="BQ139" s="240"/>
      <c r="BR139" s="230"/>
      <c r="BS139" s="239"/>
      <c r="BT139" s="237"/>
      <c r="BU139" s="237"/>
      <c r="BV139" s="240"/>
      <c r="BW139" s="230"/>
      <c r="BX139" s="239">
        <f t="shared" ref="BX139:DF139" si="320">BX73/BX42</f>
        <v>55.732029363050067</v>
      </c>
      <c r="BY139" s="237">
        <f t="shared" si="320"/>
        <v>54.627176534792142</v>
      </c>
      <c r="BZ139" s="237">
        <f t="shared" si="320"/>
        <v>55.504481410867513</v>
      </c>
      <c r="CA139" s="240">
        <f t="shared" si="320"/>
        <v>55.949887490655115</v>
      </c>
      <c r="CB139" s="230">
        <f t="shared" si="320"/>
        <v>55.446195644773027</v>
      </c>
      <c r="CC139" s="239">
        <f t="shared" si="320"/>
        <v>54.667312297529051</v>
      </c>
      <c r="CD139" s="237">
        <f t="shared" si="320"/>
        <v>55.08011156587623</v>
      </c>
      <c r="CE139" s="237">
        <f t="shared" si="320"/>
        <v>55.341255249771756</v>
      </c>
      <c r="CF139" s="237">
        <f t="shared" si="320"/>
        <v>56.030683146764517</v>
      </c>
      <c r="CG139" s="812">
        <f t="shared" si="320"/>
        <v>55.278598350642234</v>
      </c>
      <c r="CH139" s="237">
        <f t="shared" si="320"/>
        <v>54.568594410753988</v>
      </c>
      <c r="CI139" s="237">
        <f t="shared" si="320"/>
        <v>55.002792658492822</v>
      </c>
      <c r="CJ139" s="237">
        <f t="shared" si="320"/>
        <v>55.877555362419606</v>
      </c>
      <c r="CK139" s="237">
        <f t="shared" si="320"/>
        <v>57.176950288141342</v>
      </c>
      <c r="CL139" s="812">
        <f t="shared" si="320"/>
        <v>55.661888057165264</v>
      </c>
      <c r="CM139" s="237">
        <f t="shared" si="320"/>
        <v>56.285916143087789</v>
      </c>
      <c r="CN139" s="237">
        <f t="shared" si="320"/>
        <v>56.445912759354727</v>
      </c>
      <c r="CO139" s="237">
        <f t="shared" si="320"/>
        <v>57.697068202785061</v>
      </c>
      <c r="CP139" s="237">
        <f t="shared" si="320"/>
        <v>56.796145842651867</v>
      </c>
      <c r="CQ139" s="812">
        <f t="shared" si="320"/>
        <v>56.79457092581837</v>
      </c>
      <c r="CR139" s="237">
        <f t="shared" si="320"/>
        <v>53.273193302561417</v>
      </c>
      <c r="CS139" s="237">
        <f t="shared" si="320"/>
        <v>53.973199287768793</v>
      </c>
      <c r="CT139" s="237">
        <f t="shared" si="320"/>
        <v>55.386944444444438</v>
      </c>
      <c r="CU139" s="237">
        <f t="shared" si="320"/>
        <v>57.38009511889863</v>
      </c>
      <c r="CV139" s="812">
        <f t="shared" si="320"/>
        <v>55.008590529808849</v>
      </c>
      <c r="CW139" s="237">
        <f t="shared" si="320"/>
        <v>55.848887203791477</v>
      </c>
      <c r="CX139" s="237">
        <f>CX73/CX42</f>
        <v>56.705034368884547</v>
      </c>
      <c r="CY139" s="237">
        <f t="shared" si="320"/>
        <v>56.457949841199806</v>
      </c>
      <c r="CZ139" s="237">
        <f t="shared" si="320"/>
        <v>58.811625037336981</v>
      </c>
      <c r="DA139" s="812">
        <f t="shared" si="320"/>
        <v>56.95002721666549</v>
      </c>
      <c r="DB139" s="237">
        <f>DB73/DB42</f>
        <v>57.921683416541526</v>
      </c>
      <c r="DC139" s="237">
        <f>DC73/DC42</f>
        <v>59.533413751668888</v>
      </c>
      <c r="DD139" s="237">
        <f t="shared" si="320"/>
        <v>60.065833857705634</v>
      </c>
      <c r="DE139" s="237">
        <f>DE73/DE42</f>
        <v>61.959765881282529</v>
      </c>
      <c r="DF139" s="812">
        <f t="shared" si="320"/>
        <v>59.871474785395094</v>
      </c>
      <c r="DG139" s="237">
        <f>DG73/DG42</f>
        <v>61.379259086889313</v>
      </c>
      <c r="DH139" s="237">
        <f>DH73/DH42</f>
        <v>60.159811284046697</v>
      </c>
      <c r="DI139" s="237">
        <f>DI73/DI42</f>
        <v>60.596098149637982</v>
      </c>
      <c r="DJ139" s="237">
        <f>DJ73/DJ42</f>
        <v>60.020529745337257</v>
      </c>
      <c r="DK139" s="1391">
        <f t="shared" ref="DK139:DP139" si="321">DK73/DK42</f>
        <v>60.541176695733498</v>
      </c>
      <c r="DL139" s="237">
        <f>DL73/DL42</f>
        <v>59.442213438735187</v>
      </c>
      <c r="DM139" s="237">
        <f>DM73/DM42</f>
        <v>57.921816019442581</v>
      </c>
      <c r="DN139" s="237">
        <f>DN73/DN42</f>
        <v>59.357788727136992</v>
      </c>
      <c r="DO139" s="237">
        <f>DO73/DO42</f>
        <v>60.597691794289013</v>
      </c>
      <c r="DP139" s="1391">
        <f t="shared" si="321"/>
        <v>59.326098645148868</v>
      </c>
      <c r="DQ139" s="237">
        <f>DQ73/DQ42</f>
        <v>59.253950223075563</v>
      </c>
      <c r="DR139" s="237">
        <f t="shared" ref="DR139:DZ139" si="322">DR73/DR42</f>
        <v>58.185642258178333</v>
      </c>
      <c r="DS139" s="237">
        <f t="shared" si="322"/>
        <v>60.21779865123996</v>
      </c>
      <c r="DT139" s="237">
        <f t="shared" si="322"/>
        <v>64.892987776920151</v>
      </c>
      <c r="DU139" s="1391">
        <f t="shared" si="322"/>
        <v>60.627518456748504</v>
      </c>
      <c r="DV139" s="237">
        <f t="shared" si="322"/>
        <v>61.961198680592425</v>
      </c>
      <c r="DW139" s="237">
        <f t="shared" ca="1" si="322"/>
        <v>57.932663540081386</v>
      </c>
      <c r="DX139" s="237">
        <f t="shared" ca="1" si="322"/>
        <v>59.841918800491818</v>
      </c>
      <c r="DY139" s="237">
        <f t="shared" si="322"/>
        <v>64.473679425321919</v>
      </c>
      <c r="DZ139" s="1391">
        <f t="shared" ca="1" si="322"/>
        <v>61.001799395387835</v>
      </c>
      <c r="EA139" s="237">
        <f t="shared" ref="EA139:EE139" si="323">EA73/EA42</f>
        <v>61.860444978456975</v>
      </c>
      <c r="EB139" s="237">
        <f t="shared" ca="1" si="323"/>
        <v>57.797781468747949</v>
      </c>
      <c r="EC139" s="237">
        <f t="shared" ca="1" si="323"/>
        <v>59.624898683893328</v>
      </c>
      <c r="ED139" s="237">
        <f t="shared" si="323"/>
        <v>64.178249663932874</v>
      </c>
      <c r="EE139" s="1391">
        <f t="shared" ca="1" si="323"/>
        <v>60.837329617795476</v>
      </c>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row>
    <row r="140" spans="2:238" s="150" customFormat="1" ht="12.75" customHeight="1">
      <c r="B140" s="558"/>
      <c r="C140" s="130"/>
      <c r="D140" s="130"/>
      <c r="E140" s="131"/>
      <c r="F140" s="131"/>
      <c r="G140" s="131"/>
      <c r="H140" s="131"/>
      <c r="I140" s="131"/>
      <c r="J140" s="131"/>
      <c r="K140" s="126"/>
      <c r="L140" s="127"/>
      <c r="M140" s="127"/>
      <c r="N140" s="132"/>
      <c r="O140" s="131"/>
      <c r="P140" s="126"/>
      <c r="Q140" s="127"/>
      <c r="R140" s="127"/>
      <c r="S140" s="132"/>
      <c r="T140" s="131"/>
      <c r="U140" s="126"/>
      <c r="V140" s="127"/>
      <c r="W140" s="127"/>
      <c r="X140" s="132"/>
      <c r="Y140" s="131"/>
      <c r="Z140" s="126"/>
      <c r="AA140" s="127"/>
      <c r="AB140" s="127"/>
      <c r="AC140" s="132"/>
      <c r="AD140" s="131"/>
      <c r="AE140" s="126"/>
      <c r="AF140" s="127"/>
      <c r="AG140" s="127"/>
      <c r="AH140" s="132"/>
      <c r="AI140" s="131"/>
      <c r="AJ140" s="126"/>
      <c r="AK140" s="127"/>
      <c r="AL140" s="127"/>
      <c r="AM140" s="132"/>
      <c r="AN140" s="131"/>
      <c r="AO140" s="126"/>
      <c r="AP140" s="127"/>
      <c r="AQ140" s="127"/>
      <c r="AR140" s="132"/>
      <c r="AS140" s="131"/>
      <c r="AT140" s="126"/>
      <c r="AU140" s="127"/>
      <c r="AV140" s="127"/>
      <c r="AW140" s="132"/>
      <c r="AX140" s="131"/>
      <c r="AY140" s="126"/>
      <c r="AZ140" s="127"/>
      <c r="BA140" s="127"/>
      <c r="BB140" s="132"/>
      <c r="BC140" s="131"/>
      <c r="BD140" s="126"/>
      <c r="BE140" s="127"/>
      <c r="BF140" s="127"/>
      <c r="BG140" s="132"/>
      <c r="BH140" s="131"/>
      <c r="BI140" s="126"/>
      <c r="BJ140" s="127"/>
      <c r="BK140" s="127"/>
      <c r="BL140" s="132"/>
      <c r="BM140" s="131"/>
      <c r="BN140" s="126"/>
      <c r="BO140" s="127"/>
      <c r="BP140" s="127"/>
      <c r="BQ140" s="132"/>
      <c r="BR140" s="131"/>
      <c r="BS140" s="126"/>
      <c r="BT140" s="127"/>
      <c r="BU140" s="127"/>
      <c r="BV140" s="132"/>
      <c r="BW140" s="131"/>
      <c r="BX140" s="126"/>
      <c r="BY140" s="127"/>
      <c r="BZ140" s="127"/>
      <c r="CA140" s="132"/>
      <c r="CB140" s="131"/>
      <c r="CC140" s="126"/>
      <c r="CD140" s="127"/>
      <c r="CE140" s="127"/>
      <c r="CF140" s="127"/>
      <c r="CG140" s="613"/>
      <c r="CH140" s="127"/>
      <c r="CI140" s="127"/>
      <c r="CJ140" s="127"/>
      <c r="CK140" s="129"/>
      <c r="CL140" s="613"/>
      <c r="CM140" s="129"/>
      <c r="CN140" s="129"/>
      <c r="CO140" s="129"/>
      <c r="CP140" s="129"/>
      <c r="CQ140" s="831"/>
      <c r="CR140" s="129"/>
      <c r="CS140" s="129"/>
      <c r="CT140" s="129"/>
      <c r="CU140" s="129"/>
      <c r="CV140" s="831"/>
      <c r="CW140" s="129"/>
      <c r="CX140" s="129"/>
      <c r="CY140" s="129"/>
      <c r="CZ140" s="129"/>
      <c r="DA140" s="831"/>
      <c r="DB140" s="129"/>
      <c r="DC140" s="129"/>
      <c r="DD140" s="129"/>
      <c r="DE140" s="129"/>
      <c r="DF140" s="831"/>
      <c r="DG140" s="129"/>
      <c r="DH140" s="129"/>
      <c r="DI140" s="129"/>
      <c r="DJ140" s="129"/>
      <c r="DK140" s="1371"/>
      <c r="DL140" s="129"/>
      <c r="DM140" s="129"/>
      <c r="DN140" s="129"/>
      <c r="DO140" s="129"/>
      <c r="DP140" s="1371"/>
      <c r="DQ140" s="129"/>
      <c r="DR140" s="129"/>
      <c r="DS140" s="129"/>
      <c r="DT140" s="129"/>
      <c r="DU140" s="1371"/>
      <c r="DV140" s="129"/>
      <c r="DW140" s="129"/>
      <c r="DX140" s="129"/>
      <c r="DY140" s="129"/>
      <c r="DZ140" s="1371"/>
      <c r="EA140" s="129"/>
      <c r="EB140" s="129"/>
      <c r="EC140" s="129"/>
      <c r="ED140" s="129"/>
      <c r="EE140" s="1371"/>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row>
    <row r="141" spans="2:238" s="150" customFormat="1" ht="12.75" customHeight="1">
      <c r="B141" s="555" t="s">
        <v>341</v>
      </c>
      <c r="C141" s="130"/>
      <c r="D141" s="130"/>
      <c r="E141" s="131"/>
      <c r="F141" s="131"/>
      <c r="G141" s="131"/>
      <c r="H141" s="131"/>
      <c r="I141" s="131"/>
      <c r="J141" s="131"/>
      <c r="K141" s="126"/>
      <c r="L141" s="127"/>
      <c r="M141" s="127"/>
      <c r="N141" s="132"/>
      <c r="O141" s="131"/>
      <c r="P141" s="126"/>
      <c r="Q141" s="127"/>
      <c r="R141" s="127"/>
      <c r="S141" s="132"/>
      <c r="T141" s="131"/>
      <c r="U141" s="126"/>
      <c r="V141" s="127"/>
      <c r="W141" s="127"/>
      <c r="X141" s="132"/>
      <c r="Y141" s="131"/>
      <c r="Z141" s="126"/>
      <c r="AA141" s="127"/>
      <c r="AB141" s="127"/>
      <c r="AC141" s="132"/>
      <c r="AD141" s="131"/>
      <c r="AE141" s="126"/>
      <c r="AF141" s="127"/>
      <c r="AG141" s="127"/>
      <c r="AH141" s="132"/>
      <c r="AI141" s="131"/>
      <c r="AJ141" s="126"/>
      <c r="AK141" s="127"/>
      <c r="AL141" s="127"/>
      <c r="AM141" s="132"/>
      <c r="AN141" s="131"/>
      <c r="AO141" s="126"/>
      <c r="AP141" s="127"/>
      <c r="AQ141" s="127"/>
      <c r="AR141" s="132"/>
      <c r="AS141" s="131"/>
      <c r="AT141" s="126"/>
      <c r="AU141" s="127"/>
      <c r="AV141" s="127"/>
      <c r="AW141" s="132"/>
      <c r="AX141" s="131"/>
      <c r="AY141" s="126"/>
      <c r="AZ141" s="127"/>
      <c r="BA141" s="127"/>
      <c r="BB141" s="132"/>
      <c r="BC141" s="131"/>
      <c r="BD141" s="126"/>
      <c r="BE141" s="127"/>
      <c r="BF141" s="127"/>
      <c r="BG141" s="132"/>
      <c r="BH141" s="131"/>
      <c r="BI141" s="126"/>
      <c r="BJ141" s="127"/>
      <c r="BK141" s="127"/>
      <c r="BL141" s="132"/>
      <c r="BM141" s="131"/>
      <c r="BN141" s="126"/>
      <c r="BO141" s="127"/>
      <c r="BP141" s="127"/>
      <c r="BQ141" s="132"/>
      <c r="BR141" s="131"/>
      <c r="BS141" s="126"/>
      <c r="BT141" s="127"/>
      <c r="BU141" s="127"/>
      <c r="BV141" s="132"/>
      <c r="BW141" s="131"/>
      <c r="BX141" s="126"/>
      <c r="BY141" s="127"/>
      <c r="BZ141" s="127"/>
      <c r="CA141" s="132"/>
      <c r="CB141" s="131"/>
      <c r="CC141" s="126"/>
      <c r="CD141" s="127"/>
      <c r="CE141" s="127"/>
      <c r="CF141" s="127"/>
      <c r="CG141" s="613"/>
      <c r="CH141" s="127"/>
      <c r="CI141" s="127"/>
      <c r="CJ141" s="127"/>
      <c r="CK141" s="129"/>
      <c r="CL141" s="613"/>
      <c r="CM141" s="129"/>
      <c r="CN141" s="129"/>
      <c r="CO141" s="129"/>
      <c r="CP141" s="129"/>
      <c r="CQ141" s="831"/>
      <c r="CR141" s="129"/>
      <c r="CS141" s="129"/>
      <c r="CT141" s="129"/>
      <c r="CU141" s="129"/>
      <c r="CV141" s="831"/>
      <c r="CW141" s="129"/>
      <c r="CX141" s="129"/>
      <c r="CY141" s="129"/>
      <c r="CZ141" s="129"/>
      <c r="DA141" s="831"/>
      <c r="DB141" s="129"/>
      <c r="DC141" s="129"/>
      <c r="DD141" s="129"/>
      <c r="DE141" s="129"/>
      <c r="DF141" s="831"/>
      <c r="DG141" s="129"/>
      <c r="DH141" s="129"/>
      <c r="DI141" s="129"/>
      <c r="DJ141" s="129"/>
      <c r="DK141" s="1371"/>
      <c r="DL141" s="129"/>
      <c r="DM141" s="129"/>
      <c r="DN141" s="129"/>
      <c r="DO141" s="129"/>
      <c r="DP141" s="1371"/>
      <c r="DQ141" s="129"/>
      <c r="DR141" s="129"/>
      <c r="DS141" s="129"/>
      <c r="DT141" s="129"/>
      <c r="DU141" s="1371"/>
      <c r="DV141" s="129"/>
      <c r="DW141" s="129"/>
      <c r="DX141" s="129"/>
      <c r="DY141" s="129"/>
      <c r="DZ141" s="1371"/>
      <c r="EA141" s="129"/>
      <c r="EB141" s="129"/>
      <c r="EC141" s="129"/>
      <c r="ED141" s="129"/>
      <c r="EE141" s="137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row>
    <row r="142" spans="2:238" s="236" customFormat="1" ht="12.75" customHeight="1">
      <c r="B142" s="565" t="s">
        <v>97</v>
      </c>
      <c r="C142" s="229"/>
      <c r="D142" s="229"/>
      <c r="E142" s="230"/>
      <c r="F142" s="230"/>
      <c r="G142" s="230"/>
      <c r="H142" s="230"/>
      <c r="I142" s="230"/>
      <c r="J142" s="230"/>
      <c r="K142" s="239"/>
      <c r="L142" s="237"/>
      <c r="M142" s="237"/>
      <c r="N142" s="240"/>
      <c r="O142" s="230"/>
      <c r="P142" s="239"/>
      <c r="Q142" s="237"/>
      <c r="R142" s="237"/>
      <c r="S142" s="240"/>
      <c r="T142" s="230"/>
      <c r="U142" s="239"/>
      <c r="V142" s="237"/>
      <c r="W142" s="237"/>
      <c r="X142" s="240"/>
      <c r="Y142" s="230"/>
      <c r="Z142" s="239"/>
      <c r="AA142" s="237"/>
      <c r="AB142" s="237"/>
      <c r="AC142" s="240"/>
      <c r="AD142" s="230"/>
      <c r="AE142" s="239"/>
      <c r="AF142" s="237"/>
      <c r="AG142" s="237"/>
      <c r="AH142" s="240"/>
      <c r="AI142" s="230"/>
      <c r="AJ142" s="239"/>
      <c r="AK142" s="237"/>
      <c r="AL142" s="237"/>
      <c r="AM142" s="240"/>
      <c r="AN142" s="230"/>
      <c r="AO142" s="239"/>
      <c r="AP142" s="237"/>
      <c r="AQ142" s="237"/>
      <c r="AR142" s="240"/>
      <c r="AS142" s="230"/>
      <c r="AT142" s="239"/>
      <c r="AU142" s="237"/>
      <c r="AV142" s="237"/>
      <c r="AW142" s="240"/>
      <c r="AX142" s="230"/>
      <c r="AY142" s="239"/>
      <c r="AZ142" s="237"/>
      <c r="BA142" s="237"/>
      <c r="BB142" s="240"/>
      <c r="BC142" s="230"/>
      <c r="BD142" s="239"/>
      <c r="BE142" s="237"/>
      <c r="BF142" s="237"/>
      <c r="BG142" s="240"/>
      <c r="BH142" s="230"/>
      <c r="BI142" s="239"/>
      <c r="BJ142" s="237"/>
      <c r="BK142" s="237"/>
      <c r="BL142" s="240"/>
      <c r="BM142" s="230"/>
      <c r="BN142" s="239"/>
      <c r="BO142" s="237"/>
      <c r="BP142" s="237"/>
      <c r="BQ142" s="240"/>
      <c r="BR142" s="230"/>
      <c r="BS142" s="239">
        <f t="shared" ref="BS142:CZ142" si="324">BS128-BS147</f>
        <v>9.5</v>
      </c>
      <c r="BT142" s="237">
        <f t="shared" si="324"/>
        <v>9.4499999999999993</v>
      </c>
      <c r="BU142" s="237">
        <f t="shared" si="324"/>
        <v>9.3999999999999986</v>
      </c>
      <c r="BV142" s="240">
        <f t="shared" si="324"/>
        <v>9.3499999999999979</v>
      </c>
      <c r="BW142" s="230">
        <f t="shared" si="324"/>
        <v>9.4240843807438672</v>
      </c>
      <c r="BX142" s="239">
        <f t="shared" si="324"/>
        <v>9.5</v>
      </c>
      <c r="BY142" s="237">
        <f t="shared" si="324"/>
        <v>9.2850000000000001</v>
      </c>
      <c r="BZ142" s="237">
        <f t="shared" si="324"/>
        <v>9.4549999999999947</v>
      </c>
      <c r="CA142" s="240">
        <f t="shared" si="324"/>
        <v>9.1025000000000027</v>
      </c>
      <c r="CB142" s="230">
        <f t="shared" si="324"/>
        <v>9.3332090922165456</v>
      </c>
      <c r="CC142" s="239">
        <f t="shared" si="324"/>
        <v>9.3300000000000018</v>
      </c>
      <c r="CD142" s="237">
        <f t="shared" si="324"/>
        <v>9.6099174999999999</v>
      </c>
      <c r="CE142" s="237">
        <f t="shared" si="324"/>
        <v>9.6127999999999947</v>
      </c>
      <c r="CF142" s="237">
        <f t="shared" si="324"/>
        <v>8.8537125000000039</v>
      </c>
      <c r="CG142" s="812">
        <f t="shared" si="324"/>
        <v>9.3503712935534011</v>
      </c>
      <c r="CH142" s="237">
        <f t="shared" si="324"/>
        <v>8.7895750000000028</v>
      </c>
      <c r="CI142" s="237">
        <f t="shared" si="324"/>
        <v>9.2287181187499989</v>
      </c>
      <c r="CJ142" s="237">
        <f t="shared" si="324"/>
        <v>8.9549279999999953</v>
      </c>
      <c r="CK142" s="237">
        <f t="shared" si="324"/>
        <v>8.2562681875000052</v>
      </c>
      <c r="CL142" s="812">
        <f t="shared" si="324"/>
        <v>8.808508116379457</v>
      </c>
      <c r="CM142" s="237">
        <f t="shared" si="324"/>
        <v>8.9429622650000038</v>
      </c>
      <c r="CN142" s="237">
        <f t="shared" si="324"/>
        <v>8.9001117093437507</v>
      </c>
      <c r="CO142" s="237">
        <f t="shared" si="324"/>
        <v>8.5295322079999956</v>
      </c>
      <c r="CP142" s="237">
        <f t="shared" si="324"/>
        <v>8.0481275170312543</v>
      </c>
      <c r="CQ142" s="812">
        <f t="shared" si="324"/>
        <v>8.6097061925806422</v>
      </c>
      <c r="CR142" s="237">
        <f t="shared" si="324"/>
        <v>8.3515326423500031</v>
      </c>
      <c r="CS142" s="237">
        <f t="shared" si="324"/>
        <v>8.4081105922503152</v>
      </c>
      <c r="CT142" s="237">
        <f t="shared" si="324"/>
        <v>8.2989298690399984</v>
      </c>
      <c r="CU142" s="237">
        <f t="shared" si="324"/>
        <v>7.7146181546164136</v>
      </c>
      <c r="CV142" s="812">
        <f t="shared" si="324"/>
        <v>8.1926306474178396</v>
      </c>
      <c r="CW142" s="237">
        <f t="shared" si="324"/>
        <v>8.3515326423500031</v>
      </c>
      <c r="CX142" s="237">
        <f t="shared" ref="CX142:CY144" si="325">CX128-CX147</f>
        <v>8.4081105922503152</v>
      </c>
      <c r="CY142" s="237">
        <f t="shared" si="325"/>
        <v>8.2989298690399984</v>
      </c>
      <c r="CZ142" s="237">
        <f t="shared" si="324"/>
        <v>7.7146181546164136</v>
      </c>
      <c r="DA142" s="840">
        <f>DA137-DA147</f>
        <v>8.1927691976379542</v>
      </c>
      <c r="DB142" s="237">
        <f t="shared" ref="DB142:DC144" si="326">DB128-DB147</f>
        <v>8.3515326423500031</v>
      </c>
      <c r="DC142" s="237">
        <f t="shared" si="326"/>
        <v>8.4081105922503152</v>
      </c>
      <c r="DD142" s="237">
        <f t="shared" ref="DD142:DE144" si="327">DD128-DD147</f>
        <v>8.2989298690399984</v>
      </c>
      <c r="DE142" s="237">
        <f t="shared" si="327"/>
        <v>7.7146181546164136</v>
      </c>
      <c r="DF142" s="840">
        <f>DF137-DF147</f>
        <v>8.1935040616092465</v>
      </c>
      <c r="DG142" s="237">
        <f t="shared" ref="DG142:DH142" si="328">DG128-DG147</f>
        <v>8.999563295197003</v>
      </c>
      <c r="DH142" s="237">
        <f t="shared" si="328"/>
        <v>7.9750228040953228</v>
      </c>
      <c r="DI142" s="237">
        <f t="shared" ref="DI142:DJ142" si="329">DI128-DI147</f>
        <v>9.5239298690399998</v>
      </c>
      <c r="DJ142" s="237">
        <f t="shared" si="329"/>
        <v>9.1074719730702505</v>
      </c>
      <c r="DK142" s="1391">
        <f>DK137-DK147</f>
        <v>8.9073954535364521</v>
      </c>
      <c r="DL142" s="237">
        <f t="shared" ref="DL142:DM142" si="330">DL128-DL147</f>
        <v>9.3998742128170782</v>
      </c>
      <c r="DM142" s="237">
        <f t="shared" si="330"/>
        <v>5.98091598399294</v>
      </c>
      <c r="DN142" s="237">
        <f t="shared" ref="DN142:DO142" si="331">DN128-DN147</f>
        <v>8.6427066223139981</v>
      </c>
      <c r="DO142" s="237">
        <f t="shared" si="331"/>
        <v>8.2366601737434912</v>
      </c>
      <c r="DP142" s="1391">
        <f>DP137-DP147</f>
        <v>8.048025288710944</v>
      </c>
      <c r="DQ142" s="237">
        <f t="shared" ref="DQ142" si="332">DQ128-DQ147</f>
        <v>8.5395773574966487</v>
      </c>
      <c r="DR142" s="237">
        <f t="shared" ref="DR142:DT144" si="333">DR128-DR147</f>
        <v>4.6468704593931172</v>
      </c>
      <c r="DS142" s="237">
        <f t="shared" si="333"/>
        <v>7.0035274898677198</v>
      </c>
      <c r="DT142" s="237">
        <f t="shared" si="333"/>
        <v>6.6056019702686228</v>
      </c>
      <c r="DU142" s="1391">
        <f ca="1">DU137-DU147</f>
        <v>6.7001664470622355</v>
      </c>
      <c r="DV142" s="237">
        <f t="shared" ref="DV142:DY142" si="334">DV128-DV147</f>
        <v>7.665230470709167</v>
      </c>
      <c r="DW142" s="237">
        <f t="shared" si="334"/>
        <v>3.9301519520961516</v>
      </c>
      <c r="DX142" s="237">
        <f t="shared" si="334"/>
        <v>6.1815821024183801</v>
      </c>
      <c r="DY142" s="237">
        <f t="shared" si="334"/>
        <v>5.7856462104172781</v>
      </c>
      <c r="DZ142" s="1391">
        <f ca="1">DZ137-DZ147</f>
        <v>5.8569019187347582</v>
      </c>
      <c r="EA142" s="237">
        <f t="shared" ref="EA142:ED142" si="335">EA128-EA147</f>
        <v>7.2847401583556195</v>
      </c>
      <c r="EB142" s="237">
        <f t="shared" si="335"/>
        <v>3.6251819971356696</v>
      </c>
      <c r="EC142" s="237">
        <f t="shared" si="335"/>
        <v>5.8269096319062896</v>
      </c>
      <c r="ED142" s="237">
        <f t="shared" si="335"/>
        <v>5.4329534193651927</v>
      </c>
      <c r="EE142" s="1391">
        <f ca="1">EE137-EE147</f>
        <v>5.5452597301622895</v>
      </c>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row>
    <row r="143" spans="2:238" s="238" customFormat="1" ht="12.75" customHeight="1">
      <c r="B143" s="1120" t="s">
        <v>33</v>
      </c>
      <c r="C143" s="1121"/>
      <c r="D143" s="1121"/>
      <c r="E143" s="1122"/>
      <c r="F143" s="1122"/>
      <c r="G143" s="1122"/>
      <c r="H143" s="1122"/>
      <c r="I143" s="1122"/>
      <c r="J143" s="1122"/>
      <c r="K143" s="1123"/>
      <c r="L143" s="1124"/>
      <c r="M143" s="1124"/>
      <c r="N143" s="1125"/>
      <c r="O143" s="1122"/>
      <c r="P143" s="1123"/>
      <c r="Q143" s="1124"/>
      <c r="R143" s="1124"/>
      <c r="S143" s="1125"/>
      <c r="T143" s="1122"/>
      <c r="U143" s="1123"/>
      <c r="V143" s="1124"/>
      <c r="W143" s="1124"/>
      <c r="X143" s="1125"/>
      <c r="Y143" s="1122"/>
      <c r="Z143" s="1123"/>
      <c r="AA143" s="1124"/>
      <c r="AB143" s="1124"/>
      <c r="AC143" s="1125"/>
      <c r="AD143" s="1122"/>
      <c r="AE143" s="1123"/>
      <c r="AF143" s="1124"/>
      <c r="AG143" s="1124"/>
      <c r="AH143" s="1125"/>
      <c r="AI143" s="1122"/>
      <c r="AJ143" s="1123"/>
      <c r="AK143" s="1124"/>
      <c r="AL143" s="1124"/>
      <c r="AM143" s="1125"/>
      <c r="AN143" s="1122"/>
      <c r="AO143" s="1123"/>
      <c r="AP143" s="1124"/>
      <c r="AQ143" s="1124"/>
      <c r="AR143" s="1125"/>
      <c r="AS143" s="1122"/>
      <c r="AT143" s="1123"/>
      <c r="AU143" s="1124"/>
      <c r="AV143" s="1124"/>
      <c r="AW143" s="1125"/>
      <c r="AX143" s="1122"/>
      <c r="AY143" s="1123"/>
      <c r="AZ143" s="1124"/>
      <c r="BA143" s="1124"/>
      <c r="BB143" s="1125"/>
      <c r="BC143" s="1122"/>
      <c r="BD143" s="1123"/>
      <c r="BE143" s="1124"/>
      <c r="BF143" s="1124"/>
      <c r="BG143" s="1125"/>
      <c r="BH143" s="1122"/>
      <c r="BI143" s="1123"/>
      <c r="BJ143" s="1124"/>
      <c r="BK143" s="1124"/>
      <c r="BL143" s="1125"/>
      <c r="BM143" s="1122"/>
      <c r="BN143" s="1123"/>
      <c r="BO143" s="1124"/>
      <c r="BP143" s="1124"/>
      <c r="BQ143" s="1125"/>
      <c r="BR143" s="1122"/>
      <c r="BS143" s="1123">
        <f t="shared" ref="BS143:CZ143" si="336">BS129-BS148</f>
        <v>101.00430905709618</v>
      </c>
      <c r="BT143" s="1124">
        <f t="shared" si="336"/>
        <v>105.87609518354959</v>
      </c>
      <c r="BU143" s="1124">
        <f t="shared" si="336"/>
        <v>109.39296724470141</v>
      </c>
      <c r="BV143" s="1125">
        <f t="shared" si="336"/>
        <v>114.25454800419791</v>
      </c>
      <c r="BW143" s="1122">
        <f t="shared" si="336"/>
        <v>107.47750354950558</v>
      </c>
      <c r="BX143" s="1123">
        <f t="shared" si="336"/>
        <v>112.49677023121392</v>
      </c>
      <c r="BY143" s="1124">
        <f t="shared" si="336"/>
        <v>117.4439757480089</v>
      </c>
      <c r="BZ143" s="1124">
        <f t="shared" si="336"/>
        <v>117.36985223754571</v>
      </c>
      <c r="CA143" s="1125">
        <f t="shared" si="336"/>
        <v>120.79739902238229</v>
      </c>
      <c r="CB143" s="1122">
        <f t="shared" si="336"/>
        <v>117.01404921438657</v>
      </c>
      <c r="CC143" s="1123">
        <f t="shared" si="336"/>
        <v>118.23544097061506</v>
      </c>
      <c r="CD143" s="1124">
        <f t="shared" si="336"/>
        <v>124.35164399641576</v>
      </c>
      <c r="CE143" s="1124">
        <f t="shared" si="336"/>
        <v>129.86168862248863</v>
      </c>
      <c r="CF143" s="1124">
        <f t="shared" si="336"/>
        <v>135.67131496407373</v>
      </c>
      <c r="CG143" s="1126">
        <f t="shared" si="336"/>
        <v>126.80096380666501</v>
      </c>
      <c r="CH143" s="1124">
        <f t="shared" si="336"/>
        <v>134.49438438152822</v>
      </c>
      <c r="CI143" s="1124">
        <f t="shared" si="336"/>
        <v>138.87575935756288</v>
      </c>
      <c r="CJ143" s="1124">
        <f t="shared" si="336"/>
        <v>141.85719359362548</v>
      </c>
      <c r="CK143" s="1124">
        <f t="shared" si="336"/>
        <v>153.82530331658623</v>
      </c>
      <c r="CL143" s="1126">
        <f t="shared" si="336"/>
        <v>142.05463075803723</v>
      </c>
      <c r="CM143" s="1124">
        <f t="shared" si="336"/>
        <v>147.11037968610421</v>
      </c>
      <c r="CN143" s="1124">
        <f t="shared" si="336"/>
        <v>168.46765996268857</v>
      </c>
      <c r="CO143" s="1124">
        <f t="shared" si="336"/>
        <v>176.64235292797454</v>
      </c>
      <c r="CP143" s="1124">
        <f t="shared" si="336"/>
        <v>181.95769112340429</v>
      </c>
      <c r="CQ143" s="1126">
        <f t="shared" si="336"/>
        <v>166.91898119709094</v>
      </c>
      <c r="CR143" s="1124">
        <f t="shared" si="336"/>
        <v>171.36836596952736</v>
      </c>
      <c r="CS143" s="1124">
        <f t="shared" si="336"/>
        <v>181.18105683425429</v>
      </c>
      <c r="CT143" s="1124">
        <f t="shared" si="336"/>
        <v>197.38397293358287</v>
      </c>
      <c r="CU143" s="1124">
        <f t="shared" si="336"/>
        <v>205.47570873209952</v>
      </c>
      <c r="CV143" s="1126">
        <f t="shared" si="336"/>
        <v>188.06793745463389</v>
      </c>
      <c r="CW143" s="1124">
        <f t="shared" si="336"/>
        <v>177.46604132761877</v>
      </c>
      <c r="CX143" s="1124">
        <f t="shared" si="325"/>
        <v>208.81903526760803</v>
      </c>
      <c r="CY143" s="1124">
        <f t="shared" si="325"/>
        <v>222.87515869666163</v>
      </c>
      <c r="CZ143" s="1124">
        <f t="shared" si="336"/>
        <v>237.29564990898629</v>
      </c>
      <c r="DA143" s="1126">
        <f>DA138-DA148</f>
        <v>207.75645347172454</v>
      </c>
      <c r="DB143" s="1124">
        <f t="shared" si="326"/>
        <v>218.71617210182725</v>
      </c>
      <c r="DC143" s="1124">
        <f t="shared" si="326"/>
        <v>238.5412949269033</v>
      </c>
      <c r="DD143" s="1124">
        <f t="shared" si="327"/>
        <v>234.79656696072996</v>
      </c>
      <c r="DE143" s="1124">
        <f t="shared" si="327"/>
        <v>237.46194675674556</v>
      </c>
      <c r="DF143" s="1126">
        <f>DF138-DF148</f>
        <v>233.80468750623373</v>
      </c>
      <c r="DG143" s="1124">
        <f t="shared" ref="DG143:DH143" si="337">DG129-DG148</f>
        <v>235.55725259468088</v>
      </c>
      <c r="DH143" s="1124">
        <f t="shared" si="337"/>
        <v>243.32527462181687</v>
      </c>
      <c r="DI143" s="1124">
        <f t="shared" ref="DI143:DJ143" si="338">DI129-DI148</f>
        <v>241.92292040795496</v>
      </c>
      <c r="DJ143" s="1124">
        <f t="shared" si="338"/>
        <v>257.34620875782326</v>
      </c>
      <c r="DK143" s="1393">
        <f>DK138-DK148</f>
        <v>242.36353984622482</v>
      </c>
      <c r="DL143" s="1124">
        <f t="shared" ref="DL143:DM143" si="339">DL129-DL148</f>
        <v>243.19624605093836</v>
      </c>
      <c r="DM143" s="1124">
        <f t="shared" si="339"/>
        <v>258.5829189819367</v>
      </c>
      <c r="DN143" s="1124">
        <f t="shared" ref="DN143:DO143" si="340">DN129-DN148</f>
        <v>265.27436871120744</v>
      </c>
      <c r="DO143" s="1124">
        <f t="shared" si="340"/>
        <v>288.12810247076635</v>
      </c>
      <c r="DP143" s="1393">
        <f>DP138-DP148</f>
        <v>251.10249416769923</v>
      </c>
      <c r="DQ143" s="1124">
        <f t="shared" ref="DQ143" si="341">DQ129-DQ148</f>
        <v>273.68264192354155</v>
      </c>
      <c r="DR143" s="1124">
        <f t="shared" si="333"/>
        <v>277.51300093660217</v>
      </c>
      <c r="DS143" s="1124">
        <f t="shared" si="333"/>
        <v>284.65985545440651</v>
      </c>
      <c r="DT143" s="1124">
        <f t="shared" si="333"/>
        <v>309.0113181362276</v>
      </c>
      <c r="DU143" s="1393">
        <f ca="1">DU138-DU148</f>
        <v>280.70662730712274</v>
      </c>
      <c r="DV143" s="1124">
        <f t="shared" ref="DV143:DY143" si="342">DV129-DV148</f>
        <v>296.35308870052785</v>
      </c>
      <c r="DW143" s="1124">
        <f t="shared" si="342"/>
        <v>300.43747662467712</v>
      </c>
      <c r="DX143" s="1124">
        <f t="shared" si="342"/>
        <v>308.18815724357489</v>
      </c>
      <c r="DY143" s="1124">
        <f t="shared" si="342"/>
        <v>334.39330024741338</v>
      </c>
      <c r="DZ143" s="1393">
        <f ca="1">DZ138-DZ148</f>
        <v>309.60583130000401</v>
      </c>
      <c r="EA143" s="1124">
        <f t="shared" ref="EA143:ED143" si="343">EA129-EA148</f>
        <v>320.83329204255745</v>
      </c>
      <c r="EB143" s="1124">
        <f t="shared" si="343"/>
        <v>325.19229318973231</v>
      </c>
      <c r="EC143" s="1124">
        <f t="shared" si="343"/>
        <v>333.5949456091127</v>
      </c>
      <c r="ED143" s="1124">
        <f t="shared" si="343"/>
        <v>361.80253554419255</v>
      </c>
      <c r="EE143" s="1393">
        <f ca="1">EE138-EE148</f>
        <v>334.77685916276494</v>
      </c>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row>
    <row r="144" spans="2:238" s="236" customFormat="1" ht="12.75" customHeight="1">
      <c r="B144" s="566" t="s">
        <v>392</v>
      </c>
      <c r="C144" s="229"/>
      <c r="D144" s="229"/>
      <c r="E144" s="230"/>
      <c r="F144" s="230"/>
      <c r="G144" s="230"/>
      <c r="H144" s="230"/>
      <c r="I144" s="230"/>
      <c r="J144" s="230"/>
      <c r="K144" s="239"/>
      <c r="L144" s="237"/>
      <c r="M144" s="237"/>
      <c r="N144" s="240"/>
      <c r="O144" s="230"/>
      <c r="P144" s="239"/>
      <c r="Q144" s="237"/>
      <c r="R144" s="237"/>
      <c r="S144" s="240"/>
      <c r="T144" s="230"/>
      <c r="U144" s="239"/>
      <c r="V144" s="237"/>
      <c r="W144" s="237"/>
      <c r="X144" s="240"/>
      <c r="Y144" s="230"/>
      <c r="Z144" s="239"/>
      <c r="AA144" s="237"/>
      <c r="AB144" s="237"/>
      <c r="AC144" s="240"/>
      <c r="AD144" s="230"/>
      <c r="AE144" s="239"/>
      <c r="AF144" s="237"/>
      <c r="AG144" s="237"/>
      <c r="AH144" s="240"/>
      <c r="AI144" s="230"/>
      <c r="AJ144" s="239"/>
      <c r="AK144" s="237"/>
      <c r="AL144" s="237"/>
      <c r="AM144" s="240"/>
      <c r="AN144" s="230"/>
      <c r="AO144" s="239"/>
      <c r="AP144" s="237"/>
      <c r="AQ144" s="237"/>
      <c r="AR144" s="240"/>
      <c r="AS144" s="230"/>
      <c r="AT144" s="239"/>
      <c r="AU144" s="237"/>
      <c r="AV144" s="237"/>
      <c r="AW144" s="240"/>
      <c r="AX144" s="230"/>
      <c r="AY144" s="239"/>
      <c r="AZ144" s="237"/>
      <c r="BA144" s="237"/>
      <c r="BB144" s="240"/>
      <c r="BC144" s="230"/>
      <c r="BD144" s="239"/>
      <c r="BE144" s="237"/>
      <c r="BF144" s="237"/>
      <c r="BG144" s="240"/>
      <c r="BH144" s="230"/>
      <c r="BI144" s="239"/>
      <c r="BJ144" s="237"/>
      <c r="BK144" s="237"/>
      <c r="BL144" s="240"/>
      <c r="BM144" s="230"/>
      <c r="BN144" s="239"/>
      <c r="BO144" s="237"/>
      <c r="BP144" s="237"/>
      <c r="BQ144" s="240"/>
      <c r="BR144" s="230"/>
      <c r="BS144" s="239">
        <f t="shared" ref="BS144:CZ144" si="344">BS130-BS149</f>
        <v>41.618012479040758</v>
      </c>
      <c r="BT144" s="237">
        <f t="shared" si="344"/>
        <v>41.656315791305559</v>
      </c>
      <c r="BU144" s="237">
        <f t="shared" si="344"/>
        <v>42.397679190751454</v>
      </c>
      <c r="BV144" s="240">
        <f t="shared" si="344"/>
        <v>42.919455361343324</v>
      </c>
      <c r="BW144" s="230">
        <f t="shared" si="344"/>
        <v>42.145739837986845</v>
      </c>
      <c r="BX144" s="239">
        <f t="shared" si="344"/>
        <v>42.45896647398844</v>
      </c>
      <c r="BY144" s="237">
        <f t="shared" si="344"/>
        <v>42.59796453038674</v>
      </c>
      <c r="BZ144" s="237">
        <f t="shared" si="344"/>
        <v>42.261115080213898</v>
      </c>
      <c r="CA144" s="240">
        <f t="shared" si="344"/>
        <v>42.499274807692316</v>
      </c>
      <c r="CB144" s="230">
        <f t="shared" si="344"/>
        <v>42.452737641770398</v>
      </c>
      <c r="CC144" s="239">
        <f t="shared" si="344"/>
        <v>41.348199645360829</v>
      </c>
      <c r="CD144" s="237">
        <f t="shared" si="344"/>
        <v>41.622859192500002</v>
      </c>
      <c r="CE144" s="237">
        <f t="shared" si="344"/>
        <v>42.440746593939402</v>
      </c>
      <c r="CF144" s="237">
        <f t="shared" si="344"/>
        <v>42.333559550515467</v>
      </c>
      <c r="CG144" s="812">
        <f t="shared" si="344"/>
        <v>41.939740455732647</v>
      </c>
      <c r="CH144" s="237">
        <f t="shared" si="344"/>
        <v>41.724235057960399</v>
      </c>
      <c r="CI144" s="237">
        <f t="shared" si="344"/>
        <v>42.029419552169671</v>
      </c>
      <c r="CJ144" s="237">
        <f t="shared" si="344"/>
        <v>42.313396664000003</v>
      </c>
      <c r="CK144" s="237">
        <f t="shared" si="344"/>
        <v>43.483974688738854</v>
      </c>
      <c r="CL144" s="812">
        <f t="shared" si="344"/>
        <v>42.385717553685026</v>
      </c>
      <c r="CM144" s="237">
        <f t="shared" si="344"/>
        <v>43.208481785433854</v>
      </c>
      <c r="CN144" s="237">
        <f t="shared" si="344"/>
        <v>43.685837228572929</v>
      </c>
      <c r="CO144" s="237">
        <f t="shared" si="344"/>
        <v>43.665111738474664</v>
      </c>
      <c r="CP144" s="237">
        <f t="shared" si="344"/>
        <v>42.830040238305855</v>
      </c>
      <c r="CQ144" s="812">
        <f t="shared" si="344"/>
        <v>43.348899651478533</v>
      </c>
      <c r="CR144" s="237">
        <f t="shared" si="344"/>
        <v>40.465848807803923</v>
      </c>
      <c r="CS144" s="237">
        <f t="shared" si="344"/>
        <v>40.371105647021061</v>
      </c>
      <c r="CT144" s="237">
        <f t="shared" si="344"/>
        <v>40.254302146947744</v>
      </c>
      <c r="CU144" s="237">
        <f t="shared" si="344"/>
        <v>41.136242462211072</v>
      </c>
      <c r="CV144" s="812">
        <f t="shared" si="344"/>
        <v>40.553753901936531</v>
      </c>
      <c r="CW144" s="237">
        <f t="shared" si="344"/>
        <v>41.159747327292152</v>
      </c>
      <c r="CX144" s="237">
        <f t="shared" si="325"/>
        <v>42.477967787061118</v>
      </c>
      <c r="CY144" s="237">
        <f t="shared" si="325"/>
        <v>42.201974023804233</v>
      </c>
      <c r="CZ144" s="237">
        <f t="shared" si="344"/>
        <v>43.758840140052484</v>
      </c>
      <c r="DA144" s="812">
        <f>DA139-DA149</f>
        <v>42.05706405839139</v>
      </c>
      <c r="DB144" s="237">
        <f t="shared" si="326"/>
        <v>44.134672716435148</v>
      </c>
      <c r="DC144" s="237">
        <f t="shared" si="326"/>
        <v>45.962633387656226</v>
      </c>
      <c r="DD144" s="237">
        <f t="shared" si="327"/>
        <v>44.644560637907169</v>
      </c>
      <c r="DE144" s="237">
        <f t="shared" si="327"/>
        <v>43.95726638799799</v>
      </c>
      <c r="DF144" s="812">
        <f>DF139-DF149</f>
        <v>44.936605793580533</v>
      </c>
      <c r="DG144" s="237">
        <f t="shared" ref="DG144:DH144" si="345">DG130-DG149</f>
        <v>45.332023604496882</v>
      </c>
      <c r="DH144" s="237">
        <f t="shared" si="345"/>
        <v>45.129147591951707</v>
      </c>
      <c r="DI144" s="237">
        <f t="shared" ref="DI144:DJ144" si="346">DI130-DI149</f>
        <v>45.631149330493884</v>
      </c>
      <c r="DJ144" s="237">
        <f t="shared" si="346"/>
        <v>47.055074274900619</v>
      </c>
      <c r="DK144" s="1391">
        <f>DK139-DK149</f>
        <v>45.470685021333153</v>
      </c>
      <c r="DL144" s="237">
        <f t="shared" ref="DL144:DM144" si="347">DL130-DL149</f>
        <v>45.432742539118252</v>
      </c>
      <c r="DM144" s="237">
        <f t="shared" si="347"/>
        <v>44.280616971803198</v>
      </c>
      <c r="DN144" s="237">
        <f t="shared" ref="DN144:DO144" si="348">DN130-DN149</f>
        <v>46.911808322181393</v>
      </c>
      <c r="DO144" s="237">
        <f t="shared" si="348"/>
        <v>49.274548754445917</v>
      </c>
      <c r="DP144" s="1391">
        <f>DP139-DP149</f>
        <v>44.585734308906986</v>
      </c>
      <c r="DQ144" s="237">
        <f t="shared" ref="DQ144" si="349">DQ130-DQ149</f>
        <v>47.730971952622752</v>
      </c>
      <c r="DR144" s="237">
        <f t="shared" ca="1" si="333"/>
        <v>49.600542234686287</v>
      </c>
      <c r="DS144" s="237">
        <f t="shared" ca="1" si="333"/>
        <v>49.297738773041765</v>
      </c>
      <c r="DT144" s="237">
        <f t="shared" si="333"/>
        <v>51.819960094935226</v>
      </c>
      <c r="DU144" s="1391">
        <f ca="1">DU139-DU149</f>
        <v>46.175987260919854</v>
      </c>
      <c r="DV144" s="237">
        <f t="shared" ref="DV144:DY144" si="350">DV130-DV149</f>
        <v>50.019254693565728</v>
      </c>
      <c r="DW144" s="237">
        <f t="shared" ca="1" si="350"/>
        <v>50.122593473151589</v>
      </c>
      <c r="DX144" s="237">
        <f t="shared" ca="1" si="350"/>
        <v>48.891964165244126</v>
      </c>
      <c r="DY144" s="237">
        <f t="shared" si="350"/>
        <v>51.346614693076162</v>
      </c>
      <c r="DZ144" s="1391">
        <f ca="1">DZ139-DZ149</f>
        <v>46.556991671701468</v>
      </c>
      <c r="EA144" s="237">
        <f t="shared" ref="EA144:ED144" si="351">EA130-EA149</f>
        <v>49.893742395412175</v>
      </c>
      <c r="EB144" s="237">
        <f t="shared" ca="1" si="351"/>
        <v>49.899666153165036</v>
      </c>
      <c r="EC144" s="237">
        <f t="shared" ca="1" si="351"/>
        <v>48.637088018260116</v>
      </c>
      <c r="ED144" s="237">
        <f t="shared" si="351"/>
        <v>50.997805444405174</v>
      </c>
      <c r="EE144" s="1391">
        <f ca="1">EE139-EE149</f>
        <v>46.396608639672536</v>
      </c>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row>
    <row r="145" spans="2:238" s="150" customFormat="1" ht="12.75" customHeight="1">
      <c r="B145" s="558"/>
      <c r="C145" s="130"/>
      <c r="D145" s="130"/>
      <c r="E145" s="131"/>
      <c r="F145" s="131"/>
      <c r="G145" s="131"/>
      <c r="H145" s="131"/>
      <c r="I145" s="131"/>
      <c r="J145" s="131"/>
      <c r="K145" s="126"/>
      <c r="L145" s="127"/>
      <c r="M145" s="127"/>
      <c r="N145" s="132"/>
      <c r="O145" s="131"/>
      <c r="P145" s="126"/>
      <c r="Q145" s="127"/>
      <c r="R145" s="127"/>
      <c r="S145" s="132"/>
      <c r="T145" s="131"/>
      <c r="U145" s="126"/>
      <c r="V145" s="127"/>
      <c r="W145" s="127"/>
      <c r="X145" s="132"/>
      <c r="Y145" s="131"/>
      <c r="Z145" s="126"/>
      <c r="AA145" s="127"/>
      <c r="AB145" s="127"/>
      <c r="AC145" s="132"/>
      <c r="AD145" s="131"/>
      <c r="AE145" s="126"/>
      <c r="AF145" s="127"/>
      <c r="AG145" s="127"/>
      <c r="AH145" s="132"/>
      <c r="AI145" s="131"/>
      <c r="AJ145" s="126"/>
      <c r="AK145" s="127"/>
      <c r="AL145" s="127"/>
      <c r="AM145" s="132"/>
      <c r="AN145" s="131"/>
      <c r="AO145" s="126"/>
      <c r="AP145" s="127"/>
      <c r="AQ145" s="127"/>
      <c r="AR145" s="132"/>
      <c r="AS145" s="131"/>
      <c r="AT145" s="126"/>
      <c r="AU145" s="127"/>
      <c r="AV145" s="127"/>
      <c r="AW145" s="132"/>
      <c r="AX145" s="131"/>
      <c r="AY145" s="126"/>
      <c r="AZ145" s="127"/>
      <c r="BA145" s="127"/>
      <c r="BB145" s="132"/>
      <c r="BC145" s="131"/>
      <c r="BD145" s="126"/>
      <c r="BE145" s="127"/>
      <c r="BF145" s="127"/>
      <c r="BG145" s="132"/>
      <c r="BH145" s="131"/>
      <c r="BI145" s="126"/>
      <c r="BJ145" s="127"/>
      <c r="BK145" s="127"/>
      <c r="BL145" s="132"/>
      <c r="BM145" s="131"/>
      <c r="BN145" s="126"/>
      <c r="BO145" s="127"/>
      <c r="BP145" s="127"/>
      <c r="BQ145" s="132"/>
      <c r="BR145" s="131"/>
      <c r="BS145" s="126"/>
      <c r="BT145" s="127"/>
      <c r="BU145" s="127"/>
      <c r="BV145" s="132"/>
      <c r="BW145" s="131"/>
      <c r="BX145" s="126"/>
      <c r="BY145" s="127"/>
      <c r="BZ145" s="127"/>
      <c r="CA145" s="132"/>
      <c r="CB145" s="131"/>
      <c r="CC145" s="126"/>
      <c r="CD145" s="127"/>
      <c r="CE145" s="127"/>
      <c r="CF145" s="127"/>
      <c r="CG145" s="613"/>
      <c r="CH145" s="127"/>
      <c r="CI145" s="127"/>
      <c r="CJ145" s="127"/>
      <c r="CK145" s="129"/>
      <c r="CL145" s="613"/>
      <c r="CM145" s="129"/>
      <c r="CN145" s="129"/>
      <c r="CO145" s="129"/>
      <c r="CP145" s="129"/>
      <c r="CQ145" s="831"/>
      <c r="CR145" s="129"/>
      <c r="CS145" s="129"/>
      <c r="CT145" s="129"/>
      <c r="CU145" s="129"/>
      <c r="CV145" s="831"/>
      <c r="CW145" s="129"/>
      <c r="CX145" s="129"/>
      <c r="CY145" s="129"/>
      <c r="CZ145" s="129"/>
      <c r="DA145" s="831"/>
      <c r="DB145" s="129"/>
      <c r="DC145" s="129"/>
      <c r="DD145" s="129"/>
      <c r="DE145" s="129"/>
      <c r="DF145" s="831"/>
      <c r="DG145" s="129"/>
      <c r="DH145" s="129"/>
      <c r="DI145" s="129"/>
      <c r="DJ145" s="129"/>
      <c r="DK145" s="1371"/>
      <c r="DL145" s="129"/>
      <c r="DM145" s="129"/>
      <c r="DN145" s="129"/>
      <c r="DO145" s="129"/>
      <c r="DP145" s="1371"/>
      <c r="DQ145" s="129"/>
      <c r="DR145" s="129"/>
      <c r="DS145" s="129"/>
      <c r="DT145" s="129"/>
      <c r="DU145" s="1371"/>
      <c r="DV145" s="129"/>
      <c r="DW145" s="129"/>
      <c r="DX145" s="129"/>
      <c r="DY145" s="129"/>
      <c r="DZ145" s="1371"/>
      <c r="EA145" s="129"/>
      <c r="EB145" s="129"/>
      <c r="EC145" s="129"/>
      <c r="ED145" s="129"/>
      <c r="EE145" s="1371"/>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row>
    <row r="146" spans="2:238" s="150" customFormat="1" ht="12.75" customHeight="1">
      <c r="B146" s="555" t="s">
        <v>342</v>
      </c>
      <c r="C146" s="130"/>
      <c r="D146" s="130"/>
      <c r="E146" s="131"/>
      <c r="F146" s="131"/>
      <c r="G146" s="131"/>
      <c r="H146" s="131"/>
      <c r="I146" s="131"/>
      <c r="J146" s="131"/>
      <c r="K146" s="126"/>
      <c r="L146" s="127"/>
      <c r="M146" s="127"/>
      <c r="N146" s="132"/>
      <c r="O146" s="131"/>
      <c r="P146" s="126"/>
      <c r="Q146" s="127"/>
      <c r="R146" s="127"/>
      <c r="S146" s="132"/>
      <c r="T146" s="131"/>
      <c r="U146" s="126"/>
      <c r="V146" s="127"/>
      <c r="W146" s="127"/>
      <c r="X146" s="132"/>
      <c r="Y146" s="131"/>
      <c r="Z146" s="126"/>
      <c r="AA146" s="127"/>
      <c r="AB146" s="127"/>
      <c r="AC146" s="132"/>
      <c r="AD146" s="131"/>
      <c r="AE146" s="126"/>
      <c r="AF146" s="127"/>
      <c r="AG146" s="127"/>
      <c r="AH146" s="132"/>
      <c r="AI146" s="131"/>
      <c r="AJ146" s="126"/>
      <c r="AK146" s="127"/>
      <c r="AL146" s="127"/>
      <c r="AM146" s="132"/>
      <c r="AN146" s="131"/>
      <c r="AO146" s="126"/>
      <c r="AP146" s="127"/>
      <c r="AQ146" s="127"/>
      <c r="AR146" s="132"/>
      <c r="AS146" s="131"/>
      <c r="AT146" s="126"/>
      <c r="AU146" s="127"/>
      <c r="AV146" s="127"/>
      <c r="AW146" s="132"/>
      <c r="AX146" s="131"/>
      <c r="AY146" s="126"/>
      <c r="AZ146" s="127"/>
      <c r="BA146" s="127"/>
      <c r="BB146" s="132"/>
      <c r="BC146" s="131"/>
      <c r="BD146" s="126"/>
      <c r="BE146" s="127"/>
      <c r="BF146" s="127"/>
      <c r="BG146" s="132"/>
      <c r="BH146" s="131"/>
      <c r="BI146" s="126"/>
      <c r="BJ146" s="127"/>
      <c r="BK146" s="127"/>
      <c r="BL146" s="132"/>
      <c r="BM146" s="131"/>
      <c r="BN146" s="126"/>
      <c r="BO146" s="127"/>
      <c r="BP146" s="127"/>
      <c r="BQ146" s="132"/>
      <c r="BR146" s="131"/>
      <c r="BS146" s="126"/>
      <c r="BT146" s="127"/>
      <c r="BU146" s="127"/>
      <c r="BV146" s="132"/>
      <c r="BW146" s="131"/>
      <c r="BX146" s="126"/>
      <c r="BY146" s="127"/>
      <c r="BZ146" s="127"/>
      <c r="CA146" s="132"/>
      <c r="CB146" s="131"/>
      <c r="CC146" s="126"/>
      <c r="CD146" s="127"/>
      <c r="CE146" s="127"/>
      <c r="CF146" s="127"/>
      <c r="CG146" s="613"/>
      <c r="CH146" s="127"/>
      <c r="CI146" s="127"/>
      <c r="CJ146" s="127"/>
      <c r="CK146" s="129"/>
      <c r="CL146" s="613"/>
      <c r="CM146" s="129"/>
      <c r="CN146" s="129"/>
      <c r="CO146" s="129"/>
      <c r="CP146" s="129"/>
      <c r="CQ146" s="831"/>
      <c r="CR146" s="213"/>
      <c r="CS146" s="129"/>
      <c r="CT146" s="129"/>
      <c r="CU146" s="129"/>
      <c r="CV146" s="831"/>
      <c r="CW146" s="213"/>
      <c r="CX146" s="129"/>
      <c r="CY146" s="129"/>
      <c r="CZ146" s="129"/>
      <c r="DA146" s="831"/>
      <c r="DB146" s="129"/>
      <c r="DC146" s="129"/>
      <c r="DD146" s="129"/>
      <c r="DE146" s="129"/>
      <c r="DF146" s="831"/>
      <c r="DG146" s="129"/>
      <c r="DH146" s="129"/>
      <c r="DI146" s="129"/>
      <c r="DJ146" s="129"/>
      <c r="DK146" s="1371"/>
      <c r="DL146" s="129"/>
      <c r="DM146" s="129"/>
      <c r="DN146" s="129"/>
      <c r="DO146" s="129"/>
      <c r="DP146" s="1371"/>
      <c r="DQ146" s="129"/>
      <c r="DR146" s="129"/>
      <c r="DS146" s="129"/>
      <c r="DT146" s="129"/>
      <c r="DU146" s="1371"/>
      <c r="DV146" s="129"/>
      <c r="DW146" s="129"/>
      <c r="DX146" s="129"/>
      <c r="DY146" s="129"/>
      <c r="DZ146" s="1371"/>
      <c r="EA146" s="129"/>
      <c r="EB146" s="129"/>
      <c r="EC146" s="129"/>
      <c r="ED146" s="129"/>
      <c r="EE146" s="1371"/>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row>
    <row r="147" spans="2:238" s="236" customFormat="1" ht="12.75" customHeight="1">
      <c r="B147" s="565" t="s">
        <v>97</v>
      </c>
      <c r="C147" s="229"/>
      <c r="D147" s="229"/>
      <c r="E147" s="230"/>
      <c r="F147" s="230"/>
      <c r="G147" s="230"/>
      <c r="H147" s="230"/>
      <c r="I147" s="230"/>
      <c r="J147" s="230"/>
      <c r="K147" s="239"/>
      <c r="L147" s="237"/>
      <c r="M147" s="237"/>
      <c r="N147" s="240"/>
      <c r="O147" s="230"/>
      <c r="P147" s="239"/>
      <c r="Q147" s="237"/>
      <c r="R147" s="237"/>
      <c r="S147" s="240"/>
      <c r="T147" s="230"/>
      <c r="U147" s="239"/>
      <c r="V147" s="237"/>
      <c r="W147" s="237"/>
      <c r="X147" s="240"/>
      <c r="Y147" s="230"/>
      <c r="Z147" s="239"/>
      <c r="AA147" s="237"/>
      <c r="AB147" s="237"/>
      <c r="AC147" s="240"/>
      <c r="AD147" s="230"/>
      <c r="AE147" s="239"/>
      <c r="AF147" s="237"/>
      <c r="AG147" s="237"/>
      <c r="AH147" s="240"/>
      <c r="AI147" s="230"/>
      <c r="AJ147" s="239"/>
      <c r="AK147" s="237"/>
      <c r="AL147" s="237"/>
      <c r="AM147" s="240"/>
      <c r="AN147" s="230"/>
      <c r="AO147" s="239"/>
      <c r="AP147" s="237"/>
      <c r="AQ147" s="237"/>
      <c r="AR147" s="240"/>
      <c r="AS147" s="230"/>
      <c r="AT147" s="239"/>
      <c r="AU147" s="237"/>
      <c r="AV147" s="237"/>
      <c r="AW147" s="240"/>
      <c r="AX147" s="230"/>
      <c r="AY147" s="239"/>
      <c r="AZ147" s="237"/>
      <c r="BA147" s="237"/>
      <c r="BB147" s="240"/>
      <c r="BC147" s="230"/>
      <c r="BD147" s="239"/>
      <c r="BE147" s="237"/>
      <c r="BF147" s="237"/>
      <c r="BG147" s="240"/>
      <c r="BH147" s="230"/>
      <c r="BI147" s="239"/>
      <c r="BJ147" s="237"/>
      <c r="BK147" s="237"/>
      <c r="BL147" s="240"/>
      <c r="BM147" s="230"/>
      <c r="BN147" s="239"/>
      <c r="BO147" s="237"/>
      <c r="BP147" s="237"/>
      <c r="BQ147" s="240"/>
      <c r="BR147" s="230"/>
      <c r="BS147" s="231">
        <v>16.5</v>
      </c>
      <c r="BT147" s="232">
        <v>16.5</v>
      </c>
      <c r="BU147" s="232">
        <v>16.5</v>
      </c>
      <c r="BV147" s="233">
        <v>16.5</v>
      </c>
      <c r="BW147" s="230">
        <f>BW82/BW36</f>
        <v>16.5</v>
      </c>
      <c r="BX147" s="239">
        <f t="shared" ref="BX147:CA148" si="352">BS147*(1+BX152)</f>
        <v>16.5</v>
      </c>
      <c r="BY147" s="237">
        <f t="shared" si="352"/>
        <v>16.664999999999999</v>
      </c>
      <c r="BZ147" s="237">
        <f t="shared" si="352"/>
        <v>16.445000000000004</v>
      </c>
      <c r="CA147" s="240">
        <f t="shared" si="352"/>
        <v>16.747499999999999</v>
      </c>
      <c r="CB147" s="230">
        <f>CB82/CB36</f>
        <v>16.5900567789128</v>
      </c>
      <c r="CC147" s="239">
        <f t="shared" ref="CC147:CF148" si="353">BX147*(1+CC152)</f>
        <v>16.169999999999998</v>
      </c>
      <c r="CD147" s="237">
        <f t="shared" si="353"/>
        <v>15.840082499999999</v>
      </c>
      <c r="CE147" s="237">
        <f t="shared" si="353"/>
        <v>15.787200000000004</v>
      </c>
      <c r="CF147" s="237">
        <f t="shared" si="353"/>
        <v>16.496287499999998</v>
      </c>
      <c r="CG147" s="812">
        <f>CG82/CG36</f>
        <v>16.073606960432361</v>
      </c>
      <c r="CH147" s="237">
        <f t="shared" ref="CH147:CK148" si="354">CC147*(1+CH152)</f>
        <v>16.210424999999997</v>
      </c>
      <c r="CI147" s="237">
        <f t="shared" si="354"/>
        <v>15.72128188125</v>
      </c>
      <c r="CJ147" s="237">
        <f t="shared" si="354"/>
        <v>15.945072000000003</v>
      </c>
      <c r="CK147" s="237">
        <f t="shared" si="354"/>
        <v>16.743731812499995</v>
      </c>
      <c r="CL147" s="812">
        <f>CL82/CL36</f>
        <v>16.153318359216229</v>
      </c>
      <c r="CM147" s="237">
        <f t="shared" ref="CM147:CP148" si="355">CH147*(1+CM152)</f>
        <v>15.857037734999997</v>
      </c>
      <c r="CN147" s="237">
        <f t="shared" si="355"/>
        <v>15.799888290656249</v>
      </c>
      <c r="CO147" s="237">
        <f t="shared" si="355"/>
        <v>16.120467792000003</v>
      </c>
      <c r="CP147" s="237">
        <f t="shared" si="355"/>
        <v>16.701872482968746</v>
      </c>
      <c r="CQ147" s="812">
        <f>CQ82/CQ36</f>
        <v>16.115733378633159</v>
      </c>
      <c r="CR147" s="237">
        <f t="shared" ref="CR147:CU148" si="356">CM147*(1+CR152)</f>
        <v>15.698467357649998</v>
      </c>
      <c r="CS147" s="237">
        <f t="shared" si="356"/>
        <v>15.641889407749686</v>
      </c>
      <c r="CT147" s="237">
        <f t="shared" si="356"/>
        <v>16.201070130960002</v>
      </c>
      <c r="CU147" s="237">
        <f t="shared" si="356"/>
        <v>16.785381845383586</v>
      </c>
      <c r="CV147" s="812">
        <f>CV87/CV36</f>
        <v>16.086195350101821</v>
      </c>
      <c r="CW147" s="237">
        <f t="shared" ref="CW147:DC148" si="357">CR147*(1+CW152)</f>
        <v>15.698467357649998</v>
      </c>
      <c r="CX147" s="237">
        <f t="shared" si="357"/>
        <v>15.641889407749686</v>
      </c>
      <c r="CY147" s="237">
        <f t="shared" si="357"/>
        <v>16.201070130960002</v>
      </c>
      <c r="CZ147" s="237">
        <f t="shared" si="357"/>
        <v>16.785381845383586</v>
      </c>
      <c r="DA147" s="812">
        <f>DA87/DA36</f>
        <v>16.086563949026029</v>
      </c>
      <c r="DB147" s="237">
        <f t="shared" si="357"/>
        <v>15.698467357649998</v>
      </c>
      <c r="DC147" s="237">
        <f t="shared" si="357"/>
        <v>15.641889407749686</v>
      </c>
      <c r="DD147" s="237">
        <f>CY147*(1+DD152)</f>
        <v>16.201070130960002</v>
      </c>
      <c r="DE147" s="237">
        <f>CZ147*(1+DE152)</f>
        <v>16.785381845383586</v>
      </c>
      <c r="DF147" s="812">
        <f>DF87/DF36</f>
        <v>16.08320339020754</v>
      </c>
      <c r="DG147" s="237">
        <f t="shared" ref="DG147:DQ148" si="358">DB147*(1+DG152)</f>
        <v>16.012436704802997</v>
      </c>
      <c r="DH147" s="237">
        <f t="shared" si="358"/>
        <v>15.954727195904679</v>
      </c>
      <c r="DI147" s="237">
        <f t="shared" si="358"/>
        <v>16.201070130960002</v>
      </c>
      <c r="DJ147" s="237">
        <f t="shared" si="358"/>
        <v>16.617528026929751</v>
      </c>
      <c r="DK147" s="1391">
        <f>DK87/DK36</f>
        <v>16.196017502160458</v>
      </c>
      <c r="DL147" s="237">
        <f t="shared" si="358"/>
        <v>15.612125787182922</v>
      </c>
      <c r="DM147" s="237">
        <f t="shared" si="358"/>
        <v>15.555859016007062</v>
      </c>
      <c r="DN147" s="237">
        <f t="shared" si="358"/>
        <v>15.796043377686001</v>
      </c>
      <c r="DO147" s="237">
        <f t="shared" si="358"/>
        <v>16.202089826256508</v>
      </c>
      <c r="DP147" s="1391">
        <f>DP87/DP36</f>
        <v>15.795405821917955</v>
      </c>
      <c r="DQ147" s="237">
        <f t="shared" si="358"/>
        <v>15.22182264250335</v>
      </c>
      <c r="DR147" s="237">
        <f t="shared" ref="DR147:DT148" si="359">DM147*(1+DR152)</f>
        <v>15.166962540606885</v>
      </c>
      <c r="DS147" s="237">
        <f t="shared" si="359"/>
        <v>15.480122510132281</v>
      </c>
      <c r="DT147" s="237">
        <f t="shared" si="359"/>
        <v>15.878048029731378</v>
      </c>
      <c r="DU147" s="1391">
        <f ca="1">DU87/DU36</f>
        <v>15.439265209143882</v>
      </c>
      <c r="DV147" s="237">
        <f t="shared" ref="DV147:DV148" si="360">DQ147*(1+DV152)</f>
        <v>15.145713529290832</v>
      </c>
      <c r="DW147" s="237">
        <f t="shared" ref="DW147:DW148" si="361">DR147*(1+DW152)</f>
        <v>15.091127727903851</v>
      </c>
      <c r="DX147" s="237">
        <f t="shared" ref="DX147:DX148" si="362">DS147*(1+DX152)</f>
        <v>15.402721897581619</v>
      </c>
      <c r="DY147" s="237">
        <f t="shared" ref="DY147:DY148" si="363">DT147*(1+DY152)</f>
        <v>15.798657789582721</v>
      </c>
      <c r="DZ147" s="1391">
        <f ca="1">DZ87/DZ36</f>
        <v>15.35770222192413</v>
      </c>
      <c r="EA147" s="237">
        <f t="shared" ref="EA147:EA148" si="364">DV147*(1+EA152)</f>
        <v>15.069984961644378</v>
      </c>
      <c r="EB147" s="237">
        <f t="shared" ref="EB147:EB148" si="365">DW147*(1+EB152)</f>
        <v>15.015672089264331</v>
      </c>
      <c r="EC147" s="237">
        <f t="shared" ref="EC147:EC148" si="366">DX147*(1+EC152)</f>
        <v>15.325708288093711</v>
      </c>
      <c r="ED147" s="237">
        <f t="shared" ref="ED147:ED148" si="367">DY147*(1+ED152)</f>
        <v>15.719664500634808</v>
      </c>
      <c r="EE147" s="1391">
        <f ca="1">EE87/EE36</f>
        <v>15.281324050526941</v>
      </c>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row>
    <row r="148" spans="2:238" s="238" customFormat="1" ht="12.75" customHeight="1">
      <c r="B148" s="1120" t="s">
        <v>33</v>
      </c>
      <c r="C148" s="1121"/>
      <c r="D148" s="1121"/>
      <c r="E148" s="1122"/>
      <c r="F148" s="1122"/>
      <c r="G148" s="1122"/>
      <c r="H148" s="1122"/>
      <c r="I148" s="1122"/>
      <c r="J148" s="1122"/>
      <c r="K148" s="1123"/>
      <c r="L148" s="1124"/>
      <c r="M148" s="1124"/>
      <c r="N148" s="1125"/>
      <c r="O148" s="1122"/>
      <c r="P148" s="1123"/>
      <c r="Q148" s="1124"/>
      <c r="R148" s="1124"/>
      <c r="S148" s="1125"/>
      <c r="T148" s="1122"/>
      <c r="U148" s="1123"/>
      <c r="V148" s="1124"/>
      <c r="W148" s="1124"/>
      <c r="X148" s="1125"/>
      <c r="Y148" s="1122"/>
      <c r="Z148" s="1123"/>
      <c r="AA148" s="1124"/>
      <c r="AB148" s="1124"/>
      <c r="AC148" s="1125"/>
      <c r="AD148" s="1122"/>
      <c r="AE148" s="1123"/>
      <c r="AF148" s="1124"/>
      <c r="AG148" s="1124"/>
      <c r="AH148" s="1125"/>
      <c r="AI148" s="1122"/>
      <c r="AJ148" s="1123"/>
      <c r="AK148" s="1124"/>
      <c r="AL148" s="1124"/>
      <c r="AM148" s="1125"/>
      <c r="AN148" s="1122"/>
      <c r="AO148" s="1123"/>
      <c r="AP148" s="1124"/>
      <c r="AQ148" s="1124"/>
      <c r="AR148" s="1125"/>
      <c r="AS148" s="1122"/>
      <c r="AT148" s="1123"/>
      <c r="AU148" s="1124"/>
      <c r="AV148" s="1124"/>
      <c r="AW148" s="1125"/>
      <c r="AX148" s="1122"/>
      <c r="AY148" s="1123"/>
      <c r="AZ148" s="1124"/>
      <c r="BA148" s="1124"/>
      <c r="BB148" s="1125"/>
      <c r="BC148" s="1122"/>
      <c r="BD148" s="1123"/>
      <c r="BE148" s="1124"/>
      <c r="BF148" s="1124"/>
      <c r="BG148" s="1125"/>
      <c r="BH148" s="1122"/>
      <c r="BI148" s="1123"/>
      <c r="BJ148" s="1124"/>
      <c r="BK148" s="1124"/>
      <c r="BL148" s="1125"/>
      <c r="BM148" s="1122"/>
      <c r="BN148" s="1123"/>
      <c r="BO148" s="1124"/>
      <c r="BP148" s="1124"/>
      <c r="BQ148" s="1125"/>
      <c r="BR148" s="1122"/>
      <c r="BS148" s="1123">
        <v>8</v>
      </c>
      <c r="BT148" s="1124">
        <v>8</v>
      </c>
      <c r="BU148" s="1124">
        <v>8</v>
      </c>
      <c r="BV148" s="1125">
        <v>8</v>
      </c>
      <c r="BW148" s="1122">
        <f>BW83/BW37</f>
        <v>8</v>
      </c>
      <c r="BX148" s="1123">
        <f t="shared" si="352"/>
        <v>8.08</v>
      </c>
      <c r="BY148" s="1124">
        <f t="shared" si="352"/>
        <v>8.08</v>
      </c>
      <c r="BZ148" s="1124">
        <f t="shared" si="352"/>
        <v>8.08</v>
      </c>
      <c r="CA148" s="1125">
        <f t="shared" si="352"/>
        <v>8.08</v>
      </c>
      <c r="CB148" s="1122">
        <f>CB83/CB37</f>
        <v>8.0799999999999983</v>
      </c>
      <c r="CC148" s="1123">
        <f t="shared" si="353"/>
        <v>8.1608000000000001</v>
      </c>
      <c r="CD148" s="1124">
        <f t="shared" si="353"/>
        <v>8.1608000000000001</v>
      </c>
      <c r="CE148" s="1124">
        <f t="shared" si="353"/>
        <v>8.1608000000000001</v>
      </c>
      <c r="CF148" s="1124">
        <f t="shared" si="353"/>
        <v>8.1608000000000001</v>
      </c>
      <c r="CG148" s="1126">
        <f>CG83/CG37</f>
        <v>8.1607999999999983</v>
      </c>
      <c r="CH148" s="1124">
        <f t="shared" si="354"/>
        <v>8.2424079999999993</v>
      </c>
      <c r="CI148" s="1124">
        <f t="shared" si="354"/>
        <v>8.2424079999999993</v>
      </c>
      <c r="CJ148" s="1124">
        <f t="shared" si="354"/>
        <v>8.2424079999999993</v>
      </c>
      <c r="CK148" s="1124">
        <f t="shared" si="354"/>
        <v>8.2424079999999993</v>
      </c>
      <c r="CL148" s="1126">
        <f>CL83/CL37</f>
        <v>8.2424079999999993</v>
      </c>
      <c r="CM148" s="1124">
        <f t="shared" si="355"/>
        <v>8.2424079999999993</v>
      </c>
      <c r="CN148" s="1124">
        <f t="shared" si="355"/>
        <v>8.3248320800000002</v>
      </c>
      <c r="CO148" s="1124">
        <f t="shared" si="355"/>
        <v>8.3248320800000002</v>
      </c>
      <c r="CP148" s="1124">
        <f t="shared" si="355"/>
        <v>7.8302875999999992</v>
      </c>
      <c r="CQ148" s="1126">
        <f>CQ83/CQ37</f>
        <v>8.1920336831694947</v>
      </c>
      <c r="CR148" s="1124">
        <f t="shared" si="356"/>
        <v>9.6015522060920961</v>
      </c>
      <c r="CS148" s="1124">
        <f t="shared" si="356"/>
        <v>8.9530647873672304</v>
      </c>
      <c r="CT148" s="1124">
        <f t="shared" si="356"/>
        <v>9.3023468195385064</v>
      </c>
      <c r="CU148" s="1124">
        <f t="shared" si="356"/>
        <v>8.2218019800000004</v>
      </c>
      <c r="CV148" s="1126">
        <f>CV88/CV37</f>
        <v>9.0405886616113147</v>
      </c>
      <c r="CW148" s="1124">
        <f t="shared" si="357"/>
        <v>9.6015522060920961</v>
      </c>
      <c r="CX148" s="1124">
        <f t="shared" si="357"/>
        <v>8.9530647873672304</v>
      </c>
      <c r="CY148" s="1124">
        <f t="shared" si="357"/>
        <v>9.3023468195385064</v>
      </c>
      <c r="CZ148" s="1124">
        <f t="shared" si="357"/>
        <v>8.2218019800000004</v>
      </c>
      <c r="DA148" s="1126">
        <f>DA88/DA37</f>
        <v>9.0531406234161107</v>
      </c>
      <c r="DB148" s="1124">
        <f t="shared" si="357"/>
        <v>9.6015522060920961</v>
      </c>
      <c r="DC148" s="1124">
        <f t="shared" si="357"/>
        <v>8.9530647873672304</v>
      </c>
      <c r="DD148" s="1124">
        <f>CY148*(1+DD153)</f>
        <v>9.3023468195385064</v>
      </c>
      <c r="DE148" s="1124">
        <f>CZ148*(1+DE153)</f>
        <v>8.2218019800000004</v>
      </c>
      <c r="DF148" s="1126">
        <f>DF88/DF37</f>
        <v>9.0324699422752968</v>
      </c>
      <c r="DG148" s="1124">
        <f t="shared" si="358"/>
        <v>9.6015522060920961</v>
      </c>
      <c r="DH148" s="1124">
        <f t="shared" si="358"/>
        <v>8.9530647873672304</v>
      </c>
      <c r="DI148" s="1124">
        <f t="shared" si="358"/>
        <v>9.3023468195385064</v>
      </c>
      <c r="DJ148" s="1124">
        <f t="shared" si="358"/>
        <v>8.1395839601999995</v>
      </c>
      <c r="DK148" s="1393">
        <f>DK88/DK37</f>
        <v>9.0097031341182401</v>
      </c>
      <c r="DL148" s="1124">
        <f t="shared" si="358"/>
        <v>9.3615134009397938</v>
      </c>
      <c r="DM148" s="1124">
        <f t="shared" si="358"/>
        <v>8.7292381676830502</v>
      </c>
      <c r="DN148" s="1124">
        <f t="shared" si="358"/>
        <v>9.0697881490500443</v>
      </c>
      <c r="DO148" s="1124">
        <f t="shared" si="358"/>
        <v>7.936094361194999</v>
      </c>
      <c r="DP148" s="1393">
        <f>DP88/DP37</f>
        <v>8.7764074235587568</v>
      </c>
      <c r="DQ148" s="1124">
        <f t="shared" si="358"/>
        <v>9.1274755659162992</v>
      </c>
      <c r="DR148" s="1124">
        <f t="shared" si="359"/>
        <v>8.5110072134909736</v>
      </c>
      <c r="DS148" s="1124">
        <f t="shared" si="359"/>
        <v>8.888392386069043</v>
      </c>
      <c r="DT148" s="1124">
        <f t="shared" si="359"/>
        <v>7.7773724739710985</v>
      </c>
      <c r="DU148" s="1393">
        <f ca="1">DU88/DU37</f>
        <v>8.5801850037997891</v>
      </c>
      <c r="DV148" s="1124">
        <f t="shared" si="360"/>
        <v>9.0818381880867172</v>
      </c>
      <c r="DW148" s="1124">
        <f t="shared" si="361"/>
        <v>8.4684521774235186</v>
      </c>
      <c r="DX148" s="1124">
        <f t="shared" si="362"/>
        <v>8.843950424138697</v>
      </c>
      <c r="DY148" s="1124">
        <f t="shared" si="363"/>
        <v>7.7384856116012433</v>
      </c>
      <c r="DZ148" s="1393">
        <f ca="1">DZ88/DZ37</f>
        <v>8.5491714642147336</v>
      </c>
      <c r="EA148" s="1124">
        <f t="shared" si="364"/>
        <v>9.0364289971462828</v>
      </c>
      <c r="EB148" s="1124">
        <f t="shared" si="365"/>
        <v>8.4261099165364008</v>
      </c>
      <c r="EC148" s="1124">
        <f t="shared" si="366"/>
        <v>8.7997306720180042</v>
      </c>
      <c r="ED148" s="1124">
        <f t="shared" si="367"/>
        <v>7.6997931835432372</v>
      </c>
      <c r="EE148" s="1393">
        <f ca="1">EE88/EE37</f>
        <v>8.5064363610726694</v>
      </c>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row>
    <row r="149" spans="2:238" s="236" customFormat="1" ht="12.75" customHeight="1">
      <c r="B149" s="566" t="s">
        <v>392</v>
      </c>
      <c r="C149" s="229"/>
      <c r="D149" s="229"/>
      <c r="E149" s="230"/>
      <c r="F149" s="230"/>
      <c r="G149" s="230"/>
      <c r="H149" s="230"/>
      <c r="I149" s="230"/>
      <c r="J149" s="230"/>
      <c r="K149" s="239"/>
      <c r="L149" s="237"/>
      <c r="M149" s="237"/>
      <c r="N149" s="240"/>
      <c r="O149" s="230"/>
      <c r="P149" s="239"/>
      <c r="Q149" s="237"/>
      <c r="R149" s="237"/>
      <c r="S149" s="240"/>
      <c r="T149" s="230"/>
      <c r="U149" s="239"/>
      <c r="V149" s="237"/>
      <c r="W149" s="237"/>
      <c r="X149" s="240"/>
      <c r="Y149" s="230"/>
      <c r="Z149" s="239"/>
      <c r="AA149" s="237"/>
      <c r="AB149" s="237"/>
      <c r="AC149" s="240"/>
      <c r="AD149" s="230"/>
      <c r="AE149" s="239"/>
      <c r="AF149" s="237"/>
      <c r="AG149" s="237"/>
      <c r="AH149" s="240"/>
      <c r="AI149" s="230"/>
      <c r="AJ149" s="239"/>
      <c r="AK149" s="237"/>
      <c r="AL149" s="237"/>
      <c r="AM149" s="240"/>
      <c r="AN149" s="230"/>
      <c r="AO149" s="239"/>
      <c r="AP149" s="237"/>
      <c r="AQ149" s="237"/>
      <c r="AR149" s="240"/>
      <c r="AS149" s="230"/>
      <c r="AT149" s="239"/>
      <c r="AU149" s="237"/>
      <c r="AV149" s="237"/>
      <c r="AW149" s="240"/>
      <c r="AX149" s="230"/>
      <c r="AY149" s="239"/>
      <c r="AZ149" s="237"/>
      <c r="BA149" s="237"/>
      <c r="BB149" s="240"/>
      <c r="BC149" s="230"/>
      <c r="BD149" s="239"/>
      <c r="BE149" s="237"/>
      <c r="BF149" s="237"/>
      <c r="BG149" s="240"/>
      <c r="BH149" s="230"/>
      <c r="BI149" s="239"/>
      <c r="BJ149" s="237"/>
      <c r="BK149" s="237"/>
      <c r="BL149" s="240"/>
      <c r="BM149" s="230"/>
      <c r="BN149" s="239"/>
      <c r="BO149" s="237"/>
      <c r="BP149" s="237"/>
      <c r="BQ149" s="240"/>
      <c r="BR149" s="230"/>
      <c r="BS149" s="239">
        <f t="shared" ref="BS149:CL149" si="368">BS84/BS34</f>
        <v>13.516500000000001</v>
      </c>
      <c r="BT149" s="237">
        <f t="shared" si="368"/>
        <v>13.661</v>
      </c>
      <c r="BU149" s="237">
        <f t="shared" si="368"/>
        <v>13.695</v>
      </c>
      <c r="BV149" s="240">
        <f t="shared" si="368"/>
        <v>13.780000000000001</v>
      </c>
      <c r="BW149" s="230">
        <f t="shared" si="368"/>
        <v>13.663443419470534</v>
      </c>
      <c r="BX149" s="239">
        <f t="shared" si="368"/>
        <v>13.805600000000002</v>
      </c>
      <c r="BY149" s="237">
        <f t="shared" si="368"/>
        <v>14.020819999999999</v>
      </c>
      <c r="BZ149" s="237">
        <f t="shared" si="368"/>
        <v>13.902040000000003</v>
      </c>
      <c r="CA149" s="240">
        <f t="shared" si="368"/>
        <v>14.155917499999997</v>
      </c>
      <c r="CB149" s="230">
        <f t="shared" si="368"/>
        <v>13.972608139695714</v>
      </c>
      <c r="CC149" s="239">
        <f t="shared" si="368"/>
        <v>13.8152952</v>
      </c>
      <c r="CD149" s="237">
        <f t="shared" si="368"/>
        <v>13.697562682499999</v>
      </c>
      <c r="CE149" s="237">
        <f t="shared" si="368"/>
        <v>13.705192800000001</v>
      </c>
      <c r="CF149" s="237">
        <f t="shared" si="368"/>
        <v>14.295718799999996</v>
      </c>
      <c r="CG149" s="812">
        <f t="shared" si="368"/>
        <v>13.878016613676092</v>
      </c>
      <c r="CH149" s="237">
        <f t="shared" si="368"/>
        <v>14.122804545999998</v>
      </c>
      <c r="CI149" s="237">
        <f t="shared" si="368"/>
        <v>13.829126789293749</v>
      </c>
      <c r="CJ149" s="237">
        <f t="shared" si="368"/>
        <v>14.011703336000002</v>
      </c>
      <c r="CK149" s="237">
        <f t="shared" si="368"/>
        <v>14.686411449874999</v>
      </c>
      <c r="CL149" s="812">
        <f t="shared" si="368"/>
        <v>14.159817244849776</v>
      </c>
      <c r="CM149" s="237">
        <f t="shared" ref="CM149:CR149" si="369">CM89/CM34</f>
        <v>13.968609560719996</v>
      </c>
      <c r="CN149" s="237">
        <f t="shared" si="369"/>
        <v>14.170326036733186</v>
      </c>
      <c r="CO149" s="237">
        <f t="shared" si="369"/>
        <v>14.491179928192004</v>
      </c>
      <c r="CP149" s="237">
        <f t="shared" si="369"/>
        <v>14.927555506374997</v>
      </c>
      <c r="CQ149" s="812">
        <f t="shared" si="369"/>
        <v>14.376966419950037</v>
      </c>
      <c r="CR149" s="237">
        <f t="shared" si="369"/>
        <v>14.497375072793092</v>
      </c>
      <c r="CS149" s="237">
        <f t="shared" ref="CS149:DF149" si="370">CS89/CS34</f>
        <v>14.404456852978932</v>
      </c>
      <c r="CT149" s="237">
        <f t="shared" si="370"/>
        <v>15.035185891329769</v>
      </c>
      <c r="CU149" s="237">
        <f t="shared" si="370"/>
        <v>15.338136848133759</v>
      </c>
      <c r="CV149" s="812">
        <f t="shared" si="370"/>
        <v>14.818629776504391</v>
      </c>
      <c r="CW149" s="237">
        <f t="shared" si="370"/>
        <v>14.515665818247765</v>
      </c>
      <c r="CX149" s="237">
        <f t="shared" si="370"/>
        <v>14.504789222284668</v>
      </c>
      <c r="CY149" s="237">
        <f>CY89/CY34</f>
        <v>15.111071847755404</v>
      </c>
      <c r="CZ149" s="237">
        <f t="shared" si="370"/>
        <v>15.440899806518363</v>
      </c>
      <c r="DA149" s="812">
        <f t="shared" si="370"/>
        <v>14.892963158274098</v>
      </c>
      <c r="DB149" s="237">
        <f>DB89/DB34</f>
        <v>14.66137876020996</v>
      </c>
      <c r="DC149" s="237">
        <f>DC89/DC34</f>
        <v>14.550366612343771</v>
      </c>
      <c r="DD149" s="237">
        <f t="shared" si="370"/>
        <v>15.094045556783101</v>
      </c>
      <c r="DE149" s="237">
        <f>DE89/DE34</f>
        <v>15.434476855245258</v>
      </c>
      <c r="DF149" s="812">
        <f t="shared" si="370"/>
        <v>14.934868991814563</v>
      </c>
      <c r="DG149" s="237">
        <f>DG89/DG34</f>
        <v>14.984340031866767</v>
      </c>
      <c r="DH149" s="237">
        <f>DH89/DH34</f>
        <v>14.849393180580481</v>
      </c>
      <c r="DI149" s="237">
        <f>DI89/DI34</f>
        <v>15.129233648229526</v>
      </c>
      <c r="DJ149" s="237">
        <f>DJ89/DJ34</f>
        <v>15.321527032288921</v>
      </c>
      <c r="DK149" s="1391">
        <f t="shared" ref="DK149:DP149" si="371">DK89/DK34</f>
        <v>15.070491674400348</v>
      </c>
      <c r="DL149" s="237">
        <f>DL89/DL34</f>
        <v>14.648776821151099</v>
      </c>
      <c r="DM149" s="237">
        <f>DM89/DM34</f>
        <v>14.520801755395834</v>
      </c>
      <c r="DN149" s="237">
        <f>DN89/DN34</f>
        <v>14.793019264025498</v>
      </c>
      <c r="DO149" s="237">
        <f>DO89/DO34</f>
        <v>14.990123507744332</v>
      </c>
      <c r="DP149" s="1391">
        <f t="shared" si="371"/>
        <v>14.740364336241882</v>
      </c>
      <c r="DQ149" s="237">
        <f>DQ89/DQ34</f>
        <v>14.321003450912986</v>
      </c>
      <c r="DR149" s="237">
        <f t="shared" ref="DR149:DZ149" ca="1" si="372">DR89/DR34</f>
        <v>14.199770654710742</v>
      </c>
      <c r="DS149" s="237">
        <f t="shared" ca="1" si="372"/>
        <v>14.538742658708195</v>
      </c>
      <c r="DT149" s="237">
        <f t="shared" si="372"/>
        <v>14.741423965580138</v>
      </c>
      <c r="DU149" s="1391">
        <f t="shared" ca="1" si="372"/>
        <v>14.45153119582865</v>
      </c>
      <c r="DV149" s="237">
        <f t="shared" si="372"/>
        <v>14.31003718707046</v>
      </c>
      <c r="DW149" s="237">
        <f t="shared" ca="1" si="372"/>
        <v>14.194998556941989</v>
      </c>
      <c r="DX149" s="237">
        <f t="shared" ca="1" si="372"/>
        <v>14.531636660149081</v>
      </c>
      <c r="DY149" s="237">
        <f t="shared" si="372"/>
        <v>14.748318567532051</v>
      </c>
      <c r="DZ149" s="1391">
        <f t="shared" ca="1" si="372"/>
        <v>14.444807723686365</v>
      </c>
      <c r="EA149" s="237">
        <f t="shared" ref="EA149:EE149" si="373">EA89/EA34</f>
        <v>14.298822560780085</v>
      </c>
      <c r="EB149" s="237">
        <f t="shared" ca="1" si="373"/>
        <v>14.189919185884557</v>
      </c>
      <c r="EC149" s="237">
        <f t="shared" ca="1" si="373"/>
        <v>14.524238253009091</v>
      </c>
      <c r="ED149" s="237">
        <f t="shared" si="373"/>
        <v>14.754775687865306</v>
      </c>
      <c r="EE149" s="1391">
        <f t="shared" ca="1" si="373"/>
        <v>14.440720978122943</v>
      </c>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row>
    <row r="150" spans="2:238" s="150" customFormat="1" ht="12.75" customHeight="1">
      <c r="B150" s="559" t="s">
        <v>466</v>
      </c>
      <c r="C150" s="130"/>
      <c r="D150" s="130"/>
      <c r="E150" s="131"/>
      <c r="F150" s="131"/>
      <c r="G150" s="131"/>
      <c r="H150" s="131"/>
      <c r="I150" s="131"/>
      <c r="J150" s="131"/>
      <c r="K150" s="126"/>
      <c r="L150" s="127"/>
      <c r="M150" s="127"/>
      <c r="N150" s="132"/>
      <c r="O150" s="131"/>
      <c r="P150" s="126"/>
      <c r="Q150" s="127"/>
      <c r="R150" s="127"/>
      <c r="S150" s="132"/>
      <c r="T150" s="131"/>
      <c r="U150" s="126"/>
      <c r="V150" s="127"/>
      <c r="W150" s="127"/>
      <c r="X150" s="132"/>
      <c r="Y150" s="131"/>
      <c r="Z150" s="126"/>
      <c r="AA150" s="127"/>
      <c r="AB150" s="127"/>
      <c r="AC150" s="132"/>
      <c r="AD150" s="131"/>
      <c r="AE150" s="126"/>
      <c r="AF150" s="127"/>
      <c r="AG150" s="127"/>
      <c r="AH150" s="132"/>
      <c r="AI150" s="131"/>
      <c r="AJ150" s="126"/>
      <c r="AK150" s="127"/>
      <c r="AL150" s="127"/>
      <c r="AM150" s="132"/>
      <c r="AN150" s="131"/>
      <c r="AO150" s="126"/>
      <c r="AP150" s="127"/>
      <c r="AQ150" s="127"/>
      <c r="AR150" s="132"/>
      <c r="AS150" s="131"/>
      <c r="AT150" s="126"/>
      <c r="AU150" s="127"/>
      <c r="AV150" s="127"/>
      <c r="AW150" s="132"/>
      <c r="AX150" s="131"/>
      <c r="AY150" s="126"/>
      <c r="AZ150" s="127"/>
      <c r="BA150" s="127"/>
      <c r="BB150" s="132"/>
      <c r="BC150" s="131"/>
      <c r="BD150" s="126"/>
      <c r="BE150" s="127"/>
      <c r="BF150" s="127"/>
      <c r="BG150" s="132"/>
      <c r="BH150" s="131"/>
      <c r="BI150" s="126"/>
      <c r="BJ150" s="127"/>
      <c r="BK150" s="127"/>
      <c r="BL150" s="132"/>
      <c r="BM150" s="131"/>
      <c r="BN150" s="126"/>
      <c r="BO150" s="127"/>
      <c r="BP150" s="127"/>
      <c r="BQ150" s="132"/>
      <c r="BR150" s="131"/>
      <c r="BS150" s="126"/>
      <c r="BT150" s="127"/>
      <c r="BU150" s="127"/>
      <c r="BV150" s="132"/>
      <c r="BW150" s="131"/>
      <c r="BX150" s="126"/>
      <c r="BY150" s="127"/>
      <c r="BZ150" s="127"/>
      <c r="CA150" s="132"/>
      <c r="CB150" s="131"/>
      <c r="CC150" s="187">
        <f>CC149/CC139</f>
        <v>0.25271582997916009</v>
      </c>
      <c r="CD150" s="128">
        <f>CD149/CD139</f>
        <v>0.24868436706264857</v>
      </c>
      <c r="CE150" s="128">
        <f>CE149/CE139</f>
        <v>0.24764875205927905</v>
      </c>
      <c r="CF150" s="128">
        <f>CF149/CF139</f>
        <v>0.25514089775693732</v>
      </c>
      <c r="CG150" s="613"/>
      <c r="CH150" s="128">
        <f t="shared" ref="CH150:DF150" si="374">CH149/CH139</f>
        <v>0.2588082888793774</v>
      </c>
      <c r="CI150" s="128">
        <f t="shared" si="374"/>
        <v>0.2514259025929374</v>
      </c>
      <c r="CJ150" s="128">
        <f t="shared" si="374"/>
        <v>0.25075727177255069</v>
      </c>
      <c r="CK150" s="128">
        <f t="shared" si="374"/>
        <v>0.25685895060620262</v>
      </c>
      <c r="CL150" s="803">
        <f t="shared" si="374"/>
        <v>0.25438981211538342</v>
      </c>
      <c r="CM150" s="1430">
        <f t="shared" si="374"/>
        <v>0.24817237628698374</v>
      </c>
      <c r="CN150" s="1430">
        <f t="shared" si="374"/>
        <v>0.25104255284426685</v>
      </c>
      <c r="CO150" s="1430">
        <f t="shared" si="374"/>
        <v>0.25115972751441307</v>
      </c>
      <c r="CP150" s="1430">
        <f t="shared" si="374"/>
        <v>0.26282690990565311</v>
      </c>
      <c r="CQ150" s="803">
        <f t="shared" si="374"/>
        <v>0.25313980166745798</v>
      </c>
      <c r="CR150" s="1430">
        <f t="shared" si="374"/>
        <v>0.27213264634722106</v>
      </c>
      <c r="CS150" s="1430">
        <f t="shared" si="374"/>
        <v>0.26688165687897653</v>
      </c>
      <c r="CT150" s="1430">
        <f t="shared" si="374"/>
        <v>0.27145721870269857</v>
      </c>
      <c r="CU150" s="1430">
        <f t="shared" si="374"/>
        <v>0.26730762325073265</v>
      </c>
      <c r="CV150" s="803">
        <f t="shared" si="374"/>
        <v>0.26938755626676636</v>
      </c>
      <c r="CW150" s="1430">
        <f t="shared" si="374"/>
        <v>0.25990966955671629</v>
      </c>
      <c r="CX150" s="1430">
        <f t="shared" si="374"/>
        <v>0.25579367658833135</v>
      </c>
      <c r="CY150" s="1430">
        <f>CY149/CY139</f>
        <v>0.26765179908690562</v>
      </c>
      <c r="CZ150" s="1430">
        <f t="shared" si="374"/>
        <v>0.26254842978264242</v>
      </c>
      <c r="DA150" s="803">
        <f t="shared" si="374"/>
        <v>0.26150932468590493</v>
      </c>
      <c r="DB150" s="1430">
        <f>DB149/DB139</f>
        <v>0.25312418243739959</v>
      </c>
      <c r="DC150" s="1430">
        <f>DC149/DC139</f>
        <v>0.24440672381122916</v>
      </c>
      <c r="DD150" s="1430">
        <f t="shared" si="374"/>
        <v>0.25129170091171121</v>
      </c>
      <c r="DE150" s="1430">
        <f>DE149/DE139</f>
        <v>0.24910482852401916</v>
      </c>
      <c r="DF150" s="803">
        <f t="shared" si="374"/>
        <v>0.24944882425808793</v>
      </c>
      <c r="DG150" s="1430">
        <f t="shared" ref="DG150:DL150" si="375">DG149/DG139</f>
        <v>0.24412709203046473</v>
      </c>
      <c r="DH150" s="1430">
        <f t="shared" si="375"/>
        <v>0.24683244284907313</v>
      </c>
      <c r="DI150" s="1430">
        <f t="shared" si="375"/>
        <v>0.24967339664129698</v>
      </c>
      <c r="DJ150" s="1430">
        <f t="shared" si="375"/>
        <v>0.25527143957737536</v>
      </c>
      <c r="DK150" s="1431">
        <f t="shared" si="375"/>
        <v>0.24892961281775691</v>
      </c>
      <c r="DL150" s="1430">
        <f t="shared" si="375"/>
        <v>0.24643727031209953</v>
      </c>
      <c r="DM150" s="1430">
        <f t="shared" ref="DM150:DN150" si="376">DM149/DM139</f>
        <v>0.25069658987421328</v>
      </c>
      <c r="DN150" s="1430">
        <f t="shared" si="376"/>
        <v>0.24921782939098058</v>
      </c>
      <c r="DO150" s="1430">
        <f t="shared" ref="DO150:DQ150" si="377">DO149/DO139</f>
        <v>0.24737119622693396</v>
      </c>
      <c r="DP150" s="1431">
        <f t="shared" ref="DP150:DU150" si="378">DP149/DP139</f>
        <v>0.24846340266548458</v>
      </c>
      <c r="DQ150" s="1430">
        <f t="shared" si="377"/>
        <v>0.241688586111106</v>
      </c>
      <c r="DR150" s="1430">
        <f t="shared" ca="1" si="378"/>
        <v>0.2440425181130467</v>
      </c>
      <c r="DS150" s="1430">
        <f t="shared" ca="1" si="378"/>
        <v>0.24143597049954305</v>
      </c>
      <c r="DT150" s="1430">
        <f t="shared" si="378"/>
        <v>0.22716512940128603</v>
      </c>
      <c r="DU150" s="1431">
        <f t="shared" ca="1" si="378"/>
        <v>0.23836587021351255</v>
      </c>
      <c r="DV150" s="1430">
        <f t="shared" ref="DV150:DZ150" si="379">DV149/DV139</f>
        <v>0.23095158731253967</v>
      </c>
      <c r="DW150" s="1430">
        <f t="shared" ca="1" si="379"/>
        <v>0.24502582290422423</v>
      </c>
      <c r="DX150" s="1430">
        <f t="shared" ca="1" si="379"/>
        <v>0.24283373513801251</v>
      </c>
      <c r="DY150" s="1430">
        <f t="shared" si="379"/>
        <v>0.22874944782102316</v>
      </c>
      <c r="DZ150" s="1431">
        <f t="shared" ca="1" si="379"/>
        <v>0.23679314162622053</v>
      </c>
      <c r="EA150" s="1430">
        <f t="shared" ref="EA150:EE150" si="380">EA149/EA139</f>
        <v>0.23114645498847736</v>
      </c>
      <c r="EB150" s="1430">
        <f t="shared" ca="1" si="380"/>
        <v>0.2455097553105432</v>
      </c>
      <c r="EC150" s="1430">
        <f t="shared" ca="1" si="380"/>
        <v>0.2435935083095172</v>
      </c>
      <c r="ED150" s="1430">
        <f t="shared" si="380"/>
        <v>0.22990305539849037</v>
      </c>
      <c r="EE150" s="1431">
        <f t="shared" ca="1" si="380"/>
        <v>0.23736612157116935</v>
      </c>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row>
    <row r="151" spans="2:238" s="150" customFormat="1" ht="12.75" customHeight="1">
      <c r="B151" s="555" t="s">
        <v>343</v>
      </c>
      <c r="C151" s="130"/>
      <c r="D151" s="130"/>
      <c r="E151" s="131"/>
      <c r="F151" s="131"/>
      <c r="G151" s="131"/>
      <c r="H151" s="131"/>
      <c r="I151" s="131"/>
      <c r="J151" s="131"/>
      <c r="K151" s="126"/>
      <c r="L151" s="127"/>
      <c r="M151" s="127"/>
      <c r="N151" s="132"/>
      <c r="O151" s="131"/>
      <c r="P151" s="126"/>
      <c r="Q151" s="127"/>
      <c r="R151" s="127"/>
      <c r="S151" s="132"/>
      <c r="T151" s="131"/>
      <c r="U151" s="126"/>
      <c r="V151" s="127"/>
      <c r="W151" s="127"/>
      <c r="X151" s="132"/>
      <c r="Y151" s="131"/>
      <c r="Z151" s="126"/>
      <c r="AA151" s="127"/>
      <c r="AB151" s="127"/>
      <c r="AC151" s="132"/>
      <c r="AD151" s="131"/>
      <c r="AE151" s="126"/>
      <c r="AF151" s="127"/>
      <c r="AG151" s="127"/>
      <c r="AH151" s="132"/>
      <c r="AI151" s="131"/>
      <c r="AJ151" s="126"/>
      <c r="AK151" s="127"/>
      <c r="AL151" s="127"/>
      <c r="AM151" s="132"/>
      <c r="AN151" s="131"/>
      <c r="AO151" s="126"/>
      <c r="AP151" s="127"/>
      <c r="AQ151" s="127"/>
      <c r="AR151" s="132"/>
      <c r="AS151" s="131"/>
      <c r="AT151" s="126"/>
      <c r="AU151" s="127"/>
      <c r="AV151" s="127"/>
      <c r="AW151" s="132"/>
      <c r="AX151" s="131"/>
      <c r="AY151" s="126"/>
      <c r="AZ151" s="127"/>
      <c r="BA151" s="127"/>
      <c r="BB151" s="132"/>
      <c r="BC151" s="131"/>
      <c r="BD151" s="126"/>
      <c r="BE151" s="127"/>
      <c r="BF151" s="127"/>
      <c r="BG151" s="132"/>
      <c r="BH151" s="131"/>
      <c r="BI151" s="126"/>
      <c r="BJ151" s="127"/>
      <c r="BK151" s="127"/>
      <c r="BL151" s="132"/>
      <c r="BM151" s="131"/>
      <c r="BN151" s="126"/>
      <c r="BO151" s="127"/>
      <c r="BP151" s="127"/>
      <c r="BQ151" s="132"/>
      <c r="BR151" s="131"/>
      <c r="BS151" s="126"/>
      <c r="BT151" s="127"/>
      <c r="BU151" s="127"/>
      <c r="BV151" s="132"/>
      <c r="BW151" s="131"/>
      <c r="BX151" s="126"/>
      <c r="BY151" s="127"/>
      <c r="BZ151" s="127"/>
      <c r="CA151" s="132"/>
      <c r="CB151" s="131"/>
      <c r="CC151" s="126"/>
      <c r="CD151" s="127"/>
      <c r="CE151" s="127"/>
      <c r="CF151" s="127"/>
      <c r="CG151" s="613"/>
      <c r="CH151" s="127"/>
      <c r="CI151" s="127"/>
      <c r="CJ151" s="127"/>
      <c r="CK151" s="129"/>
      <c r="CL151" s="613"/>
      <c r="CM151" s="129"/>
      <c r="CN151" s="129"/>
      <c r="CO151" s="129"/>
      <c r="CP151" s="129"/>
      <c r="CQ151" s="831"/>
      <c r="CR151" s="188"/>
      <c r="CS151" s="188"/>
      <c r="CT151" s="188"/>
      <c r="CU151" s="188"/>
      <c r="CV151" s="837"/>
      <c r="CW151" s="188"/>
      <c r="CX151" s="188"/>
      <c r="CY151" s="188"/>
      <c r="CZ151" s="188"/>
      <c r="DA151" s="837"/>
      <c r="DB151" s="188"/>
      <c r="DC151" s="188"/>
      <c r="DD151" s="188"/>
      <c r="DE151" s="188"/>
      <c r="DF151" s="837"/>
      <c r="DG151" s="188"/>
      <c r="DH151" s="188"/>
      <c r="DI151" s="188"/>
      <c r="DJ151" s="188"/>
      <c r="DK151" s="1371"/>
      <c r="DL151" s="188"/>
      <c r="DM151" s="188"/>
      <c r="DN151" s="188"/>
      <c r="DO151" s="188"/>
      <c r="DP151" s="1371"/>
      <c r="DQ151" s="188"/>
      <c r="DR151" s="188"/>
      <c r="DS151" s="188"/>
      <c r="DT151" s="188"/>
      <c r="DU151" s="1371"/>
      <c r="DV151" s="188"/>
      <c r="DW151" s="188"/>
      <c r="DX151" s="188"/>
      <c r="DY151" s="188"/>
      <c r="DZ151" s="1371"/>
      <c r="EA151" s="188"/>
      <c r="EB151" s="188"/>
      <c r="EC151" s="188"/>
      <c r="ED151" s="188"/>
      <c r="EE151" s="137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row>
    <row r="152" spans="2:238" s="150" customFormat="1" ht="12.75" customHeight="1">
      <c r="B152" s="567" t="s">
        <v>97</v>
      </c>
      <c r="C152" s="130"/>
      <c r="D152" s="130"/>
      <c r="E152" s="131"/>
      <c r="F152" s="131"/>
      <c r="G152" s="131"/>
      <c r="H152" s="131"/>
      <c r="I152" s="131"/>
      <c r="J152" s="131"/>
      <c r="K152" s="126"/>
      <c r="L152" s="127"/>
      <c r="M152" s="127"/>
      <c r="N152" s="132"/>
      <c r="O152" s="131"/>
      <c r="P152" s="126"/>
      <c r="Q152" s="127"/>
      <c r="R152" s="127"/>
      <c r="S152" s="132"/>
      <c r="T152" s="131"/>
      <c r="U152" s="126"/>
      <c r="V152" s="127"/>
      <c r="W152" s="127"/>
      <c r="X152" s="132"/>
      <c r="Y152" s="131"/>
      <c r="Z152" s="126"/>
      <c r="AA152" s="127"/>
      <c r="AB152" s="127"/>
      <c r="AC152" s="132"/>
      <c r="AD152" s="131"/>
      <c r="AE152" s="126"/>
      <c r="AF152" s="127"/>
      <c r="AG152" s="127"/>
      <c r="AH152" s="132"/>
      <c r="AI152" s="131"/>
      <c r="AJ152" s="126"/>
      <c r="AK152" s="127"/>
      <c r="AL152" s="127"/>
      <c r="AM152" s="132"/>
      <c r="AN152" s="131"/>
      <c r="AO152" s="126"/>
      <c r="AP152" s="127"/>
      <c r="AQ152" s="127"/>
      <c r="AR152" s="132"/>
      <c r="AS152" s="131"/>
      <c r="AT152" s="126"/>
      <c r="AU152" s="127"/>
      <c r="AV152" s="127"/>
      <c r="AW152" s="132"/>
      <c r="AX152" s="131"/>
      <c r="AY152" s="126"/>
      <c r="AZ152" s="127"/>
      <c r="BA152" s="127"/>
      <c r="BB152" s="132"/>
      <c r="BC152" s="131"/>
      <c r="BD152" s="126"/>
      <c r="BE152" s="127"/>
      <c r="BF152" s="127"/>
      <c r="BG152" s="132"/>
      <c r="BH152" s="131"/>
      <c r="BI152" s="126"/>
      <c r="BJ152" s="127"/>
      <c r="BK152" s="127"/>
      <c r="BL152" s="132"/>
      <c r="BM152" s="131"/>
      <c r="BN152" s="126"/>
      <c r="BO152" s="127"/>
      <c r="BP152" s="127"/>
      <c r="BQ152" s="132"/>
      <c r="BR152" s="131"/>
      <c r="BS152" s="126"/>
      <c r="BT152" s="127"/>
      <c r="BU152" s="127"/>
      <c r="BV152" s="132"/>
      <c r="BW152" s="131"/>
      <c r="BX152" s="243">
        <v>0</v>
      </c>
      <c r="BY152" s="244">
        <v>0.01</v>
      </c>
      <c r="BZ152" s="244">
        <v>-3.3333333333331883E-3</v>
      </c>
      <c r="CA152" s="245">
        <v>1.4999999999999999E-2</v>
      </c>
      <c r="CB152" s="131">
        <f>CB147/BW147-1</f>
        <v>5.4579866007757882E-3</v>
      </c>
      <c r="CC152" s="243">
        <v>-0.02</v>
      </c>
      <c r="CD152" s="244">
        <v>-4.9500000000000002E-2</v>
      </c>
      <c r="CE152" s="244">
        <v>-0.04</v>
      </c>
      <c r="CF152" s="244">
        <v>-1.4999999999999999E-2</v>
      </c>
      <c r="CG152" s="613">
        <f>CG147/CB147-1</f>
        <v>-3.1130081431480439E-2</v>
      </c>
      <c r="CH152" s="244">
        <v>2.5000000000000001E-3</v>
      </c>
      <c r="CI152" s="244">
        <v>-7.4999999999999997E-3</v>
      </c>
      <c r="CJ152" s="244">
        <v>0.01</v>
      </c>
      <c r="CK152" s="244">
        <v>1.4999999999999999E-2</v>
      </c>
      <c r="CL152" s="613">
        <f>CL147/CG147-1</f>
        <v>4.9591481849773356E-3</v>
      </c>
      <c r="CM152" s="244">
        <v>-2.18E-2</v>
      </c>
      <c r="CN152" s="244">
        <v>5.0000000000000001E-3</v>
      </c>
      <c r="CO152" s="244">
        <v>1.0999999999999999E-2</v>
      </c>
      <c r="CP152" s="244">
        <v>-2.5000000000000001E-3</v>
      </c>
      <c r="CQ152" s="613">
        <f>CQ147/CL147-1</f>
        <v>-2.3267652965947017E-3</v>
      </c>
      <c r="CR152" s="244">
        <v>-0.01</v>
      </c>
      <c r="CS152" s="244">
        <v>-0.01</v>
      </c>
      <c r="CT152" s="244">
        <v>5.0000000000000001E-3</v>
      </c>
      <c r="CU152" s="244">
        <v>5.0000000000000001E-3</v>
      </c>
      <c r="CV152" s="613">
        <f>CV147/CQ147-1</f>
        <v>-1.8328690254022506E-3</v>
      </c>
      <c r="CW152" s="244">
        <v>0</v>
      </c>
      <c r="CX152" s="244">
        <v>0</v>
      </c>
      <c r="CY152" s="244">
        <v>0</v>
      </c>
      <c r="CZ152" s="244">
        <v>0</v>
      </c>
      <c r="DA152" s="613">
        <f>DA147/CV147-1</f>
        <v>2.2913990299411324E-5</v>
      </c>
      <c r="DB152" s="244">
        <v>0</v>
      </c>
      <c r="DC152" s="1726">
        <v>0</v>
      </c>
      <c r="DD152" s="1726">
        <v>0</v>
      </c>
      <c r="DE152" s="1726">
        <v>0</v>
      </c>
      <c r="DF152" s="613">
        <f>DF147/DA147-1</f>
        <v>-2.089047001669897E-4</v>
      </c>
      <c r="DG152" s="1726">
        <v>0.02</v>
      </c>
      <c r="DH152" s="1726">
        <v>0.02</v>
      </c>
      <c r="DI152" s="1726">
        <v>0</v>
      </c>
      <c r="DJ152" s="1726">
        <v>-0.01</v>
      </c>
      <c r="DK152" s="1394">
        <f>DK147/DF147-1</f>
        <v>7.014405601660556E-3</v>
      </c>
      <c r="DL152" s="1726">
        <v>-2.5000000000000001E-2</v>
      </c>
      <c r="DM152" s="1726">
        <v>-2.5000000000000001E-2</v>
      </c>
      <c r="DN152" s="1726">
        <v>-2.5000000000000001E-2</v>
      </c>
      <c r="DO152" s="1726">
        <v>-2.5000000000000001E-2</v>
      </c>
      <c r="DP152" s="1394">
        <f>DP147/DK147-1</f>
        <v>-2.473519679693259E-2</v>
      </c>
      <c r="DQ152" s="1726">
        <v>-2.5000000000000001E-2</v>
      </c>
      <c r="DR152" s="242">
        <v>-2.5000000000000001E-2</v>
      </c>
      <c r="DS152" s="242">
        <v>-0.02</v>
      </c>
      <c r="DT152" s="2247">
        <v>-0.02</v>
      </c>
      <c r="DU152" s="1394">
        <f ca="1">DU147/DP147-1</f>
        <v>-2.2547101150126037E-2</v>
      </c>
      <c r="DV152" s="242">
        <v>-5.0000000000000001E-3</v>
      </c>
      <c r="DW152" s="242">
        <v>-5.0000000000000001E-3</v>
      </c>
      <c r="DX152" s="242">
        <v>-5.0000000000000001E-3</v>
      </c>
      <c r="DY152" s="242">
        <v>-5.0000000000000001E-3</v>
      </c>
      <c r="DZ152" s="1394">
        <f ca="1">DZ147/DU147-1</f>
        <v>-5.2828283026996603E-3</v>
      </c>
      <c r="EA152" s="242">
        <v>-5.0000000000000001E-3</v>
      </c>
      <c r="EB152" s="242">
        <v>-5.0000000000000001E-3</v>
      </c>
      <c r="EC152" s="242">
        <v>-5.0000000000000001E-3</v>
      </c>
      <c r="ED152" s="242">
        <v>-5.0000000000000001E-3</v>
      </c>
      <c r="EE152" s="1394">
        <f ca="1">EE147/DZ147-1</f>
        <v>-4.973281177971689E-3</v>
      </c>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row>
    <row r="153" spans="2:238" s="150" customFormat="1" ht="12.75" customHeight="1">
      <c r="B153" s="1129" t="s">
        <v>33</v>
      </c>
      <c r="C153" s="246"/>
      <c r="D153" s="246"/>
      <c r="E153" s="247"/>
      <c r="F153" s="247"/>
      <c r="G153" s="247"/>
      <c r="H153" s="247"/>
      <c r="I153" s="247"/>
      <c r="J153" s="247"/>
      <c r="K153" s="148"/>
      <c r="L153" s="149"/>
      <c r="M153" s="149"/>
      <c r="N153" s="276"/>
      <c r="O153" s="247"/>
      <c r="P153" s="148"/>
      <c r="Q153" s="149"/>
      <c r="R153" s="149"/>
      <c r="S153" s="276"/>
      <c r="T153" s="247"/>
      <c r="U153" s="148"/>
      <c r="V153" s="149"/>
      <c r="W153" s="149"/>
      <c r="X153" s="276"/>
      <c r="Y153" s="247"/>
      <c r="Z153" s="148"/>
      <c r="AA153" s="149"/>
      <c r="AB153" s="149"/>
      <c r="AC153" s="276"/>
      <c r="AD153" s="247"/>
      <c r="AE153" s="148"/>
      <c r="AF153" s="149"/>
      <c r="AG153" s="149"/>
      <c r="AH153" s="276"/>
      <c r="AI153" s="247"/>
      <c r="AJ153" s="148"/>
      <c r="AK153" s="149"/>
      <c r="AL153" s="149"/>
      <c r="AM153" s="276"/>
      <c r="AN153" s="247"/>
      <c r="AO153" s="148"/>
      <c r="AP153" s="149"/>
      <c r="AQ153" s="149"/>
      <c r="AR153" s="276"/>
      <c r="AS153" s="247"/>
      <c r="AT153" s="148"/>
      <c r="AU153" s="149"/>
      <c r="AV153" s="149"/>
      <c r="AW153" s="276"/>
      <c r="AX153" s="247"/>
      <c r="AY153" s="148"/>
      <c r="AZ153" s="149"/>
      <c r="BA153" s="149"/>
      <c r="BB153" s="276"/>
      <c r="BC153" s="247"/>
      <c r="BD153" s="148"/>
      <c r="BE153" s="149"/>
      <c r="BF153" s="149"/>
      <c r="BG153" s="276"/>
      <c r="BH153" s="247"/>
      <c r="BI153" s="148"/>
      <c r="BJ153" s="149"/>
      <c r="BK153" s="149"/>
      <c r="BL153" s="276"/>
      <c r="BM153" s="247"/>
      <c r="BN153" s="148"/>
      <c r="BO153" s="149"/>
      <c r="BP153" s="149"/>
      <c r="BQ153" s="276"/>
      <c r="BR153" s="247"/>
      <c r="BS153" s="148"/>
      <c r="BT153" s="149"/>
      <c r="BU153" s="149"/>
      <c r="BV153" s="276"/>
      <c r="BW153" s="247"/>
      <c r="BX153" s="1130">
        <v>0.01</v>
      </c>
      <c r="BY153" s="1131">
        <v>0.01</v>
      </c>
      <c r="BZ153" s="1131">
        <v>0.01</v>
      </c>
      <c r="CA153" s="1132">
        <v>0.01</v>
      </c>
      <c r="CB153" s="247">
        <f>CB148/BW148-1</f>
        <v>9.9999999999997868E-3</v>
      </c>
      <c r="CC153" s="1130">
        <v>0.01</v>
      </c>
      <c r="CD153" s="1131">
        <v>0.01</v>
      </c>
      <c r="CE153" s="1131">
        <v>0.01</v>
      </c>
      <c r="CF153" s="1131">
        <v>0.01</v>
      </c>
      <c r="CG153" s="813">
        <f>CG148/CB148-1</f>
        <v>1.0000000000000009E-2</v>
      </c>
      <c r="CH153" s="1131">
        <v>0.01</v>
      </c>
      <c r="CI153" s="1131">
        <v>0.01</v>
      </c>
      <c r="CJ153" s="1131">
        <v>0.01</v>
      </c>
      <c r="CK153" s="1131">
        <v>0.01</v>
      </c>
      <c r="CL153" s="813">
        <f>CL148/CG148-1</f>
        <v>1.0000000000000231E-2</v>
      </c>
      <c r="CM153" s="1131">
        <v>0</v>
      </c>
      <c r="CN153" s="1131">
        <v>0.01</v>
      </c>
      <c r="CO153" s="1131">
        <v>0.01</v>
      </c>
      <c r="CP153" s="1131">
        <v>-0.05</v>
      </c>
      <c r="CQ153" s="813">
        <f>CQ148/CL148-1</f>
        <v>-6.1116019530341736E-3</v>
      </c>
      <c r="CR153" s="1131">
        <f>CR134</f>
        <v>0.16489649700574116</v>
      </c>
      <c r="CS153" s="1131">
        <f>CS134</f>
        <v>7.5464910442641697E-2</v>
      </c>
      <c r="CT153" s="1131">
        <f>CT134</f>
        <v>0.11742155639234308</v>
      </c>
      <c r="CU153" s="1131">
        <v>0.05</v>
      </c>
      <c r="CV153" s="813">
        <f>CV148/CQ148-1</f>
        <v>0.10358294548827041</v>
      </c>
      <c r="CW153" s="1131">
        <v>0</v>
      </c>
      <c r="CX153" s="1131">
        <v>0</v>
      </c>
      <c r="CY153" s="1131">
        <v>0</v>
      </c>
      <c r="CZ153" s="1131">
        <v>0</v>
      </c>
      <c r="DA153" s="813">
        <f>DA148/CV148-1</f>
        <v>1.388400940980139E-3</v>
      </c>
      <c r="DB153" s="1131">
        <v>0</v>
      </c>
      <c r="DC153" s="1727">
        <v>0</v>
      </c>
      <c r="DD153" s="1727">
        <v>0</v>
      </c>
      <c r="DE153" s="1727">
        <v>0</v>
      </c>
      <c r="DF153" s="813">
        <f>DF148/DA148-1</f>
        <v>-2.2832608042504532E-3</v>
      </c>
      <c r="DG153" s="1727">
        <v>0</v>
      </c>
      <c r="DH153" s="1727">
        <v>0</v>
      </c>
      <c r="DI153" s="1727">
        <v>0</v>
      </c>
      <c r="DJ153" s="1726">
        <v>-0.01</v>
      </c>
      <c r="DK153" s="1395">
        <f>DK148/DF148-1</f>
        <v>-2.5205517762644236E-3</v>
      </c>
      <c r="DL153" s="1727">
        <v>-2.5000000000000001E-2</v>
      </c>
      <c r="DM153" s="1727">
        <v>-2.5000000000000001E-2</v>
      </c>
      <c r="DN153" s="1727">
        <v>-2.5000000000000001E-2</v>
      </c>
      <c r="DO153" s="1727">
        <v>-2.5000000000000001E-2</v>
      </c>
      <c r="DP153" s="1395">
        <f>DP148/DK148-1</f>
        <v>-2.5893828807303509E-2</v>
      </c>
      <c r="DQ153" s="1727">
        <v>-2.5000000000000001E-2</v>
      </c>
      <c r="DR153" s="1133">
        <v>-2.5000000000000001E-2</v>
      </c>
      <c r="DS153" s="1133">
        <v>-0.02</v>
      </c>
      <c r="DT153" s="2299">
        <v>-0.02</v>
      </c>
      <c r="DU153" s="1395">
        <f ca="1">DU148/DP148-1</f>
        <v>-2.2357943323397023E-2</v>
      </c>
      <c r="DV153" s="242">
        <v>-5.0000000000000001E-3</v>
      </c>
      <c r="DW153" s="242">
        <v>-5.0000000000000001E-3</v>
      </c>
      <c r="DX153" s="242">
        <v>-5.0000000000000001E-3</v>
      </c>
      <c r="DY153" s="242">
        <v>-5.0000000000000001E-3</v>
      </c>
      <c r="DZ153" s="1395">
        <f ca="1">DZ148/DU148-1</f>
        <v>-3.6145537154875784E-3</v>
      </c>
      <c r="EA153" s="242">
        <v>-5.0000000000000001E-3</v>
      </c>
      <c r="EB153" s="242">
        <v>-5.0000000000000001E-3</v>
      </c>
      <c r="EC153" s="242">
        <v>-5.0000000000000001E-3</v>
      </c>
      <c r="ED153" s="242">
        <v>-5.0000000000000001E-3</v>
      </c>
      <c r="EE153" s="1395">
        <f ca="1">EE148/DZ148-1</f>
        <v>-4.9987420793868864E-3</v>
      </c>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row>
    <row r="154" spans="2:238" s="150" customFormat="1" ht="12.75" customHeight="1">
      <c r="B154" s="557" t="s">
        <v>392</v>
      </c>
      <c r="C154" s="130"/>
      <c r="D154" s="130"/>
      <c r="E154" s="131"/>
      <c r="F154" s="131"/>
      <c r="G154" s="131"/>
      <c r="H154" s="131"/>
      <c r="I154" s="131"/>
      <c r="J154" s="131"/>
      <c r="K154" s="126"/>
      <c r="L154" s="127"/>
      <c r="M154" s="127"/>
      <c r="N154" s="132"/>
      <c r="O154" s="131"/>
      <c r="P154" s="126"/>
      <c r="Q154" s="127"/>
      <c r="R154" s="127"/>
      <c r="S154" s="132"/>
      <c r="T154" s="131"/>
      <c r="U154" s="126"/>
      <c r="V154" s="127"/>
      <c r="W154" s="127"/>
      <c r="X154" s="132"/>
      <c r="Y154" s="131"/>
      <c r="Z154" s="126"/>
      <c r="AA154" s="127"/>
      <c r="AB154" s="127"/>
      <c r="AC154" s="132"/>
      <c r="AD154" s="131"/>
      <c r="AE154" s="126"/>
      <c r="AF154" s="127"/>
      <c r="AG154" s="127"/>
      <c r="AH154" s="132"/>
      <c r="AI154" s="131"/>
      <c r="AJ154" s="126"/>
      <c r="AK154" s="127"/>
      <c r="AL154" s="127"/>
      <c r="AM154" s="132"/>
      <c r="AN154" s="131"/>
      <c r="AO154" s="126"/>
      <c r="AP154" s="127"/>
      <c r="AQ154" s="127"/>
      <c r="AR154" s="132"/>
      <c r="AS154" s="131"/>
      <c r="AT154" s="126"/>
      <c r="AU154" s="127"/>
      <c r="AV154" s="127"/>
      <c r="AW154" s="132"/>
      <c r="AX154" s="131"/>
      <c r="AY154" s="126"/>
      <c r="AZ154" s="127"/>
      <c r="BA154" s="127"/>
      <c r="BB154" s="132"/>
      <c r="BC154" s="131"/>
      <c r="BD154" s="126"/>
      <c r="BE154" s="127"/>
      <c r="BF154" s="127"/>
      <c r="BG154" s="132"/>
      <c r="BH154" s="131"/>
      <c r="BI154" s="126"/>
      <c r="BJ154" s="127"/>
      <c r="BK154" s="127"/>
      <c r="BL154" s="132"/>
      <c r="BM154" s="131"/>
      <c r="BN154" s="126"/>
      <c r="BO154" s="127"/>
      <c r="BP154" s="127"/>
      <c r="BQ154" s="132"/>
      <c r="BR154" s="131"/>
      <c r="BS154" s="126"/>
      <c r="BT154" s="127"/>
      <c r="BU154" s="127"/>
      <c r="BV154" s="132"/>
      <c r="BW154" s="131"/>
      <c r="BX154" s="126">
        <f>BX149/BS149-1</f>
        <v>2.1388673103244216E-2</v>
      </c>
      <c r="BY154" s="127">
        <f>BY149/BT149-1</f>
        <v>2.6339213820364415E-2</v>
      </c>
      <c r="BZ154" s="127">
        <f>BZ149/BU149-1</f>
        <v>1.5117926250456604E-2</v>
      </c>
      <c r="CA154" s="132">
        <f>CA149/BV149-1</f>
        <v>2.7279934687953311E-2</v>
      </c>
      <c r="CB154" s="131">
        <f>CB149/BW149-1</f>
        <v>2.2627145349364719E-2</v>
      </c>
      <c r="CC154" s="126">
        <f>CC149/BX149-1</f>
        <v>7.0226574723286639E-4</v>
      </c>
      <c r="CD154" s="127">
        <f>CD149/BY149-1</f>
        <v>-2.3055521538683177E-2</v>
      </c>
      <c r="CE154" s="127">
        <f>CE149/BZ149-1</f>
        <v>-1.4159590966505764E-2</v>
      </c>
      <c r="CF154" s="127">
        <f>CF149/CA149-1</f>
        <v>9.8758204828475193E-3</v>
      </c>
      <c r="CG154" s="613">
        <f>CG149/CB149-1</f>
        <v>-6.7697830694106731E-3</v>
      </c>
      <c r="CH154" s="127">
        <f>CH149/CC149-1</f>
        <v>2.2258615653757197E-2</v>
      </c>
      <c r="CI154" s="127">
        <f>CI149/CD149-1</f>
        <v>9.6049282520778156E-3</v>
      </c>
      <c r="CJ154" s="127">
        <f>CJ149/CE149-1</f>
        <v>2.2364554842307705E-2</v>
      </c>
      <c r="CK154" s="127">
        <f>CK149/CF149-1</f>
        <v>2.7329346312757963E-2</v>
      </c>
      <c r="CL154" s="613">
        <f>CL149/CG149-1</f>
        <v>2.0305540699236735E-2</v>
      </c>
      <c r="CM154" s="188">
        <f>CM149/CH149-1</f>
        <v>-1.0918156147935565E-2</v>
      </c>
      <c r="CN154" s="188">
        <f>CN149/CI149-1</f>
        <v>2.4672508440922503E-2</v>
      </c>
      <c r="CO154" s="188">
        <f>CO149/CJ149-1</f>
        <v>3.4219721949157567E-2</v>
      </c>
      <c r="CP154" s="188">
        <f>CP149/CK149-1</f>
        <v>1.6419535658729556E-2</v>
      </c>
      <c r="CQ154" s="613">
        <f>CQ149/CL149-1</f>
        <v>1.533559164961984E-2</v>
      </c>
      <c r="CR154" s="188">
        <f>CR149/CM149-1</f>
        <v>3.7853840052913812E-2</v>
      </c>
      <c r="CS154" s="188">
        <f>CS149/CN149-1</f>
        <v>1.6522613215731008E-2</v>
      </c>
      <c r="CT154" s="188">
        <f>CT149/CO149-1</f>
        <v>3.7540487788673804E-2</v>
      </c>
      <c r="CU154" s="188">
        <f>CU149/CP149-1</f>
        <v>2.7504928156751429E-2</v>
      </c>
      <c r="CV154" s="613">
        <f>CV149/CQ149-1</f>
        <v>3.0720205059496131E-2</v>
      </c>
      <c r="CW154" s="188">
        <f>CW149/CR149-1</f>
        <v>1.2616591184839709E-3</v>
      </c>
      <c r="CX154" s="188">
        <f>CX149/CS149-1</f>
        <v>6.9653698386402674E-3</v>
      </c>
      <c r="CY154" s="188">
        <f>CY149/CT149-1</f>
        <v>5.0472243558621344E-3</v>
      </c>
      <c r="CZ154" s="188">
        <f>CZ149/CU149-1</f>
        <v>6.6998331936976019E-3</v>
      </c>
      <c r="DA154" s="613">
        <f>DA149/CV149-1</f>
        <v>5.0162115452514477E-3</v>
      </c>
      <c r="DB154" s="188">
        <f>DB149/CW149-1</f>
        <v>1.0038322994389892E-2</v>
      </c>
      <c r="DC154" s="188">
        <f>DC149/CX149-1</f>
        <v>3.142230428904158E-3</v>
      </c>
      <c r="DD154" s="188">
        <f>DD149/CY149-1</f>
        <v>-1.1267427713826939E-3</v>
      </c>
      <c r="DE154" s="188">
        <f>DE149/CZ149-1</f>
        <v>-4.1597001169546566E-4</v>
      </c>
      <c r="DF154" s="613">
        <f>DF149/DA149-1</f>
        <v>2.8138009269957909E-3</v>
      </c>
      <c r="DG154" s="188">
        <f>DG149/DB149-1</f>
        <v>2.2028028668988675E-2</v>
      </c>
      <c r="DH154" s="188">
        <f>DH149/DC149-1</f>
        <v>2.0551136353020194E-2</v>
      </c>
      <c r="DI154" s="188">
        <f>DI149/DD149-1</f>
        <v>2.3312564755453291E-3</v>
      </c>
      <c r="DJ154" s="2198">
        <f>DJ149/DE149-1</f>
        <v>-7.3180208189531637E-3</v>
      </c>
      <c r="DK154" s="1374">
        <f>DK149/DF149-1</f>
        <v>9.0809422339168666E-3</v>
      </c>
      <c r="DL154" s="188">
        <f>DL149/DG149-1</f>
        <v>-2.2394260274528954E-2</v>
      </c>
      <c r="DM154" s="188">
        <f>DM149/DH149-1</f>
        <v>-2.2128272932685822E-2</v>
      </c>
      <c r="DN154" s="188">
        <f>DN149/DI149-1</f>
        <v>-2.2222829789093401E-2</v>
      </c>
      <c r="DO154" s="188">
        <f>DO149/DJ149-1</f>
        <v>-2.1629927868559218E-2</v>
      </c>
      <c r="DP154" s="1374">
        <f>DP149/DK149-1</f>
        <v>-2.1905545306079133E-2</v>
      </c>
      <c r="DQ154" s="188">
        <f>DQ149/DL149-1</f>
        <v>-2.2375477095455953E-2</v>
      </c>
      <c r="DR154" s="188">
        <f ca="1">DR149/DM149-1</f>
        <v>-2.2108359172784531E-2</v>
      </c>
      <c r="DS154" s="188">
        <f ca="1">DS149/DN149-1</f>
        <v>-1.718895925023689E-2</v>
      </c>
      <c r="DT154" s="188">
        <f>DT149/DO149-1</f>
        <v>-1.6590893466335355E-2</v>
      </c>
      <c r="DU154" s="1374">
        <f ca="1">DU149/DP149-1</f>
        <v>-1.9594708368441238E-2</v>
      </c>
      <c r="DV154" s="188">
        <f>DV149/DQ149-1</f>
        <v>-7.6574688918373823E-4</v>
      </c>
      <c r="DW154" s="188">
        <f ca="1">DW149/DR149-1</f>
        <v>-3.3606865102209227E-4</v>
      </c>
      <c r="DX154" s="188">
        <f ca="1">DX149/DS149-1</f>
        <v>-4.8876293679067651E-4</v>
      </c>
      <c r="DY154" s="188">
        <f>DY149/DT149-1</f>
        <v>4.6770257527439796E-4</v>
      </c>
      <c r="DZ154" s="1374">
        <f ca="1">DZ149/DU149-1</f>
        <v>-4.6524289026383947E-4</v>
      </c>
      <c r="EA154" s="188">
        <f>EA149/DV149-1</f>
        <v>-7.8368952811025405E-4</v>
      </c>
      <c r="EB154" s="188">
        <f ca="1">EB149/DW149-1</f>
        <v>-3.5782821935881337E-4</v>
      </c>
      <c r="EC154" s="188">
        <f ca="1">EC149/DX149-1</f>
        <v>-5.0912414843662379E-4</v>
      </c>
      <c r="ED154" s="188">
        <f>ED149/DY149-1</f>
        <v>4.3782077961562749E-4</v>
      </c>
      <c r="EE154" s="1374">
        <f ca="1">EE149/DZ149-1</f>
        <v>-2.829214235036126E-4</v>
      </c>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row>
    <row r="155" spans="2:238" s="150" customFormat="1">
      <c r="B155" s="547"/>
      <c r="C155" s="130"/>
      <c r="D155" s="130"/>
      <c r="E155" s="131"/>
      <c r="F155" s="131"/>
      <c r="G155" s="131"/>
      <c r="H155" s="131"/>
      <c r="I155" s="131"/>
      <c r="J155" s="131"/>
      <c r="K155" s="126"/>
      <c r="L155" s="127"/>
      <c r="M155" s="127"/>
      <c r="N155" s="132"/>
      <c r="O155" s="131"/>
      <c r="P155" s="126"/>
      <c r="Q155" s="127"/>
      <c r="R155" s="127"/>
      <c r="S155" s="132"/>
      <c r="T155" s="131"/>
      <c r="U155" s="126"/>
      <c r="V155" s="127"/>
      <c r="W155" s="127"/>
      <c r="X155" s="132"/>
      <c r="Y155" s="131"/>
      <c r="Z155" s="126"/>
      <c r="AA155" s="127"/>
      <c r="AB155" s="127"/>
      <c r="AC155" s="132"/>
      <c r="AD155" s="131"/>
      <c r="AE155" s="126"/>
      <c r="AF155" s="127"/>
      <c r="AG155" s="127"/>
      <c r="AH155" s="132"/>
      <c r="AI155" s="131"/>
      <c r="AJ155" s="126"/>
      <c r="AK155" s="127"/>
      <c r="AL155" s="127"/>
      <c r="AM155" s="132"/>
      <c r="AN155" s="131"/>
      <c r="AO155" s="126"/>
      <c r="AP155" s="127"/>
      <c r="AQ155" s="127"/>
      <c r="AR155" s="132"/>
      <c r="AS155" s="131"/>
      <c r="AT155" s="126"/>
      <c r="AU155" s="127"/>
      <c r="AV155" s="127"/>
      <c r="AW155" s="132"/>
      <c r="AX155" s="131"/>
      <c r="AY155" s="126"/>
      <c r="AZ155" s="127"/>
      <c r="BA155" s="127"/>
      <c r="BB155" s="132"/>
      <c r="BC155" s="131"/>
      <c r="BD155" s="126"/>
      <c r="BE155" s="127"/>
      <c r="BF155" s="127"/>
      <c r="BG155" s="132"/>
      <c r="BH155" s="131"/>
      <c r="BI155" s="126"/>
      <c r="BJ155" s="127"/>
      <c r="BK155" s="127"/>
      <c r="BL155" s="132"/>
      <c r="BM155" s="131"/>
      <c r="BN155" s="126"/>
      <c r="BO155" s="127"/>
      <c r="BP155" s="127"/>
      <c r="BQ155" s="132"/>
      <c r="BR155" s="131"/>
      <c r="BS155" s="126"/>
      <c r="BT155" s="127"/>
      <c r="BU155" s="127"/>
      <c r="BV155" s="132"/>
      <c r="BW155" s="131"/>
      <c r="BX155" s="126"/>
      <c r="BY155" s="127"/>
      <c r="BZ155" s="127"/>
      <c r="CA155" s="132"/>
      <c r="CB155" s="131"/>
      <c r="CC155" s="126"/>
      <c r="CD155" s="127"/>
      <c r="CE155" s="127"/>
      <c r="CF155" s="127"/>
      <c r="CG155" s="613"/>
      <c r="CH155" s="127"/>
      <c r="CI155" s="127"/>
      <c r="CJ155" s="127"/>
      <c r="CK155" s="129"/>
      <c r="CL155" s="613"/>
      <c r="CM155" s="129"/>
      <c r="CN155" s="129"/>
      <c r="CO155" s="129"/>
      <c r="CP155" s="129"/>
      <c r="CQ155" s="831"/>
      <c r="CR155" s="129"/>
      <c r="CS155" s="129"/>
      <c r="CT155" s="129"/>
      <c r="CU155" s="129"/>
      <c r="CV155" s="831"/>
      <c r="CW155" s="129"/>
      <c r="CX155" s="129"/>
      <c r="CY155" s="129"/>
      <c r="CZ155" s="129"/>
      <c r="DA155" s="831"/>
      <c r="DB155" s="129"/>
      <c r="DC155" s="129"/>
      <c r="DD155" s="129"/>
      <c r="DE155" s="129"/>
      <c r="DF155" s="831"/>
      <c r="DG155" s="129"/>
      <c r="DH155" s="129"/>
      <c r="DI155" s="129"/>
      <c r="DJ155" s="129"/>
      <c r="DK155" s="1371"/>
      <c r="DL155" s="129"/>
      <c r="DM155" s="129"/>
      <c r="DN155" s="129"/>
      <c r="DO155" s="129"/>
      <c r="DP155" s="1371"/>
      <c r="DQ155" s="129"/>
      <c r="DR155" s="129"/>
      <c r="DS155" s="129"/>
      <c r="DT155" s="129"/>
      <c r="DU155" s="1371"/>
      <c r="DV155" s="129"/>
      <c r="DW155" s="129"/>
      <c r="DX155" s="129"/>
      <c r="DY155" s="129"/>
      <c r="DZ155" s="1371"/>
      <c r="EA155" s="129"/>
      <c r="EB155" s="129"/>
      <c r="EC155" s="129"/>
      <c r="ED155" s="129"/>
      <c r="EE155" s="1371"/>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row>
    <row r="156" spans="2:238" s="93" customFormat="1" ht="12.75" customHeight="1">
      <c r="B156" s="552" t="s">
        <v>337</v>
      </c>
      <c r="C156" s="151"/>
      <c r="D156" s="151"/>
      <c r="E156" s="152"/>
      <c r="F156" s="152"/>
      <c r="G156" s="152"/>
      <c r="H156" s="152"/>
      <c r="I156" s="152"/>
      <c r="J156" s="152"/>
      <c r="K156" s="153"/>
      <c r="L156" s="154"/>
      <c r="M156" s="154"/>
      <c r="N156" s="155"/>
      <c r="O156" s="152"/>
      <c r="P156" s="153"/>
      <c r="Q156" s="154"/>
      <c r="R156" s="154"/>
      <c r="S156" s="155"/>
      <c r="T156" s="152"/>
      <c r="U156" s="153"/>
      <c r="V156" s="154"/>
      <c r="W156" s="154"/>
      <c r="X156" s="155"/>
      <c r="Y156" s="152"/>
      <c r="Z156" s="153"/>
      <c r="AA156" s="154"/>
      <c r="AB156" s="154"/>
      <c r="AC156" s="155"/>
      <c r="AD156" s="152"/>
      <c r="AE156" s="153"/>
      <c r="AF156" s="154"/>
      <c r="AG156" s="154"/>
      <c r="AH156" s="155"/>
      <c r="AI156" s="152"/>
      <c r="AJ156" s="153"/>
      <c r="AK156" s="154"/>
      <c r="AL156" s="154"/>
      <c r="AM156" s="155"/>
      <c r="AN156" s="152"/>
      <c r="AO156" s="153"/>
      <c r="AP156" s="154"/>
      <c r="AQ156" s="154"/>
      <c r="AR156" s="155"/>
      <c r="AS156" s="152"/>
      <c r="AT156" s="153"/>
      <c r="AU156" s="154"/>
      <c r="AV156" s="154"/>
      <c r="AW156" s="155"/>
      <c r="AX156" s="152"/>
      <c r="AY156" s="153"/>
      <c r="AZ156" s="154"/>
      <c r="BA156" s="154"/>
      <c r="BB156" s="155"/>
      <c r="BC156" s="152"/>
      <c r="BD156" s="153"/>
      <c r="BE156" s="154"/>
      <c r="BF156" s="154"/>
      <c r="BG156" s="155"/>
      <c r="BH156" s="152"/>
      <c r="BI156" s="153"/>
      <c r="BJ156" s="154"/>
      <c r="BK156" s="154"/>
      <c r="BL156" s="155"/>
      <c r="BM156" s="152"/>
      <c r="BN156" s="153"/>
      <c r="BO156" s="154"/>
      <c r="BP156" s="154"/>
      <c r="BQ156" s="155"/>
      <c r="BR156" s="152"/>
      <c r="BS156" s="153"/>
      <c r="BT156" s="154"/>
      <c r="BU156" s="154"/>
      <c r="BV156" s="155"/>
      <c r="BW156" s="152"/>
      <c r="BX156" s="153"/>
      <c r="BY156" s="154"/>
      <c r="BZ156" s="154"/>
      <c r="CA156" s="155"/>
      <c r="CB156" s="152"/>
      <c r="CC156" s="153"/>
      <c r="CD156" s="154"/>
      <c r="CE156" s="154"/>
      <c r="CF156" s="154"/>
      <c r="CG156" s="804"/>
      <c r="CH156" s="154"/>
      <c r="CI156" s="154"/>
      <c r="CJ156" s="154"/>
      <c r="CK156" s="158"/>
      <c r="CL156" s="804"/>
      <c r="CM156" s="158"/>
      <c r="CN156" s="158"/>
      <c r="CO156" s="158"/>
      <c r="CP156" s="158"/>
      <c r="CQ156" s="834"/>
      <c r="CR156" s="158"/>
      <c r="CS156" s="158"/>
      <c r="CT156" s="158"/>
      <c r="CU156" s="158"/>
      <c r="CV156" s="834"/>
      <c r="CW156" s="158"/>
      <c r="CX156" s="158"/>
      <c r="CY156" s="158"/>
      <c r="CZ156" s="158"/>
      <c r="DA156" s="834"/>
      <c r="DB156" s="158"/>
      <c r="DC156" s="158"/>
      <c r="DD156" s="158"/>
      <c r="DE156" s="158"/>
      <c r="DF156" s="834"/>
      <c r="DG156" s="158"/>
      <c r="DH156" s="158"/>
      <c r="DI156" s="158"/>
      <c r="DJ156" s="158"/>
      <c r="DK156" s="1396"/>
      <c r="DL156" s="158"/>
      <c r="DM156" s="158"/>
      <c r="DN156" s="158"/>
      <c r="DO156" s="158"/>
      <c r="DP156" s="1396"/>
      <c r="DQ156" s="158"/>
      <c r="DR156" s="158"/>
      <c r="DS156" s="158"/>
      <c r="DT156" s="158"/>
      <c r="DU156" s="1396"/>
      <c r="DV156" s="158"/>
      <c r="DW156" s="158"/>
      <c r="DX156" s="158"/>
      <c r="DY156" s="158"/>
      <c r="DZ156" s="1396"/>
      <c r="EA156" s="158"/>
      <c r="EB156" s="158"/>
      <c r="EC156" s="158"/>
      <c r="ED156" s="158"/>
      <c r="EE156" s="139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row>
    <row r="157" spans="2:238" s="150" customFormat="1" ht="12.75" customHeight="1">
      <c r="B157" s="547"/>
      <c r="C157" s="130"/>
      <c r="D157" s="130"/>
      <c r="E157" s="131"/>
      <c r="F157" s="131"/>
      <c r="G157" s="131"/>
      <c r="H157" s="131"/>
      <c r="I157" s="131"/>
      <c r="J157" s="131"/>
      <c r="K157" s="126"/>
      <c r="L157" s="127"/>
      <c r="M157" s="127"/>
      <c r="N157" s="132"/>
      <c r="O157" s="131"/>
      <c r="P157" s="126"/>
      <c r="Q157" s="127"/>
      <c r="R157" s="127"/>
      <c r="S157" s="132"/>
      <c r="T157" s="131"/>
      <c r="U157" s="126"/>
      <c r="V157" s="127"/>
      <c r="W157" s="127"/>
      <c r="X157" s="132"/>
      <c r="Y157" s="131"/>
      <c r="Z157" s="126"/>
      <c r="AA157" s="127"/>
      <c r="AB157" s="127"/>
      <c r="AC157" s="132"/>
      <c r="AD157" s="131"/>
      <c r="AE157" s="126"/>
      <c r="AF157" s="127"/>
      <c r="AG157" s="127"/>
      <c r="AH157" s="132"/>
      <c r="AI157" s="131"/>
      <c r="AJ157" s="126"/>
      <c r="AK157" s="127"/>
      <c r="AL157" s="127"/>
      <c r="AM157" s="132"/>
      <c r="AN157" s="131"/>
      <c r="AO157" s="126"/>
      <c r="AP157" s="127"/>
      <c r="AQ157" s="127"/>
      <c r="AR157" s="132"/>
      <c r="AS157" s="131"/>
      <c r="AT157" s="126"/>
      <c r="AU157" s="127"/>
      <c r="AV157" s="127"/>
      <c r="AW157" s="132"/>
      <c r="AX157" s="131"/>
      <c r="AY157" s="126"/>
      <c r="AZ157" s="127"/>
      <c r="BA157" s="127"/>
      <c r="BB157" s="132"/>
      <c r="BC157" s="131"/>
      <c r="BD157" s="126"/>
      <c r="BE157" s="127"/>
      <c r="BF157" s="127"/>
      <c r="BG157" s="132"/>
      <c r="BH157" s="131"/>
      <c r="BI157" s="126"/>
      <c r="BJ157" s="127"/>
      <c r="BK157" s="127"/>
      <c r="BL157" s="132"/>
      <c r="BM157" s="131"/>
      <c r="BN157" s="126"/>
      <c r="BO157" s="127"/>
      <c r="BP157" s="127"/>
      <c r="BQ157" s="132"/>
      <c r="BR157" s="131"/>
      <c r="BS157" s="126"/>
      <c r="BT157" s="127"/>
      <c r="BU157" s="127"/>
      <c r="BV157" s="132"/>
      <c r="BW157" s="131"/>
      <c r="BX157" s="126"/>
      <c r="BY157" s="127"/>
      <c r="BZ157" s="127"/>
      <c r="CA157" s="132"/>
      <c r="CB157" s="131"/>
      <c r="CC157" s="126"/>
      <c r="CD157" s="127"/>
      <c r="CE157" s="127"/>
      <c r="CF157" s="127"/>
      <c r="CG157" s="613"/>
      <c r="CH157" s="127"/>
      <c r="CI157" s="188"/>
      <c r="CJ157" s="127"/>
      <c r="CK157" s="188"/>
      <c r="CL157" s="613"/>
      <c r="CM157" s="824"/>
      <c r="CN157" s="188"/>
      <c r="CO157" s="188"/>
      <c r="CP157" s="188"/>
      <c r="CQ157" s="837"/>
      <c r="CR157" s="188"/>
      <c r="CS157" s="188"/>
      <c r="CT157" s="188"/>
      <c r="CU157" s="188"/>
      <c r="CV157" s="837"/>
      <c r="CW157" s="73"/>
      <c r="CX157" s="188"/>
      <c r="CY157" s="188"/>
      <c r="CZ157" s="188"/>
      <c r="DA157" s="837"/>
      <c r="DB157" s="188"/>
      <c r="DC157" s="188"/>
      <c r="DD157" s="188"/>
      <c r="DE157" s="188"/>
      <c r="DF157" s="837"/>
      <c r="DG157" s="188"/>
      <c r="DH157" s="188"/>
      <c r="DI157" s="188"/>
      <c r="DJ157" s="188"/>
      <c r="DK157" s="1374"/>
      <c r="DL157" s="188"/>
      <c r="DM157" s="188"/>
      <c r="DN157" s="188"/>
      <c r="DO157" s="188"/>
      <c r="DP157" s="1374"/>
      <c r="DQ157" s="188"/>
      <c r="DR157" s="188"/>
      <c r="DS157" s="188"/>
      <c r="DT157" s="188"/>
      <c r="DU157" s="1374"/>
      <c r="DV157" s="188"/>
      <c r="DW157" s="188"/>
      <c r="DX157" s="188"/>
      <c r="DY157" s="188"/>
      <c r="DZ157" s="1374"/>
      <c r="EA157" s="188"/>
      <c r="EB157" s="188"/>
      <c r="EC157" s="188"/>
      <c r="ED157" s="188"/>
      <c r="EE157" s="1374"/>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row>
    <row r="158" spans="2:238" s="64" customFormat="1" ht="12.75" customHeight="1">
      <c r="B158" s="553" t="s">
        <v>410</v>
      </c>
      <c r="F158" s="73">
        <f>Model!F9*F223</f>
        <v>4262.0168519999997</v>
      </c>
      <c r="G158" s="73">
        <f>Model!G9*G223</f>
        <v>4664.3756640000001</v>
      </c>
      <c r="H158" s="73">
        <f>Model!H9*H223</f>
        <v>5126.2111199999999</v>
      </c>
      <c r="I158" s="73">
        <f>Model!I9*I223</f>
        <v>5467.106976</v>
      </c>
      <c r="J158" s="73">
        <f>Model!J9*J223</f>
        <v>5883.6243360000008</v>
      </c>
      <c r="K158" s="121"/>
      <c r="L158" s="73"/>
      <c r="M158" s="73"/>
      <c r="N158" s="75"/>
      <c r="O158" s="73">
        <f>Model!O9*O223</f>
        <v>6454.5675840000004</v>
      </c>
      <c r="P158" s="121">
        <f>P223*Model!P9</f>
        <v>1618.60887</v>
      </c>
      <c r="Q158" s="73">
        <f>Q223*Model!Q9</f>
        <v>2053.4934000000003</v>
      </c>
      <c r="R158" s="73">
        <f>R223*Model!R9</f>
        <v>2007.9357900000002</v>
      </c>
      <c r="S158" s="75">
        <f>S223*Model!S9</f>
        <v>1674.693501</v>
      </c>
      <c r="T158" s="64">
        <f>SUM(P158:S158)</f>
        <v>7354.7315610000005</v>
      </c>
      <c r="U158" s="121">
        <f>U223*Model!U9</f>
        <v>1760.0057999999999</v>
      </c>
      <c r="V158" s="73">
        <f>V223*Model!V9</f>
        <v>2296.4349869999996</v>
      </c>
      <c r="W158" s="73">
        <f>W223*Model!W9</f>
        <v>1908.7438419999999</v>
      </c>
      <c r="X158" s="75">
        <f>X223*Model!X9</f>
        <v>1904.8736160000001</v>
      </c>
      <c r="Y158" s="64">
        <f>SUM(U158:X158)</f>
        <v>7870.0582449999993</v>
      </c>
      <c r="Z158" s="121">
        <f>Z223*Model!Z9</f>
        <v>1903.7736</v>
      </c>
      <c r="AA158" s="73">
        <f>AA223*Model!AA9</f>
        <v>2406.4830000000002</v>
      </c>
      <c r="AB158" s="73">
        <f>AB223*Model!AB9</f>
        <v>2102.8439999999996</v>
      </c>
      <c r="AC158" s="75">
        <f>AC223*Model!AC9</f>
        <v>2074.7999999999997</v>
      </c>
      <c r="AD158" s="64">
        <f>SUM(Z158:AC158)</f>
        <v>8487.900599999999</v>
      </c>
      <c r="AE158" s="121">
        <f>AE223*Model!AE9</f>
        <v>2155.9703999999997</v>
      </c>
      <c r="AF158" s="73">
        <f>AF223*Model!AF9</f>
        <v>2714.6592000000001</v>
      </c>
      <c r="AG158" s="73">
        <f>AG223*Model!AG9</f>
        <v>2319.4630000000002</v>
      </c>
      <c r="AH158" s="75">
        <f>AH223*Model!AH9</f>
        <v>2292.2208000000005</v>
      </c>
      <c r="AI158" s="64">
        <f>SUM(AE158:AH158)</f>
        <v>9482.3134000000009</v>
      </c>
      <c r="AJ158" s="121">
        <f>AJ223*Model!AJ9</f>
        <v>2386.0350000000003</v>
      </c>
      <c r="AK158" s="73">
        <f>AK223*Model!AK9</f>
        <v>2957.3399999999997</v>
      </c>
      <c r="AL158" s="73">
        <f>AL223*Model!AL9</f>
        <v>2581.442</v>
      </c>
      <c r="AM158" s="75">
        <f>AM223*Model!AM9</f>
        <v>2551.1416000000004</v>
      </c>
      <c r="AN158" s="64">
        <f>SUM(AJ158:AM158)</f>
        <v>10475.9586</v>
      </c>
      <c r="AO158" s="121">
        <f>AO223*Model!AO9</f>
        <v>2636.8788</v>
      </c>
      <c r="AP158" s="73">
        <f>AP223*Model!AP9</f>
        <v>3264.9860000000003</v>
      </c>
      <c r="AQ158" s="73">
        <f>AQ223*Model!AQ9</f>
        <v>2870.3852000000002</v>
      </c>
      <c r="AR158" s="75">
        <v>2732.68</v>
      </c>
      <c r="AS158" s="64">
        <f>SUM(AO158:AR158)</f>
        <v>11504.93</v>
      </c>
      <c r="AT158" s="121">
        <v>2761.93</v>
      </c>
      <c r="AU158" s="73">
        <f>AU223*Model!AU9</f>
        <v>3445.1641900000004</v>
      </c>
      <c r="AV158" s="73">
        <f>AV223*Model!AV9</f>
        <v>3081.36</v>
      </c>
      <c r="AW158" s="75">
        <f>AW223*Model!AW9</f>
        <v>3001.6895999999997</v>
      </c>
      <c r="AX158" s="64">
        <f>SUM(AT158:AW158)</f>
        <v>12290.14379</v>
      </c>
      <c r="AY158" s="121">
        <f>AY223*Model!AY9</f>
        <v>3139.4879999999998</v>
      </c>
      <c r="AZ158" s="73">
        <f>AZ223*Model!AZ9</f>
        <v>4010.7020000000007</v>
      </c>
      <c r="BA158" s="73">
        <f>BA223*Model!BA9</f>
        <v>3444.6999999999994</v>
      </c>
      <c r="BB158" s="75">
        <f>BB223*Model!BB9</f>
        <v>3326.9</v>
      </c>
      <c r="BC158" s="64">
        <f>SUM(AY158:BB158)</f>
        <v>13921.789999999999</v>
      </c>
      <c r="BD158" s="121">
        <f>BD223*Model!BD9</f>
        <v>3461.1849999999999</v>
      </c>
      <c r="BE158" s="73">
        <f>BE223*Model!BE9</f>
        <v>4262.9560000000001</v>
      </c>
      <c r="BF158" s="73">
        <f>BF223*Model!BF9</f>
        <v>3790.71</v>
      </c>
      <c r="BG158" s="75">
        <f>BG223*Model!BG9</f>
        <v>3767.6690999999996</v>
      </c>
      <c r="BH158" s="64">
        <f>SUM(BD158:BG158)</f>
        <v>15282.520099999998</v>
      </c>
      <c r="BI158" s="121">
        <f>BI223*Model!BI9</f>
        <v>3805.7169080000003</v>
      </c>
      <c r="BJ158" s="73">
        <f>BJ223*Model!BJ9</f>
        <v>4587.1904663827972</v>
      </c>
      <c r="BK158" s="73">
        <f>BK223*Model!BK9</f>
        <v>4177.3255000000017</v>
      </c>
      <c r="BL158" s="75">
        <f>BL223*Model!BL9</f>
        <v>4240.0152014456517</v>
      </c>
      <c r="BM158" s="64">
        <f>SUM(BI158:BL158)</f>
        <v>16810.248075828451</v>
      </c>
      <c r="BN158" s="121">
        <f>BN223*Model!BN9</f>
        <v>4316.3523144564788</v>
      </c>
      <c r="BO158" s="73">
        <f>BO223*Model!BO9</f>
        <v>4907.1827126136377</v>
      </c>
      <c r="BP158" s="73">
        <f>BP223*Model!BP9</f>
        <v>4669.3290059354131</v>
      </c>
      <c r="BQ158" s="75">
        <f>BQ223*Model!BQ9</f>
        <v>4682.7201579561324</v>
      </c>
      <c r="BR158" s="64">
        <f>SUM(BN158:BQ158)</f>
        <v>18575.584190961661</v>
      </c>
      <c r="BS158" s="121">
        <f>BS223*Model!BS9</f>
        <v>4755.4580999999998</v>
      </c>
      <c r="BT158" s="73">
        <f>BT223*Model!BT9</f>
        <v>5726.4192000000003</v>
      </c>
      <c r="BU158" s="73">
        <f>BU223*Model!BU9</f>
        <v>5180.4165000000003</v>
      </c>
      <c r="BV158" s="75">
        <f>BV223*Model!BV9</f>
        <v>5065.1936999999998</v>
      </c>
      <c r="BW158" s="64">
        <f>SUM(BS158:BV158)</f>
        <v>20727.487499999999</v>
      </c>
      <c r="BX158" s="121">
        <f>Model!BX9*BX223</f>
        <v>5081.9799999999996</v>
      </c>
      <c r="BY158" s="73">
        <f>Model!BY9*BY223</f>
        <v>6095.75</v>
      </c>
      <c r="BZ158" s="73">
        <f>Model!BZ9*BZ223</f>
        <v>5576.24</v>
      </c>
      <c r="CA158" s="75">
        <f>Model!CA9*CA223</f>
        <v>5260.5049999999992</v>
      </c>
      <c r="CB158" s="64">
        <f>SUM(BX158:CA158)</f>
        <v>22014.474999999999</v>
      </c>
      <c r="CC158" s="121">
        <f>Model!CC9*CC223</f>
        <v>5531.0319999999992</v>
      </c>
      <c r="CD158" s="73">
        <f>Model!CD9*CD223</f>
        <v>6234.2290000000003</v>
      </c>
      <c r="CE158" s="73">
        <f>Model!CE9*CE223</f>
        <v>5950.8539999999994</v>
      </c>
      <c r="CF158" s="73">
        <f>Model!CF9*CF223</f>
        <v>5752.6699999999992</v>
      </c>
      <c r="CG158" s="619">
        <f>SUM(CC158:CF158)</f>
        <v>23468.784999999996</v>
      </c>
      <c r="CH158" s="73">
        <f>Model!CH9*CH223</f>
        <v>5931.6479999999992</v>
      </c>
      <c r="CI158" s="73">
        <f>Model!CI9*CI223</f>
        <v>6919.7479999999996</v>
      </c>
      <c r="CJ158" s="73">
        <f>Model!CJ9*CJ223</f>
        <v>6411.4789999999994</v>
      </c>
      <c r="CK158" s="73">
        <f>Model!CK9*CK223</f>
        <v>6216.5819999999994</v>
      </c>
      <c r="CL158" s="619">
        <f>SUM(CH158:CK158)</f>
        <v>25479.456999999999</v>
      </c>
      <c r="CM158" s="73">
        <f>Model!CM9*CM223</f>
        <v>6264.165</v>
      </c>
      <c r="CN158" s="73">
        <f>Model!CN9*CN223</f>
        <v>7311.192</v>
      </c>
      <c r="CO158" s="73">
        <f>Model!CO9*CO223</f>
        <v>6585.9920000000002</v>
      </c>
      <c r="CP158" s="73">
        <f>Model!CP9*CP223</f>
        <v>6214.5720000000001</v>
      </c>
      <c r="CQ158" s="825">
        <f>SUM(CM158:CP158)</f>
        <v>26375.921000000002</v>
      </c>
      <c r="CR158" s="189">
        <f>Model!CR9*CR223</f>
        <v>6268.3919999999998</v>
      </c>
      <c r="CS158" s="76">
        <f>Model!CS9*CS223</f>
        <v>7253.683</v>
      </c>
      <c r="CT158" s="76">
        <f>Model!CT9*CT223</f>
        <v>6757.4970000000003</v>
      </c>
      <c r="CU158" s="76">
        <f>Model!CU9*CU223</f>
        <v>6476.701</v>
      </c>
      <c r="CV158" s="825">
        <f t="shared" ref="CV158:CV162" si="381">SUM(CR158:CU158)</f>
        <v>26756.273000000001</v>
      </c>
      <c r="CW158" s="76">
        <f>Model!CW9*CW223</f>
        <v>6470.1369999999997</v>
      </c>
      <c r="CX158" s="76">
        <f>Model!CX9*CX223</f>
        <v>7410.69</v>
      </c>
      <c r="CY158" s="76">
        <f>Model!CY9*CY223</f>
        <v>6906.7559999999994</v>
      </c>
      <c r="CZ158" s="76">
        <f>Model!CZ9*CZ223</f>
        <v>6536.5509999999995</v>
      </c>
      <c r="DA158" s="802">
        <f t="shared" ref="DA158:DA162" si="382">SUM(CW158:CZ158)</f>
        <v>27324.133999999998</v>
      </c>
      <c r="DB158" s="73">
        <f>DB223*DB188</f>
        <v>6491.927999999999</v>
      </c>
      <c r="DC158" s="73">
        <f>DC223*DC188</f>
        <v>7493.0879999999997</v>
      </c>
      <c r="DD158" s="73">
        <f>DD223*DD188</f>
        <v>6924.0749999999989</v>
      </c>
      <c r="DE158" s="73">
        <f>DE223*DE188</f>
        <v>6762.0329999999994</v>
      </c>
      <c r="DF158" s="802">
        <f t="shared" ref="DF158:DF162" si="383">SUM(DB158:DE158)</f>
        <v>27671.124</v>
      </c>
      <c r="DG158" s="73">
        <f>DG223*DG188</f>
        <v>6436.9199999999992</v>
      </c>
      <c r="DH158" s="73">
        <f>DH223*DH188</f>
        <v>7524.9999999999991</v>
      </c>
      <c r="DI158" s="73">
        <f>DI223*DI188</f>
        <v>6906.3099999999995</v>
      </c>
      <c r="DJ158" s="73">
        <f>DJ223*DJ188</f>
        <v>6431.5700000000015</v>
      </c>
      <c r="DK158" s="777">
        <f t="shared" ref="DK158:DK162" si="384">SUM(DG158:DJ158)</f>
        <v>27299.799999999996</v>
      </c>
      <c r="DL158" s="73">
        <f>DL223*DL188</f>
        <v>6383.6310000000012</v>
      </c>
      <c r="DM158" s="73">
        <f>DM223*DM188</f>
        <v>7307.69</v>
      </c>
      <c r="DN158" s="73">
        <f>DN223*DN188</f>
        <v>6780.9280000000008</v>
      </c>
      <c r="DO158" s="73">
        <f>DO223*DO188</f>
        <v>6221.9790000000003</v>
      </c>
      <c r="DP158" s="777">
        <f t="shared" ref="DP158:DP162" si="385">SUM(DL158:DO158)</f>
        <v>26694.227999999999</v>
      </c>
      <c r="DQ158" s="73">
        <f>DQ223*DQ188</f>
        <v>6155.0760000000009</v>
      </c>
      <c r="DR158" s="73">
        <f>DR159+DR160</f>
        <v>7600.6130999999996</v>
      </c>
      <c r="DS158" s="73">
        <f>DS159+DS160</f>
        <v>7397.7853866666674</v>
      </c>
      <c r="DT158" s="73">
        <f>DT159+DT160</f>
        <v>6861.3509087021248</v>
      </c>
      <c r="DU158" s="777">
        <f t="shared" ref="DU158:DU162" si="386">SUM(DQ158:DT158)</f>
        <v>28014.825395368789</v>
      </c>
      <c r="DV158" s="73">
        <f>DV159+DV160</f>
        <v>6070.0809847993314</v>
      </c>
      <c r="DW158" s="73">
        <f>DW159+DW160</f>
        <v>7488.2433326363625</v>
      </c>
      <c r="DX158" s="73">
        <f>DX159+DX160</f>
        <v>7275.3226843151524</v>
      </c>
      <c r="DY158" s="73">
        <f>DY159+DY160</f>
        <v>6732.1313390090427</v>
      </c>
      <c r="DZ158" s="777">
        <f t="shared" ref="DZ158:DZ162" si="387">SUM(DV158:DY158)</f>
        <v>27565.778340759891</v>
      </c>
      <c r="EA158" s="73">
        <f>EA159+EA160</f>
        <v>5962.6720636064611</v>
      </c>
      <c r="EB158" s="73">
        <f>EB159+EB160</f>
        <v>7377.1729949221371</v>
      </c>
      <c r="EC158" s="73">
        <f>EC159+EC160</f>
        <v>7178.4875221912316</v>
      </c>
      <c r="ED158" s="73">
        <f>ED159+ED160</f>
        <v>6652.7969611962626</v>
      </c>
      <c r="EE158" s="777">
        <f t="shared" ref="EE158:EE162" si="388">SUM(EA158:ED158)</f>
        <v>27171.129541916089</v>
      </c>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row>
    <row r="159" spans="2:238" s="64" customFormat="1" ht="12.75" customHeight="1" outlineLevel="1">
      <c r="B159" s="553" t="s">
        <v>187</v>
      </c>
      <c r="F159" s="73">
        <f>Model!F9*F223</f>
        <v>4262.0168519999997</v>
      </c>
      <c r="G159" s="73">
        <f>Model!G9*G223</f>
        <v>4664.3756640000001</v>
      </c>
      <c r="H159" s="73">
        <f>Model!H9*H223</f>
        <v>5126.2111199999999</v>
      </c>
      <c r="I159" s="73">
        <f>Model!I9*I223</f>
        <v>5467.106976</v>
      </c>
      <c r="J159" s="73">
        <f>Model!J9*J223</f>
        <v>5883.6243360000008</v>
      </c>
      <c r="K159" s="121"/>
      <c r="L159" s="73"/>
      <c r="M159" s="73"/>
      <c r="N159" s="75"/>
      <c r="O159" s="73">
        <f>Model!O9*O223</f>
        <v>6454.5675840000004</v>
      </c>
      <c r="P159" s="121">
        <f>P223*Model!P9</f>
        <v>1618.60887</v>
      </c>
      <c r="Q159" s="73">
        <f>Q223*Model!Q9</f>
        <v>2053.4934000000003</v>
      </c>
      <c r="R159" s="73">
        <f>R223*Model!R9</f>
        <v>2007.9357900000002</v>
      </c>
      <c r="S159" s="75">
        <f>S223*Model!S9</f>
        <v>1674.693501</v>
      </c>
      <c r="T159" s="64">
        <f>SUM(P159:S159)</f>
        <v>7354.7315610000005</v>
      </c>
      <c r="U159" s="121">
        <f>U223*Model!U9</f>
        <v>1760.0057999999999</v>
      </c>
      <c r="V159" s="73">
        <f>V223*Model!V9</f>
        <v>2296.4349869999996</v>
      </c>
      <c r="W159" s="73">
        <f>W223*Model!W9</f>
        <v>1908.7438419999999</v>
      </c>
      <c r="X159" s="75">
        <f>X223*Model!X9</f>
        <v>1904.8736160000001</v>
      </c>
      <c r="Y159" s="64">
        <f>SUM(U159:X159)</f>
        <v>7870.0582449999993</v>
      </c>
      <c r="Z159" s="121">
        <f>Z223*Model!Z9</f>
        <v>1903.7736</v>
      </c>
      <c r="AA159" s="73">
        <f>AA223*Model!AA9</f>
        <v>2406.4830000000002</v>
      </c>
      <c r="AB159" s="73">
        <f>AB223*Model!AB9</f>
        <v>2102.8439999999996</v>
      </c>
      <c r="AC159" s="75">
        <f>AC223*Model!AC9</f>
        <v>2074.7999999999997</v>
      </c>
      <c r="AD159" s="64">
        <f>SUM(Z159:AC159)</f>
        <v>8487.900599999999</v>
      </c>
      <c r="AE159" s="121">
        <f>AE223*Model!AE9</f>
        <v>2155.9703999999997</v>
      </c>
      <c r="AF159" s="73">
        <f>AF223*Model!AF9</f>
        <v>2714.6592000000001</v>
      </c>
      <c r="AG159" s="73">
        <f>AG223*Model!AG9</f>
        <v>2319.4630000000002</v>
      </c>
      <c r="AH159" s="75">
        <f>AH223*Model!AH9</f>
        <v>2292.2208000000005</v>
      </c>
      <c r="AI159" s="64">
        <f>SUM(AE159:AH159)</f>
        <v>9482.3134000000009</v>
      </c>
      <c r="AJ159" s="121">
        <f>AJ223*Model!AJ9</f>
        <v>2386.0350000000003</v>
      </c>
      <c r="AK159" s="73">
        <f>AK223*Model!AK9</f>
        <v>2957.3399999999997</v>
      </c>
      <c r="AL159" s="73">
        <f>AL223*Model!AL9</f>
        <v>2581.442</v>
      </c>
      <c r="AM159" s="75">
        <f>AM223*Model!AM9</f>
        <v>2551.1416000000004</v>
      </c>
      <c r="AN159" s="64">
        <f>SUM(AJ159:AM159)</f>
        <v>10475.9586</v>
      </c>
      <c r="AO159" s="121">
        <f>AO223*Model!AO9</f>
        <v>2636.8788</v>
      </c>
      <c r="AP159" s="73">
        <f>AP223*Model!AP9</f>
        <v>3264.9860000000003</v>
      </c>
      <c r="AQ159" s="73">
        <f>AQ223*Model!AQ9</f>
        <v>2870.3852000000002</v>
      </c>
      <c r="AR159" s="75">
        <f>AR223*Model!AR9</f>
        <v>2732.68</v>
      </c>
      <c r="AS159" s="64">
        <f>SUM(AO159:AR159)</f>
        <v>11504.93</v>
      </c>
      <c r="AT159" s="121">
        <f>AT223*Model!AT9</f>
        <v>2761.93</v>
      </c>
      <c r="AU159" s="73">
        <f>AU223*Model!AU9</f>
        <v>3445.1641900000004</v>
      </c>
      <c r="AV159" s="73">
        <f>AV223*Model!AV9</f>
        <v>3081.36</v>
      </c>
      <c r="AW159" s="75">
        <f>AW223*Model!AW9</f>
        <v>3001.6895999999997</v>
      </c>
      <c r="AX159" s="64">
        <f>SUM(AT159:AW159)</f>
        <v>12290.14379</v>
      </c>
      <c r="AY159" s="121">
        <f>AY223*Model!AY9</f>
        <v>3139.4879999999998</v>
      </c>
      <c r="AZ159" s="73">
        <f>AZ223*Model!AZ9</f>
        <v>4010.7020000000007</v>
      </c>
      <c r="BA159" s="73">
        <f>BA223*Model!BA9</f>
        <v>3444.6999999999994</v>
      </c>
      <c r="BB159" s="75">
        <f>BB223*Model!BB9</f>
        <v>3326.9</v>
      </c>
      <c r="BC159" s="64">
        <f>SUM(AY159:BB159)</f>
        <v>13921.789999999999</v>
      </c>
      <c r="BD159" s="121">
        <f>BD223*Model!BD9</f>
        <v>3461.1849999999999</v>
      </c>
      <c r="BE159" s="73">
        <f>BE223*Model!BE9</f>
        <v>4262.9560000000001</v>
      </c>
      <c r="BF159" s="73">
        <f>BF223*Model!BF9</f>
        <v>3790.71</v>
      </c>
      <c r="BG159" s="75">
        <f>BG223*Model!BG9</f>
        <v>3767.6690999999996</v>
      </c>
      <c r="BH159" s="64">
        <f>SUM(BD159:BG159)</f>
        <v>15282.520099999998</v>
      </c>
      <c r="BI159" s="121">
        <f>BI223*Model!BI9</f>
        <v>3805.7169080000003</v>
      </c>
      <c r="BJ159" s="73">
        <f>BJ223*Model!BJ9</f>
        <v>4587.1904663827972</v>
      </c>
      <c r="BK159" s="73">
        <f>BK223*Model!BK9</f>
        <v>4177.3255000000017</v>
      </c>
      <c r="BL159" s="75">
        <f>BL223*Model!BL9</f>
        <v>4240.0152014456517</v>
      </c>
      <c r="BM159" s="64">
        <f>SUM(BI159:BL159)</f>
        <v>16810.248075828451</v>
      </c>
      <c r="BN159" s="121">
        <f>BN223*Model!BN9</f>
        <v>4316.3523144564788</v>
      </c>
      <c r="BO159" s="73">
        <f>BO223*Model!BO9</f>
        <v>4907.1827126136377</v>
      </c>
      <c r="BP159" s="73">
        <f>BP223*Model!BP9</f>
        <v>4669.3290059354131</v>
      </c>
      <c r="BQ159" s="75">
        <f>BQ223*Model!BQ9</f>
        <v>4682.7201579561324</v>
      </c>
      <c r="BR159" s="64">
        <f>SUM(BN159:BQ159)</f>
        <v>18575.584190961661</v>
      </c>
      <c r="BS159" s="121">
        <f>BS223*Model!BS9</f>
        <v>4755.4580999999998</v>
      </c>
      <c r="BT159" s="73">
        <f>BT223*Model!BT9</f>
        <v>5726.4192000000003</v>
      </c>
      <c r="BU159" s="73">
        <f>BU223*Model!BU9</f>
        <v>5180.4165000000003</v>
      </c>
      <c r="BV159" s="75">
        <f>BV223*Model!BV9</f>
        <v>5065.1936999999998</v>
      </c>
      <c r="BW159" s="64">
        <f>SUM(BS159:BV159)</f>
        <v>20727.487499999999</v>
      </c>
      <c r="BX159" s="121">
        <f>BX223*Model!BX9</f>
        <v>5081.9799999999996</v>
      </c>
      <c r="BY159" s="73">
        <f>BY223*Model!BY9</f>
        <v>6095.75</v>
      </c>
      <c r="BZ159" s="73">
        <f>BZ223*Model!BZ9</f>
        <v>5576.24</v>
      </c>
      <c r="CA159" s="75">
        <f>CA223*Model!CA9</f>
        <v>5260.5049999999992</v>
      </c>
      <c r="CB159" s="64">
        <f>SUM(BX159:CA159)</f>
        <v>22014.474999999999</v>
      </c>
      <c r="CC159" s="121">
        <f>CC223*Model!CC9</f>
        <v>5531.0319999999992</v>
      </c>
      <c r="CD159" s="73">
        <f>CD223*Model!CD9</f>
        <v>6234.2290000000003</v>
      </c>
      <c r="CE159" s="73">
        <f>CE223*Model!CE9</f>
        <v>5950.8539999999994</v>
      </c>
      <c r="CF159" s="75">
        <f>CF223*Model!CF9</f>
        <v>5752.6699999999992</v>
      </c>
      <c r="CG159" s="619">
        <f>SUM(CC159:CF159)</f>
        <v>23468.784999999996</v>
      </c>
      <c r="CH159" s="121">
        <f>CH223*Model!CH9</f>
        <v>5931.6479999999992</v>
      </c>
      <c r="CI159" s="73">
        <f>CI223*Model!CI9</f>
        <v>6919.7479999999996</v>
      </c>
      <c r="CJ159" s="73">
        <f>CJ223*Model!CJ9</f>
        <v>6411.4789999999994</v>
      </c>
      <c r="CK159" s="75">
        <f>CK223*Model!CK9</f>
        <v>6216.5819999999994</v>
      </c>
      <c r="CL159" s="619">
        <f>SUM(CH159:CK159)</f>
        <v>25479.456999999999</v>
      </c>
      <c r="CM159" s="121">
        <f>CM223*Model!CM9</f>
        <v>6264.165</v>
      </c>
      <c r="CN159" s="73">
        <f>CN223*Model!CN9</f>
        <v>7311.192</v>
      </c>
      <c r="CO159" s="73">
        <f>CO223*Model!CO9</f>
        <v>6585.9920000000002</v>
      </c>
      <c r="CP159" s="75">
        <f>CP223*Model!CP9</f>
        <v>6214.5720000000001</v>
      </c>
      <c r="CQ159" s="619">
        <f>SUM(CM159:CP159)</f>
        <v>26375.921000000002</v>
      </c>
      <c r="CR159" s="189">
        <f>CR158-CR160</f>
        <v>6268.3919999999998</v>
      </c>
      <c r="CS159" s="189">
        <f>CS158-CS160</f>
        <v>7253.683</v>
      </c>
      <c r="CT159" s="189">
        <f>CT158-CT160</f>
        <v>6757.4970000000003</v>
      </c>
      <c r="CU159" s="73">
        <f>CU158-CU160</f>
        <v>6476.701</v>
      </c>
      <c r="CV159" s="825">
        <f t="shared" si="381"/>
        <v>26756.273000000001</v>
      </c>
      <c r="CW159" s="73">
        <f>CW158-CW160</f>
        <v>6470.1369999999997</v>
      </c>
      <c r="CX159" s="73">
        <f>CX158-CX160</f>
        <v>7410.69</v>
      </c>
      <c r="CY159" s="73">
        <f>CY158-CY160</f>
        <v>6906.7559999999994</v>
      </c>
      <c r="CZ159" s="73">
        <f>CZ158-CZ160</f>
        <v>6536.5509999999995</v>
      </c>
      <c r="DA159" s="802">
        <f t="shared" si="382"/>
        <v>27324.133999999998</v>
      </c>
      <c r="DB159" s="73">
        <f>DB158-DB160</f>
        <v>6491.927999999999</v>
      </c>
      <c r="DC159" s="73">
        <f>DC158-DC160</f>
        <v>7493.0879999999997</v>
      </c>
      <c r="DD159" s="73">
        <f>DD158-DD160</f>
        <v>6924.0749999999989</v>
      </c>
      <c r="DE159" s="73">
        <f>DE158-DE160</f>
        <v>6762.0329999999994</v>
      </c>
      <c r="DF159" s="802">
        <f t="shared" si="383"/>
        <v>27671.124</v>
      </c>
      <c r="DG159" s="73">
        <f>DG158-DG160</f>
        <v>6436.9199999999992</v>
      </c>
      <c r="DH159" s="73">
        <f>DH158-DH160</f>
        <v>7524.9999999999991</v>
      </c>
      <c r="DI159" s="73">
        <f>DI158-DI160</f>
        <v>6906.3099999999995</v>
      </c>
      <c r="DJ159" s="73">
        <f>DJ158-DJ160</f>
        <v>6431.5700000000015</v>
      </c>
      <c r="DK159" s="777">
        <f t="shared" si="384"/>
        <v>27299.799999999996</v>
      </c>
      <c r="DL159" s="73">
        <f>DL158-DL160</f>
        <v>6383.6310000000012</v>
      </c>
      <c r="DM159" s="73">
        <f>DM158-DM160</f>
        <v>7307.69</v>
      </c>
      <c r="DN159" s="73">
        <f>DN158-DN160</f>
        <v>6780.9280000000008</v>
      </c>
      <c r="DO159" s="73">
        <f>DO158-DO160</f>
        <v>6221.9790000000003</v>
      </c>
      <c r="DP159" s="777">
        <f t="shared" si="385"/>
        <v>26694.227999999999</v>
      </c>
      <c r="DQ159" s="73">
        <f>DQ158-DQ160</f>
        <v>6155.0760000000009</v>
      </c>
      <c r="DR159" s="73">
        <f>+DM158*(1+DR176)-DR160</f>
        <v>7600.6130999999996</v>
      </c>
      <c r="DS159" s="73">
        <f>+DN158*(1+DS176)-DS160</f>
        <v>7397.7853866666674</v>
      </c>
      <c r="DT159" s="73">
        <f>+DO158*(1+DT176)-DT160</f>
        <v>6861.3509087021248</v>
      </c>
      <c r="DU159" s="777">
        <f t="shared" si="386"/>
        <v>28014.825395368789</v>
      </c>
      <c r="DV159" s="73">
        <f>+DQ158*(1+DV176)-DV160</f>
        <v>6070.0809847993314</v>
      </c>
      <c r="DW159" s="73">
        <f>+DR158*(1+DW176)-DW160</f>
        <v>7488.2433326363625</v>
      </c>
      <c r="DX159" s="73">
        <f>+DS158*(1+DX176)-DX160</f>
        <v>7275.3226843151524</v>
      </c>
      <c r="DY159" s="73">
        <f>+DT158*(1+DY176)-DY160</f>
        <v>6732.1313390090427</v>
      </c>
      <c r="DZ159" s="777">
        <f t="shared" si="387"/>
        <v>27565.778340759891</v>
      </c>
      <c r="EA159" s="73">
        <f>+DV158*(1+EA176)-EA160</f>
        <v>5962.6720636064611</v>
      </c>
      <c r="EB159" s="73">
        <f>+DW158*(1+EB176)-EB160</f>
        <v>7377.1729949221371</v>
      </c>
      <c r="EC159" s="73">
        <f>+DX158*(1+EC176)-EC160</f>
        <v>7178.4875221912316</v>
      </c>
      <c r="ED159" s="73">
        <f>+DY158*(1+ED176)-ED160</f>
        <v>6652.7969611962626</v>
      </c>
      <c r="EE159" s="777">
        <f t="shared" si="388"/>
        <v>27171.129541916089</v>
      </c>
      <c r="EF159" s="1549"/>
      <c r="EG159"/>
      <c r="EH159" s="2222"/>
      <c r="EI159" s="2222"/>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row>
    <row r="160" spans="2:238" s="64" customFormat="1" ht="12.75" customHeight="1" outlineLevel="1">
      <c r="B160" s="2297" t="s">
        <v>614</v>
      </c>
      <c r="F160" s="73"/>
      <c r="G160" s="73"/>
      <c r="H160" s="73"/>
      <c r="I160" s="73"/>
      <c r="J160" s="73"/>
      <c r="K160" s="121"/>
      <c r="L160" s="73"/>
      <c r="M160" s="73"/>
      <c r="N160" s="75"/>
      <c r="O160" s="73"/>
      <c r="P160" s="121"/>
      <c r="Q160" s="73"/>
      <c r="R160" s="73"/>
      <c r="S160" s="75"/>
      <c r="U160" s="121"/>
      <c r="V160" s="73"/>
      <c r="W160" s="73"/>
      <c r="X160" s="75"/>
      <c r="Z160" s="121"/>
      <c r="AA160" s="73"/>
      <c r="AB160" s="73"/>
      <c r="AC160" s="75"/>
      <c r="AE160" s="121"/>
      <c r="AF160" s="73"/>
      <c r="AG160" s="73"/>
      <c r="AH160" s="75"/>
      <c r="AJ160" s="121"/>
      <c r="AK160" s="73"/>
      <c r="AL160" s="73"/>
      <c r="AM160" s="75"/>
      <c r="AO160" s="121"/>
      <c r="AP160" s="73"/>
      <c r="AQ160" s="73"/>
      <c r="AR160" s="75"/>
      <c r="AT160" s="121"/>
      <c r="AU160" s="73"/>
      <c r="AV160" s="73"/>
      <c r="AW160" s="75"/>
      <c r="AY160" s="121"/>
      <c r="AZ160" s="73"/>
      <c r="BA160" s="73"/>
      <c r="BB160" s="75"/>
      <c r="BD160" s="121"/>
      <c r="BE160" s="73"/>
      <c r="BF160" s="73"/>
      <c r="BG160" s="75"/>
      <c r="BI160" s="121"/>
      <c r="BJ160" s="73"/>
      <c r="BK160" s="73"/>
      <c r="BL160" s="75"/>
      <c r="BN160" s="121"/>
      <c r="BO160" s="73"/>
      <c r="BP160" s="73"/>
      <c r="BQ160" s="75"/>
      <c r="BS160" s="121"/>
      <c r="BT160" s="73"/>
      <c r="BU160" s="73"/>
      <c r="BV160" s="75"/>
      <c r="BX160" s="121"/>
      <c r="BY160" s="73"/>
      <c r="BZ160" s="73"/>
      <c r="CA160" s="75"/>
      <c r="CC160" s="121"/>
      <c r="CD160" s="73"/>
      <c r="CE160" s="73"/>
      <c r="CF160" s="73"/>
      <c r="CG160" s="619"/>
      <c r="CH160" s="73"/>
      <c r="CI160" s="73"/>
      <c r="CJ160" s="73"/>
      <c r="CK160" s="73"/>
      <c r="CL160" s="619"/>
      <c r="CM160" s="73"/>
      <c r="CN160" s="73"/>
      <c r="CO160" s="73"/>
      <c r="CP160" s="73"/>
      <c r="CQ160" s="619"/>
      <c r="CR160" s="484"/>
      <c r="CS160" s="484"/>
      <c r="CT160" s="484"/>
      <c r="CU160" s="484"/>
      <c r="CV160" s="825"/>
      <c r="CW160" s="484"/>
      <c r="CX160" s="484"/>
      <c r="CY160" s="484"/>
      <c r="CZ160" s="484"/>
      <c r="DA160" s="802"/>
      <c r="DB160" s="484"/>
      <c r="DC160" s="1710"/>
      <c r="DD160" s="1710"/>
      <c r="DE160" s="1710"/>
      <c r="DF160" s="802"/>
      <c r="DG160" s="1710"/>
      <c r="DH160" s="1710"/>
      <c r="DI160" s="1710"/>
      <c r="DJ160" s="1710"/>
      <c r="DK160" s="1397"/>
      <c r="DL160" s="1710"/>
      <c r="DM160" s="1710"/>
      <c r="DN160" s="1710"/>
      <c r="DO160" s="1710"/>
      <c r="DP160" s="1397"/>
      <c r="DQ160" s="1710"/>
      <c r="DR160" s="1204"/>
      <c r="DS160" s="1204"/>
      <c r="DT160" s="1204"/>
      <c r="DU160" s="1397"/>
      <c r="DV160" s="1204"/>
      <c r="DW160" s="1204"/>
      <c r="DX160" s="1204"/>
      <c r="DY160" s="1204"/>
      <c r="DZ160" s="1397"/>
      <c r="EA160" s="1204"/>
      <c r="EB160" s="1204"/>
      <c r="EC160" s="1204"/>
      <c r="ED160" s="1204"/>
      <c r="EE160" s="1397"/>
      <c r="EF160"/>
      <c r="EG160"/>
      <c r="EH160" s="2222"/>
      <c r="EI160" s="2222"/>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row>
    <row r="161" spans="2:238" s="64" customFormat="1" ht="12.75" customHeight="1">
      <c r="B161" s="553" t="s">
        <v>411</v>
      </c>
      <c r="F161" s="73">
        <v>1155.0065668919999</v>
      </c>
      <c r="G161" s="73">
        <v>1259.38142928</v>
      </c>
      <c r="H161" s="73">
        <v>1384.0770024000001</v>
      </c>
      <c r="I161" s="73">
        <v>1465.1846695680001</v>
      </c>
      <c r="J161" s="73">
        <v>1576.8113220480002</v>
      </c>
      <c r="K161" s="121"/>
      <c r="L161" s="73"/>
      <c r="M161" s="73"/>
      <c r="N161" s="75"/>
      <c r="O161" s="73">
        <v>2330.0988978240002</v>
      </c>
      <c r="P161" s="121">
        <f>P158*P168</f>
        <v>432.16856829000005</v>
      </c>
      <c r="Q161" s="73">
        <f>Q158*Q168</f>
        <v>566.76417840000011</v>
      </c>
      <c r="R161" s="73">
        <f>R158*R168</f>
        <v>552.18234225000015</v>
      </c>
      <c r="S161" s="75">
        <f>S158*S168</f>
        <v>460.54071277500003</v>
      </c>
      <c r="T161" s="64">
        <f>SUM(P161:S161)</f>
        <v>2011.6558017150003</v>
      </c>
      <c r="U161" s="121">
        <f>U158*U168</f>
        <v>484.00159500000001</v>
      </c>
      <c r="V161" s="73">
        <f>V158*V168</f>
        <v>654.48397129499983</v>
      </c>
      <c r="W161" s="73">
        <f>W158*W168</f>
        <v>543.99199496999995</v>
      </c>
      <c r="X161" s="75">
        <f>X158*X168</f>
        <v>550.50847502399995</v>
      </c>
      <c r="Y161" s="64">
        <f>SUM(U161:X161)</f>
        <v>2232.9860362889999</v>
      </c>
      <c r="Z161" s="121">
        <f>Z158*Z168</f>
        <v>550.19057039999996</v>
      </c>
      <c r="AA161" s="73">
        <f>AA158*AA168</f>
        <v>733.97731500000009</v>
      </c>
      <c r="AB161" s="73">
        <f>AB158*AB168</f>
        <v>641.36741999999981</v>
      </c>
      <c r="AC161" s="75">
        <f>AC158*AC168</f>
        <v>632.81399999999985</v>
      </c>
      <c r="AD161" s="64">
        <f>SUM(Z161:AC161)</f>
        <v>2558.3493054</v>
      </c>
      <c r="AE161" s="121">
        <f>AE158*AE168</f>
        <v>657.57097199999987</v>
      </c>
      <c r="AF161" s="73">
        <f>AF158*AF168</f>
        <v>863.2616256</v>
      </c>
      <c r="AG161" s="73">
        <f>AG158*AG168</f>
        <v>737.58923400000003</v>
      </c>
      <c r="AH161" s="75">
        <f>AH158*AH168</f>
        <v>735.80287680000015</v>
      </c>
      <c r="AI161" s="64">
        <f>SUM(AE161:AH161)</f>
        <v>2994.2247084000001</v>
      </c>
      <c r="AJ161" s="121">
        <f>AJ158*AJ168</f>
        <v>765.91723500000012</v>
      </c>
      <c r="AK161" s="73">
        <f>AK158*AK168</f>
        <v>972.96485999999993</v>
      </c>
      <c r="AL161" s="73">
        <f>AL158*AL168</f>
        <v>849.29441800000006</v>
      </c>
      <c r="AM161" s="75">
        <f>AM158*AM168</f>
        <v>846.97901120000017</v>
      </c>
      <c r="AN161" s="64">
        <f>SUM(AJ161:AM161)</f>
        <v>3435.1555241999999</v>
      </c>
      <c r="AO161" s="121">
        <f>AO158*AO168</f>
        <v>858.30404940000005</v>
      </c>
      <c r="AP161" s="73">
        <f>AP158*AP168</f>
        <v>1114.0132232000001</v>
      </c>
      <c r="AQ161" s="73">
        <f>AQ158*AQ168</f>
        <v>952.96788640000011</v>
      </c>
      <c r="AR161" s="75">
        <f>AR158*AR168</f>
        <v>926.37851999999998</v>
      </c>
      <c r="AS161" s="64">
        <f>SUM(AO161:AR161)</f>
        <v>3851.6636790000002</v>
      </c>
      <c r="AT161" s="121">
        <f>AT158*AT168</f>
        <v>914.19883000000004</v>
      </c>
      <c r="AU161" s="73">
        <f>AU158*AU168</f>
        <v>1178.2461529800003</v>
      </c>
      <c r="AV161" s="73">
        <f>AV158*AV168</f>
        <v>1038.4183200000002</v>
      </c>
      <c r="AW161" s="75">
        <f>AW158*AW168</f>
        <v>1034.0820671999998</v>
      </c>
      <c r="AX161" s="64">
        <f>SUM(AT161:AW161)</f>
        <v>4164.9453701800003</v>
      </c>
      <c r="AY161" s="121">
        <f>AY158*AY168</f>
        <v>1021.9033439999999</v>
      </c>
      <c r="AZ161" s="73">
        <f>AZ158*AZ168</f>
        <v>1370.4568734000002</v>
      </c>
      <c r="BA161" s="73">
        <f>BA158*BA168</f>
        <v>1191.8661999999997</v>
      </c>
      <c r="BB161" s="75">
        <f>BB158*BB168</f>
        <v>1184.3763999999999</v>
      </c>
      <c r="BC161" s="64">
        <f>SUM(AY161:BB161)</f>
        <v>4768.6028174000003</v>
      </c>
      <c r="BD161" s="121">
        <f>BD158*BD168</f>
        <v>1142.1910500000001</v>
      </c>
      <c r="BE161" s="73">
        <f>BE158*BE168</f>
        <v>1483.5086879999999</v>
      </c>
      <c r="BF161" s="73">
        <f>BF158*BF168</f>
        <v>1322.9577899999999</v>
      </c>
      <c r="BG161" s="75">
        <f>BG158*BG168</f>
        <v>1337.5225304999999</v>
      </c>
      <c r="BH161" s="64">
        <f>SUM(BD161:BG161)</f>
        <v>5286.1800585000001</v>
      </c>
      <c r="BI161" s="121">
        <f>BI158*BI168</f>
        <v>1259.6922965480001</v>
      </c>
      <c r="BJ161" s="73">
        <f>BJ158*BJ168</f>
        <v>1591.7550918348306</v>
      </c>
      <c r="BK161" s="73">
        <f>BK158*BK168</f>
        <v>1462.0639250000006</v>
      </c>
      <c r="BL161" s="75">
        <f>BL158*BL168</f>
        <v>1496.725366110315</v>
      </c>
      <c r="BM161" s="64">
        <f>SUM(BI161:BL161)</f>
        <v>5810.2366794931459</v>
      </c>
      <c r="BN161" s="121">
        <f>Model!BN11-BN84-BN182</f>
        <v>1474.3746390945153</v>
      </c>
      <c r="BO161" s="73">
        <f>Model!BO11-BO84-BO182</f>
        <v>1767.8630418552284</v>
      </c>
      <c r="BP161" s="73">
        <f>Model!BP11-BP84-BP182</f>
        <v>1652.6575578311172</v>
      </c>
      <c r="BQ161" s="75">
        <f>Model!BQ11-BQ84-BQ182</f>
        <v>1664.4905206890321</v>
      </c>
      <c r="BR161" s="64">
        <f>SUM(BN161:BQ161)</f>
        <v>6559.3857594698929</v>
      </c>
      <c r="BS161" s="121">
        <f>Model!BS11-BS84-BS182</f>
        <v>1673.3288329999996</v>
      </c>
      <c r="BT161" s="73">
        <f>Model!BT11-BT84-BT182</f>
        <v>2079.6786040000002</v>
      </c>
      <c r="BU161" s="73">
        <f>Model!BU11-BU84-BU182</f>
        <v>1869.5087500000006</v>
      </c>
      <c r="BV161" s="75">
        <f>Model!BV11-BV84-BV182</f>
        <v>1742.9473100000002</v>
      </c>
      <c r="BW161" s="64">
        <f>SUM(BS161:BV161)</f>
        <v>7365.4634970000006</v>
      </c>
      <c r="BX161" s="121">
        <f>Model!BX11-BX84-BX182</f>
        <v>1758.6936999999998</v>
      </c>
      <c r="BY161" s="73">
        <f>Model!BY11-BY84-BY182</f>
        <v>2115.2940800000001</v>
      </c>
      <c r="BZ161" s="73">
        <f>Model!BZ11-BZ84-BZ182</f>
        <v>1854.0685199999994</v>
      </c>
      <c r="CA161" s="75">
        <f>Model!CA11-CA84-CA182</f>
        <v>1763.7167650000006</v>
      </c>
      <c r="CB161" s="64">
        <f>SUM(BX161:CA161)</f>
        <v>7491.7730649999994</v>
      </c>
      <c r="CC161" s="121">
        <f>Model!CC11-CC84-CC182</f>
        <v>1854.5514812000001</v>
      </c>
      <c r="CD161" s="73">
        <f>Model!CD11-CD84-CD182</f>
        <v>2259.8492149600002</v>
      </c>
      <c r="CE161" s="73">
        <f>Model!CE11-CE84-CE182</f>
        <v>2028.1530755999997</v>
      </c>
      <c r="CF161" s="73">
        <f>Model!CF11-CF84-CF182</f>
        <v>2011.4118028000007</v>
      </c>
      <c r="CG161" s="619">
        <f>SUM(CC161:CF161)</f>
        <v>8153.9655745600012</v>
      </c>
      <c r="CH161" s="73">
        <f>Model!CH11-CH84-CH182</f>
        <v>2084.9747317080005</v>
      </c>
      <c r="CI161" s="73">
        <f>Model!CI11-CI84-CI182</f>
        <v>2481.8102581947815</v>
      </c>
      <c r="CJ161" s="73">
        <f>Model!CJ11-CJ84-CJ182</f>
        <v>2204.3235494399996</v>
      </c>
      <c r="CK161" s="73">
        <f>Model!CK11-CK84-CK182</f>
        <v>2102.3448871252504</v>
      </c>
      <c r="CL161" s="619">
        <f>SUM(CH161:CK161)</f>
        <v>8873.4534264680333</v>
      </c>
      <c r="CM161" s="73">
        <f>Model!CM11-CM84-CM182</f>
        <v>2198.5292113702408</v>
      </c>
      <c r="CN161" s="73">
        <f>Model!CN11-CN84-CN182</f>
        <v>2611.6160968002955</v>
      </c>
      <c r="CO161" s="73">
        <f>Model!CO11-CO84-CO182</f>
        <v>2231.6934537871352</v>
      </c>
      <c r="CP161" s="73">
        <f>Model!CP11-CP84-CP182</f>
        <v>2028.6195648015005</v>
      </c>
      <c r="CQ161" s="825">
        <f>SUM(CM161:CP161)</f>
        <v>9070.4583267591715</v>
      </c>
      <c r="CR161" s="76">
        <f>Model!CR11-CR84-CR182</f>
        <v>2183.6483000237608</v>
      </c>
      <c r="CS161" s="76">
        <f>Model!CS11-CS84-CS182</f>
        <v>2593.6315952700375</v>
      </c>
      <c r="CT161" s="76">
        <f>Model!CT11-CT84-CT182</f>
        <v>2060.3358038844922</v>
      </c>
      <c r="CU161" s="76">
        <f>Model!CU11-CU84-CU182</f>
        <v>2053.6892543116055</v>
      </c>
      <c r="CV161" s="825">
        <f t="shared" si="381"/>
        <v>8891.3049534898964</v>
      </c>
      <c r="CW161" s="76">
        <f>Model!CW11-CW84-CW182</f>
        <v>2019.3008849966504</v>
      </c>
      <c r="CX161" s="76">
        <f>Model!CX11-CX84-CX182</f>
        <v>2496.7112172026859</v>
      </c>
      <c r="CY161" s="76">
        <f>Model!CY11-CY84-CY182</f>
        <v>2095.7586667325795</v>
      </c>
      <c r="CZ161" s="76">
        <f>Model!CZ11-CZ84-CZ182</f>
        <v>2029.630050822112</v>
      </c>
      <c r="DA161" s="802">
        <f t="shared" si="382"/>
        <v>8641.4008197540279</v>
      </c>
      <c r="DB161" s="76">
        <f>DB189-DB84-DB182</f>
        <v>1996.8233713951308</v>
      </c>
      <c r="DC161" s="76">
        <f>DC189-DC84-DC182</f>
        <v>2435.6943403734567</v>
      </c>
      <c r="DD161" s="76">
        <f ca="1">DD189-DD84-DD182</f>
        <v>2057.5457041670193</v>
      </c>
      <c r="DE161" s="76">
        <f ca="1">DE189-DE84-DE182</f>
        <v>1768.3461381355528</v>
      </c>
      <c r="DF161" s="802">
        <f t="shared" ca="1" si="383"/>
        <v>8258.4095540711605</v>
      </c>
      <c r="DG161" s="76">
        <f>DG189-DG84-DG182</f>
        <v>1983.6174526387767</v>
      </c>
      <c r="DH161" s="76">
        <f ca="1">DH189-DH84-DH182</f>
        <v>2435.0913889247477</v>
      </c>
      <c r="DI161" s="76">
        <f ca="1">DI189-DI84-DI182</f>
        <v>2047.6300926660615</v>
      </c>
      <c r="DJ161" s="76">
        <f ca="1">DJ189-DJ84-DJ182</f>
        <v>1871.7095460896926</v>
      </c>
      <c r="DK161" s="777">
        <f t="shared" ca="1" si="384"/>
        <v>8338.0484803192776</v>
      </c>
      <c r="DL161" s="76">
        <f>DL189-DL84-DL182</f>
        <v>1958.4506272944991</v>
      </c>
      <c r="DM161" s="76">
        <f>DM189-DM84-DM182</f>
        <v>2293.7182069438481</v>
      </c>
      <c r="DN161" s="76">
        <f>DN189-DN84-DN182</f>
        <v>1889.8214838206932</v>
      </c>
      <c r="DO161" s="76">
        <f>DO189-DO84-DO182</f>
        <v>1877.4710983623681</v>
      </c>
      <c r="DP161" s="777">
        <f t="shared" si="385"/>
        <v>8019.461416421409</v>
      </c>
      <c r="DQ161" s="76">
        <f>DQ189-DQ84-DQ182</f>
        <v>1901.674902072441</v>
      </c>
      <c r="DR161" s="73">
        <f>DR162+DR163+DR160</f>
        <v>2408.46196601664</v>
      </c>
      <c r="DS161" s="73">
        <f>DS162+DS163+DS160</f>
        <v>2098.7264584950076</v>
      </c>
      <c r="DT161" s="73">
        <f>DT162+DT163+DT160</f>
        <v>2104.707189326497</v>
      </c>
      <c r="DU161" s="777">
        <f t="shared" si="386"/>
        <v>8513.5705159105855</v>
      </c>
      <c r="DV161" s="73">
        <f>DV162+DV163+DV160</f>
        <v>1905.7652109052799</v>
      </c>
      <c r="DW161" s="73">
        <f>DW162+DW163+DW160</f>
        <v>2410.2957511128266</v>
      </c>
      <c r="DX161" s="73">
        <f>DX162+DX163+DX160</f>
        <v>2100.3608213415459</v>
      </c>
      <c r="DY161" s="73">
        <f>DY162+DY163+DY160</f>
        <v>2098.7299728164608</v>
      </c>
      <c r="DZ161" s="777">
        <f t="shared" si="387"/>
        <v>8515.1517561761138</v>
      </c>
      <c r="EA161" s="73">
        <f>EA162+EA163+EA160</f>
        <v>1872.0430602679428</v>
      </c>
      <c r="EB161" s="73">
        <f>EB162+EB163+EB160</f>
        <v>2374.5447276517593</v>
      </c>
      <c r="EC161" s="73">
        <f>EC162+EC163+EC160</f>
        <v>2072.4048406272027</v>
      </c>
      <c r="ED161" s="73">
        <f>ED162+ED163+ED160</f>
        <v>2073.9976216180162</v>
      </c>
      <c r="EE161" s="777">
        <f t="shared" si="388"/>
        <v>8392.9902501649212</v>
      </c>
      <c r="EF161"/>
      <c r="EG161" s="1689"/>
      <c r="EH161" s="1689"/>
      <c r="EI161" s="1689"/>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row>
    <row r="162" spans="2:238" s="64" customFormat="1" ht="12.75" customHeight="1">
      <c r="B162" s="553" t="s">
        <v>426</v>
      </c>
      <c r="F162" s="73">
        <v>1155.0065668919999</v>
      </c>
      <c r="G162" s="73">
        <v>1259.38142928</v>
      </c>
      <c r="H162" s="73">
        <v>1384.0770024000001</v>
      </c>
      <c r="I162" s="73">
        <v>1465.1846695680001</v>
      </c>
      <c r="J162" s="73">
        <v>1576.8113220480002</v>
      </c>
      <c r="K162" s="121"/>
      <c r="L162" s="73"/>
      <c r="M162" s="73"/>
      <c r="N162" s="75"/>
      <c r="O162" s="73">
        <v>2330.0988978240002</v>
      </c>
      <c r="P162" s="121">
        <f>P158*P168</f>
        <v>432.16856829000005</v>
      </c>
      <c r="Q162" s="73">
        <f>Q158*Q168</f>
        <v>566.76417840000011</v>
      </c>
      <c r="R162" s="73">
        <f>R158*R168</f>
        <v>552.18234225000015</v>
      </c>
      <c r="S162" s="75">
        <f>S158*S168</f>
        <v>460.54071277500003</v>
      </c>
      <c r="T162" s="64">
        <f>SUM(P162:S162)</f>
        <v>2011.6558017150003</v>
      </c>
      <c r="U162" s="121">
        <f>U158*U168</f>
        <v>484.00159500000001</v>
      </c>
      <c r="V162" s="73">
        <f>V158*V168</f>
        <v>654.48397129499983</v>
      </c>
      <c r="W162" s="73">
        <f>W158*W168</f>
        <v>543.99199496999995</v>
      </c>
      <c r="X162" s="75">
        <f>X158*X168</f>
        <v>550.50847502399995</v>
      </c>
      <c r="Y162" s="64">
        <f>SUM(U162:X162)</f>
        <v>2232.9860362889999</v>
      </c>
      <c r="Z162" s="121">
        <f>Z158*Z168</f>
        <v>550.19057039999996</v>
      </c>
      <c r="AA162" s="73">
        <f>AA158*AA168</f>
        <v>733.97731500000009</v>
      </c>
      <c r="AB162" s="73">
        <f>AB158*AB168</f>
        <v>641.36741999999981</v>
      </c>
      <c r="AC162" s="75">
        <f>AC158*AC168</f>
        <v>632.81399999999985</v>
      </c>
      <c r="AD162" s="64">
        <f>SUM(Z162:AC162)</f>
        <v>2558.3493054</v>
      </c>
      <c r="AE162" s="121">
        <f>AE158*AE168</f>
        <v>657.57097199999987</v>
      </c>
      <c r="AF162" s="73">
        <f>AF158*AF168</f>
        <v>863.2616256</v>
      </c>
      <c r="AG162" s="73">
        <f>AG158*AG168</f>
        <v>737.58923400000003</v>
      </c>
      <c r="AH162" s="75">
        <f>AH158*AH168</f>
        <v>735.80287680000015</v>
      </c>
      <c r="AI162" s="64">
        <f>SUM(AE162:AH162)</f>
        <v>2994.2247084000001</v>
      </c>
      <c r="AJ162" s="121">
        <f>AJ158*AJ168</f>
        <v>765.91723500000012</v>
      </c>
      <c r="AK162" s="73">
        <f>AK158*AK168</f>
        <v>972.96485999999993</v>
      </c>
      <c r="AL162" s="73">
        <f>AL158*AL168</f>
        <v>849.29441800000006</v>
      </c>
      <c r="AM162" s="75">
        <f>AM158*AM168</f>
        <v>846.97901120000017</v>
      </c>
      <c r="AN162" s="64">
        <f>SUM(AJ162:AM162)</f>
        <v>3435.1555241999999</v>
      </c>
      <c r="AO162" s="121">
        <f>AO158*AO168</f>
        <v>858.30404940000005</v>
      </c>
      <c r="AP162" s="73">
        <f>AP158*AP168</f>
        <v>1114.0132232000001</v>
      </c>
      <c r="AQ162" s="73">
        <f>AQ158*AQ168</f>
        <v>952.96788640000011</v>
      </c>
      <c r="AR162" s="75">
        <f>AR158*AR168</f>
        <v>926.37851999999998</v>
      </c>
      <c r="AS162" s="64">
        <f>SUM(AO162:AR162)</f>
        <v>3851.6636790000002</v>
      </c>
      <c r="AT162" s="121">
        <f>AT158*AT168</f>
        <v>914.19883000000004</v>
      </c>
      <c r="AU162" s="73">
        <f>AU158*AU168</f>
        <v>1178.2461529800003</v>
      </c>
      <c r="AV162" s="73">
        <f>AV158*AV168</f>
        <v>1038.4183200000002</v>
      </c>
      <c r="AW162" s="75">
        <f>AW158*AW168</f>
        <v>1034.0820671999998</v>
      </c>
      <c r="AX162" s="64">
        <f>SUM(AT162:AW162)</f>
        <v>4164.9453701800003</v>
      </c>
      <c r="AY162" s="121">
        <f>AY158*AY168</f>
        <v>1021.9033439999999</v>
      </c>
      <c r="AZ162" s="73">
        <f>AZ158*AZ168</f>
        <v>1370.4568734000002</v>
      </c>
      <c r="BA162" s="73">
        <f>BA158*BA168</f>
        <v>1191.8661999999997</v>
      </c>
      <c r="BB162" s="75">
        <f>BB158*BB168</f>
        <v>1184.3763999999999</v>
      </c>
      <c r="BC162" s="64">
        <f>SUM(AY162:BB162)</f>
        <v>4768.6028174000003</v>
      </c>
      <c r="BD162" s="121">
        <f>BD158*BD168</f>
        <v>1142.1910500000001</v>
      </c>
      <c r="BE162" s="73">
        <f>BE158*BE168</f>
        <v>1483.5086879999999</v>
      </c>
      <c r="BF162" s="73">
        <f>BF158*BF168</f>
        <v>1322.9577899999999</v>
      </c>
      <c r="BG162" s="75">
        <f>BG158*BG168</f>
        <v>1337.5225304999999</v>
      </c>
      <c r="BH162" s="64">
        <f>SUM(BD162:BG162)</f>
        <v>5286.1800585000001</v>
      </c>
      <c r="BI162" s="121">
        <f>BI159*BI168</f>
        <v>1259.6922965480001</v>
      </c>
      <c r="BJ162" s="73">
        <f>BJ159*BJ168</f>
        <v>1591.7550918348306</v>
      </c>
      <c r="BK162" s="73">
        <f>BK159*BK168</f>
        <v>1462.0639250000006</v>
      </c>
      <c r="BL162" s="75">
        <f>BL159*BL168</f>
        <v>1496.725366110315</v>
      </c>
      <c r="BM162" s="1206">
        <f>SUM(BI162:BL162)</f>
        <v>5810.2366794931459</v>
      </c>
      <c r="BN162" s="121">
        <f>BN159*BN168</f>
        <v>1437.3453207140076</v>
      </c>
      <c r="BO162" s="73">
        <f>BO159*BO168</f>
        <v>1712.6067667021593</v>
      </c>
      <c r="BP162" s="73">
        <f>BP159*BP168</f>
        <v>1634.2651520773945</v>
      </c>
      <c r="BQ162" s="75">
        <f>BQ159*BQ168</f>
        <v>1655.3415758374927</v>
      </c>
      <c r="BR162" s="1206">
        <f>SUM(BN162:BQ162)</f>
        <v>6439.5588153310546</v>
      </c>
      <c r="BS162" s="121">
        <f>BS159*BS168</f>
        <v>1673.3288329999996</v>
      </c>
      <c r="BT162" s="73">
        <f>BT159*BT168</f>
        <v>2079.6786040000002</v>
      </c>
      <c r="BU162" s="73">
        <f>BU159*BU168</f>
        <v>1869.5087500000006</v>
      </c>
      <c r="BV162" s="75">
        <f>BV159*BV168</f>
        <v>1742.9473100000002</v>
      </c>
      <c r="BW162" s="1206">
        <f>SUM(BS162:BV162)</f>
        <v>7365.4634970000006</v>
      </c>
      <c r="BX162" s="121">
        <f>BX159*BX168</f>
        <v>1758.6936999999998</v>
      </c>
      <c r="BY162" s="73">
        <f>BY159*BY168</f>
        <v>2115.2940800000001</v>
      </c>
      <c r="BZ162" s="73">
        <f>BZ159*BZ168</f>
        <v>1854.0685199999994</v>
      </c>
      <c r="CA162" s="75">
        <f>CA159*CA168</f>
        <v>1763.7167650000008</v>
      </c>
      <c r="CB162" s="1206">
        <f>SUM(BX162:CA162)</f>
        <v>7491.7730650000003</v>
      </c>
      <c r="CC162" s="189">
        <f>CC159*CC168</f>
        <v>1854.5514811999999</v>
      </c>
      <c r="CD162" s="76">
        <f>CD159*CD168</f>
        <v>2259.8492149600002</v>
      </c>
      <c r="CE162" s="73">
        <f>CE159*CE168</f>
        <v>2028.1530755999997</v>
      </c>
      <c r="CF162" s="73">
        <f>CF159*CF168</f>
        <v>2011.4118028000005</v>
      </c>
      <c r="CG162" s="825">
        <f>SUM(CC162:CF162)</f>
        <v>8153.9655745600003</v>
      </c>
      <c r="CH162" s="189">
        <f>CH159*CH168</f>
        <v>2084.9747317080005</v>
      </c>
      <c r="CI162" s="76">
        <f>CI159*CI168</f>
        <v>2481.8102581947815</v>
      </c>
      <c r="CJ162" s="73">
        <f>CJ159*CJ168</f>
        <v>2204.3235494399996</v>
      </c>
      <c r="CK162" s="73">
        <f>CK159*CK168</f>
        <v>2102.3448871252504</v>
      </c>
      <c r="CL162" s="825">
        <f>SUM(CH162:CK162)</f>
        <v>8873.4534264680333</v>
      </c>
      <c r="CM162" s="189">
        <f>CM159*CM168</f>
        <v>2198.5292113702408</v>
      </c>
      <c r="CN162" s="76">
        <f>CN159*CN168</f>
        <v>2611.6160968002955</v>
      </c>
      <c r="CO162" s="73">
        <f>CO159*CO168</f>
        <v>2231.6934537871352</v>
      </c>
      <c r="CP162" s="73">
        <f>CP159*CP168</f>
        <v>2028.6195648015005</v>
      </c>
      <c r="CQ162" s="825">
        <f>SUM(CM162:CP162)</f>
        <v>9070.4583267591715</v>
      </c>
      <c r="CR162" s="76">
        <f>CR161-CR163</f>
        <v>2183.6483000237608</v>
      </c>
      <c r="CS162" s="76">
        <f>CS161-CS163</f>
        <v>2593.6315952700375</v>
      </c>
      <c r="CT162" s="73">
        <f>CT161-CT163</f>
        <v>2060.3358038844922</v>
      </c>
      <c r="CU162" s="73">
        <f>CU161-CU163</f>
        <v>2053.6892543116055</v>
      </c>
      <c r="CV162" s="825">
        <f t="shared" si="381"/>
        <v>8891.3049534898964</v>
      </c>
      <c r="CW162" s="76">
        <f>CW161-CW163</f>
        <v>2019.3008849966504</v>
      </c>
      <c r="CX162" s="76">
        <f>CX161-CX163</f>
        <v>2496.7112172026859</v>
      </c>
      <c r="CY162" s="76">
        <f>CY161-CY163</f>
        <v>2095.7586667325795</v>
      </c>
      <c r="CZ162" s="76">
        <f>CZ161-CZ163</f>
        <v>2029.630050822112</v>
      </c>
      <c r="DA162" s="802">
        <f t="shared" si="382"/>
        <v>8641.4008197540279</v>
      </c>
      <c r="DB162" s="76">
        <f>DB161-DB163</f>
        <v>1996.8233713951308</v>
      </c>
      <c r="DC162" s="76">
        <f>DC161-DC163</f>
        <v>2435.6943403734567</v>
      </c>
      <c r="DD162" s="76">
        <f ca="1">DD161-DD163</f>
        <v>2057.5457041670193</v>
      </c>
      <c r="DE162" s="76">
        <f ca="1">DE161-DE163</f>
        <v>1768.3461381355528</v>
      </c>
      <c r="DF162" s="802">
        <f t="shared" ca="1" si="383"/>
        <v>8258.4095540711605</v>
      </c>
      <c r="DG162" s="76">
        <f>DG161-DG163</f>
        <v>1983.6174526387767</v>
      </c>
      <c r="DH162" s="76">
        <f ca="1">DH161-DH163</f>
        <v>2435.0913889247477</v>
      </c>
      <c r="DI162" s="76">
        <f ca="1">DI161-DI163</f>
        <v>2047.6300926660615</v>
      </c>
      <c r="DJ162" s="76">
        <f ca="1">DJ161-DJ163</f>
        <v>1871.7095460896926</v>
      </c>
      <c r="DK162" s="777">
        <f t="shared" ca="1" si="384"/>
        <v>8338.0484803192776</v>
      </c>
      <c r="DL162" s="76">
        <f>DL161-DL163</f>
        <v>1958.4506272944991</v>
      </c>
      <c r="DM162" s="76">
        <f>DM161-DM163</f>
        <v>2293.7182069438481</v>
      </c>
      <c r="DN162" s="76">
        <f>DN161-DN163</f>
        <v>1889.8214838206932</v>
      </c>
      <c r="DO162" s="76">
        <f>DO161-DO163</f>
        <v>1877.4710983623681</v>
      </c>
      <c r="DP162" s="777">
        <f t="shared" si="385"/>
        <v>8019.461416421409</v>
      </c>
      <c r="DQ162" s="76">
        <f>DQ161-DQ163</f>
        <v>1901.674902072441</v>
      </c>
      <c r="DR162" s="73">
        <f>DR158*DR168</f>
        <v>2408.46196601664</v>
      </c>
      <c r="DS162" s="73">
        <f>DS158*DS168</f>
        <v>2098.7264584950076</v>
      </c>
      <c r="DT162" s="73">
        <f>DT158*DT168</f>
        <v>2104.707189326497</v>
      </c>
      <c r="DU162" s="777">
        <f t="shared" si="386"/>
        <v>8513.5705159105855</v>
      </c>
      <c r="DV162" s="73">
        <f>DV158*DV168</f>
        <v>1905.7652109052799</v>
      </c>
      <c r="DW162" s="73">
        <f>DW158*DW168</f>
        <v>2410.2957511128266</v>
      </c>
      <c r="DX162" s="73">
        <f>DX158*DX168</f>
        <v>2100.3608213415459</v>
      </c>
      <c r="DY162" s="73">
        <f>DY158*DY168</f>
        <v>2098.7299728164608</v>
      </c>
      <c r="DZ162" s="777">
        <f t="shared" si="387"/>
        <v>8515.1517561761138</v>
      </c>
      <c r="EA162" s="73">
        <f>EA158*EA168</f>
        <v>1872.0430602679428</v>
      </c>
      <c r="EB162" s="73">
        <f>EB158*EB168</f>
        <v>2374.5447276517593</v>
      </c>
      <c r="EC162" s="73">
        <f>EC158*EC168</f>
        <v>2072.4048406272027</v>
      </c>
      <c r="ED162" s="73">
        <f>ED158*ED168</f>
        <v>2073.9976216180162</v>
      </c>
      <c r="EE162" s="777">
        <f t="shared" si="388"/>
        <v>8392.9902501649212</v>
      </c>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row>
    <row r="163" spans="2:238" s="64" customFormat="1" ht="12.75" customHeight="1" outlineLevel="1">
      <c r="B163" s="553" t="s">
        <v>427</v>
      </c>
      <c r="F163" s="73"/>
      <c r="G163" s="73"/>
      <c r="H163" s="73"/>
      <c r="I163" s="73"/>
      <c r="J163" s="73"/>
      <c r="K163" s="121"/>
      <c r="L163" s="73"/>
      <c r="M163" s="73"/>
      <c r="N163" s="75"/>
      <c r="O163" s="73"/>
      <c r="P163" s="121"/>
      <c r="Q163" s="73"/>
      <c r="R163" s="73"/>
      <c r="S163" s="75"/>
      <c r="U163" s="121"/>
      <c r="V163" s="73"/>
      <c r="W163" s="73"/>
      <c r="X163" s="75"/>
      <c r="Z163" s="121"/>
      <c r="AA163" s="73"/>
      <c r="AB163" s="73"/>
      <c r="AC163" s="75"/>
      <c r="AE163" s="121"/>
      <c r="AF163" s="73"/>
      <c r="AG163" s="73"/>
      <c r="AH163" s="75"/>
      <c r="AJ163" s="121"/>
      <c r="AK163" s="73"/>
      <c r="AL163" s="73"/>
      <c r="AM163" s="75"/>
      <c r="AO163" s="121"/>
      <c r="AP163" s="73"/>
      <c r="AQ163" s="73"/>
      <c r="AR163" s="75"/>
      <c r="AT163" s="121"/>
      <c r="AU163" s="73"/>
      <c r="AV163" s="73"/>
      <c r="AW163" s="75"/>
      <c r="AY163" s="121"/>
      <c r="AZ163" s="73"/>
      <c r="BA163" s="73"/>
      <c r="BB163" s="75"/>
      <c r="BD163" s="121"/>
      <c r="BE163" s="73"/>
      <c r="BF163" s="73"/>
      <c r="BG163" s="75"/>
      <c r="BI163" s="121"/>
      <c r="BJ163" s="73"/>
      <c r="BK163" s="73"/>
      <c r="BL163" s="75"/>
      <c r="BN163" s="121"/>
      <c r="BO163" s="73"/>
      <c r="BP163" s="73"/>
      <c r="BQ163" s="75"/>
      <c r="BS163" s="121"/>
      <c r="BT163" s="73"/>
      <c r="BU163" s="73"/>
      <c r="BV163" s="75"/>
      <c r="BX163" s="121"/>
      <c r="BY163" s="73"/>
      <c r="BZ163" s="73"/>
      <c r="CA163" s="75"/>
      <c r="CC163" s="121"/>
      <c r="CD163" s="73"/>
      <c r="CE163" s="73"/>
      <c r="CF163" s="73"/>
      <c r="CG163" s="619"/>
      <c r="CH163" s="73"/>
      <c r="CI163" s="73"/>
      <c r="CJ163" s="73"/>
      <c r="CK163" s="73"/>
      <c r="CL163" s="619"/>
      <c r="CM163" s="73"/>
      <c r="CN163" s="73"/>
      <c r="CO163" s="73"/>
      <c r="CP163" s="73"/>
      <c r="CQ163" s="825"/>
      <c r="CR163" s="484"/>
      <c r="CS163" s="484"/>
      <c r="CT163" s="484"/>
      <c r="CU163" s="484"/>
      <c r="CV163" s="825"/>
      <c r="CW163" s="484"/>
      <c r="CX163" s="484"/>
      <c r="CY163" s="484"/>
      <c r="CZ163" s="484"/>
      <c r="DA163" s="825"/>
      <c r="DB163" s="484"/>
      <c r="DC163" s="1710"/>
      <c r="DD163" s="1710"/>
      <c r="DE163" s="1710"/>
      <c r="DF163" s="825"/>
      <c r="DG163" s="1710"/>
      <c r="DH163" s="1710"/>
      <c r="DI163" s="1710"/>
      <c r="DJ163" s="1710"/>
      <c r="DK163" s="1397"/>
      <c r="DL163" s="1710"/>
      <c r="DM163" s="1710"/>
      <c r="DN163" s="1710"/>
      <c r="DO163" s="1710"/>
      <c r="DP163" s="1397"/>
      <c r="DQ163" s="1710"/>
      <c r="DR163" s="1204"/>
      <c r="DS163" s="1204"/>
      <c r="DT163" s="1204"/>
      <c r="DU163" s="1397"/>
      <c r="DV163" s="1204"/>
      <c r="DW163" s="1204"/>
      <c r="DX163" s="1204"/>
      <c r="DY163" s="1204"/>
      <c r="DZ163" s="1397"/>
      <c r="EA163" s="1204"/>
      <c r="EB163" s="1204"/>
      <c r="EC163" s="1204"/>
      <c r="ED163" s="1204"/>
      <c r="EE163" s="1397"/>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row>
    <row r="164" spans="2:238" s="64" customFormat="1" ht="12.75" customHeight="1">
      <c r="B164" s="553"/>
      <c r="F164" s="73"/>
      <c r="G164" s="73"/>
      <c r="H164" s="73"/>
      <c r="I164" s="73"/>
      <c r="J164" s="73"/>
      <c r="K164" s="121"/>
      <c r="L164" s="73"/>
      <c r="M164" s="73"/>
      <c r="N164" s="75"/>
      <c r="O164" s="73"/>
      <c r="P164" s="121"/>
      <c r="Q164" s="73"/>
      <c r="R164" s="73"/>
      <c r="S164" s="75"/>
      <c r="U164" s="121"/>
      <c r="V164" s="73"/>
      <c r="W164" s="73"/>
      <c r="X164" s="75"/>
      <c r="Z164" s="121"/>
      <c r="AA164" s="73"/>
      <c r="AB164" s="73"/>
      <c r="AC164" s="75"/>
      <c r="AE164" s="121"/>
      <c r="AF164" s="73"/>
      <c r="AG164" s="73"/>
      <c r="AH164" s="75"/>
      <c r="AJ164" s="121"/>
      <c r="AK164" s="73"/>
      <c r="AL164" s="73"/>
      <c r="AM164" s="75"/>
      <c r="AO164" s="121"/>
      <c r="AP164" s="73"/>
      <c r="AQ164" s="73"/>
      <c r="AR164" s="75"/>
      <c r="AT164" s="121"/>
      <c r="AU164" s="73"/>
      <c r="AV164" s="73"/>
      <c r="AW164" s="75"/>
      <c r="AY164" s="121"/>
      <c r="AZ164" s="73"/>
      <c r="BA164" s="73"/>
      <c r="BB164" s="75"/>
      <c r="BD164" s="121"/>
      <c r="BE164" s="73"/>
      <c r="BF164" s="73"/>
      <c r="BG164" s="75"/>
      <c r="BI164" s="121"/>
      <c r="BJ164" s="73"/>
      <c r="BK164" s="73"/>
      <c r="BL164" s="75"/>
      <c r="BN164" s="121"/>
      <c r="BO164" s="73"/>
      <c r="BP164" s="73"/>
      <c r="BQ164" s="75"/>
      <c r="BS164" s="121"/>
      <c r="BT164" s="73"/>
      <c r="BU164" s="73"/>
      <c r="BV164" s="75"/>
      <c r="BX164" s="121"/>
      <c r="BY164" s="73"/>
      <c r="BZ164" s="73"/>
      <c r="CA164" s="75"/>
      <c r="CC164" s="121"/>
      <c r="CD164" s="73"/>
      <c r="CE164" s="73"/>
      <c r="CF164" s="73"/>
      <c r="CG164" s="619"/>
      <c r="CH164" s="73"/>
      <c r="CI164" s="73"/>
      <c r="CJ164" s="73"/>
      <c r="CK164" s="73"/>
      <c r="CL164" s="619"/>
      <c r="CM164" s="73"/>
      <c r="CN164" s="73"/>
      <c r="CO164" s="73"/>
      <c r="CP164" s="73"/>
      <c r="CQ164" s="825"/>
      <c r="CR164" s="1203"/>
      <c r="CS164" s="1203"/>
      <c r="CT164" s="1204"/>
      <c r="CU164" s="124"/>
      <c r="CV164" s="825"/>
      <c r="CW164" s="1203"/>
      <c r="CX164" s="1203"/>
      <c r="CY164" s="1204"/>
      <c r="CZ164" s="1204"/>
      <c r="DA164" s="825"/>
      <c r="DB164" s="1203"/>
      <c r="DC164" s="1203"/>
      <c r="DD164" s="1203"/>
      <c r="DE164" s="1203"/>
      <c r="DF164" s="825"/>
      <c r="DG164" s="1203"/>
      <c r="DH164" s="1203"/>
      <c r="DI164" s="1203"/>
      <c r="DJ164" s="1203"/>
      <c r="DK164" s="1397"/>
      <c r="DL164" s="1203"/>
      <c r="DM164" s="1203"/>
      <c r="DN164" s="1203"/>
      <c r="DO164" s="1203"/>
      <c r="DP164" s="1397"/>
      <c r="DQ164" s="1203"/>
      <c r="DR164" s="1204"/>
      <c r="DS164" s="1204"/>
      <c r="DT164" s="1204"/>
      <c r="DU164" s="1397"/>
      <c r="DV164" s="1204"/>
      <c r="DW164" s="1204"/>
      <c r="DX164" s="1204"/>
      <c r="DY164" s="1204"/>
      <c r="DZ164" s="1397"/>
      <c r="EA164" s="1204"/>
      <c r="EB164" s="1204"/>
      <c r="EC164" s="1204"/>
      <c r="ED164" s="1204"/>
      <c r="EE164" s="1397"/>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row>
    <row r="165" spans="2:238" s="64" customFormat="1" ht="12.75" customHeight="1">
      <c r="B165" s="562" t="s">
        <v>248</v>
      </c>
      <c r="F165" s="73"/>
      <c r="G165" s="73"/>
      <c r="H165" s="73"/>
      <c r="I165" s="73"/>
      <c r="J165" s="73"/>
      <c r="K165" s="121"/>
      <c r="L165" s="73"/>
      <c r="M165" s="73"/>
      <c r="N165" s="75"/>
      <c r="O165" s="73"/>
      <c r="P165" s="121"/>
      <c r="Q165" s="73"/>
      <c r="R165" s="73"/>
      <c r="S165" s="75"/>
      <c r="U165" s="121"/>
      <c r="V165" s="73"/>
      <c r="W165" s="73"/>
      <c r="X165" s="75"/>
      <c r="Z165" s="121"/>
      <c r="AA165" s="73"/>
      <c r="AB165" s="73"/>
      <c r="AC165" s="75"/>
      <c r="AE165" s="121"/>
      <c r="AF165" s="73"/>
      <c r="AG165" s="73"/>
      <c r="AH165" s="75"/>
      <c r="AJ165" s="121"/>
      <c r="AK165" s="73"/>
      <c r="AL165" s="73"/>
      <c r="AM165" s="75"/>
      <c r="AO165" s="121"/>
      <c r="AP165" s="73"/>
      <c r="AQ165" s="73"/>
      <c r="AR165" s="75"/>
      <c r="AT165" s="121"/>
      <c r="AU165" s="73"/>
      <c r="AV165" s="73"/>
      <c r="AW165" s="75"/>
      <c r="AY165" s="121"/>
      <c r="AZ165" s="73"/>
      <c r="BA165" s="73"/>
      <c r="BB165" s="75"/>
      <c r="BD165" s="121"/>
      <c r="BE165" s="73"/>
      <c r="BF165" s="73"/>
      <c r="BG165" s="75"/>
      <c r="BI165" s="121"/>
      <c r="BJ165" s="73"/>
      <c r="BK165" s="73"/>
      <c r="BL165" s="75"/>
      <c r="BN165" s="121"/>
      <c r="BO165" s="73"/>
      <c r="BP165" s="73"/>
      <c r="BQ165" s="75"/>
      <c r="BS165" s="250">
        <f t="shared" ref="BS165:CR165" si="389">BS161/BS158</f>
        <v>0.35187542352649465</v>
      </c>
      <c r="BT165" s="78">
        <f t="shared" si="389"/>
        <v>0.36317260950787539</v>
      </c>
      <c r="BU165" s="78">
        <f t="shared" si="389"/>
        <v>0.36088000839314766</v>
      </c>
      <c r="BV165" s="251">
        <f t="shared" si="389"/>
        <v>0.34410279512114222</v>
      </c>
      <c r="BW165" s="814">
        <f t="shared" si="389"/>
        <v>0.35534762700978595</v>
      </c>
      <c r="BX165" s="250">
        <f t="shared" si="389"/>
        <v>0.34606466377278144</v>
      </c>
      <c r="BY165" s="78">
        <f t="shared" si="389"/>
        <v>0.34701129147356768</v>
      </c>
      <c r="BZ165" s="78">
        <f t="shared" si="389"/>
        <v>0.33249439048534485</v>
      </c>
      <c r="CA165" s="251">
        <f t="shared" si="389"/>
        <v>0.33527518080488489</v>
      </c>
      <c r="CB165" s="814">
        <f t="shared" si="389"/>
        <v>0.34031122999753571</v>
      </c>
      <c r="CC165" s="250">
        <f t="shared" si="389"/>
        <v>0.33529935845607117</v>
      </c>
      <c r="CD165" s="78">
        <f t="shared" si="389"/>
        <v>0.3624905685947693</v>
      </c>
      <c r="CE165" s="78">
        <f t="shared" si="389"/>
        <v>0.34081714584158845</v>
      </c>
      <c r="CF165" s="78">
        <f t="shared" si="389"/>
        <v>0.34964838984332508</v>
      </c>
      <c r="CG165" s="814">
        <f t="shared" si="389"/>
        <v>0.34743876065846624</v>
      </c>
      <c r="CH165" s="78">
        <f t="shared" si="389"/>
        <v>0.3515000775008903</v>
      </c>
      <c r="CI165" s="211">
        <f t="shared" si="389"/>
        <v>0.35865616178432824</v>
      </c>
      <c r="CJ165" s="217">
        <f t="shared" si="389"/>
        <v>0.34380890110378587</v>
      </c>
      <c r="CK165" s="217">
        <f t="shared" si="389"/>
        <v>0.33818340804082542</v>
      </c>
      <c r="CL165" s="814">
        <f t="shared" si="389"/>
        <v>0.34825912602721609</v>
      </c>
      <c r="CM165" s="78">
        <f t="shared" si="389"/>
        <v>0.35096923714018402</v>
      </c>
      <c r="CN165" s="211">
        <f t="shared" si="389"/>
        <v>0.35720797604553339</v>
      </c>
      <c r="CO165" s="217">
        <f t="shared" si="389"/>
        <v>0.33885456492919142</v>
      </c>
      <c r="CP165" s="217">
        <f t="shared" si="389"/>
        <v>0.32642948940031596</v>
      </c>
      <c r="CQ165" s="814">
        <f t="shared" si="389"/>
        <v>0.34389162474209606</v>
      </c>
      <c r="CR165" s="78">
        <f t="shared" si="389"/>
        <v>0.34835860616626413</v>
      </c>
      <c r="CS165" s="211">
        <f t="shared" ref="CS165:DF165" si="390">CS161/CS158</f>
        <v>0.35756064819348149</v>
      </c>
      <c r="CT165" s="211">
        <f>CT161/CT158</f>
        <v>0.30489629575632693</v>
      </c>
      <c r="CU165" s="217">
        <f t="shared" si="390"/>
        <v>0.3170887855270153</v>
      </c>
      <c r="CV165" s="814">
        <f t="shared" si="390"/>
        <v>0.33230730429047034</v>
      </c>
      <c r="CW165" s="1518">
        <f t="shared" si="390"/>
        <v>0.31209553754374142</v>
      </c>
      <c r="CX165" s="211">
        <f t="shared" si="390"/>
        <v>0.3369067141120039</v>
      </c>
      <c r="CY165" s="211">
        <f>CY161/CY158</f>
        <v>0.30343603664767943</v>
      </c>
      <c r="CZ165" s="217">
        <f>CZ161/CZ158</f>
        <v>0.3105047372570201</v>
      </c>
      <c r="DA165" s="814">
        <f t="shared" si="390"/>
        <v>0.31625524965417123</v>
      </c>
      <c r="DB165" s="78">
        <f>DB161/DB158</f>
        <v>0.30758556955578237</v>
      </c>
      <c r="DC165" s="211">
        <f t="shared" si="390"/>
        <v>0.32505881959126287</v>
      </c>
      <c r="DD165" s="211">
        <f ca="1">DD161/DD158</f>
        <v>0.29715820584944841</v>
      </c>
      <c r="DE165" s="211">
        <f ca="1">DE161/DE158</f>
        <v>0.26151101867375581</v>
      </c>
      <c r="DF165" s="814">
        <f t="shared" ca="1" si="390"/>
        <v>0.29844864827576795</v>
      </c>
      <c r="DG165" s="211">
        <f>DG161/DG158</f>
        <v>0.30816251446946319</v>
      </c>
      <c r="DH165" s="211">
        <f ca="1">DH161/DH158</f>
        <v>0.32360018457471734</v>
      </c>
      <c r="DI165" s="211">
        <f ca="1">DI161/DI158</f>
        <v>0.29648684936906416</v>
      </c>
      <c r="DJ165" s="211">
        <f ca="1">DJ161/DJ158</f>
        <v>0.29101907405030064</v>
      </c>
      <c r="DK165" s="1398">
        <f t="shared" ref="DK165:DP165" ca="1" si="391">DK161/DK158</f>
        <v>0.30542525880479998</v>
      </c>
      <c r="DL165" s="211">
        <f>DL161/DL158</f>
        <v>0.30679258047567265</v>
      </c>
      <c r="DM165" s="211">
        <f>DM161/DM158</f>
        <v>0.3138773274377879</v>
      </c>
      <c r="DN165" s="211">
        <f>DN161/DN158</f>
        <v>0.27869658604555203</v>
      </c>
      <c r="DO165" s="211">
        <f>DO161/DO158</f>
        <v>0.30174822164497311</v>
      </c>
      <c r="DP165" s="1398">
        <f t="shared" si="391"/>
        <v>0.3004193047433853</v>
      </c>
      <c r="DQ165" s="211">
        <f>DQ161/DQ158</f>
        <v>0.30896042584566635</v>
      </c>
      <c r="DR165" s="217">
        <f t="shared" ref="DR165:DZ165" si="392">DR161/DR158</f>
        <v>0.3168773274377879</v>
      </c>
      <c r="DS165" s="217">
        <f t="shared" si="392"/>
        <v>0.28369658604555203</v>
      </c>
      <c r="DT165" s="217">
        <f t="shared" si="392"/>
        <v>0.30674822164497312</v>
      </c>
      <c r="DU165" s="1398">
        <f t="shared" si="392"/>
        <v>0.30389518391636983</v>
      </c>
      <c r="DV165" s="217">
        <f t="shared" si="392"/>
        <v>0.31396042584566636</v>
      </c>
      <c r="DW165" s="217">
        <f t="shared" si="392"/>
        <v>0.32187732743778791</v>
      </c>
      <c r="DX165" s="217">
        <f t="shared" si="392"/>
        <v>0.28869658604555204</v>
      </c>
      <c r="DY165" s="217">
        <f t="shared" si="392"/>
        <v>0.31174822164497312</v>
      </c>
      <c r="DZ165" s="1398">
        <f t="shared" si="392"/>
        <v>0.30890300469351378</v>
      </c>
      <c r="EA165" s="217">
        <f t="shared" ref="EA165:EE165" si="393">EA161/EA158</f>
        <v>0.31396042584566636</v>
      </c>
      <c r="EB165" s="217">
        <f t="shared" si="393"/>
        <v>0.32187732743778791</v>
      </c>
      <c r="EC165" s="217">
        <f t="shared" si="393"/>
        <v>0.28869658604555204</v>
      </c>
      <c r="ED165" s="217">
        <f t="shared" si="393"/>
        <v>0.31174822164497312</v>
      </c>
      <c r="EE165" s="1398">
        <f t="shared" si="393"/>
        <v>0.30889368206858336</v>
      </c>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row>
    <row r="166" spans="2:238" s="253" customFormat="1" ht="12.75" customHeight="1">
      <c r="B166" s="564" t="s">
        <v>151</v>
      </c>
      <c r="F166" s="253">
        <f>F165-E165</f>
        <v>0</v>
      </c>
      <c r="G166" s="253">
        <f>G165-F165</f>
        <v>0</v>
      </c>
      <c r="H166" s="253">
        <f>H165-G165</f>
        <v>0</v>
      </c>
      <c r="I166" s="253">
        <f>I165-H165</f>
        <v>0</v>
      </c>
      <c r="J166" s="253">
        <f>J165-I165</f>
        <v>0</v>
      </c>
      <c r="K166" s="254"/>
      <c r="L166" s="255"/>
      <c r="M166" s="255"/>
      <c r="N166" s="256"/>
      <c r="O166" s="253">
        <f>O165-J165</f>
        <v>0</v>
      </c>
      <c r="P166" s="254"/>
      <c r="Q166" s="255"/>
      <c r="R166" s="255"/>
      <c r="S166" s="256"/>
      <c r="T166" s="253">
        <f>T165-O165</f>
        <v>0</v>
      </c>
      <c r="U166" s="254"/>
      <c r="V166" s="255"/>
      <c r="W166" s="255"/>
      <c r="X166" s="256"/>
      <c r="Y166" s="253">
        <f>Y165-T165</f>
        <v>0</v>
      </c>
      <c r="Z166" s="254"/>
      <c r="AA166" s="255"/>
      <c r="AB166" s="255"/>
      <c r="AC166" s="256"/>
      <c r="AD166" s="253">
        <f>AD165-Y165</f>
        <v>0</v>
      </c>
      <c r="AE166" s="254"/>
      <c r="AF166" s="255"/>
      <c r="AG166" s="255"/>
      <c r="AH166" s="256"/>
      <c r="AI166" s="253">
        <f>AI165-AD165</f>
        <v>0</v>
      </c>
      <c r="AJ166" s="254"/>
      <c r="AK166" s="255"/>
      <c r="AL166" s="255"/>
      <c r="AM166" s="256"/>
      <c r="AN166" s="253">
        <f>AN165-AI165</f>
        <v>0</v>
      </c>
      <c r="AO166" s="254"/>
      <c r="AP166" s="255"/>
      <c r="AQ166" s="255"/>
      <c r="AR166" s="256"/>
      <c r="AS166" s="253">
        <f>AS165-AN165</f>
        <v>0</v>
      </c>
      <c r="AT166" s="254"/>
      <c r="AU166" s="255"/>
      <c r="AV166" s="255"/>
      <c r="AW166" s="256"/>
      <c r="AX166" s="253">
        <f>AX165-AS165</f>
        <v>0</v>
      </c>
      <c r="AY166" s="254"/>
      <c r="AZ166" s="255"/>
      <c r="BA166" s="255"/>
      <c r="BB166" s="256"/>
      <c r="BC166" s="253">
        <f>BC165-AX165</f>
        <v>0</v>
      </c>
      <c r="BD166" s="254"/>
      <c r="BE166" s="255"/>
      <c r="BF166" s="255"/>
      <c r="BG166" s="256"/>
      <c r="BH166" s="253">
        <f>BH165-BC165</f>
        <v>0</v>
      </c>
      <c r="BI166" s="254"/>
      <c r="BJ166" s="255"/>
      <c r="BK166" s="255"/>
      <c r="BL166" s="256"/>
      <c r="BM166" s="253">
        <f>BM165-BH165</f>
        <v>0</v>
      </c>
      <c r="BN166" s="254"/>
      <c r="BO166" s="255"/>
      <c r="BP166" s="255"/>
      <c r="BQ166" s="256"/>
      <c r="BR166" s="253">
        <f>BR165-BM165</f>
        <v>0</v>
      </c>
      <c r="BS166" s="254"/>
      <c r="BT166" s="255"/>
      <c r="BU166" s="255"/>
      <c r="BV166" s="256"/>
      <c r="BW166" s="253">
        <f t="shared" ref="BW166:CW166" si="394">BW165-BR165</f>
        <v>0.35534762700978595</v>
      </c>
      <c r="BX166" s="254">
        <f t="shared" si="394"/>
        <v>-5.8107597537132016E-3</v>
      </c>
      <c r="BY166" s="255">
        <f t="shared" si="394"/>
        <v>-1.6161318034307703E-2</v>
      </c>
      <c r="BZ166" s="255">
        <f t="shared" si="394"/>
        <v>-2.8385617907802807E-2</v>
      </c>
      <c r="CA166" s="256">
        <f t="shared" si="394"/>
        <v>-8.8276143162573373E-3</v>
      </c>
      <c r="CB166" s="253">
        <f t="shared" si="394"/>
        <v>-1.5036397012250236E-2</v>
      </c>
      <c r="CC166" s="254">
        <f t="shared" si="394"/>
        <v>-1.0765305316710272E-2</v>
      </c>
      <c r="CD166" s="255">
        <f t="shared" si="394"/>
        <v>1.5479277121201618E-2</v>
      </c>
      <c r="CE166" s="255">
        <f t="shared" si="394"/>
        <v>8.3227553562436052E-3</v>
      </c>
      <c r="CF166" s="255">
        <f t="shared" si="394"/>
        <v>1.4373209038440193E-2</v>
      </c>
      <c r="CG166" s="620">
        <f t="shared" si="394"/>
        <v>7.1275306609305256E-3</v>
      </c>
      <c r="CH166" s="255">
        <f t="shared" si="394"/>
        <v>1.6200719044819123E-2</v>
      </c>
      <c r="CI166" s="255">
        <f t="shared" si="394"/>
        <v>-3.83440681044106E-3</v>
      </c>
      <c r="CJ166" s="255">
        <f t="shared" si="394"/>
        <v>2.9917552621974153E-3</v>
      </c>
      <c r="CK166" s="255">
        <f t="shared" si="394"/>
        <v>-1.1464981802499663E-2</v>
      </c>
      <c r="CL166" s="620">
        <f t="shared" si="394"/>
        <v>8.2036536874985355E-4</v>
      </c>
      <c r="CM166" s="255">
        <f t="shared" si="394"/>
        <v>-5.3084036070627505E-4</v>
      </c>
      <c r="CN166" s="255">
        <f t="shared" si="394"/>
        <v>-1.4481857387948494E-3</v>
      </c>
      <c r="CO166" s="257">
        <f t="shared" si="394"/>
        <v>-4.9543361745944536E-3</v>
      </c>
      <c r="CP166" s="1276">
        <f t="shared" si="394"/>
        <v>-1.1753918640509453E-2</v>
      </c>
      <c r="CQ166" s="620">
        <f t="shared" si="394"/>
        <v>-4.3675012851200345E-3</v>
      </c>
      <c r="CR166" s="255">
        <f t="shared" si="394"/>
        <v>-2.6106309739198919E-3</v>
      </c>
      <c r="CS166" s="257">
        <f t="shared" si="394"/>
        <v>3.5267214794809654E-4</v>
      </c>
      <c r="CT166" s="257">
        <f t="shared" si="394"/>
        <v>-3.3958269172864486E-2</v>
      </c>
      <c r="CU166" s="255">
        <f t="shared" si="394"/>
        <v>-9.3407038733006598E-3</v>
      </c>
      <c r="CV166" s="620">
        <f>CV165-CQ165</f>
        <v>-1.1584320451625718E-2</v>
      </c>
      <c r="CW166" s="1517">
        <f t="shared" si="394"/>
        <v>-3.6263068622522709E-2</v>
      </c>
      <c r="CX166" s="257">
        <f t="shared" ref="CX166:DQ166" si="395">CX165-CS165</f>
        <v>-2.0653934081477587E-2</v>
      </c>
      <c r="CY166" s="257">
        <f t="shared" si="395"/>
        <v>-1.4602591086474992E-3</v>
      </c>
      <c r="CZ166" s="255">
        <f t="shared" si="395"/>
        <v>-6.5840482699952019E-3</v>
      </c>
      <c r="DA166" s="620">
        <f t="shared" si="395"/>
        <v>-1.6052054636299107E-2</v>
      </c>
      <c r="DB166" s="255">
        <f t="shared" si="395"/>
        <v>-4.5099679879590515E-3</v>
      </c>
      <c r="DC166" s="257">
        <f t="shared" si="395"/>
        <v>-1.1847894520741031E-2</v>
      </c>
      <c r="DD166" s="257">
        <f t="shared" ca="1" si="395"/>
        <v>-6.2778307982310211E-3</v>
      </c>
      <c r="DE166" s="257">
        <f t="shared" ca="1" si="395"/>
        <v>-4.899371858326429E-2</v>
      </c>
      <c r="DF166" s="620">
        <f t="shared" ca="1" si="395"/>
        <v>-1.7806601378403286E-2</v>
      </c>
      <c r="DG166" s="257">
        <f t="shared" si="395"/>
        <v>5.7694491368082135E-4</v>
      </c>
      <c r="DH166" s="257">
        <f t="shared" ca="1" si="395"/>
        <v>-1.4586350165455286E-3</v>
      </c>
      <c r="DI166" s="257">
        <f t="shared" ca="1" si="395"/>
        <v>-6.7135648038424423E-4</v>
      </c>
      <c r="DJ166" s="257">
        <f t="shared" ca="1" si="395"/>
        <v>2.9508055376544828E-2</v>
      </c>
      <c r="DK166" s="620">
        <f t="shared" ca="1" si="395"/>
        <v>6.9766105290320346E-3</v>
      </c>
      <c r="DL166" s="257">
        <f t="shared" si="395"/>
        <v>-1.3699339937905397E-3</v>
      </c>
      <c r="DM166" s="257">
        <f t="shared" ca="1" si="395"/>
        <v>-9.7228571369294414E-3</v>
      </c>
      <c r="DN166" s="257">
        <f t="shared" ca="1" si="395"/>
        <v>-1.7790263323512134E-2</v>
      </c>
      <c r="DO166" s="257">
        <f t="shared" ca="1" si="395"/>
        <v>1.0729147594672472E-2</v>
      </c>
      <c r="DP166" s="620">
        <f t="shared" ref="DP166:DU166" ca="1" si="396">DP165-DK165</f>
        <v>-5.0059540614146858E-3</v>
      </c>
      <c r="DQ166" s="257">
        <f t="shared" si="395"/>
        <v>2.1678453699937039E-3</v>
      </c>
      <c r="DR166" s="255">
        <f t="shared" si="396"/>
        <v>3.0000000000000027E-3</v>
      </c>
      <c r="DS166" s="255">
        <f t="shared" si="396"/>
        <v>5.0000000000000044E-3</v>
      </c>
      <c r="DT166" s="255">
        <f t="shared" si="396"/>
        <v>5.0000000000000044E-3</v>
      </c>
      <c r="DU166" s="620">
        <f t="shared" si="396"/>
        <v>3.4758791729845306E-3</v>
      </c>
      <c r="DV166" s="255">
        <f t="shared" ref="DV166" si="397">DV165-DQ165</f>
        <v>5.0000000000000044E-3</v>
      </c>
      <c r="DW166" s="255">
        <f t="shared" ref="DW166" si="398">DW165-DR165</f>
        <v>5.0000000000000044E-3</v>
      </c>
      <c r="DX166" s="255">
        <f t="shared" ref="DX166" si="399">DX165-DS165</f>
        <v>5.0000000000000044E-3</v>
      </c>
      <c r="DY166" s="255">
        <f t="shared" ref="DY166" si="400">DY165-DT165</f>
        <v>5.0000000000000044E-3</v>
      </c>
      <c r="DZ166" s="620">
        <f t="shared" ref="DZ166" si="401">DZ165-DU165</f>
        <v>5.0078207771439565E-3</v>
      </c>
      <c r="EA166" s="255">
        <f t="shared" ref="EA166" si="402">EA165-DV165</f>
        <v>0</v>
      </c>
      <c r="EB166" s="255">
        <f t="shared" ref="EB166" si="403">EB165-DW165</f>
        <v>0</v>
      </c>
      <c r="EC166" s="255">
        <f t="shared" ref="EC166" si="404">EC165-DX165</f>
        <v>0</v>
      </c>
      <c r="ED166" s="255">
        <f t="shared" ref="ED166" si="405">ED165-DY165</f>
        <v>0</v>
      </c>
      <c r="EE166" s="620">
        <f t="shared" ref="EE166" si="406">EE165-DZ165</f>
        <v>-9.3226249304190212E-6</v>
      </c>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row>
    <row r="167" spans="2:238" s="253" customFormat="1" ht="12.75" customHeight="1">
      <c r="B167" s="564"/>
      <c r="K167" s="254"/>
      <c r="L167" s="255"/>
      <c r="M167" s="255"/>
      <c r="N167" s="256"/>
      <c r="P167" s="254"/>
      <c r="Q167" s="255"/>
      <c r="R167" s="255"/>
      <c r="S167" s="256"/>
      <c r="U167" s="254"/>
      <c r="V167" s="255"/>
      <c r="W167" s="255"/>
      <c r="X167" s="256"/>
      <c r="Z167" s="254"/>
      <c r="AA167" s="255"/>
      <c r="AB167" s="255"/>
      <c r="AC167" s="256"/>
      <c r="AE167" s="254"/>
      <c r="AF167" s="255"/>
      <c r="AG167" s="255"/>
      <c r="AH167" s="256"/>
      <c r="AJ167" s="254"/>
      <c r="AK167" s="255"/>
      <c r="AL167" s="255"/>
      <c r="AM167" s="256"/>
      <c r="AO167" s="254"/>
      <c r="AP167" s="255"/>
      <c r="AQ167" s="255"/>
      <c r="AR167" s="256"/>
      <c r="AT167" s="254"/>
      <c r="AU167" s="255"/>
      <c r="AV167" s="255"/>
      <c r="AW167" s="256"/>
      <c r="AY167" s="254"/>
      <c r="AZ167" s="255"/>
      <c r="BA167" s="255"/>
      <c r="BB167" s="256"/>
      <c r="BD167" s="254"/>
      <c r="BE167" s="255"/>
      <c r="BF167" s="255"/>
      <c r="BG167" s="256"/>
      <c r="BI167" s="254"/>
      <c r="BJ167" s="255"/>
      <c r="BK167" s="255"/>
      <c r="BL167" s="256"/>
      <c r="BN167" s="254"/>
      <c r="BO167" s="255"/>
      <c r="BP167" s="255"/>
      <c r="BQ167" s="256"/>
      <c r="BS167" s="254"/>
      <c r="BT167" s="255"/>
      <c r="BU167" s="255"/>
      <c r="BV167" s="256"/>
      <c r="BX167" s="254"/>
      <c r="BY167" s="255"/>
      <c r="BZ167" s="255"/>
      <c r="CA167" s="256"/>
      <c r="CC167" s="254"/>
      <c r="CD167" s="255"/>
      <c r="CE167" s="255"/>
      <c r="CF167" s="255"/>
      <c r="CG167" s="620"/>
      <c r="CH167" s="255"/>
      <c r="CI167" s="255"/>
      <c r="CJ167" s="255"/>
      <c r="CK167" s="255"/>
      <c r="CL167" s="620"/>
      <c r="CM167" s="255"/>
      <c r="CN167" s="255"/>
      <c r="CO167" s="257"/>
      <c r="CP167" s="1276"/>
      <c r="CQ167" s="620"/>
      <c r="CR167" s="255"/>
      <c r="CS167" s="257"/>
      <c r="CT167" s="257"/>
      <c r="CU167" s="258"/>
      <c r="CV167" s="620"/>
      <c r="CW167" s="255"/>
      <c r="CX167" s="258"/>
      <c r="CY167" s="258"/>
      <c r="CZ167" s="258"/>
      <c r="DA167" s="620"/>
      <c r="DB167" s="258"/>
      <c r="DC167" s="258"/>
      <c r="DD167" s="258"/>
      <c r="DE167" s="258"/>
      <c r="DF167" s="620"/>
      <c r="DG167" s="258"/>
      <c r="DH167" s="258"/>
      <c r="DI167" s="258"/>
      <c r="DJ167" s="258"/>
      <c r="DK167" s="1399"/>
      <c r="DL167" s="258"/>
      <c r="DM167" s="258"/>
      <c r="DN167" s="258"/>
      <c r="DO167" s="258"/>
      <c r="DP167" s="1399"/>
      <c r="DQ167" s="258"/>
      <c r="DR167" s="258"/>
      <c r="DS167" s="258"/>
      <c r="DT167" s="258"/>
      <c r="DU167" s="1399"/>
      <c r="DV167" s="258"/>
      <c r="DW167" s="258"/>
      <c r="DX167" s="258"/>
      <c r="DY167" s="258"/>
      <c r="DZ167" s="1399"/>
      <c r="EA167" s="258"/>
      <c r="EB167" s="258"/>
      <c r="EC167" s="258"/>
      <c r="ED167" s="258"/>
      <c r="EE167" s="1399"/>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row>
    <row r="168" spans="2:238" s="249" customFormat="1" ht="12.75" customHeight="1">
      <c r="B168" s="562" t="s">
        <v>389</v>
      </c>
      <c r="F168" s="249">
        <f>F161/F158</f>
        <v>0.27100000000000002</v>
      </c>
      <c r="G168" s="249">
        <f>G161/G158</f>
        <v>0.27</v>
      </c>
      <c r="H168" s="249">
        <f>H161/H158</f>
        <v>0.27</v>
      </c>
      <c r="I168" s="249">
        <f>I161/I158</f>
        <v>0.26800000000000002</v>
      </c>
      <c r="J168" s="249">
        <f>J161/J158</f>
        <v>0.26800000000000002</v>
      </c>
      <c r="K168" s="250"/>
      <c r="L168" s="78"/>
      <c r="M168" s="78"/>
      <c r="N168" s="251"/>
      <c r="O168" s="249">
        <f>O161/O158</f>
        <v>0.36100000000000004</v>
      </c>
      <c r="P168" s="216">
        <v>0.26700000000000002</v>
      </c>
      <c r="Q168" s="217">
        <v>0.27600000000000002</v>
      </c>
      <c r="R168" s="217">
        <v>0.27500000000000002</v>
      </c>
      <c r="S168" s="218">
        <v>0.27500000000000002</v>
      </c>
      <c r="T168" s="249">
        <f>T161/T158</f>
        <v>0.2735185893639171</v>
      </c>
      <c r="U168" s="216">
        <v>0.27500000000000002</v>
      </c>
      <c r="V168" s="217">
        <v>0.28499999999999998</v>
      </c>
      <c r="W168" s="217">
        <v>0.28499999999999998</v>
      </c>
      <c r="X168" s="218">
        <v>0.28899999999999998</v>
      </c>
      <c r="Y168" s="249">
        <f>Y161/Y158</f>
        <v>0.28373183104555283</v>
      </c>
      <c r="Z168" s="216">
        <v>0.28899999999999998</v>
      </c>
      <c r="AA168" s="217">
        <v>0.30499999999999999</v>
      </c>
      <c r="AB168" s="217">
        <v>0.30499999999999999</v>
      </c>
      <c r="AC168" s="218">
        <v>0.30499999999999999</v>
      </c>
      <c r="AD168" s="249">
        <f>AD161/AD158</f>
        <v>0.30141131782339681</v>
      </c>
      <c r="AE168" s="216">
        <v>0.30499999999999999</v>
      </c>
      <c r="AF168" s="217">
        <v>0.318</v>
      </c>
      <c r="AG168" s="217">
        <v>0.318</v>
      </c>
      <c r="AH168" s="218">
        <v>0.32100000000000001</v>
      </c>
      <c r="AI168" s="249">
        <f>AI161/AI158</f>
        <v>0.31576943116012174</v>
      </c>
      <c r="AJ168" s="216">
        <v>0.32100000000000001</v>
      </c>
      <c r="AK168" s="217">
        <v>0.32900000000000001</v>
      </c>
      <c r="AL168" s="217">
        <v>0.32900000000000001</v>
      </c>
      <c r="AM168" s="218">
        <v>0.33200000000000002</v>
      </c>
      <c r="AN168" s="249">
        <f>AN161/AN158</f>
        <v>0.32790846693494952</v>
      </c>
      <c r="AO168" s="216">
        <v>0.32550000000000001</v>
      </c>
      <c r="AP168" s="217">
        <v>0.3412</v>
      </c>
      <c r="AQ168" s="217">
        <v>0.33200000000000002</v>
      </c>
      <c r="AR168" s="218">
        <v>0.33900000000000002</v>
      </c>
      <c r="AS168" s="249">
        <f>AS161/AS158</f>
        <v>0.33478375609412664</v>
      </c>
      <c r="AT168" s="216">
        <v>0.33100000000000002</v>
      </c>
      <c r="AU168" s="217">
        <v>0.34200000000000003</v>
      </c>
      <c r="AV168" s="217">
        <v>0.33700000000000002</v>
      </c>
      <c r="AW168" s="218">
        <v>0.34449999999999997</v>
      </c>
      <c r="AX168" s="249">
        <f>AX161/AX158</f>
        <v>0.33888499934141131</v>
      </c>
      <c r="AY168" s="216">
        <v>0.32550000000000001</v>
      </c>
      <c r="AZ168" s="217">
        <v>0.3417</v>
      </c>
      <c r="BA168" s="217">
        <v>0.34599999999999997</v>
      </c>
      <c r="BB168" s="218">
        <v>0.35599999999999998</v>
      </c>
      <c r="BC168" s="249">
        <f>BC161/BC158</f>
        <v>0.34252799513568305</v>
      </c>
      <c r="BD168" s="216">
        <v>0.33</v>
      </c>
      <c r="BE168" s="217">
        <v>0.34799999999999998</v>
      </c>
      <c r="BF168" s="217">
        <v>0.34899999999999998</v>
      </c>
      <c r="BG168" s="218">
        <v>0.35499999999999998</v>
      </c>
      <c r="BH168" s="249">
        <f>BH161/BH158</f>
        <v>0.34589714418239181</v>
      </c>
      <c r="BI168" s="216">
        <v>0.33100000000000002</v>
      </c>
      <c r="BJ168" s="217">
        <v>0.34699999999999998</v>
      </c>
      <c r="BK168" s="217">
        <v>0.35</v>
      </c>
      <c r="BL168" s="218">
        <v>0.35299999999999998</v>
      </c>
      <c r="BM168" s="249">
        <f>BM161/BM158</f>
        <v>0.34563658152360749</v>
      </c>
      <c r="BN168" s="216">
        <v>0.33300000000000002</v>
      </c>
      <c r="BO168" s="217">
        <v>0.34899999999999998</v>
      </c>
      <c r="BP168" s="217">
        <v>0.35</v>
      </c>
      <c r="BQ168" s="218">
        <v>0.35349999999999998</v>
      </c>
      <c r="BR168" s="814">
        <f>BR162/BR158</f>
        <v>0.34666790283044541</v>
      </c>
      <c r="BS168" s="250">
        <f t="shared" ref="BS168:CP168" si="407">BS161/BS158</f>
        <v>0.35187542352649465</v>
      </c>
      <c r="BT168" s="78">
        <f t="shared" si="407"/>
        <v>0.36317260950787539</v>
      </c>
      <c r="BU168" s="78">
        <f t="shared" si="407"/>
        <v>0.36088000839314766</v>
      </c>
      <c r="BV168" s="251">
        <f t="shared" si="407"/>
        <v>0.34410279512114222</v>
      </c>
      <c r="BW168" s="814">
        <f>BW162/BW158</f>
        <v>0.35534762700978595</v>
      </c>
      <c r="BX168" s="250">
        <f t="shared" si="407"/>
        <v>0.34606466377278144</v>
      </c>
      <c r="BY168" s="78">
        <f t="shared" si="407"/>
        <v>0.34701129147356768</v>
      </c>
      <c r="BZ168" s="78">
        <f t="shared" si="407"/>
        <v>0.33249439048534485</v>
      </c>
      <c r="CA168" s="251">
        <f t="shared" si="407"/>
        <v>0.33527518080488489</v>
      </c>
      <c r="CB168" s="814">
        <f>CB162/CB158</f>
        <v>0.34031122999753577</v>
      </c>
      <c r="CC168" s="250">
        <f t="shared" si="407"/>
        <v>0.33529935845607117</v>
      </c>
      <c r="CD168" s="78">
        <f t="shared" si="407"/>
        <v>0.3624905685947693</v>
      </c>
      <c r="CE168" s="78">
        <f t="shared" si="407"/>
        <v>0.34081714584158845</v>
      </c>
      <c r="CF168" s="78">
        <f t="shared" si="407"/>
        <v>0.34964838984332508</v>
      </c>
      <c r="CG168" s="814">
        <f>CG162/CG158</f>
        <v>0.34743876065846618</v>
      </c>
      <c r="CH168" s="78">
        <f t="shared" si="407"/>
        <v>0.3515000775008903</v>
      </c>
      <c r="CI168" s="78">
        <f t="shared" si="407"/>
        <v>0.35865616178432824</v>
      </c>
      <c r="CJ168" s="78">
        <f t="shared" si="407"/>
        <v>0.34380890110378587</v>
      </c>
      <c r="CK168" s="78">
        <f t="shared" si="407"/>
        <v>0.33818340804082542</v>
      </c>
      <c r="CL168" s="814">
        <f>CL162/CL158</f>
        <v>0.34825912602721609</v>
      </c>
      <c r="CM168" s="78">
        <f t="shared" si="407"/>
        <v>0.35096923714018402</v>
      </c>
      <c r="CN168" s="78">
        <f t="shared" si="407"/>
        <v>0.35720797604553339</v>
      </c>
      <c r="CO168" s="78">
        <f t="shared" si="407"/>
        <v>0.33885456492919142</v>
      </c>
      <c r="CP168" s="78">
        <f t="shared" si="407"/>
        <v>0.32642948940031596</v>
      </c>
      <c r="CQ168" s="814">
        <f t="shared" ref="CQ168:CW168" si="408">CQ162/CQ158</f>
        <v>0.34389162474209606</v>
      </c>
      <c r="CR168" s="78">
        <f t="shared" si="408"/>
        <v>0.34835860616626413</v>
      </c>
      <c r="CS168" s="78">
        <f t="shared" si="408"/>
        <v>0.35756064819348149</v>
      </c>
      <c r="CT168" s="78">
        <f t="shared" si="408"/>
        <v>0.30489629575632693</v>
      </c>
      <c r="CU168" s="78">
        <f t="shared" si="408"/>
        <v>0.3170887855270153</v>
      </c>
      <c r="CV168" s="814">
        <f t="shared" si="408"/>
        <v>0.33230730429047034</v>
      </c>
      <c r="CW168" s="78">
        <f t="shared" si="408"/>
        <v>0.31209553754374142</v>
      </c>
      <c r="CX168" s="78">
        <f t="shared" ref="CX168:DC168" si="409">CX162/CX158</f>
        <v>0.3369067141120039</v>
      </c>
      <c r="CY168" s="78">
        <f t="shared" si="409"/>
        <v>0.30343603664767943</v>
      </c>
      <c r="CZ168" s="78">
        <f t="shared" si="409"/>
        <v>0.3105047372570201</v>
      </c>
      <c r="DA168" s="814">
        <f t="shared" si="409"/>
        <v>0.31625524965417123</v>
      </c>
      <c r="DB168" s="78">
        <f t="shared" si="409"/>
        <v>0.30758556955578237</v>
      </c>
      <c r="DC168" s="78">
        <f t="shared" si="409"/>
        <v>0.32505881959126287</v>
      </c>
      <c r="DD168" s="78">
        <f t="shared" ref="DD168:DI168" ca="1" si="410">DD162/DD158</f>
        <v>0.29715820584944841</v>
      </c>
      <c r="DE168" s="78">
        <f t="shared" ca="1" si="410"/>
        <v>0.26151101867375581</v>
      </c>
      <c r="DF168" s="814">
        <f t="shared" ca="1" si="410"/>
        <v>0.29844864827576795</v>
      </c>
      <c r="DG168" s="78">
        <f t="shared" si="410"/>
        <v>0.30816251446946319</v>
      </c>
      <c r="DH168" s="78">
        <f t="shared" ca="1" si="410"/>
        <v>0.32360018457471734</v>
      </c>
      <c r="DI168" s="78">
        <f t="shared" ca="1" si="410"/>
        <v>0.29648684936906416</v>
      </c>
      <c r="DJ168" s="78">
        <f t="shared" ref="DJ168:DL168" ca="1" si="411">DJ162/DJ158</f>
        <v>0.29101907405030064</v>
      </c>
      <c r="DK168" s="1400">
        <f ca="1">DK162/DK158</f>
        <v>0.30542525880479998</v>
      </c>
      <c r="DL168" s="78">
        <f t="shared" si="411"/>
        <v>0.30679258047567265</v>
      </c>
      <c r="DM168" s="78">
        <f t="shared" ref="DM168:DN168" si="412">DM162/DM158</f>
        <v>0.3138773274377879</v>
      </c>
      <c r="DN168" s="78">
        <f t="shared" si="412"/>
        <v>0.27869658604555203</v>
      </c>
      <c r="DO168" s="78">
        <f t="shared" ref="DO168:DQ168" si="413">DO162/DO158</f>
        <v>0.30174822164497311</v>
      </c>
      <c r="DP168" s="1400">
        <f>DP162/DP158</f>
        <v>0.3004193047433853</v>
      </c>
      <c r="DQ168" s="78">
        <f t="shared" si="413"/>
        <v>0.30896042584566635</v>
      </c>
      <c r="DR168" s="78">
        <f>DM168+DR169</f>
        <v>0.3168773274377879</v>
      </c>
      <c r="DS168" s="78">
        <f>DN168+DS169</f>
        <v>0.28369658604555203</v>
      </c>
      <c r="DT168" s="78">
        <f>DO168+DT169</f>
        <v>0.30674822164497312</v>
      </c>
      <c r="DU168" s="1400">
        <f>DU162/DU158</f>
        <v>0.30389518391636983</v>
      </c>
      <c r="DV168" s="78">
        <f>DQ168+DV169</f>
        <v>0.31396042584566636</v>
      </c>
      <c r="DW168" s="78">
        <f>DR168+DW169</f>
        <v>0.32187732743778791</v>
      </c>
      <c r="DX168" s="78">
        <f>DS168+DX169</f>
        <v>0.28869658604555204</v>
      </c>
      <c r="DY168" s="78">
        <f>DT168+DY169</f>
        <v>0.31174822164497312</v>
      </c>
      <c r="DZ168" s="1400">
        <f>DZ162/DZ158</f>
        <v>0.30890300469351378</v>
      </c>
      <c r="EA168" s="78">
        <f>DV168+EA169</f>
        <v>0.31396042584566636</v>
      </c>
      <c r="EB168" s="78">
        <f>DW168+EB169</f>
        <v>0.32187732743778791</v>
      </c>
      <c r="EC168" s="78">
        <f>DX168+EC169</f>
        <v>0.28869658604555204</v>
      </c>
      <c r="ED168" s="78">
        <f>DY168+ED169</f>
        <v>0.31174822164497312</v>
      </c>
      <c r="EE168" s="1400">
        <f>EE162/EE158</f>
        <v>0.30889368206858336</v>
      </c>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row>
    <row r="169" spans="2:238" s="253" customFormat="1" ht="12.75" customHeight="1">
      <c r="B169" s="564" t="s">
        <v>151</v>
      </c>
      <c r="F169" s="253">
        <f>F168-E168</f>
        <v>0.27100000000000002</v>
      </c>
      <c r="G169" s="253">
        <f>G168-F168</f>
        <v>-1.0000000000000009E-3</v>
      </c>
      <c r="H169" s="253">
        <f>H168-G168</f>
        <v>0</v>
      </c>
      <c r="I169" s="253">
        <f>I168-H168</f>
        <v>-2.0000000000000018E-3</v>
      </c>
      <c r="J169" s="253">
        <f>J168-I168</f>
        <v>0</v>
      </c>
      <c r="K169" s="254"/>
      <c r="L169" s="255"/>
      <c r="M169" s="255"/>
      <c r="N169" s="256"/>
      <c r="O169" s="253">
        <f>O168-J168</f>
        <v>9.3000000000000027E-2</v>
      </c>
      <c r="P169" s="254"/>
      <c r="Q169" s="255"/>
      <c r="R169" s="255"/>
      <c r="S169" s="256"/>
      <c r="T169" s="253">
        <f>T168-O168</f>
        <v>-8.7481410636082946E-2</v>
      </c>
      <c r="U169" s="254"/>
      <c r="V169" s="255"/>
      <c r="W169" s="255"/>
      <c r="X169" s="256"/>
      <c r="Y169" s="253">
        <f>Y168-T168</f>
        <v>1.0213241681635732E-2</v>
      </c>
      <c r="Z169" s="254"/>
      <c r="AA169" s="255"/>
      <c r="AB169" s="255"/>
      <c r="AC169" s="256"/>
      <c r="AD169" s="253">
        <f>AD168-Y168</f>
        <v>1.7679486777843978E-2</v>
      </c>
      <c r="AE169" s="254"/>
      <c r="AF169" s="255"/>
      <c r="AG169" s="255"/>
      <c r="AH169" s="256"/>
      <c r="AI169" s="253">
        <f>AI168-AD168</f>
        <v>1.4358113336724931E-2</v>
      </c>
      <c r="AJ169" s="254"/>
      <c r="AK169" s="255"/>
      <c r="AL169" s="255"/>
      <c r="AM169" s="256"/>
      <c r="AN169" s="253">
        <f>AN168-AI168</f>
        <v>1.2139035774827778E-2</v>
      </c>
      <c r="AO169" s="254"/>
      <c r="AP169" s="255"/>
      <c r="AQ169" s="255"/>
      <c r="AR169" s="256"/>
      <c r="AS169" s="253">
        <f>AS168-AN168</f>
        <v>6.8752891591771226E-3</v>
      </c>
      <c r="AT169" s="254"/>
      <c r="AU169" s="255"/>
      <c r="AV169" s="255"/>
      <c r="AW169" s="256"/>
      <c r="AX169" s="253">
        <f>AX168-AS168</f>
        <v>4.1012432472846694E-3</v>
      </c>
      <c r="AY169" s="254"/>
      <c r="AZ169" s="255"/>
      <c r="BA169" s="255"/>
      <c r="BB169" s="256"/>
      <c r="BC169" s="253">
        <f>BC168-AX168</f>
        <v>3.6429957942717417E-3</v>
      </c>
      <c r="BD169" s="254"/>
      <c r="BE169" s="255"/>
      <c r="BF169" s="255"/>
      <c r="BG169" s="256"/>
      <c r="BH169" s="253">
        <f>BH168-BC168</f>
        <v>3.3691490467087637E-3</v>
      </c>
      <c r="BI169" s="254"/>
      <c r="BJ169" s="255"/>
      <c r="BK169" s="255"/>
      <c r="BL169" s="256"/>
      <c r="BM169" s="253">
        <f>BM168-BH168</f>
        <v>-2.6056265878432461E-4</v>
      </c>
      <c r="BN169" s="254"/>
      <c r="BO169" s="255"/>
      <c r="BP169" s="255"/>
      <c r="BQ169" s="256"/>
      <c r="BR169" s="253">
        <f>BR168-BM168</f>
        <v>1.0313213068379179E-3</v>
      </c>
      <c r="BS169" s="254"/>
      <c r="BT169" s="255"/>
      <c r="BU169" s="255"/>
      <c r="BV169" s="256"/>
      <c r="BW169" s="253">
        <f t="shared" ref="BW169:DQ169" si="414">BW168-BR168</f>
        <v>8.6797241793405422E-3</v>
      </c>
      <c r="BX169" s="254">
        <f t="shared" si="414"/>
        <v>-5.8107597537132016E-3</v>
      </c>
      <c r="BY169" s="255">
        <f t="shared" si="414"/>
        <v>-1.6161318034307703E-2</v>
      </c>
      <c r="BZ169" s="255">
        <f t="shared" si="414"/>
        <v>-2.8385617907802807E-2</v>
      </c>
      <c r="CA169" s="256">
        <f t="shared" si="414"/>
        <v>-8.8276143162573373E-3</v>
      </c>
      <c r="CB169" s="253">
        <f t="shared" si="414"/>
        <v>-1.503639701225018E-2</v>
      </c>
      <c r="CC169" s="254">
        <f t="shared" si="414"/>
        <v>-1.0765305316710272E-2</v>
      </c>
      <c r="CD169" s="255">
        <f t="shared" si="414"/>
        <v>1.5479277121201618E-2</v>
      </c>
      <c r="CE169" s="255">
        <f t="shared" si="414"/>
        <v>8.3227553562436052E-3</v>
      </c>
      <c r="CF169" s="255">
        <f t="shared" si="414"/>
        <v>1.4373209038440193E-2</v>
      </c>
      <c r="CG169" s="620">
        <f t="shared" si="414"/>
        <v>7.1275306609304145E-3</v>
      </c>
      <c r="CH169" s="255">
        <f t="shared" si="414"/>
        <v>1.6200719044819123E-2</v>
      </c>
      <c r="CI169" s="255">
        <f t="shared" si="414"/>
        <v>-3.83440681044106E-3</v>
      </c>
      <c r="CJ169" s="255">
        <f t="shared" si="414"/>
        <v>2.9917552621974153E-3</v>
      </c>
      <c r="CK169" s="255">
        <f t="shared" si="414"/>
        <v>-1.1464981802499663E-2</v>
      </c>
      <c r="CL169" s="620">
        <f t="shared" si="414"/>
        <v>8.2036536874990906E-4</v>
      </c>
      <c r="CM169" s="255">
        <f t="shared" si="414"/>
        <v>-5.3084036070627505E-4</v>
      </c>
      <c r="CN169" s="255">
        <f t="shared" si="414"/>
        <v>-1.4481857387948494E-3</v>
      </c>
      <c r="CO169" s="257">
        <f t="shared" si="414"/>
        <v>-4.9543361745944536E-3</v>
      </c>
      <c r="CP169" s="1276">
        <f t="shared" si="414"/>
        <v>-1.1753918640509453E-2</v>
      </c>
      <c r="CQ169" s="620">
        <f t="shared" si="414"/>
        <v>-4.3675012851200345E-3</v>
      </c>
      <c r="CR169" s="255">
        <f t="shared" si="414"/>
        <v>-2.6106309739198919E-3</v>
      </c>
      <c r="CS169" s="257">
        <f t="shared" si="414"/>
        <v>3.5267214794809654E-4</v>
      </c>
      <c r="CT169" s="257">
        <f t="shared" si="414"/>
        <v>-3.3958269172864486E-2</v>
      </c>
      <c r="CU169" s="255">
        <f t="shared" si="414"/>
        <v>-9.3407038733006598E-3</v>
      </c>
      <c r="CV169" s="620">
        <f>CV168-CQ168</f>
        <v>-1.1584320451625718E-2</v>
      </c>
      <c r="CW169" s="255">
        <f t="shared" si="414"/>
        <v>-3.6263068622522709E-2</v>
      </c>
      <c r="CX169" s="255">
        <f t="shared" si="414"/>
        <v>-2.0653934081477587E-2</v>
      </c>
      <c r="CY169" s="255">
        <f t="shared" si="414"/>
        <v>-1.4602591086474992E-3</v>
      </c>
      <c r="CZ169" s="255">
        <f t="shared" si="414"/>
        <v>-6.5840482699952019E-3</v>
      </c>
      <c r="DA169" s="620">
        <f>DA168-CV168</f>
        <v>-1.6052054636299107E-2</v>
      </c>
      <c r="DB169" s="255">
        <f t="shared" si="414"/>
        <v>-4.5099679879590515E-3</v>
      </c>
      <c r="DC169" s="255">
        <f t="shared" si="414"/>
        <v>-1.1847894520741031E-2</v>
      </c>
      <c r="DD169" s="255">
        <f t="shared" ca="1" si="414"/>
        <v>-6.2778307982310211E-3</v>
      </c>
      <c r="DE169" s="255">
        <f t="shared" ca="1" si="414"/>
        <v>-4.899371858326429E-2</v>
      </c>
      <c r="DF169" s="620">
        <f ca="1">DF168-DA168</f>
        <v>-1.7806601378403286E-2</v>
      </c>
      <c r="DG169" s="255">
        <f t="shared" si="414"/>
        <v>5.7694491368082135E-4</v>
      </c>
      <c r="DH169" s="255">
        <f t="shared" ca="1" si="414"/>
        <v>-1.4586350165455286E-3</v>
      </c>
      <c r="DI169" s="255">
        <f t="shared" ca="1" si="414"/>
        <v>-6.7135648038424423E-4</v>
      </c>
      <c r="DJ169" s="255">
        <f t="shared" ca="1" si="414"/>
        <v>2.9508055376544828E-2</v>
      </c>
      <c r="DK169" s="1399">
        <f ca="1">DK168-DF168</f>
        <v>6.9766105290320346E-3</v>
      </c>
      <c r="DL169" s="255">
        <f t="shared" si="414"/>
        <v>-1.3699339937905397E-3</v>
      </c>
      <c r="DM169" s="255">
        <f t="shared" ca="1" si="414"/>
        <v>-9.7228571369294414E-3</v>
      </c>
      <c r="DN169" s="255">
        <f t="shared" ca="1" si="414"/>
        <v>-1.7790263323512134E-2</v>
      </c>
      <c r="DO169" s="255">
        <f t="shared" ca="1" si="414"/>
        <v>1.0729147594672472E-2</v>
      </c>
      <c r="DP169" s="1399">
        <f ca="1">DP168-DK168</f>
        <v>-5.0059540614146858E-3</v>
      </c>
      <c r="DQ169" s="255">
        <f t="shared" si="414"/>
        <v>2.1678453699937039E-3</v>
      </c>
      <c r="DR169" s="258">
        <f>Scenarios!AP37</f>
        <v>3.0000000000000001E-3</v>
      </c>
      <c r="DS169" s="258">
        <f>Scenarios!AQ37</f>
        <v>5.0000000000000001E-3</v>
      </c>
      <c r="DT169" s="258">
        <f>Scenarios!AR37</f>
        <v>5.0000000000000001E-3</v>
      </c>
      <c r="DU169" s="1399">
        <f>DU168-DP168</f>
        <v>3.4758791729845306E-3</v>
      </c>
      <c r="DV169" s="258">
        <f>Scenarios!AT37</f>
        <v>5.0000000000000001E-3</v>
      </c>
      <c r="DW169" s="258">
        <f>Scenarios!AU37</f>
        <v>5.0000000000000001E-3</v>
      </c>
      <c r="DX169" s="258">
        <f>Scenarios!AV37</f>
        <v>5.0000000000000001E-3</v>
      </c>
      <c r="DY169" s="258">
        <f>Scenarios!AW37</f>
        <v>5.0000000000000001E-3</v>
      </c>
      <c r="DZ169" s="1399">
        <f>DZ168-DU168</f>
        <v>5.0078207771439565E-3</v>
      </c>
      <c r="EA169" s="258">
        <f>Scenarios!AY37</f>
        <v>0</v>
      </c>
      <c r="EB169" s="258">
        <f>Scenarios!AZ37</f>
        <v>0</v>
      </c>
      <c r="EC169" s="258">
        <f>Scenarios!BA37</f>
        <v>0</v>
      </c>
      <c r="ED169" s="258">
        <f>Scenarios!BB37</f>
        <v>0</v>
      </c>
      <c r="EE169" s="1399">
        <f>EE168-DZ168</f>
        <v>-9.3226249304190212E-6</v>
      </c>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row>
    <row r="170" spans="2:238" s="150" customFormat="1" ht="12.75" customHeight="1">
      <c r="B170" s="547"/>
      <c r="C170" s="130"/>
      <c r="D170" s="130"/>
      <c r="E170" s="131"/>
      <c r="F170" s="131"/>
      <c r="G170" s="131"/>
      <c r="H170" s="131"/>
      <c r="I170" s="131"/>
      <c r="J170" s="131"/>
      <c r="K170" s="126"/>
      <c r="L170" s="127"/>
      <c r="M170" s="127"/>
      <c r="N170" s="132"/>
      <c r="O170" s="131"/>
      <c r="P170" s="126"/>
      <c r="Q170" s="127"/>
      <c r="R170" s="127"/>
      <c r="S170" s="132"/>
      <c r="T170" s="131"/>
      <c r="U170" s="126"/>
      <c r="V170" s="127"/>
      <c r="W170" s="127"/>
      <c r="X170" s="132"/>
      <c r="Y170" s="131"/>
      <c r="Z170" s="126"/>
      <c r="AA170" s="127"/>
      <c r="AB170" s="127"/>
      <c r="AC170" s="132"/>
      <c r="AD170" s="131"/>
      <c r="AE170" s="126"/>
      <c r="AF170" s="127"/>
      <c r="AG170" s="127"/>
      <c r="AH170" s="132"/>
      <c r="AI170" s="131"/>
      <c r="AJ170" s="126"/>
      <c r="AK170" s="127"/>
      <c r="AL170" s="127"/>
      <c r="AM170" s="132"/>
      <c r="AN170" s="131"/>
      <c r="AO170" s="126"/>
      <c r="AP170" s="127"/>
      <c r="AQ170" s="127"/>
      <c r="AR170" s="132"/>
      <c r="AS170" s="131"/>
      <c r="AT170" s="126"/>
      <c r="AU170" s="127"/>
      <c r="AV170" s="127"/>
      <c r="AW170" s="132"/>
      <c r="AX170" s="131"/>
      <c r="AY170" s="126"/>
      <c r="AZ170" s="127"/>
      <c r="BA170" s="127"/>
      <c r="BB170" s="132"/>
      <c r="BC170" s="131"/>
      <c r="BD170" s="126"/>
      <c r="BE170" s="127"/>
      <c r="BF170" s="127"/>
      <c r="BG170" s="132"/>
      <c r="BH170" s="131"/>
      <c r="BI170" s="126"/>
      <c r="BJ170" s="127"/>
      <c r="BK170" s="127"/>
      <c r="BL170" s="132"/>
      <c r="BM170" s="131"/>
      <c r="BN170" s="126"/>
      <c r="BO170" s="127"/>
      <c r="BP170" s="127"/>
      <c r="BQ170" s="132"/>
      <c r="BR170" s="131"/>
      <c r="BS170" s="126"/>
      <c r="BT170" s="127"/>
      <c r="BU170" s="127"/>
      <c r="BV170" s="132"/>
      <c r="BW170" s="131"/>
      <c r="BX170" s="126"/>
      <c r="BY170" s="127"/>
      <c r="BZ170" s="127"/>
      <c r="CA170" s="132"/>
      <c r="CB170" s="131"/>
      <c r="CC170" s="126"/>
      <c r="CD170" s="127"/>
      <c r="CE170" s="127"/>
      <c r="CF170" s="127"/>
      <c r="CG170" s="613"/>
      <c r="CH170" s="241"/>
      <c r="CI170" s="241"/>
      <c r="CJ170" s="241"/>
      <c r="CK170" s="128"/>
      <c r="CL170" s="613"/>
      <c r="CM170" s="128"/>
      <c r="CN170" s="128"/>
      <c r="CO170" s="128"/>
      <c r="CP170" s="128"/>
      <c r="CQ170" s="831"/>
      <c r="CR170" s="466"/>
      <c r="CS170" s="260"/>
      <c r="CT170" s="76"/>
      <c r="CU170" s="76"/>
      <c r="CV170" s="831"/>
      <c r="CW170" s="129"/>
      <c r="CX170" s="129"/>
      <c r="CY170" s="129"/>
      <c r="CZ170" s="129"/>
      <c r="DA170" s="831"/>
      <c r="DB170" s="129"/>
      <c r="DC170" s="129"/>
      <c r="DD170" s="129"/>
      <c r="DE170" s="129"/>
      <c r="DF170" s="831"/>
      <c r="DG170" s="129"/>
      <c r="DH170" s="129"/>
      <c r="DI170" s="129"/>
      <c r="DJ170" s="129"/>
      <c r="DK170" s="1371"/>
      <c r="DL170" s="129"/>
      <c r="DM170" s="129"/>
      <c r="DN170" s="129"/>
      <c r="DO170" s="129"/>
      <c r="DP170" s="1371"/>
      <c r="DQ170" s="129"/>
      <c r="DR170" s="129"/>
      <c r="DS170" s="129"/>
      <c r="DT170" s="129"/>
      <c r="DU170" s="1371"/>
      <c r="DV170" s="129"/>
      <c r="DW170" s="129"/>
      <c r="DX170" s="129"/>
      <c r="DY170" s="129"/>
      <c r="DZ170" s="1371"/>
      <c r="EA170" s="129"/>
      <c r="EB170" s="129"/>
      <c r="EC170" s="129"/>
      <c r="ED170" s="129"/>
      <c r="EE170" s="1371"/>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row>
    <row r="171" spans="2:238" s="82" customFormat="1" ht="12.75" customHeight="1">
      <c r="B171" s="569" t="s">
        <v>409</v>
      </c>
      <c r="C171" s="80"/>
      <c r="D171" s="80"/>
      <c r="E171" s="122"/>
      <c r="F171" s="122"/>
      <c r="G171" s="122"/>
      <c r="H171" s="122"/>
      <c r="I171" s="122">
        <v>8.9999999999999993E-3</v>
      </c>
      <c r="J171" s="122">
        <v>2.1999999999999999E-2</v>
      </c>
      <c r="K171" s="123"/>
      <c r="L171" s="124"/>
      <c r="M171" s="124"/>
      <c r="N171" s="125"/>
      <c r="O171" s="122">
        <v>4.8000000000000001E-2</v>
      </c>
      <c r="P171" s="123">
        <f>+P220</f>
        <v>4.9000000000000002E-2</v>
      </c>
      <c r="Q171" s="124">
        <f>+Q220</f>
        <v>5.0999999999999997E-2</v>
      </c>
      <c r="R171" s="124">
        <f>+R220</f>
        <v>3.7999999999999999E-2</v>
      </c>
      <c r="S171" s="125">
        <f>+S220</f>
        <v>1.6E-2</v>
      </c>
      <c r="T171" s="122">
        <v>3.85E-2</v>
      </c>
      <c r="U171" s="123">
        <f>+U220</f>
        <v>0.04</v>
      </c>
      <c r="V171" s="124">
        <f>+V220</f>
        <v>3.56E-2</v>
      </c>
      <c r="W171" s="124">
        <f>+W220</f>
        <v>2.7699999999999999E-2</v>
      </c>
      <c r="X171" s="125">
        <f>+X220</f>
        <v>3.49E-2</v>
      </c>
      <c r="Y171" s="122">
        <v>3.27E-2</v>
      </c>
      <c r="Z171" s="123">
        <f>+Z220</f>
        <v>0.02</v>
      </c>
      <c r="AA171" s="124">
        <f>+AA220</f>
        <v>2.1999999999999999E-2</v>
      </c>
      <c r="AB171" s="124">
        <f>+AB220</f>
        <v>3.5999999999999997E-2</v>
      </c>
      <c r="AC171" s="125">
        <f>+AC220</f>
        <v>0.05</v>
      </c>
      <c r="AD171" s="122">
        <v>2.7E-2</v>
      </c>
      <c r="AE171" s="123">
        <f>+AE220</f>
        <v>4.5999999999999999E-2</v>
      </c>
      <c r="AF171" s="124">
        <f>+AF220</f>
        <v>3.7999999999999999E-2</v>
      </c>
      <c r="AG171" s="124">
        <f>+AG220</f>
        <v>2.9000000000000001E-2</v>
      </c>
      <c r="AH171" s="125">
        <f>+AH220</f>
        <v>2.9000000000000001E-2</v>
      </c>
      <c r="AI171" s="122">
        <f>SUM(AE171:AH171)/4</f>
        <v>3.5499999999999997E-2</v>
      </c>
      <c r="AJ171" s="123">
        <f>+AJ220</f>
        <v>2.9000000000000001E-2</v>
      </c>
      <c r="AK171" s="124">
        <f>+AK220</f>
        <v>6.0000000000000001E-3</v>
      </c>
      <c r="AL171" s="124">
        <f>+AL220</f>
        <v>2.3E-2</v>
      </c>
      <c r="AM171" s="125">
        <f>+AM220</f>
        <v>0.03</v>
      </c>
      <c r="AN171" s="122">
        <f>SUM(AJ171:AM171)/4</f>
        <v>2.1999999999999999E-2</v>
      </c>
      <c r="AO171" s="123">
        <f>+AO220</f>
        <v>2.5000000000000001E-2</v>
      </c>
      <c r="AP171" s="124">
        <f>+AP220</f>
        <v>3.2000000000000001E-2</v>
      </c>
      <c r="AQ171" s="124">
        <f>+AQ220</f>
        <v>4.2999999999999997E-2</v>
      </c>
      <c r="AR171" s="125">
        <v>1.7000000000000001E-2</v>
      </c>
      <c r="AS171" s="122">
        <f>SUM(AO171:AR171)/4</f>
        <v>2.9250000000000002E-2</v>
      </c>
      <c r="AT171" s="123">
        <f>+AT220</f>
        <v>0</v>
      </c>
      <c r="AU171" s="124">
        <f>+AU220</f>
        <v>8.0000000000000002E-3</v>
      </c>
      <c r="AV171" s="124">
        <f>+AV220</f>
        <v>3.2000000000000001E-2</v>
      </c>
      <c r="AW171" s="125">
        <f>+AW220</f>
        <v>4.1000000000000002E-2</v>
      </c>
      <c r="AX171" s="122">
        <v>1.7000000000000001E-2</v>
      </c>
      <c r="AY171" s="123">
        <f>+AY220</f>
        <v>7.4999999999999997E-2</v>
      </c>
      <c r="AZ171" s="124">
        <f>+AZ220</f>
        <v>6.2E-2</v>
      </c>
      <c r="BA171" s="124">
        <f>+BA220</f>
        <v>5.6000000000000001E-2</v>
      </c>
      <c r="BB171" s="125">
        <f>+BB220</f>
        <v>5.0999999999999997E-2</v>
      </c>
      <c r="BC171" s="122">
        <f>BC220</f>
        <v>6.0999999999999999E-2</v>
      </c>
      <c r="BD171" s="123">
        <f>+BD220</f>
        <v>6.0999999999999999E-2</v>
      </c>
      <c r="BE171" s="124">
        <f>+BE220</f>
        <v>4.1000000000000002E-2</v>
      </c>
      <c r="BF171" s="124">
        <f>+BF220</f>
        <v>6.0999999999999999E-2</v>
      </c>
      <c r="BG171" s="125">
        <f>+BG220</f>
        <v>5.8000000000000003E-2</v>
      </c>
      <c r="BH171" s="122">
        <f>SUM(BD171:BG171)/4</f>
        <v>5.525E-2</v>
      </c>
      <c r="BI171" s="123">
        <f>+BI220</f>
        <v>6.4000000000000001E-2</v>
      </c>
      <c r="BJ171" s="124">
        <f>+BJ220</f>
        <v>0.05</v>
      </c>
      <c r="BK171" s="124">
        <v>4.5999999999999999E-2</v>
      </c>
      <c r="BL171" s="125">
        <v>5.1999999999999998E-2</v>
      </c>
      <c r="BM171" s="122">
        <f>SUM(BI171:BL171)/4</f>
        <v>5.2999999999999999E-2</v>
      </c>
      <c r="BN171" s="123">
        <v>5.8000000000000003E-2</v>
      </c>
      <c r="BO171" s="124">
        <v>5.7000000000000002E-2</v>
      </c>
      <c r="BP171" s="124">
        <v>5.6000000000000001E-2</v>
      </c>
      <c r="BQ171" s="125">
        <v>6.0999999999999999E-2</v>
      </c>
      <c r="BR171" s="122">
        <f>SUM(BN171:BQ171)/4</f>
        <v>5.8000000000000003E-2</v>
      </c>
      <c r="BS171" s="123">
        <v>4.5999999999999999E-2</v>
      </c>
      <c r="BT171" s="124">
        <v>4.2999999999999997E-2</v>
      </c>
      <c r="BU171" s="124">
        <v>4.5999999999999999E-2</v>
      </c>
      <c r="BV171" s="125">
        <v>3.6999999999999998E-2</v>
      </c>
      <c r="BW171" s="122">
        <f>SUM(BS171:BV171)/4</f>
        <v>4.3000000000000003E-2</v>
      </c>
      <c r="BX171" s="123">
        <v>1E-3</v>
      </c>
      <c r="BY171" s="124">
        <v>-1.2E-2</v>
      </c>
      <c r="BZ171" s="124">
        <v>8.9999999999999993E-3</v>
      </c>
      <c r="CA171" s="125">
        <v>-1.4E-2</v>
      </c>
      <c r="CB171" s="122">
        <f>SUM(BX171:CA171)/4</f>
        <v>-4.0000000000000001E-3</v>
      </c>
      <c r="CC171" s="261">
        <v>2.7E-2</v>
      </c>
      <c r="CD171" s="262">
        <v>-1.6E-2</v>
      </c>
      <c r="CE171" s="262">
        <v>0</v>
      </c>
      <c r="CF171" s="262">
        <v>1.2999999999999999E-2</v>
      </c>
      <c r="CG171" s="800">
        <f>((CC171*BX158)+(BY158*CD171)+(BZ158*CE171)+(CA158*CF171))/SUM(BX158:CA158)</f>
        <v>4.9089530865487367E-3</v>
      </c>
      <c r="CH171" s="262">
        <v>4.0000000000000001E-3</v>
      </c>
      <c r="CI171" s="262">
        <v>4.2999999999999997E-2</v>
      </c>
      <c r="CJ171" s="262">
        <v>3.9E-2</v>
      </c>
      <c r="CK171" s="262">
        <v>4.5999999999999999E-2</v>
      </c>
      <c r="CL171" s="800">
        <f>(CH171*CC158+CI171*CD158+CJ171*CE158+CK171*CF158)/SUM(CC158:CF158)</f>
        <v>3.352973326058422E-2</v>
      </c>
      <c r="CM171" s="262">
        <v>2.4E-2</v>
      </c>
      <c r="CN171" s="262">
        <v>2.1000000000000001E-2</v>
      </c>
      <c r="CO171" s="262">
        <v>-8.9999999999999993E-3</v>
      </c>
      <c r="CP171" s="262">
        <v>-1.2999999999999999E-2</v>
      </c>
      <c r="CQ171" s="800">
        <f>(CM171*CH158+CN171*CI158+CO171*CJ158+CP171*CK158)/SUM(CH158:CK158)</f>
        <v>5.8539466912501332E-3</v>
      </c>
      <c r="CR171" s="262">
        <v>-0.02</v>
      </c>
      <c r="CS171" s="262">
        <v>-2.5999999999999999E-2</v>
      </c>
      <c r="CT171" s="129">
        <v>4.0000000000000001E-3</v>
      </c>
      <c r="CU171" s="262">
        <v>1.6E-2</v>
      </c>
      <c r="CV171" s="800">
        <f>SUMPRODUCT(CR171:CU171,CM158:CP158)/SUM(CM158:CP158)</f>
        <v>-7.1882673594601655E-3</v>
      </c>
      <c r="CW171" s="262">
        <v>2.1999999999999999E-2</v>
      </c>
      <c r="CX171" s="262">
        <v>0.02</v>
      </c>
      <c r="CY171" s="262">
        <v>2.1999999999999999E-2</v>
      </c>
      <c r="CZ171" s="262">
        <v>1.2999999999999999E-2</v>
      </c>
      <c r="DA171" s="800">
        <f>SUMPRODUCT(CW171:CZ171,CR158:CU158)/SUM(CR158:CU158)</f>
        <v>1.9279229622152526E-2</v>
      </c>
      <c r="DB171" s="262">
        <v>1.4999999999999999E-2</v>
      </c>
      <c r="DC171" s="1728">
        <v>2.5000000000000001E-2</v>
      </c>
      <c r="DD171" s="1728">
        <v>1.6E-2</v>
      </c>
      <c r="DE171" s="1728">
        <v>4.0000000000000001E-3</v>
      </c>
      <c r="DF171" s="800">
        <f>SUMPRODUCT(DB171:DE171,CW158:CZ158)/SUM(CW158:CZ158)</f>
        <v>1.5333463267307943E-2</v>
      </c>
      <c r="DG171" s="1728">
        <v>-6.0000000000000001E-3</v>
      </c>
      <c r="DH171" s="1728">
        <v>-3.0000000000000001E-3</v>
      </c>
      <c r="DI171" s="1728">
        <v>1E-3</v>
      </c>
      <c r="DJ171" s="1728">
        <v>-3.0000000000000001E-3</v>
      </c>
      <c r="DK171" s="1401">
        <f>SUMPRODUCT(DG171:DJ171,DB158:DE158)/SUM(DB158:DE158)</f>
        <v>-2.7029207776308618E-3</v>
      </c>
      <c r="DL171" s="1728">
        <v>-5.0000000000000001E-3</v>
      </c>
      <c r="DM171" s="1728">
        <v>-8.0000000000000002E-3</v>
      </c>
      <c r="DN171" s="1728">
        <v>-4.0000000000000001E-3</v>
      </c>
      <c r="DO171" s="1728">
        <v>-2.1000000000000001E-2</v>
      </c>
      <c r="DP171" s="1401">
        <f>SUMPRODUCT(DL171:DO171,DG158:DJ158)/SUM(DG158:DJ158)</f>
        <v>-9.3433948234053019E-3</v>
      </c>
      <c r="DQ171" s="1728">
        <v>-8.9999999999999993E-3</v>
      </c>
      <c r="DR171" s="263">
        <f>Scenarios!AP35</f>
        <v>-0.01</v>
      </c>
      <c r="DS171" s="263">
        <f>Scenarios!AQ35</f>
        <v>-0.01</v>
      </c>
      <c r="DT171" s="263">
        <f>Scenarios!AR35</f>
        <v>-0.01</v>
      </c>
      <c r="DU171" s="1401">
        <f>SUMPRODUCT(DQ171:DT171,DL158:DO158)/SUM(DL158:DO158)</f>
        <v>-9.7608609996138497E-3</v>
      </c>
      <c r="DV171" s="263">
        <f>Scenarios!AT35</f>
        <v>-0.01</v>
      </c>
      <c r="DW171" s="263">
        <f>Scenarios!AU35</f>
        <v>-0.01</v>
      </c>
      <c r="DX171" s="263">
        <f>Scenarios!AV35</f>
        <v>-0.01</v>
      </c>
      <c r="DY171" s="263">
        <f>Scenarios!AW35</f>
        <v>-0.01</v>
      </c>
      <c r="DZ171" s="1401">
        <f>SUMPRODUCT(DV171:DY171,DQ158:DT158)/SUM(DQ158:DT158)</f>
        <v>-1.0000000000000004E-2</v>
      </c>
      <c r="EA171" s="263">
        <f>Scenarios!AY35</f>
        <v>-0.01</v>
      </c>
      <c r="EB171" s="263">
        <f>Scenarios!AZ35</f>
        <v>-0.01</v>
      </c>
      <c r="EC171" s="263">
        <f>Scenarios!BA35</f>
        <v>-0.01</v>
      </c>
      <c r="ED171" s="263">
        <f>Scenarios!BB35</f>
        <v>-0.01</v>
      </c>
      <c r="EE171" s="1401">
        <f>SUMPRODUCT(EA171:ED171,DV158:DY158)/SUM(DV158:DY158)</f>
        <v>-0.01</v>
      </c>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row>
    <row r="172" spans="2:238" s="150" customFormat="1" ht="12.75" customHeight="1">
      <c r="B172" s="547"/>
      <c r="C172" s="130"/>
      <c r="D172" s="130"/>
      <c r="E172" s="131"/>
      <c r="F172" s="131"/>
      <c r="G172" s="131"/>
      <c r="H172" s="131"/>
      <c r="I172" s="131"/>
      <c r="J172" s="131"/>
      <c r="K172" s="126"/>
      <c r="L172" s="127"/>
      <c r="M172" s="127"/>
      <c r="N172" s="132"/>
      <c r="O172" s="131"/>
      <c r="P172" s="126"/>
      <c r="Q172" s="127"/>
      <c r="R172" s="127"/>
      <c r="S172" s="132"/>
      <c r="T172" s="131"/>
      <c r="U172" s="126"/>
      <c r="V172" s="127"/>
      <c r="W172" s="127"/>
      <c r="X172" s="132"/>
      <c r="Y172" s="131"/>
      <c r="Z172" s="126"/>
      <c r="AA172" s="127"/>
      <c r="AB172" s="127"/>
      <c r="AC172" s="132"/>
      <c r="AD172" s="131"/>
      <c r="AE172" s="126"/>
      <c r="AF172" s="127"/>
      <c r="AG172" s="127"/>
      <c r="AH172" s="132"/>
      <c r="AI172" s="131"/>
      <c r="AJ172" s="126"/>
      <c r="AK172" s="127"/>
      <c r="AL172" s="127"/>
      <c r="AM172" s="132"/>
      <c r="AN172" s="131"/>
      <c r="AO172" s="126"/>
      <c r="AP172" s="127"/>
      <c r="AQ172" s="127"/>
      <c r="AR172" s="132"/>
      <c r="AS172" s="131"/>
      <c r="AT172" s="126"/>
      <c r="AU172" s="127"/>
      <c r="AV172" s="127"/>
      <c r="AW172" s="132"/>
      <c r="AX172" s="131"/>
      <c r="AY172" s="126"/>
      <c r="AZ172" s="127"/>
      <c r="BA172" s="127"/>
      <c r="BB172" s="132"/>
      <c r="BC172" s="131"/>
      <c r="BD172" s="126"/>
      <c r="BE172" s="127"/>
      <c r="BF172" s="127"/>
      <c r="BG172" s="132"/>
      <c r="BH172" s="131"/>
      <c r="BI172" s="126"/>
      <c r="BJ172" s="127"/>
      <c r="BK172" s="127"/>
      <c r="BL172" s="132"/>
      <c r="BM172" s="131"/>
      <c r="BN172" s="126"/>
      <c r="BO172" s="127"/>
      <c r="BP172" s="127"/>
      <c r="BQ172" s="132"/>
      <c r="BR172" s="131"/>
      <c r="BS172" s="126"/>
      <c r="BT172" s="127"/>
      <c r="BU172" s="127"/>
      <c r="BV172" s="132"/>
      <c r="BW172" s="131"/>
      <c r="BX172" s="126"/>
      <c r="BY172" s="127"/>
      <c r="BZ172" s="127"/>
      <c r="CA172" s="132"/>
      <c r="CB172" s="131"/>
      <c r="CC172" s="126"/>
      <c r="CD172" s="127"/>
      <c r="CE172" s="127"/>
      <c r="CF172" s="127"/>
      <c r="CG172" s="613"/>
      <c r="CH172" s="127"/>
      <c r="CI172" s="127"/>
      <c r="CJ172" s="127"/>
      <c r="CK172" s="129"/>
      <c r="CL172" s="613"/>
      <c r="CM172" s="129"/>
      <c r="CN172" s="129"/>
      <c r="CO172" s="129"/>
      <c r="CP172" s="129"/>
      <c r="CQ172" s="831"/>
      <c r="CR172" s="129"/>
      <c r="CS172" s="129"/>
      <c r="CT172" s="129"/>
      <c r="CU172" s="129"/>
      <c r="CV172" s="831"/>
      <c r="CW172" s="129"/>
      <c r="CX172" s="129"/>
      <c r="CY172" s="129"/>
      <c r="CZ172" s="129"/>
      <c r="DA172" s="831"/>
      <c r="DB172" s="129"/>
      <c r="DC172" s="129"/>
      <c r="DD172" s="129"/>
      <c r="DE172" s="129"/>
      <c r="DF172" s="831"/>
      <c r="DG172" s="129"/>
      <c r="DH172" s="129"/>
      <c r="DI172" s="129"/>
      <c r="DJ172" s="129"/>
      <c r="DK172" s="1371"/>
      <c r="DL172" s="129"/>
      <c r="DM172" s="129"/>
      <c r="DN172" s="129"/>
      <c r="DO172" s="129"/>
      <c r="DP172" s="1371"/>
      <c r="DQ172" s="129"/>
      <c r="DR172" s="129"/>
      <c r="DS172" s="129"/>
      <c r="DT172" s="129"/>
      <c r="DU172" s="1371"/>
      <c r="DV172" s="129"/>
      <c r="DW172" s="129"/>
      <c r="DX172" s="129"/>
      <c r="DY172" s="129"/>
      <c r="DZ172" s="1371"/>
      <c r="EA172" s="129"/>
      <c r="EB172" s="129"/>
      <c r="EC172" s="129"/>
      <c r="ED172" s="129"/>
      <c r="EE172" s="1371"/>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row>
    <row r="173" spans="2:238" s="54" customFormat="1" ht="12.75" customHeight="1" outlineLevel="1">
      <c r="B173" s="538" t="s">
        <v>169</v>
      </c>
      <c r="C173" s="64"/>
      <c r="D173" s="64"/>
      <c r="E173" s="264">
        <f t="shared" ref="E173:J173" si="415">E174/E22</f>
        <v>0</v>
      </c>
      <c r="F173" s="264">
        <f t="shared" si="415"/>
        <v>0</v>
      </c>
      <c r="G173" s="264">
        <f t="shared" si="415"/>
        <v>0</v>
      </c>
      <c r="H173" s="264">
        <f t="shared" si="415"/>
        <v>0</v>
      </c>
      <c r="I173" s="264">
        <f t="shared" si="415"/>
        <v>0.74147619422336797</v>
      </c>
      <c r="J173" s="264">
        <f t="shared" si="415"/>
        <v>0.75454776308429727</v>
      </c>
      <c r="K173" s="265"/>
      <c r="L173" s="266"/>
      <c r="M173" s="266"/>
      <c r="N173" s="267"/>
      <c r="O173" s="264">
        <f>O174/O22</f>
        <v>0.72981719492986585</v>
      </c>
      <c r="P173" s="265"/>
      <c r="Q173" s="266"/>
      <c r="R173" s="266"/>
      <c r="S173" s="267"/>
      <c r="T173" s="264">
        <f t="shared" ref="T173:AY173" si="416">T174/T22</f>
        <v>1.2333921887892889</v>
      </c>
      <c r="U173" s="265">
        <f t="shared" si="416"/>
        <v>0.64053389275966344</v>
      </c>
      <c r="V173" s="266">
        <f t="shared" si="416"/>
        <v>1.0437068112951222</v>
      </c>
      <c r="W173" s="266">
        <f t="shared" si="416"/>
        <v>-0.96010254820357832</v>
      </c>
      <c r="X173" s="267">
        <f t="shared" si="416"/>
        <v>1.1749359765322627</v>
      </c>
      <c r="Y173" s="264">
        <f t="shared" si="416"/>
        <v>0.42814167395943925</v>
      </c>
      <c r="Z173" s="265">
        <f t="shared" si="416"/>
        <v>0.56270799286288709</v>
      </c>
      <c r="AA173" s="266">
        <f t="shared" si="416"/>
        <v>0.24115923467581732</v>
      </c>
      <c r="AB173" s="266">
        <f t="shared" si="416"/>
        <v>0.52566748579349909</v>
      </c>
      <c r="AC173" s="267">
        <f t="shared" si="416"/>
        <v>0.31824705607428844</v>
      </c>
      <c r="AD173" s="264">
        <f t="shared" si="416"/>
        <v>0.41808405184138769</v>
      </c>
      <c r="AE173" s="265">
        <f t="shared" si="416"/>
        <v>0.69924262554605177</v>
      </c>
      <c r="AF173" s="266">
        <f t="shared" si="416"/>
        <v>0.67059743408886907</v>
      </c>
      <c r="AG173" s="266">
        <f t="shared" si="416"/>
        <v>0.56660599111637</v>
      </c>
      <c r="AH173" s="267">
        <f t="shared" si="416"/>
        <v>0.49739044296521057</v>
      </c>
      <c r="AI173" s="264">
        <f t="shared" si="416"/>
        <v>0.53588229627711736</v>
      </c>
      <c r="AJ173" s="265">
        <f t="shared" si="416"/>
        <v>0.63470785259068041</v>
      </c>
      <c r="AK173" s="266">
        <f t="shared" si="416"/>
        <v>0.65807756074085677</v>
      </c>
      <c r="AL173" s="266">
        <f t="shared" si="416"/>
        <v>0.73574191289393431</v>
      </c>
      <c r="AM173" s="267">
        <f t="shared" si="416"/>
        <v>0.61521362790398104</v>
      </c>
      <c r="AN173" s="264">
        <f t="shared" si="416"/>
        <v>0.61397524219193966</v>
      </c>
      <c r="AO173" s="265">
        <f t="shared" si="416"/>
        <v>0.48639790398951244</v>
      </c>
      <c r="AP173" s="266">
        <f t="shared" si="416"/>
        <v>0.48187537248058365</v>
      </c>
      <c r="AQ173" s="266">
        <f t="shared" si="416"/>
        <v>0.45740213038432342</v>
      </c>
      <c r="AR173" s="267">
        <f t="shared" si="416"/>
        <v>0.46305247811234684</v>
      </c>
      <c r="AS173" s="264">
        <f t="shared" si="416"/>
        <v>0.58969586660694218</v>
      </c>
      <c r="AT173" s="265">
        <f t="shared" si="416"/>
        <v>0.49747732864360938</v>
      </c>
      <c r="AU173" s="266">
        <f t="shared" si="416"/>
        <v>0.60149938631281563</v>
      </c>
      <c r="AV173" s="266">
        <f t="shared" si="416"/>
        <v>0.80100105463663329</v>
      </c>
      <c r="AW173" s="267">
        <f t="shared" si="416"/>
        <v>0.65647410415261309</v>
      </c>
      <c r="AX173" s="264">
        <f t="shared" si="416"/>
        <v>0.58576856399160515</v>
      </c>
      <c r="AY173" s="265">
        <f t="shared" si="416"/>
        <v>0.65855427105605513</v>
      </c>
      <c r="AZ173" s="266">
        <f t="shared" ref="AZ173:CE173" si="417">AZ174/AZ22</f>
        <v>0.95774186289088936</v>
      </c>
      <c r="BA173" s="266">
        <f t="shared" si="417"/>
        <v>0.48918325659861001</v>
      </c>
      <c r="BB173" s="267">
        <f t="shared" si="417"/>
        <v>0.59245795786484245</v>
      </c>
      <c r="BC173" s="264">
        <f t="shared" si="417"/>
        <v>0.80451392207066541</v>
      </c>
      <c r="BD173" s="265">
        <f t="shared" si="417"/>
        <v>0.40629313436657044</v>
      </c>
      <c r="BE173" s="266">
        <f t="shared" si="417"/>
        <v>0.21329954978168092</v>
      </c>
      <c r="BF173" s="266">
        <f t="shared" si="417"/>
        <v>0.40047780309602615</v>
      </c>
      <c r="BG173" s="267">
        <f t="shared" si="417"/>
        <v>0.88778224438912345</v>
      </c>
      <c r="BH173" s="264">
        <f t="shared" si="417"/>
        <v>0.49801480771236051</v>
      </c>
      <c r="BI173" s="265">
        <f t="shared" si="417"/>
        <v>0.40874812153924567</v>
      </c>
      <c r="BJ173" s="266">
        <f t="shared" si="417"/>
        <v>0.283097274432072</v>
      </c>
      <c r="BK173" s="266">
        <f t="shared" si="417"/>
        <v>0.58083603322502264</v>
      </c>
      <c r="BL173" s="267">
        <f t="shared" si="417"/>
        <v>0.74998660927462446</v>
      </c>
      <c r="BM173" s="264">
        <f t="shared" si="417"/>
        <v>0.47881355468543568</v>
      </c>
      <c r="BN173" s="265">
        <f t="shared" si="417"/>
        <v>0.79009385287296663</v>
      </c>
      <c r="BO173" s="266">
        <f t="shared" si="417"/>
        <v>0.14235824071093325</v>
      </c>
      <c r="BP173" s="266">
        <f t="shared" si="417"/>
        <v>0.68011000784998576</v>
      </c>
      <c r="BQ173" s="267">
        <f t="shared" si="417"/>
        <v>0.469770897075863</v>
      </c>
      <c r="BR173" s="264">
        <f t="shared" si="417"/>
        <v>0.5593408399328309</v>
      </c>
      <c r="BS173" s="265">
        <f t="shared" si="417"/>
        <v>0.67906643862141547</v>
      </c>
      <c r="BT173" s="266">
        <f t="shared" si="417"/>
        <v>1.428701940286164</v>
      </c>
      <c r="BU173" s="266">
        <f t="shared" si="417"/>
        <v>0.72975650803404457</v>
      </c>
      <c r="BV173" s="267">
        <f t="shared" si="417"/>
        <v>0.55937518288875165</v>
      </c>
      <c r="BW173" s="264">
        <f t="shared" si="417"/>
        <v>0.77421353994192565</v>
      </c>
      <c r="BX173" s="265">
        <f t="shared" si="417"/>
        <v>0.69450843365013348</v>
      </c>
      <c r="BY173" s="266">
        <f t="shared" si="417"/>
        <v>0.88261733129994802</v>
      </c>
      <c r="BZ173" s="266">
        <f t="shared" si="417"/>
        <v>0.6555953146014879</v>
      </c>
      <c r="CA173" s="267">
        <f t="shared" si="417"/>
        <v>0.51506320429577623</v>
      </c>
      <c r="CB173" s="264">
        <f t="shared" si="417"/>
        <v>0.64766548732445073</v>
      </c>
      <c r="CC173" s="265">
        <f t="shared" si="417"/>
        <v>0.65727281082222266</v>
      </c>
      <c r="CD173" s="266">
        <f t="shared" si="417"/>
        <v>0.42579044149339906</v>
      </c>
      <c r="CE173" s="266">
        <f t="shared" si="417"/>
        <v>0.7504861717450988</v>
      </c>
      <c r="CF173" s="266">
        <f t="shared" ref="CF173:CT173" si="418">CF174/CF22</f>
        <v>1.2854798301954649</v>
      </c>
      <c r="CG173" s="816">
        <f t="shared" si="418"/>
        <v>0.9758175986349612</v>
      </c>
      <c r="CH173" s="266">
        <f t="shared" si="418"/>
        <v>1.3158026339137612</v>
      </c>
      <c r="CI173" s="266">
        <f t="shared" si="418"/>
        <v>1.236077246539167</v>
      </c>
      <c r="CJ173" s="266">
        <f t="shared" si="418"/>
        <v>1.8524850137902578</v>
      </c>
      <c r="CK173" s="266">
        <f t="shared" si="418"/>
        <v>1.5267073611155577</v>
      </c>
      <c r="CL173" s="816">
        <f t="shared" si="418"/>
        <v>2.2980035817495432</v>
      </c>
      <c r="CM173" s="266">
        <f t="shared" si="418"/>
        <v>1.7474419473792735</v>
      </c>
      <c r="CN173" s="128">
        <f t="shared" si="418"/>
        <v>2.1812627594874106</v>
      </c>
      <c r="CO173" s="128">
        <f t="shared" si="418"/>
        <v>2.202233343333027</v>
      </c>
      <c r="CP173" s="128">
        <f t="shared" si="418"/>
        <v>0.75875704735609817</v>
      </c>
      <c r="CQ173" s="816">
        <f t="shared" si="418"/>
        <v>1.7555262730864252</v>
      </c>
      <c r="CR173" s="128">
        <f t="shared" si="418"/>
        <v>0.94756607504346368</v>
      </c>
      <c r="CS173" s="128">
        <f t="shared" si="418"/>
        <v>0.91302742844683682</v>
      </c>
      <c r="CT173" s="128">
        <f t="shared" si="418"/>
        <v>1.0222487509108293</v>
      </c>
      <c r="CU173" s="128">
        <f t="shared" ref="CU173:DC173" si="419">CU174/CU22</f>
        <v>1.3008036963754697</v>
      </c>
      <c r="CV173" s="816">
        <f t="shared" si="419"/>
        <v>1.0736803629328995</v>
      </c>
      <c r="CW173" s="188">
        <f t="shared" si="419"/>
        <v>0.56278122477817993</v>
      </c>
      <c r="CX173" s="188">
        <f t="shared" si="419"/>
        <v>9.6228897309374312E-2</v>
      </c>
      <c r="CY173" s="188">
        <f t="shared" si="419"/>
        <v>5.9318714236921101E-3</v>
      </c>
      <c r="CZ173" s="188">
        <f t="shared" si="419"/>
        <v>-0.3352696718235556</v>
      </c>
      <c r="DA173" s="816">
        <f t="shared" si="419"/>
        <v>0.17340074561041971</v>
      </c>
      <c r="DB173" s="188">
        <f t="shared" si="419"/>
        <v>-3.289066692629373</v>
      </c>
      <c r="DC173" s="188">
        <f t="shared" si="419"/>
        <v>-5.1802104459909835</v>
      </c>
      <c r="DD173" s="188">
        <f t="shared" ref="DD173:DI173" si="420">DD174/DD22</f>
        <v>-4.8203262821153388</v>
      </c>
      <c r="DE173" s="188">
        <f t="shared" si="420"/>
        <v>-7.3610904992377177</v>
      </c>
      <c r="DF173" s="816">
        <f t="shared" si="420"/>
        <v>0.63590567767264339</v>
      </c>
      <c r="DG173" s="188">
        <f t="shared" si="420"/>
        <v>0.55007345557810017</v>
      </c>
      <c r="DH173" s="188">
        <f t="shared" si="420"/>
        <v>-1.4938730375513751</v>
      </c>
      <c r="DI173" s="188">
        <f t="shared" si="420"/>
        <v>0.71661585156701835</v>
      </c>
      <c r="DJ173" s="188"/>
      <c r="DK173" s="1371"/>
      <c r="DL173" s="188"/>
      <c r="DM173" s="188"/>
      <c r="DN173" s="188"/>
      <c r="DO173" s="188"/>
      <c r="DP173" s="1371"/>
      <c r="DQ173" s="188"/>
      <c r="DR173" s="129"/>
      <c r="DS173" s="129"/>
      <c r="DT173" s="129"/>
      <c r="DU173" s="1371"/>
      <c r="DV173" s="129"/>
      <c r="DW173" s="129"/>
      <c r="DX173" s="129"/>
      <c r="DY173" s="129"/>
      <c r="DZ173" s="1371"/>
      <c r="EA173" s="129"/>
      <c r="EB173" s="129"/>
      <c r="EC173" s="129"/>
      <c r="ED173" s="129"/>
      <c r="EE173" s="1371"/>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row>
    <row r="174" spans="2:238" s="54" customFormat="1" ht="12.75" customHeight="1" outlineLevel="1">
      <c r="B174" s="570" t="s">
        <v>408</v>
      </c>
      <c r="C174" s="268"/>
      <c r="D174" s="64"/>
      <c r="E174" s="264"/>
      <c r="F174" s="264"/>
      <c r="G174" s="264"/>
      <c r="H174" s="264"/>
      <c r="I174" s="122">
        <f>+I176-I171</f>
        <v>5.7500549435037691E-2</v>
      </c>
      <c r="J174" s="122">
        <f>+J176-J171</f>
        <v>5.4186063639959169E-2</v>
      </c>
      <c r="K174" s="123"/>
      <c r="L174" s="124"/>
      <c r="M174" s="124"/>
      <c r="N174" s="125"/>
      <c r="O174" s="122">
        <f>+O176-O171</f>
        <v>4.9039378348237059E-2</v>
      </c>
      <c r="P174" s="123"/>
      <c r="Q174" s="124"/>
      <c r="R174" s="124"/>
      <c r="S174" s="125"/>
      <c r="T174" s="122">
        <f t="shared" ref="T174:AY174" si="421">+T176-T171</f>
        <v>0.1009615464607396</v>
      </c>
      <c r="U174" s="123">
        <f t="shared" si="421"/>
        <v>4.7357071013703268E-2</v>
      </c>
      <c r="V174" s="124">
        <f t="shared" si="421"/>
        <v>8.2706485426249449E-2</v>
      </c>
      <c r="W174" s="124">
        <f t="shared" si="421"/>
        <v>-7.7099960145140034E-2</v>
      </c>
      <c r="X174" s="125">
        <f t="shared" si="421"/>
        <v>0.1025461146846</v>
      </c>
      <c r="Y174" s="122">
        <f t="shared" si="421"/>
        <v>3.7367368159651977E-2</v>
      </c>
      <c r="Z174" s="123">
        <f t="shared" si="421"/>
        <v>6.1685980807563393E-2</v>
      </c>
      <c r="AA174" s="124">
        <f t="shared" si="421"/>
        <v>2.5921240367341912E-2</v>
      </c>
      <c r="AB174" s="124">
        <f t="shared" si="421"/>
        <v>6.5689998274791855E-2</v>
      </c>
      <c r="AC174" s="125">
        <f t="shared" si="421"/>
        <v>3.9206119803802994E-2</v>
      </c>
      <c r="AD174" s="122">
        <f t="shared" si="421"/>
        <v>5.1505436143693878E-2</v>
      </c>
      <c r="AE174" s="123">
        <f t="shared" si="421"/>
        <v>8.6472054450171851E-2</v>
      </c>
      <c r="AF174" s="124">
        <f t="shared" si="421"/>
        <v>9.0060825694592311E-2</v>
      </c>
      <c r="AG174" s="124">
        <f t="shared" si="421"/>
        <v>7.4012396544869935E-2</v>
      </c>
      <c r="AH174" s="125">
        <f t="shared" si="421"/>
        <v>7.5791208791209291E-2</v>
      </c>
      <c r="AI174" s="122">
        <f t="shared" si="421"/>
        <v>8.1656508642431763E-2</v>
      </c>
      <c r="AJ174" s="123">
        <f t="shared" si="421"/>
        <v>7.7710463186322271E-2</v>
      </c>
      <c r="AK174" s="124">
        <f t="shared" si="421"/>
        <v>8.3396414842791255E-2</v>
      </c>
      <c r="AL174" s="124">
        <f t="shared" si="421"/>
        <v>8.9948126355108876E-2</v>
      </c>
      <c r="AM174" s="125">
        <f t="shared" si="421"/>
        <v>8.2956308572018883E-2</v>
      </c>
      <c r="AN174" s="122">
        <f t="shared" si="421"/>
        <v>8.2789322824955242E-2</v>
      </c>
      <c r="AO174" s="123">
        <f t="shared" si="421"/>
        <v>8.0129975042277174E-2</v>
      </c>
      <c r="AP174" s="124">
        <f t="shared" si="421"/>
        <v>7.2027944030784746E-2</v>
      </c>
      <c r="AQ174" s="124">
        <f t="shared" si="421"/>
        <v>6.8930928527544053E-2</v>
      </c>
      <c r="AR174" s="125">
        <f t="shared" si="421"/>
        <v>5.4159672203220391E-2</v>
      </c>
      <c r="AS174" s="122">
        <f t="shared" si="421"/>
        <v>6.8972171286549422E-2</v>
      </c>
      <c r="AT174" s="123">
        <f t="shared" si="421"/>
        <v>4.742394682683182E-2</v>
      </c>
      <c r="AU174" s="124">
        <f t="shared" si="421"/>
        <v>4.7184980885063517E-2</v>
      </c>
      <c r="AV174" s="124">
        <f t="shared" si="421"/>
        <v>4.1500518327644703E-2</v>
      </c>
      <c r="AW174" s="125">
        <f t="shared" si="421"/>
        <v>5.7441676303116397E-2</v>
      </c>
      <c r="AX174" s="122">
        <f t="shared" si="421"/>
        <v>5.1250201435384737E-2</v>
      </c>
      <c r="AY174" s="123">
        <f t="shared" si="421"/>
        <v>6.1700785320410081E-2</v>
      </c>
      <c r="AZ174" s="124">
        <f t="shared" ref="AZ174:CE174" si="422">+AZ176-AZ171</f>
        <v>0.10215409507667045</v>
      </c>
      <c r="BA174" s="124">
        <f t="shared" si="422"/>
        <v>6.1915465898174475E-2</v>
      </c>
      <c r="BB174" s="125">
        <f t="shared" si="422"/>
        <v>5.7342448199840738E-2</v>
      </c>
      <c r="BC174" s="122">
        <f t="shared" si="422"/>
        <v>7.1760546815376081E-2</v>
      </c>
      <c r="BD174" s="123">
        <f t="shared" si="422"/>
        <v>4.1467982040383766E-2</v>
      </c>
      <c r="BE174" s="124">
        <f t="shared" si="422"/>
        <v>2.1895223828646206E-2</v>
      </c>
      <c r="BF174" s="124">
        <f t="shared" si="422"/>
        <v>3.9447063604958588E-2</v>
      </c>
      <c r="BG174" s="125">
        <f t="shared" si="422"/>
        <v>7.4486428807598426E-2</v>
      </c>
      <c r="BH174" s="122">
        <f t="shared" si="422"/>
        <v>4.2491030427840103E-2</v>
      </c>
      <c r="BI174" s="123">
        <f t="shared" si="422"/>
        <v>3.5541604392715309E-2</v>
      </c>
      <c r="BJ174" s="124">
        <f t="shared" si="422"/>
        <v>2.6058600272392415E-2</v>
      </c>
      <c r="BK174" s="124">
        <f t="shared" si="422"/>
        <v>5.599026039976733E-2</v>
      </c>
      <c r="BL174" s="125">
        <f t="shared" si="422"/>
        <v>7.3368255255126302E-2</v>
      </c>
      <c r="BM174" s="122">
        <f t="shared" si="422"/>
        <v>4.6965710225269346E-2</v>
      </c>
      <c r="BN174" s="123">
        <f t="shared" si="422"/>
        <v>7.6175877712572782E-2</v>
      </c>
      <c r="BO174" s="124">
        <f t="shared" si="422"/>
        <v>1.2757784983183411E-2</v>
      </c>
      <c r="BP174" s="124">
        <f t="shared" si="422"/>
        <v>6.1779547209191814E-2</v>
      </c>
      <c r="BQ174" s="125">
        <f t="shared" si="422"/>
        <v>4.3411172007010446E-2</v>
      </c>
      <c r="BR174" s="122">
        <f t="shared" si="422"/>
        <v>4.7015470751534942E-2</v>
      </c>
      <c r="BS174" s="123">
        <f t="shared" si="422"/>
        <v>5.5730756331648965E-2</v>
      </c>
      <c r="BT174" s="124">
        <f t="shared" si="422"/>
        <v>0.12394639987228533</v>
      </c>
      <c r="BU174" s="124">
        <f t="shared" si="422"/>
        <v>6.345630376761173E-2</v>
      </c>
      <c r="BV174" s="125">
        <f t="shared" si="422"/>
        <v>4.4677642298147781E-2</v>
      </c>
      <c r="BW174" s="122">
        <f t="shared" si="422"/>
        <v>7.2845794507253953E-2</v>
      </c>
      <c r="BX174" s="123">
        <f t="shared" si="422"/>
        <v>6.7662554297345134E-2</v>
      </c>
      <c r="BY174" s="124">
        <f t="shared" si="422"/>
        <v>7.6495941896813843E-2</v>
      </c>
      <c r="BZ174" s="124">
        <f t="shared" si="422"/>
        <v>6.7407659499964759E-2</v>
      </c>
      <c r="CA174" s="125">
        <f t="shared" si="422"/>
        <v>5.2559492798863724E-2</v>
      </c>
      <c r="CB174" s="122">
        <f t="shared" si="422"/>
        <v>6.6090858817307252E-2</v>
      </c>
      <c r="CC174" s="123">
        <f t="shared" si="422"/>
        <v>6.1361622832045631E-2</v>
      </c>
      <c r="CD174" s="124">
        <f t="shared" si="422"/>
        <v>3.8717303039002657E-2</v>
      </c>
      <c r="CE174" s="124">
        <f t="shared" si="422"/>
        <v>6.7180393957218421E-2</v>
      </c>
      <c r="CF174" s="124">
        <f t="shared" ref="CF174:CT174" si="423">+CF176-CF171</f>
        <v>8.0558508166041057E-2</v>
      </c>
      <c r="CG174" s="800">
        <f t="shared" si="423"/>
        <v>6.1152581426538538E-2</v>
      </c>
      <c r="CH174" s="124">
        <f t="shared" si="423"/>
        <v>6.8430606078576206E-2</v>
      </c>
      <c r="CI174" s="124">
        <f t="shared" si="423"/>
        <v>6.6960509952393263E-2</v>
      </c>
      <c r="CJ174" s="124">
        <f t="shared" si="423"/>
        <v>3.8404856513031639E-2</v>
      </c>
      <c r="CK174" s="124">
        <f t="shared" si="423"/>
        <v>3.4642901470100004E-2</v>
      </c>
      <c r="CL174" s="800">
        <f t="shared" si="423"/>
        <v>5.2144578383584946E-2</v>
      </c>
      <c r="CM174" s="124">
        <f t="shared" si="423"/>
        <v>3.2058114035087758E-2</v>
      </c>
      <c r="CN174" s="124">
        <f t="shared" si="423"/>
        <v>3.5569112054369648E-2</v>
      </c>
      <c r="CO174" s="124">
        <f t="shared" si="423"/>
        <v>3.6218836714586471E-2</v>
      </c>
      <c r="CP174" s="124">
        <f t="shared" si="423"/>
        <v>1.267667119970438E-2</v>
      </c>
      <c r="CQ174" s="800">
        <f t="shared" si="423"/>
        <v>2.9329848630604873E-2</v>
      </c>
      <c r="CR174" s="830">
        <f t="shared" si="423"/>
        <v>2.0674790654460633E-2</v>
      </c>
      <c r="CS174" s="127">
        <f t="shared" si="423"/>
        <v>1.8134114382442699E-2</v>
      </c>
      <c r="CT174" s="127">
        <f t="shared" si="423"/>
        <v>2.2040875846797373E-2</v>
      </c>
      <c r="CU174" s="127">
        <f t="shared" ref="CU174:DC174" si="424">+CU176-CU171</f>
        <v>2.6179734984163053E-2</v>
      </c>
      <c r="CV174" s="800">
        <f t="shared" si="424"/>
        <v>2.1608692716360411E-2</v>
      </c>
      <c r="CW174" s="127">
        <f t="shared" si="424"/>
        <v>1.0184490057418193E-2</v>
      </c>
      <c r="CX174" s="127">
        <f t="shared" si="424"/>
        <v>1.6451421987975397E-3</v>
      </c>
      <c r="CY174" s="127">
        <f t="shared" si="424"/>
        <v>8.7912136697919363E-5</v>
      </c>
      <c r="CZ174" s="127">
        <f t="shared" si="424"/>
        <v>-3.7591843440048945E-3</v>
      </c>
      <c r="DA174" s="800">
        <f t="shared" si="424"/>
        <v>1.9442419727141794E-3</v>
      </c>
      <c r="DB174" s="124">
        <f t="shared" si="424"/>
        <v>-1.163206513246938E-2</v>
      </c>
      <c r="DC174" s="124">
        <f t="shared" si="424"/>
        <v>-1.3881197297417637E-2</v>
      </c>
      <c r="DD174" s="124">
        <f t="shared" ref="DD174:DI174" si="425">+DD176-DD171</f>
        <v>-1.3492455213417229E-2</v>
      </c>
      <c r="DE174" s="124">
        <f t="shared" si="425"/>
        <v>3.0495561956144671E-2</v>
      </c>
      <c r="DF174" s="800">
        <f t="shared" si="425"/>
        <v>-2.6344331717887397E-3</v>
      </c>
      <c r="DG174" s="124">
        <f t="shared" si="425"/>
        <v>-2.4732917555462305E-3</v>
      </c>
      <c r="DH174" s="124">
        <f t="shared" si="425"/>
        <v>7.2588582971399003E-3</v>
      </c>
      <c r="DI174" s="124">
        <f t="shared" si="425"/>
        <v>-3.5656856692047869E-3</v>
      </c>
      <c r="DJ174" s="124">
        <f t="shared" ref="DJ174:DL174" si="426">+DJ176-DJ171</f>
        <v>-4.5870361916305002E-2</v>
      </c>
      <c r="DK174" s="615">
        <f>+DK176-DK171</f>
        <v>-1.0716266675687076E-2</v>
      </c>
      <c r="DL174" s="124">
        <f t="shared" si="426"/>
        <v>-3.27864879476492E-3</v>
      </c>
      <c r="DM174" s="124">
        <f t="shared" ref="DM174:DN174" si="427">+DM176-DM171</f>
        <v>-2.0878405315614586E-2</v>
      </c>
      <c r="DN174" s="124">
        <f t="shared" si="427"/>
        <v>-1.4154702004398726E-2</v>
      </c>
      <c r="DO174" s="124">
        <f t="shared" ref="DO174:DQ174" si="428">+DO176-DO171</f>
        <v>-1.1587844025642408E-2</v>
      </c>
      <c r="DP174" s="615">
        <f>+DP176-DP171</f>
        <v>-1.2838892226316503E-2</v>
      </c>
      <c r="DQ174" s="124">
        <f t="shared" si="428"/>
        <v>-2.6803291261666036E-2</v>
      </c>
      <c r="DR174" s="124">
        <v>5.0084226342387295E-2</v>
      </c>
      <c r="DS174" s="124">
        <v>0.10096946415987107</v>
      </c>
      <c r="DT174" s="124">
        <v>0.11276021643630174</v>
      </c>
      <c r="DU174" s="615">
        <f>+DU176-DU171</f>
        <v>5.9232132293497691E-2</v>
      </c>
      <c r="DV174" s="124">
        <v>-3.8089302553973598E-3</v>
      </c>
      <c r="DW174" s="124">
        <v>-4.7843030404529302E-3</v>
      </c>
      <c r="DX174" s="124">
        <v>-6.5539679715816996E-3</v>
      </c>
      <c r="DY174" s="124">
        <v>-8.83296327683737E-3</v>
      </c>
      <c r="DZ174" s="615">
        <f>+DZ176-DZ171</f>
        <v>-6.0289078468834852E-3</v>
      </c>
      <c r="EA174" s="124">
        <v>-7.6948085967623496E-3</v>
      </c>
      <c r="EB174" s="124">
        <v>-4.8326293337908402E-3</v>
      </c>
      <c r="EC174" s="124">
        <v>-3.31008483413217E-3</v>
      </c>
      <c r="ED174" s="124">
        <v>-1.78443702562371E-3</v>
      </c>
      <c r="EE174" s="615">
        <f>+EE176-EE171</f>
        <v>-4.3166209190711544E-3</v>
      </c>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row>
    <row r="175" spans="2:238" s="54" customFormat="1" ht="12.75" customHeight="1" outlineLevel="1">
      <c r="B175" s="570"/>
      <c r="C175" s="268"/>
      <c r="D175" s="64"/>
      <c r="E175" s="264"/>
      <c r="F175" s="264"/>
      <c r="G175" s="264"/>
      <c r="H175" s="264"/>
      <c r="I175" s="122"/>
      <c r="J175" s="122"/>
      <c r="K175" s="123"/>
      <c r="L175" s="124"/>
      <c r="M175" s="124"/>
      <c r="N175" s="125"/>
      <c r="O175" s="122"/>
      <c r="P175" s="123"/>
      <c r="Q175" s="124"/>
      <c r="R175" s="124"/>
      <c r="S175" s="125"/>
      <c r="T175" s="122"/>
      <c r="U175" s="123"/>
      <c r="V175" s="124"/>
      <c r="W175" s="124"/>
      <c r="X175" s="125"/>
      <c r="Y175" s="122"/>
      <c r="Z175" s="123"/>
      <c r="AA175" s="124"/>
      <c r="AB175" s="124"/>
      <c r="AC175" s="125"/>
      <c r="AD175" s="122"/>
      <c r="AE175" s="123"/>
      <c r="AF175" s="124"/>
      <c r="AG175" s="124"/>
      <c r="AH175" s="125"/>
      <c r="AI175" s="122"/>
      <c r="AJ175" s="123"/>
      <c r="AK175" s="124"/>
      <c r="AL175" s="124"/>
      <c r="AM175" s="125"/>
      <c r="AN175" s="122"/>
      <c r="AO175" s="123"/>
      <c r="AP175" s="124"/>
      <c r="AQ175" s="124"/>
      <c r="AR175" s="125"/>
      <c r="AS175" s="122"/>
      <c r="AT175" s="123"/>
      <c r="AU175" s="124"/>
      <c r="AV175" s="124"/>
      <c r="AW175" s="125"/>
      <c r="AX175" s="122"/>
      <c r="AY175" s="123"/>
      <c r="AZ175" s="124"/>
      <c r="BA175" s="124"/>
      <c r="BB175" s="125"/>
      <c r="BC175" s="122"/>
      <c r="BD175" s="123"/>
      <c r="BE175" s="124"/>
      <c r="BF175" s="124"/>
      <c r="BG175" s="125"/>
      <c r="BH175" s="122"/>
      <c r="BI175" s="123"/>
      <c r="BJ175" s="124"/>
      <c r="BK175" s="124"/>
      <c r="BL175" s="125"/>
      <c r="BM175" s="122"/>
      <c r="BN175" s="123"/>
      <c r="BO175" s="124"/>
      <c r="BP175" s="124"/>
      <c r="BQ175" s="125"/>
      <c r="BR175" s="122"/>
      <c r="BS175" s="123"/>
      <c r="BT175" s="124"/>
      <c r="BU175" s="124"/>
      <c r="BV175" s="125"/>
      <c r="BW175" s="122"/>
      <c r="BX175" s="123"/>
      <c r="BY175" s="124"/>
      <c r="BZ175" s="124"/>
      <c r="CA175" s="125"/>
      <c r="CB175" s="122"/>
      <c r="CC175" s="123"/>
      <c r="CD175" s="124"/>
      <c r="CE175" s="124"/>
      <c r="CF175" s="124"/>
      <c r="CG175" s="800"/>
      <c r="CH175" s="124"/>
      <c r="CI175" s="124"/>
      <c r="CJ175" s="124"/>
      <c r="CK175" s="124"/>
      <c r="CL175" s="800"/>
      <c r="CM175" s="124"/>
      <c r="CN175" s="124"/>
      <c r="CO175" s="124"/>
      <c r="CP175" s="124"/>
      <c r="CQ175" s="800"/>
      <c r="CR175" s="830"/>
      <c r="CS175" s="127"/>
      <c r="CT175" s="124"/>
      <c r="CU175" s="124"/>
      <c r="CV175" s="800"/>
      <c r="CW175" s="124"/>
      <c r="CX175" s="124"/>
      <c r="CY175" s="124"/>
      <c r="CZ175" s="124"/>
      <c r="DA175" s="800"/>
      <c r="DB175" s="124"/>
      <c r="DC175" s="124"/>
      <c r="DD175" s="124"/>
      <c r="DE175" s="124"/>
      <c r="DF175" s="800"/>
      <c r="DG175" s="124"/>
      <c r="DH175" s="124"/>
      <c r="DI175" s="124"/>
      <c r="DJ175" s="124"/>
      <c r="DK175" s="615"/>
      <c r="DL175" s="124"/>
      <c r="DM175" s="124"/>
      <c r="DN175" s="124"/>
      <c r="DO175" s="124"/>
      <c r="DP175" s="615"/>
      <c r="DQ175" s="124"/>
      <c r="DR175" s="124"/>
      <c r="DS175" s="124"/>
      <c r="DT175" s="124"/>
      <c r="DU175" s="615"/>
      <c r="DV175" s="124"/>
      <c r="DW175" s="124"/>
      <c r="DX175" s="124"/>
      <c r="DY175" s="124"/>
      <c r="DZ175" s="615"/>
      <c r="EA175" s="124"/>
      <c r="EB175" s="124"/>
      <c r="EC175" s="124"/>
      <c r="ED175" s="124"/>
      <c r="EE175" s="61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row>
    <row r="176" spans="2:238" s="64" customFormat="1" ht="12.75" customHeight="1">
      <c r="B176" s="569" t="s">
        <v>407</v>
      </c>
      <c r="C176" s="268"/>
      <c r="D176" s="124"/>
      <c r="E176" s="124"/>
      <c r="F176" s="124"/>
      <c r="G176" s="124">
        <f t="shared" ref="G176:J177" si="429">+G158/F158-1</f>
        <v>9.4405729956508422E-2</v>
      </c>
      <c r="H176" s="124">
        <f t="shared" si="429"/>
        <v>9.9013349110038451E-2</v>
      </c>
      <c r="I176" s="124">
        <f t="shared" si="429"/>
        <v>6.6500549435037692E-2</v>
      </c>
      <c r="J176" s="124">
        <f t="shared" si="429"/>
        <v>7.6186063639959167E-2</v>
      </c>
      <c r="K176" s="123"/>
      <c r="L176" s="124"/>
      <c r="M176" s="124"/>
      <c r="N176" s="125"/>
      <c r="O176" s="124">
        <f>+O158/J158-1</f>
        <v>9.703937834823706E-2</v>
      </c>
      <c r="P176" s="123"/>
      <c r="Q176" s="124"/>
      <c r="R176" s="124"/>
      <c r="S176" s="125"/>
      <c r="T176" s="124">
        <f>+T158/O158-1</f>
        <v>0.1394615464607396</v>
      </c>
      <c r="U176" s="123">
        <f t="shared" ref="U176:X177" si="430">U158/P158-1</f>
        <v>8.7357071013703269E-2</v>
      </c>
      <c r="V176" s="124">
        <f t="shared" si="430"/>
        <v>0.11830648542624944</v>
      </c>
      <c r="W176" s="124">
        <f t="shared" si="430"/>
        <v>-4.9399960145140032E-2</v>
      </c>
      <c r="X176" s="125">
        <f t="shared" si="430"/>
        <v>0.1374461146846</v>
      </c>
      <c r="Y176" s="124">
        <f>+Y158/T158-1</f>
        <v>7.0067368159651977E-2</v>
      </c>
      <c r="Z176" s="123">
        <f t="shared" ref="Z176:AC177" si="431">Z158/U158-1</f>
        <v>8.1685980807563396E-2</v>
      </c>
      <c r="AA176" s="124">
        <f t="shared" si="431"/>
        <v>4.7921240367341911E-2</v>
      </c>
      <c r="AB176" s="124">
        <f t="shared" si="431"/>
        <v>0.10168999827479186</v>
      </c>
      <c r="AC176" s="125">
        <f t="shared" si="431"/>
        <v>8.9206119803802997E-2</v>
      </c>
      <c r="AD176" s="124">
        <f>+AD158/Y158-1</f>
        <v>7.8505436143693874E-2</v>
      </c>
      <c r="AE176" s="123">
        <f t="shared" ref="AE176:AH177" si="432">AE158/Z158-1</f>
        <v>0.13247205445017185</v>
      </c>
      <c r="AF176" s="124">
        <f t="shared" si="432"/>
        <v>0.12806082569459232</v>
      </c>
      <c r="AG176" s="124">
        <f t="shared" si="432"/>
        <v>0.10301239654486993</v>
      </c>
      <c r="AH176" s="125">
        <f t="shared" si="432"/>
        <v>0.10479120879120929</v>
      </c>
      <c r="AI176" s="124">
        <f>+AI158/AD158-1</f>
        <v>0.11715650864243177</v>
      </c>
      <c r="AJ176" s="123">
        <f t="shared" ref="AJ176:AM177" si="433">AJ158/AE158-1</f>
        <v>0.10671046318632227</v>
      </c>
      <c r="AK176" s="124">
        <f t="shared" si="433"/>
        <v>8.9396414842791261E-2</v>
      </c>
      <c r="AL176" s="124">
        <f t="shared" si="433"/>
        <v>0.11294812635510887</v>
      </c>
      <c r="AM176" s="125">
        <f t="shared" si="433"/>
        <v>0.11295630857201888</v>
      </c>
      <c r="AN176" s="124">
        <f>+AN158/AI158-1</f>
        <v>0.10478932282495523</v>
      </c>
      <c r="AO176" s="123">
        <f t="shared" ref="AO176:AR177" si="434">AO158/AJ158-1</f>
        <v>0.10512997504227717</v>
      </c>
      <c r="AP176" s="124">
        <f t="shared" si="434"/>
        <v>0.10402794403078475</v>
      </c>
      <c r="AQ176" s="124">
        <f t="shared" si="434"/>
        <v>0.11193092852754405</v>
      </c>
      <c r="AR176" s="125">
        <f t="shared" si="434"/>
        <v>7.1159672203220392E-2</v>
      </c>
      <c r="AS176" s="124">
        <f>+AS158/AN158-1</f>
        <v>9.822217128654942E-2</v>
      </c>
      <c r="AT176" s="123">
        <f t="shared" ref="AT176:AW177" si="435">AT158/AO158-1</f>
        <v>4.742394682683182E-2</v>
      </c>
      <c r="AU176" s="124">
        <f t="shared" si="435"/>
        <v>5.5184980885063517E-2</v>
      </c>
      <c r="AV176" s="124">
        <f t="shared" si="435"/>
        <v>7.3500518327644704E-2</v>
      </c>
      <c r="AW176" s="125">
        <f t="shared" si="435"/>
        <v>9.8441676303116399E-2</v>
      </c>
      <c r="AX176" s="124">
        <f>+AX158/AS158-1</f>
        <v>6.8250201435384739E-2</v>
      </c>
      <c r="AY176" s="123">
        <f t="shared" ref="AY176:BB177" si="436">AY158/AT158-1</f>
        <v>0.13670078532041008</v>
      </c>
      <c r="AZ176" s="124">
        <f t="shared" si="436"/>
        <v>0.16415409507667045</v>
      </c>
      <c r="BA176" s="124">
        <f t="shared" si="436"/>
        <v>0.11791546589817448</v>
      </c>
      <c r="BB176" s="125">
        <f t="shared" si="436"/>
        <v>0.10834244819984074</v>
      </c>
      <c r="BC176" s="124">
        <f>+BC158/AX158-1</f>
        <v>0.13276054681537608</v>
      </c>
      <c r="BD176" s="123">
        <f t="shared" ref="BD176:BG177" si="437">BD158/AY158-1</f>
        <v>0.10246798204038376</v>
      </c>
      <c r="BE176" s="124">
        <f t="shared" si="437"/>
        <v>6.2895223828646207E-2</v>
      </c>
      <c r="BF176" s="124">
        <f t="shared" si="437"/>
        <v>0.10044706360495859</v>
      </c>
      <c r="BG176" s="125">
        <f t="shared" si="437"/>
        <v>0.13248642880759842</v>
      </c>
      <c r="BH176" s="124">
        <f>+BH158/BC158-1</f>
        <v>9.7741030427840103E-2</v>
      </c>
      <c r="BI176" s="123">
        <f t="shared" ref="BI176:BL177" si="438">BI158/BD158-1</f>
        <v>9.954160439271531E-2</v>
      </c>
      <c r="BJ176" s="124">
        <f t="shared" si="438"/>
        <v>7.6058600272392418E-2</v>
      </c>
      <c r="BK176" s="124">
        <f t="shared" si="438"/>
        <v>0.10199026039976733</v>
      </c>
      <c r="BL176" s="125">
        <f t="shared" si="438"/>
        <v>0.12536825525512629</v>
      </c>
      <c r="BM176" s="124">
        <f>+BM158/BH158-1</f>
        <v>9.9965710225269344E-2</v>
      </c>
      <c r="BN176" s="123">
        <f t="shared" ref="BN176:BQ177" si="439">BN158/BI158-1</f>
        <v>0.13417587771257278</v>
      </c>
      <c r="BO176" s="124">
        <f t="shared" si="439"/>
        <v>6.9757784983183413E-2</v>
      </c>
      <c r="BP176" s="124">
        <f t="shared" si="439"/>
        <v>0.11777954720919181</v>
      </c>
      <c r="BQ176" s="125">
        <f t="shared" si="439"/>
        <v>0.10441117200701044</v>
      </c>
      <c r="BR176" s="124">
        <f>+BR158/BM158-1</f>
        <v>0.10501547075153495</v>
      </c>
      <c r="BS176" s="123">
        <f t="shared" ref="BS176:BV177" si="440">BS158/BN158-1</f>
        <v>0.10173075633164896</v>
      </c>
      <c r="BT176" s="124">
        <f t="shared" si="440"/>
        <v>0.16694639987228532</v>
      </c>
      <c r="BU176" s="124">
        <f t="shared" si="440"/>
        <v>0.10945630376761173</v>
      </c>
      <c r="BV176" s="125">
        <f t="shared" si="440"/>
        <v>8.1677642298147779E-2</v>
      </c>
      <c r="BW176" s="124">
        <f>+BW158/BR158-1</f>
        <v>0.11584579450725396</v>
      </c>
      <c r="BX176" s="123">
        <f t="shared" ref="BX176:CA177" si="441">BX158/BS158-1</f>
        <v>6.8662554297345135E-2</v>
      </c>
      <c r="BY176" s="124">
        <f t="shared" si="441"/>
        <v>6.4495941896813846E-2</v>
      </c>
      <c r="BZ176" s="124">
        <f t="shared" si="441"/>
        <v>7.6407659499964753E-2</v>
      </c>
      <c r="CA176" s="125">
        <f t="shared" si="441"/>
        <v>3.8559492798863726E-2</v>
      </c>
      <c r="CB176" s="124">
        <f>+CB158/BW158-1</f>
        <v>6.2090858817307248E-2</v>
      </c>
      <c r="CC176" s="123">
        <f t="shared" ref="CC176:CF177" si="442">CC158/BX158-1</f>
        <v>8.8361622832045628E-2</v>
      </c>
      <c r="CD176" s="124">
        <f t="shared" si="442"/>
        <v>2.2717303039002656E-2</v>
      </c>
      <c r="CE176" s="124">
        <f t="shared" si="442"/>
        <v>6.7180393957218421E-2</v>
      </c>
      <c r="CF176" s="124">
        <f t="shared" si="442"/>
        <v>9.3558508166041054E-2</v>
      </c>
      <c r="CG176" s="615">
        <f>+CG158/CB158-1</f>
        <v>6.6061534513087272E-2</v>
      </c>
      <c r="CH176" s="124">
        <f t="shared" ref="CH176:CK177" si="443">CH158/CC158-1</f>
        <v>7.243060607857621E-2</v>
      </c>
      <c r="CI176" s="124">
        <f t="shared" si="443"/>
        <v>0.10996050995239326</v>
      </c>
      <c r="CJ176" s="124">
        <f t="shared" si="443"/>
        <v>7.7404856513031639E-2</v>
      </c>
      <c r="CK176" s="124">
        <f t="shared" si="443"/>
        <v>8.0642901470100004E-2</v>
      </c>
      <c r="CL176" s="615">
        <f>+CL158/CG158-1</f>
        <v>8.5674311644169165E-2</v>
      </c>
      <c r="CM176" s="124">
        <f t="shared" ref="CM176:CP177" si="444">CM158/CH158-1</f>
        <v>5.6058114035087758E-2</v>
      </c>
      <c r="CN176" s="124">
        <f t="shared" si="444"/>
        <v>5.6569112054369652E-2</v>
      </c>
      <c r="CO176" s="124">
        <f t="shared" si="444"/>
        <v>2.721883671458647E-2</v>
      </c>
      <c r="CP176" s="124">
        <f t="shared" si="444"/>
        <v>-3.2332880029561917E-4</v>
      </c>
      <c r="CQ176" s="615">
        <f>+CQ158/CL158-1</f>
        <v>3.5183795321855005E-2</v>
      </c>
      <c r="CR176" s="830">
        <f t="shared" ref="CR176:CU177" si="445">CR158/CM158-1</f>
        <v>6.7479065446063302E-4</v>
      </c>
      <c r="CS176" s="127">
        <f t="shared" si="445"/>
        <v>-7.8658856175573E-3</v>
      </c>
      <c r="CT176" s="127">
        <f t="shared" si="445"/>
        <v>2.6040875846797373E-2</v>
      </c>
      <c r="CU176" s="127">
        <f t="shared" si="445"/>
        <v>4.2179734984163053E-2</v>
      </c>
      <c r="CV176" s="615">
        <f>+CV158/CQ158-1</f>
        <v>1.4420425356900246E-2</v>
      </c>
      <c r="CW176" s="124">
        <f t="shared" ref="CW176:DQ177" si="446">CW158/CR158-1</f>
        <v>3.2184490057418191E-2</v>
      </c>
      <c r="CX176" s="124">
        <f t="shared" si="446"/>
        <v>2.164514219879754E-2</v>
      </c>
      <c r="CY176" s="124">
        <f t="shared" si="446"/>
        <v>2.2087912136697918E-2</v>
      </c>
      <c r="CZ176" s="124">
        <f t="shared" si="446"/>
        <v>9.2408156559951049E-3</v>
      </c>
      <c r="DA176" s="615">
        <f>+DA158/CV158-1</f>
        <v>2.1223471594866705E-2</v>
      </c>
      <c r="DB176" s="124">
        <f t="shared" si="446"/>
        <v>3.3679348675306198E-3</v>
      </c>
      <c r="DC176" s="124">
        <f t="shared" si="446"/>
        <v>1.1118802702582364E-2</v>
      </c>
      <c r="DD176" s="124">
        <f t="shared" si="446"/>
        <v>2.5075447865827716E-3</v>
      </c>
      <c r="DE176" s="124">
        <f t="shared" si="446"/>
        <v>3.4495561956144671E-2</v>
      </c>
      <c r="DF176" s="615">
        <f>+DF158/DA158-1</f>
        <v>1.2699030095519204E-2</v>
      </c>
      <c r="DG176" s="124">
        <f t="shared" si="446"/>
        <v>-8.4732917555462306E-3</v>
      </c>
      <c r="DH176" s="124">
        <f t="shared" si="446"/>
        <v>4.2588582971399003E-3</v>
      </c>
      <c r="DI176" s="124">
        <f t="shared" si="446"/>
        <v>-2.5656856692047869E-3</v>
      </c>
      <c r="DJ176" s="124">
        <f t="shared" si="446"/>
        <v>-4.8870361916305005E-2</v>
      </c>
      <c r="DK176" s="615">
        <f>+DK158/DF158-1</f>
        <v>-1.3419187453317938E-2</v>
      </c>
      <c r="DL176" s="124">
        <f t="shared" si="446"/>
        <v>-8.2786487947649201E-3</v>
      </c>
      <c r="DM176" s="124">
        <f t="shared" si="446"/>
        <v>-2.8878405315614586E-2</v>
      </c>
      <c r="DN176" s="124">
        <f t="shared" si="446"/>
        <v>-1.8154702004398726E-2</v>
      </c>
      <c r="DO176" s="124">
        <f t="shared" si="446"/>
        <v>-3.258784402564241E-2</v>
      </c>
      <c r="DP176" s="615">
        <f>+DP158/DK158-1</f>
        <v>-2.2182287049721805E-2</v>
      </c>
      <c r="DQ176" s="124">
        <f t="shared" si="446"/>
        <v>-3.5803291261666037E-2</v>
      </c>
      <c r="DR176" s="124">
        <f>+DR174+DR171</f>
        <v>4.0084226342387293E-2</v>
      </c>
      <c r="DS176" s="124">
        <f>+DS174+DS171</f>
        <v>9.0969464159871075E-2</v>
      </c>
      <c r="DT176" s="124">
        <f>+DT174+DT171</f>
        <v>0.10276021643630175</v>
      </c>
      <c r="DU176" s="615">
        <f>+DU158/DP158-1</f>
        <v>4.9471271293883845E-2</v>
      </c>
      <c r="DV176" s="124">
        <f>+DV174+DV171</f>
        <v>-1.380893025539736E-2</v>
      </c>
      <c r="DW176" s="124">
        <f>+DW174+DW171</f>
        <v>-1.4784303040452931E-2</v>
      </c>
      <c r="DX176" s="124">
        <f>+DX174+DX171</f>
        <v>-1.65539679715817E-2</v>
      </c>
      <c r="DY176" s="124">
        <f>+DY174+DY171</f>
        <v>-1.883296327683737E-2</v>
      </c>
      <c r="DZ176" s="615">
        <f>+DZ158/DU158-1</f>
        <v>-1.6028907846883489E-2</v>
      </c>
      <c r="EA176" s="124">
        <f>+EA174+EA171</f>
        <v>-1.7694808596762351E-2</v>
      </c>
      <c r="EB176" s="124">
        <f>+EB174+EB171</f>
        <v>-1.483262933379084E-2</v>
      </c>
      <c r="EC176" s="124">
        <f>+EC174+EC171</f>
        <v>-1.3310084834132169E-2</v>
      </c>
      <c r="ED176" s="124">
        <f>+ED174+ED171</f>
        <v>-1.178443702562371E-2</v>
      </c>
      <c r="EE176" s="615">
        <f>+EE158/DZ158-1</f>
        <v>-1.4316620919071155E-2</v>
      </c>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row>
    <row r="177" spans="2:238" s="64" customFormat="1" ht="12.75" customHeight="1">
      <c r="B177" s="569" t="s">
        <v>301</v>
      </c>
      <c r="C177" s="268"/>
      <c r="D177" s="124"/>
      <c r="E177" s="124"/>
      <c r="F177" s="124"/>
      <c r="G177" s="124">
        <f t="shared" si="429"/>
        <v>9.4405729956508422E-2</v>
      </c>
      <c r="H177" s="124">
        <f t="shared" si="429"/>
        <v>9.9013349110038451E-2</v>
      </c>
      <c r="I177" s="124">
        <f t="shared" si="429"/>
        <v>6.6500549435037692E-2</v>
      </c>
      <c r="J177" s="124">
        <f t="shared" si="429"/>
        <v>7.6186063639959167E-2</v>
      </c>
      <c r="K177" s="123"/>
      <c r="L177" s="124"/>
      <c r="M177" s="124"/>
      <c r="N177" s="125"/>
      <c r="O177" s="124">
        <f>+O159/J159-1</f>
        <v>9.703937834823706E-2</v>
      </c>
      <c r="P177" s="123"/>
      <c r="Q177" s="124"/>
      <c r="R177" s="124"/>
      <c r="S177" s="125"/>
      <c r="T177" s="124">
        <f>+T159/O159-1</f>
        <v>0.1394615464607396</v>
      </c>
      <c r="U177" s="123">
        <f t="shared" si="430"/>
        <v>8.7357071013703269E-2</v>
      </c>
      <c r="V177" s="124">
        <f t="shared" si="430"/>
        <v>0.11830648542624944</v>
      </c>
      <c r="W177" s="124">
        <f t="shared" si="430"/>
        <v>-4.9399960145140032E-2</v>
      </c>
      <c r="X177" s="125">
        <f t="shared" si="430"/>
        <v>0.1374461146846</v>
      </c>
      <c r="Y177" s="124">
        <f>+Y159/T159-1</f>
        <v>7.0067368159651977E-2</v>
      </c>
      <c r="Z177" s="123">
        <f t="shared" si="431"/>
        <v>8.1685980807563396E-2</v>
      </c>
      <c r="AA177" s="124">
        <f t="shared" si="431"/>
        <v>4.7921240367341911E-2</v>
      </c>
      <c r="AB177" s="124">
        <f t="shared" si="431"/>
        <v>0.10168999827479186</v>
      </c>
      <c r="AC177" s="125">
        <f t="shared" si="431"/>
        <v>8.9206119803802997E-2</v>
      </c>
      <c r="AD177" s="124">
        <f>+AD159/Y159-1</f>
        <v>7.8505436143693874E-2</v>
      </c>
      <c r="AE177" s="123">
        <f t="shared" si="432"/>
        <v>0.13247205445017185</v>
      </c>
      <c r="AF177" s="124">
        <f t="shared" si="432"/>
        <v>0.12806082569459232</v>
      </c>
      <c r="AG177" s="124">
        <f t="shared" si="432"/>
        <v>0.10301239654486993</v>
      </c>
      <c r="AH177" s="125">
        <f t="shared" si="432"/>
        <v>0.10479120879120929</v>
      </c>
      <c r="AI177" s="124">
        <f>+AI159/AD159-1</f>
        <v>0.11715650864243177</v>
      </c>
      <c r="AJ177" s="123">
        <f t="shared" si="433"/>
        <v>0.10671046318632227</v>
      </c>
      <c r="AK177" s="124">
        <f t="shared" si="433"/>
        <v>8.9396414842791261E-2</v>
      </c>
      <c r="AL177" s="124">
        <f t="shared" si="433"/>
        <v>0.11294812635510887</v>
      </c>
      <c r="AM177" s="125">
        <f t="shared" si="433"/>
        <v>0.11295630857201888</v>
      </c>
      <c r="AN177" s="124">
        <f>+AN159/AI159-1</f>
        <v>0.10478932282495523</v>
      </c>
      <c r="AO177" s="123">
        <f t="shared" si="434"/>
        <v>0.10512997504227717</v>
      </c>
      <c r="AP177" s="124">
        <f t="shared" si="434"/>
        <v>0.10402794403078475</v>
      </c>
      <c r="AQ177" s="124">
        <f t="shared" si="434"/>
        <v>0.11193092852754405</v>
      </c>
      <c r="AR177" s="125">
        <f t="shared" si="434"/>
        <v>7.1159672203220392E-2</v>
      </c>
      <c r="AS177" s="124">
        <f>+AS159/AN159-1</f>
        <v>9.822217128654942E-2</v>
      </c>
      <c r="AT177" s="123">
        <f t="shared" si="435"/>
        <v>4.742394682683182E-2</v>
      </c>
      <c r="AU177" s="124">
        <f t="shared" si="435"/>
        <v>5.5184980885063517E-2</v>
      </c>
      <c r="AV177" s="124">
        <f t="shared" si="435"/>
        <v>7.3500518327644704E-2</v>
      </c>
      <c r="AW177" s="125">
        <f t="shared" si="435"/>
        <v>9.8441676303116399E-2</v>
      </c>
      <c r="AX177" s="124">
        <f>+AX159/AS159-1</f>
        <v>6.8250201435384739E-2</v>
      </c>
      <c r="AY177" s="123">
        <f t="shared" si="436"/>
        <v>0.13670078532041008</v>
      </c>
      <c r="AZ177" s="124">
        <f t="shared" si="436"/>
        <v>0.16415409507667045</v>
      </c>
      <c r="BA177" s="124">
        <f t="shared" si="436"/>
        <v>0.11791546589817448</v>
      </c>
      <c r="BB177" s="125">
        <f t="shared" si="436"/>
        <v>0.10834244819984074</v>
      </c>
      <c r="BC177" s="124">
        <f>+BC159/AX159-1</f>
        <v>0.13276054681537608</v>
      </c>
      <c r="BD177" s="123">
        <f t="shared" si="437"/>
        <v>0.10246798204038376</v>
      </c>
      <c r="BE177" s="124">
        <f t="shared" si="437"/>
        <v>6.2895223828646207E-2</v>
      </c>
      <c r="BF177" s="124">
        <f t="shared" si="437"/>
        <v>0.10044706360495859</v>
      </c>
      <c r="BG177" s="125">
        <f t="shared" si="437"/>
        <v>0.13248642880759842</v>
      </c>
      <c r="BH177" s="124">
        <f>+BH159/BC159-1</f>
        <v>9.7741030427840103E-2</v>
      </c>
      <c r="BI177" s="123">
        <f t="shared" si="438"/>
        <v>9.954160439271531E-2</v>
      </c>
      <c r="BJ177" s="124">
        <f t="shared" si="438"/>
        <v>7.6058600272392418E-2</v>
      </c>
      <c r="BK177" s="124">
        <f t="shared" si="438"/>
        <v>0.10199026039976733</v>
      </c>
      <c r="BL177" s="125">
        <f t="shared" si="438"/>
        <v>0.12536825525512629</v>
      </c>
      <c r="BM177" s="124">
        <f>+BM159/BH159-1</f>
        <v>9.9965710225269344E-2</v>
      </c>
      <c r="BN177" s="123">
        <f t="shared" si="439"/>
        <v>0.13417587771257278</v>
      </c>
      <c r="BO177" s="124">
        <f t="shared" si="439"/>
        <v>6.9757784983183413E-2</v>
      </c>
      <c r="BP177" s="124">
        <f t="shared" si="439"/>
        <v>0.11777954720919181</v>
      </c>
      <c r="BQ177" s="125">
        <f t="shared" si="439"/>
        <v>0.10441117200701044</v>
      </c>
      <c r="BR177" s="124">
        <f>+BR159/BM159-1</f>
        <v>0.10501547075153495</v>
      </c>
      <c r="BS177" s="123">
        <f t="shared" si="440"/>
        <v>0.10173075633164896</v>
      </c>
      <c r="BT177" s="124">
        <f t="shared" si="440"/>
        <v>0.16694639987228532</v>
      </c>
      <c r="BU177" s="124">
        <f t="shared" si="440"/>
        <v>0.10945630376761173</v>
      </c>
      <c r="BV177" s="125">
        <f t="shared" si="440"/>
        <v>8.1677642298147779E-2</v>
      </c>
      <c r="BW177" s="124">
        <f>+BW159/BR159-1</f>
        <v>0.11584579450725396</v>
      </c>
      <c r="BX177" s="123">
        <f t="shared" si="441"/>
        <v>6.8662554297345135E-2</v>
      </c>
      <c r="BY177" s="124">
        <f t="shared" si="441"/>
        <v>6.4495941896813846E-2</v>
      </c>
      <c r="BZ177" s="124">
        <f t="shared" si="441"/>
        <v>7.6407659499964753E-2</v>
      </c>
      <c r="CA177" s="125">
        <f t="shared" si="441"/>
        <v>3.8559492798863726E-2</v>
      </c>
      <c r="CB177" s="124">
        <f>+CB159/BW159-1</f>
        <v>6.2090858817307248E-2</v>
      </c>
      <c r="CC177" s="123">
        <f t="shared" si="442"/>
        <v>8.8361622832045628E-2</v>
      </c>
      <c r="CD177" s="124">
        <f t="shared" si="442"/>
        <v>2.2717303039002656E-2</v>
      </c>
      <c r="CE177" s="124">
        <f t="shared" si="442"/>
        <v>6.7180393957218421E-2</v>
      </c>
      <c r="CF177" s="124">
        <f t="shared" si="442"/>
        <v>9.3558508166041054E-2</v>
      </c>
      <c r="CG177" s="615">
        <f>+CG159/CB159-1</f>
        <v>6.6061534513087272E-2</v>
      </c>
      <c r="CH177" s="124">
        <f t="shared" si="443"/>
        <v>7.243060607857621E-2</v>
      </c>
      <c r="CI177" s="124">
        <f t="shared" si="443"/>
        <v>0.10996050995239326</v>
      </c>
      <c r="CJ177" s="124">
        <f t="shared" si="443"/>
        <v>7.7404856513031639E-2</v>
      </c>
      <c r="CK177" s="124">
        <f t="shared" si="443"/>
        <v>8.0642901470100004E-2</v>
      </c>
      <c r="CL177" s="615">
        <f>+CL159/CG159-1</f>
        <v>8.5674311644169165E-2</v>
      </c>
      <c r="CM177" s="124">
        <f t="shared" si="444"/>
        <v>5.6058114035087758E-2</v>
      </c>
      <c r="CN177" s="124">
        <f t="shared" si="444"/>
        <v>5.6569112054369652E-2</v>
      </c>
      <c r="CO177" s="124">
        <f t="shared" si="444"/>
        <v>2.721883671458647E-2</v>
      </c>
      <c r="CP177" s="124">
        <f t="shared" si="444"/>
        <v>-3.2332880029561917E-4</v>
      </c>
      <c r="CQ177" s="615">
        <f>+CQ159/CL159-1</f>
        <v>3.5183795321855005E-2</v>
      </c>
      <c r="CR177" s="830">
        <f t="shared" si="445"/>
        <v>6.7479065446063302E-4</v>
      </c>
      <c r="CS177" s="127">
        <f t="shared" si="445"/>
        <v>-7.8658856175573E-3</v>
      </c>
      <c r="CT177" s="127">
        <f t="shared" si="445"/>
        <v>2.6040875846797373E-2</v>
      </c>
      <c r="CU177" s="127">
        <f t="shared" si="445"/>
        <v>4.2179734984163053E-2</v>
      </c>
      <c r="CV177" s="615">
        <f>+CV159/CQ159-1</f>
        <v>1.4420425356900246E-2</v>
      </c>
      <c r="CW177" s="830">
        <f t="shared" si="446"/>
        <v>3.2184490057418191E-2</v>
      </c>
      <c r="CX177" s="127">
        <f t="shared" si="446"/>
        <v>2.164514219879754E-2</v>
      </c>
      <c r="CY177" s="127">
        <f t="shared" si="446"/>
        <v>2.2087912136697918E-2</v>
      </c>
      <c r="CZ177" s="124">
        <f t="shared" si="446"/>
        <v>9.2408156559951049E-3</v>
      </c>
      <c r="DA177" s="615">
        <f>+DA159/CV159-1</f>
        <v>2.1223471594866705E-2</v>
      </c>
      <c r="DB177" s="830">
        <f t="shared" si="446"/>
        <v>3.3679348675306198E-3</v>
      </c>
      <c r="DC177" s="830">
        <f t="shared" si="446"/>
        <v>1.1118802702582364E-2</v>
      </c>
      <c r="DD177" s="830">
        <f t="shared" si="446"/>
        <v>2.5075447865827716E-3</v>
      </c>
      <c r="DE177" s="830">
        <f t="shared" si="446"/>
        <v>3.4495561956144671E-2</v>
      </c>
      <c r="DF177" s="615">
        <f>+DF159/DA159-1</f>
        <v>1.2699030095519204E-2</v>
      </c>
      <c r="DG177" s="830">
        <f t="shared" si="446"/>
        <v>-8.4732917555462306E-3</v>
      </c>
      <c r="DH177" s="830">
        <f t="shared" si="446"/>
        <v>4.2588582971399003E-3</v>
      </c>
      <c r="DI177" s="830">
        <f t="shared" si="446"/>
        <v>-2.5656856692047869E-3</v>
      </c>
      <c r="DJ177" s="830">
        <f t="shared" si="446"/>
        <v>-4.8870361916305005E-2</v>
      </c>
      <c r="DK177" s="615">
        <f>+DK159/DF159-1</f>
        <v>-1.3419187453317938E-2</v>
      </c>
      <c r="DL177" s="830">
        <f t="shared" si="446"/>
        <v>-8.2786487947649201E-3</v>
      </c>
      <c r="DM177" s="830">
        <f t="shared" si="446"/>
        <v>-2.8878405315614586E-2</v>
      </c>
      <c r="DN177" s="830">
        <f t="shared" si="446"/>
        <v>-1.8154702004398726E-2</v>
      </c>
      <c r="DO177" s="830">
        <f t="shared" si="446"/>
        <v>-3.258784402564241E-2</v>
      </c>
      <c r="DP177" s="615">
        <f>+DP159/DK159-1</f>
        <v>-2.2182287049721805E-2</v>
      </c>
      <c r="DQ177" s="830">
        <f t="shared" si="446"/>
        <v>-3.5803291261666037E-2</v>
      </c>
      <c r="DR177" s="124">
        <f>DR159/DM159-1</f>
        <v>4.0084226342387286E-2</v>
      </c>
      <c r="DS177" s="124">
        <f>DS159/DN159-1</f>
        <v>9.0969464159871061E-2</v>
      </c>
      <c r="DT177" s="124">
        <f>DT159/DO159-1</f>
        <v>0.10276021643630173</v>
      </c>
      <c r="DU177" s="615">
        <f>+DU159/DP159-1</f>
        <v>4.9471271293883845E-2</v>
      </c>
      <c r="DV177" s="124">
        <f>DV159/DQ159-1</f>
        <v>-1.38089302553972E-2</v>
      </c>
      <c r="DW177" s="124">
        <f>DW159/DR159-1</f>
        <v>-1.4784303040452973E-2</v>
      </c>
      <c r="DX177" s="124">
        <f>DX159/DS159-1</f>
        <v>-1.6553967971581707E-2</v>
      </c>
      <c r="DY177" s="124">
        <f>DY159/DT159-1</f>
        <v>-1.8832963276837367E-2</v>
      </c>
      <c r="DZ177" s="615">
        <f>+DZ159/DU159-1</f>
        <v>-1.6028907846883489E-2</v>
      </c>
      <c r="EA177" s="124">
        <f>EA159/DV159-1</f>
        <v>-1.7694808596762313E-2</v>
      </c>
      <c r="EB177" s="124">
        <f>EB159/DW159-1</f>
        <v>-1.4832629333790814E-2</v>
      </c>
      <c r="EC177" s="124">
        <f>EC159/DX159-1</f>
        <v>-1.3310084834132208E-2</v>
      </c>
      <c r="ED177" s="124">
        <f>ED159/DY159-1</f>
        <v>-1.1784437025623706E-2</v>
      </c>
      <c r="EE177" s="615">
        <f>+EE159/DZ159-1</f>
        <v>-1.4316620919071155E-2</v>
      </c>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row>
    <row r="178" spans="2:238" s="150" customFormat="1">
      <c r="B178" s="547"/>
      <c r="C178" s="130"/>
      <c r="D178" s="130"/>
      <c r="E178" s="131"/>
      <c r="F178" s="131"/>
      <c r="G178" s="131"/>
      <c r="H178" s="131"/>
      <c r="I178" s="131"/>
      <c r="J178" s="131"/>
      <c r="K178" s="126"/>
      <c r="L178" s="127"/>
      <c r="M178" s="127"/>
      <c r="N178" s="132"/>
      <c r="O178" s="131"/>
      <c r="P178" s="126"/>
      <c r="Q178" s="127"/>
      <c r="R178" s="127"/>
      <c r="S178" s="132"/>
      <c r="T178" s="131"/>
      <c r="U178" s="126"/>
      <c r="V178" s="127"/>
      <c r="W178" s="127"/>
      <c r="X178" s="132"/>
      <c r="Y178" s="131"/>
      <c r="Z178" s="126"/>
      <c r="AA178" s="127"/>
      <c r="AB178" s="127"/>
      <c r="AC178" s="132"/>
      <c r="AD178" s="131"/>
      <c r="AE178" s="126"/>
      <c r="AF178" s="127"/>
      <c r="AG178" s="127"/>
      <c r="AH178" s="132"/>
      <c r="AI178" s="131"/>
      <c r="AJ178" s="126"/>
      <c r="AK178" s="127"/>
      <c r="AL178" s="127"/>
      <c r="AM178" s="132"/>
      <c r="AN178" s="131"/>
      <c r="AO178" s="126"/>
      <c r="AP178" s="127"/>
      <c r="AQ178" s="127"/>
      <c r="AR178" s="132"/>
      <c r="AS178" s="131"/>
      <c r="AT178" s="126"/>
      <c r="AU178" s="127"/>
      <c r="AV178" s="127"/>
      <c r="AW178" s="132"/>
      <c r="AX178" s="131"/>
      <c r="AY178" s="126"/>
      <c r="AZ178" s="127"/>
      <c r="BA178" s="127"/>
      <c r="BB178" s="132"/>
      <c r="BC178" s="131"/>
      <c r="BD178" s="126"/>
      <c r="BE178" s="127"/>
      <c r="BF178" s="127"/>
      <c r="BG178" s="132"/>
      <c r="BH178" s="131"/>
      <c r="BI178" s="126"/>
      <c r="BJ178" s="127"/>
      <c r="BK178" s="127"/>
      <c r="BL178" s="132"/>
      <c r="BM178" s="131"/>
      <c r="BN178" s="126"/>
      <c r="BO178" s="127"/>
      <c r="BP178" s="127"/>
      <c r="BQ178" s="132"/>
      <c r="BR178" s="131"/>
      <c r="BS178" s="126"/>
      <c r="BT178" s="127"/>
      <c r="BU178" s="127"/>
      <c r="BV178" s="132"/>
      <c r="BW178" s="131"/>
      <c r="BX178" s="126"/>
      <c r="BY178" s="127"/>
      <c r="BZ178" s="127"/>
      <c r="CA178" s="132"/>
      <c r="CB178" s="131"/>
      <c r="CC178" s="126"/>
      <c r="CD178" s="127"/>
      <c r="CE178" s="127"/>
      <c r="CF178" s="127"/>
      <c r="CG178" s="613"/>
      <c r="CH178" s="127"/>
      <c r="CI178" s="127"/>
      <c r="CJ178" s="127"/>
      <c r="CK178" s="129"/>
      <c r="CL178" s="613"/>
      <c r="CM178" s="127"/>
      <c r="CN178" s="127"/>
      <c r="CO178" s="127"/>
      <c r="CP178" s="129"/>
      <c r="CQ178" s="831"/>
      <c r="CR178" s="127"/>
      <c r="CS178" s="127"/>
      <c r="CT178" s="127"/>
      <c r="CU178" s="129"/>
      <c r="CV178" s="831"/>
      <c r="CW178" s="127"/>
      <c r="CX178" s="127"/>
      <c r="CY178" s="127"/>
      <c r="CZ178" s="129"/>
      <c r="DA178" s="831"/>
      <c r="DB178" s="127"/>
      <c r="DC178" s="127"/>
      <c r="DD178" s="127"/>
      <c r="DE178" s="127"/>
      <c r="DF178" s="831"/>
      <c r="DG178" s="127"/>
      <c r="DH178" s="127"/>
      <c r="DI178" s="127"/>
      <c r="DJ178" s="127"/>
      <c r="DK178" s="1371"/>
      <c r="DL178" s="127"/>
      <c r="DM178" s="127"/>
      <c r="DN178" s="127"/>
      <c r="DO178" s="127"/>
      <c r="DP178" s="1371"/>
      <c r="DQ178" s="127"/>
      <c r="DR178" s="129"/>
      <c r="DS178" s="129"/>
      <c r="DT178" s="129"/>
      <c r="DU178" s="1371"/>
      <c r="DV178" s="129"/>
      <c r="DW178" s="129"/>
      <c r="DX178" s="129"/>
      <c r="DY178" s="129"/>
      <c r="DZ178" s="1371"/>
      <c r="EA178" s="129"/>
      <c r="EB178" s="129"/>
      <c r="EC178" s="129"/>
      <c r="ED178" s="129"/>
      <c r="EE178" s="1371"/>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row>
    <row r="179" spans="2:238" s="93" customFormat="1" ht="12.75" hidden="1" customHeight="1" outlineLevel="1">
      <c r="B179" s="552" t="s">
        <v>31</v>
      </c>
      <c r="C179" s="151"/>
      <c r="D179" s="151"/>
      <c r="E179" s="152"/>
      <c r="F179" s="152"/>
      <c r="G179" s="152"/>
      <c r="H179" s="152"/>
      <c r="I179" s="152"/>
      <c r="J179" s="152"/>
      <c r="K179" s="153"/>
      <c r="L179" s="154"/>
      <c r="M179" s="154"/>
      <c r="N179" s="155"/>
      <c r="O179" s="152"/>
      <c r="P179" s="153"/>
      <c r="Q179" s="154"/>
      <c r="R179" s="154"/>
      <c r="S179" s="155"/>
      <c r="T179" s="152"/>
      <c r="U179" s="153"/>
      <c r="V179" s="154"/>
      <c r="W179" s="154"/>
      <c r="X179" s="155"/>
      <c r="Y179" s="152"/>
      <c r="Z179" s="153"/>
      <c r="AA179" s="154"/>
      <c r="AB179" s="154"/>
      <c r="AC179" s="155"/>
      <c r="AD179" s="152"/>
      <c r="AE179" s="153"/>
      <c r="AF179" s="154"/>
      <c r="AG179" s="154"/>
      <c r="AH179" s="155"/>
      <c r="AI179" s="152"/>
      <c r="AJ179" s="153"/>
      <c r="AK179" s="154"/>
      <c r="AL179" s="154"/>
      <c r="AM179" s="155"/>
      <c r="AN179" s="152"/>
      <c r="AO179" s="153"/>
      <c r="AP179" s="154"/>
      <c r="AQ179" s="154"/>
      <c r="AR179" s="155"/>
      <c r="AS179" s="152"/>
      <c r="AT179" s="153"/>
      <c r="AU179" s="154"/>
      <c r="AV179" s="154"/>
      <c r="AW179" s="155"/>
      <c r="AX179" s="152"/>
      <c r="AY179" s="153"/>
      <c r="AZ179" s="154"/>
      <c r="BA179" s="154"/>
      <c r="BB179" s="155"/>
      <c r="BC179" s="152"/>
      <c r="BD179" s="153"/>
      <c r="BE179" s="154"/>
      <c r="BF179" s="154"/>
      <c r="BG179" s="155"/>
      <c r="BH179" s="152"/>
      <c r="BI179" s="153"/>
      <c r="BJ179" s="154"/>
      <c r="BK179" s="154"/>
      <c r="BL179" s="155"/>
      <c r="BM179" s="152"/>
      <c r="BN179" s="153"/>
      <c r="BO179" s="154"/>
      <c r="BP179" s="154"/>
      <c r="BQ179" s="155"/>
      <c r="BR179" s="152"/>
      <c r="BS179" s="153"/>
      <c r="BT179" s="154"/>
      <c r="BU179" s="154"/>
      <c r="BV179" s="155"/>
      <c r="BW179" s="152"/>
      <c r="BX179" s="153"/>
      <c r="BY179" s="154"/>
      <c r="BZ179" s="154"/>
      <c r="CA179" s="155"/>
      <c r="CB179" s="152"/>
      <c r="CC179" s="153"/>
      <c r="CD179" s="154"/>
      <c r="CE179" s="154"/>
      <c r="CF179" s="154"/>
      <c r="CG179" s="804"/>
      <c r="CH179" s="154"/>
      <c r="CI179" s="154"/>
      <c r="CJ179" s="154"/>
      <c r="CK179" s="158"/>
      <c r="CL179" s="804"/>
      <c r="CM179" s="154"/>
      <c r="CN179" s="154"/>
      <c r="CO179" s="154"/>
      <c r="CP179" s="158"/>
      <c r="CQ179" s="834"/>
      <c r="CR179" s="154"/>
      <c r="CS179" s="154"/>
      <c r="CT179" s="154"/>
      <c r="CU179" s="158"/>
      <c r="CV179" s="834"/>
      <c r="CW179" s="154"/>
      <c r="CX179" s="154"/>
      <c r="CY179" s="154"/>
      <c r="CZ179" s="158"/>
      <c r="DA179" s="834"/>
      <c r="DB179" s="154"/>
      <c r="DC179" s="154"/>
      <c r="DD179" s="154"/>
      <c r="DE179" s="154"/>
      <c r="DF179" s="834"/>
      <c r="DG179" s="154"/>
      <c r="DH179" s="154"/>
      <c r="DI179" s="154"/>
      <c r="DJ179" s="154"/>
      <c r="DK179" s="1396"/>
      <c r="DL179" s="154"/>
      <c r="DM179" s="154"/>
      <c r="DN179" s="154"/>
      <c r="DO179" s="154"/>
      <c r="DP179" s="1396"/>
      <c r="DQ179" s="154"/>
      <c r="DR179" s="158"/>
      <c r="DS179" s="158"/>
      <c r="DT179" s="158"/>
      <c r="DU179" s="1396"/>
      <c r="DV179" s="158"/>
      <c r="DW179" s="158"/>
      <c r="DX179" s="158"/>
      <c r="DY179" s="158"/>
      <c r="DZ179" s="1396"/>
      <c r="EA179" s="158"/>
      <c r="EB179" s="158"/>
      <c r="EC179" s="158"/>
      <c r="ED179" s="158"/>
      <c r="EE179" s="1396"/>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row>
    <row r="180" spans="2:238" s="150" customFormat="1" ht="12.75" hidden="1" customHeight="1" outlineLevel="1">
      <c r="B180" s="547"/>
      <c r="C180" s="130"/>
      <c r="D180" s="130"/>
      <c r="E180" s="131"/>
      <c r="F180" s="131"/>
      <c r="G180" s="131"/>
      <c r="H180" s="131"/>
      <c r="I180" s="131"/>
      <c r="J180" s="131"/>
      <c r="K180" s="126"/>
      <c r="L180" s="127"/>
      <c r="M180" s="127"/>
      <c r="N180" s="132"/>
      <c r="O180" s="131"/>
      <c r="P180" s="126"/>
      <c r="Q180" s="127"/>
      <c r="R180" s="127"/>
      <c r="S180" s="132"/>
      <c r="T180" s="131"/>
      <c r="U180" s="126"/>
      <c r="V180" s="127"/>
      <c r="W180" s="127"/>
      <c r="X180" s="132"/>
      <c r="Y180" s="131"/>
      <c r="Z180" s="126"/>
      <c r="AA180" s="127"/>
      <c r="AB180" s="127"/>
      <c r="AC180" s="132"/>
      <c r="AD180" s="131"/>
      <c r="AE180" s="126"/>
      <c r="AF180" s="127"/>
      <c r="AG180" s="127"/>
      <c r="AH180" s="132"/>
      <c r="AI180" s="131"/>
      <c r="AJ180" s="126"/>
      <c r="AK180" s="127"/>
      <c r="AL180" s="127"/>
      <c r="AM180" s="132"/>
      <c r="AN180" s="131"/>
      <c r="AO180" s="126"/>
      <c r="AP180" s="127"/>
      <c r="AQ180" s="127"/>
      <c r="AR180" s="132"/>
      <c r="AS180" s="131"/>
      <c r="AT180" s="126"/>
      <c r="AU180" s="127"/>
      <c r="AV180" s="127"/>
      <c r="AW180" s="132"/>
      <c r="AX180" s="131"/>
      <c r="AY180" s="126"/>
      <c r="AZ180" s="127"/>
      <c r="BA180" s="127"/>
      <c r="BB180" s="132"/>
      <c r="BC180" s="131"/>
      <c r="BD180" s="126"/>
      <c r="BE180" s="127"/>
      <c r="BF180" s="127"/>
      <c r="BG180" s="132"/>
      <c r="BH180" s="131"/>
      <c r="BI180" s="126"/>
      <c r="BJ180" s="127"/>
      <c r="BK180" s="127"/>
      <c r="BL180" s="132"/>
      <c r="BM180" s="131"/>
      <c r="BN180" s="126"/>
      <c r="BO180" s="127"/>
      <c r="BP180" s="127"/>
      <c r="BQ180" s="132"/>
      <c r="BR180" s="131"/>
      <c r="BS180" s="126"/>
      <c r="BT180" s="127"/>
      <c r="BU180" s="127"/>
      <c r="BV180" s="132"/>
      <c r="BW180" s="131"/>
      <c r="BX180" s="126"/>
      <c r="BY180" s="127"/>
      <c r="BZ180" s="127"/>
      <c r="CA180" s="132"/>
      <c r="CB180" s="131"/>
      <c r="CC180" s="126"/>
      <c r="CD180" s="127"/>
      <c r="CE180" s="127"/>
      <c r="CF180" s="127"/>
      <c r="CG180" s="613"/>
      <c r="CH180" s="127"/>
      <c r="CI180" s="127"/>
      <c r="CJ180" s="127"/>
      <c r="CK180" s="129"/>
      <c r="CL180" s="613"/>
      <c r="CM180" s="127"/>
      <c r="CN180" s="127"/>
      <c r="CO180" s="127"/>
      <c r="CP180" s="129"/>
      <c r="CQ180" s="831"/>
      <c r="CR180" s="127"/>
      <c r="CS180" s="127"/>
      <c r="CT180" s="127"/>
      <c r="CU180" s="129"/>
      <c r="CV180" s="831"/>
      <c r="CW180" s="127"/>
      <c r="CX180" s="127"/>
      <c r="CY180" s="127"/>
      <c r="CZ180" s="129"/>
      <c r="DA180" s="831"/>
      <c r="DB180" s="127"/>
      <c r="DC180" s="127"/>
      <c r="DD180" s="127"/>
      <c r="DE180" s="127"/>
      <c r="DF180" s="831"/>
      <c r="DG180" s="127"/>
      <c r="DH180" s="127"/>
      <c r="DI180" s="127"/>
      <c r="DJ180" s="127"/>
      <c r="DK180" s="1371"/>
      <c r="DL180" s="127"/>
      <c r="DM180" s="127"/>
      <c r="DN180" s="127"/>
      <c r="DO180" s="127"/>
      <c r="DP180" s="1371"/>
      <c r="DQ180" s="127"/>
      <c r="DR180" s="129"/>
      <c r="DS180" s="129"/>
      <c r="DT180" s="129"/>
      <c r="DU180" s="1371"/>
      <c r="DV180" s="129"/>
      <c r="DW180" s="129"/>
      <c r="DX180" s="129"/>
      <c r="DY180" s="129"/>
      <c r="DZ180" s="1371"/>
      <c r="EA180" s="129"/>
      <c r="EB180" s="129"/>
      <c r="EC180" s="129"/>
      <c r="ED180" s="129"/>
      <c r="EE180" s="1371"/>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row>
    <row r="181" spans="2:238" s="64" customFormat="1" ht="12.75" hidden="1" customHeight="1" outlineLevel="1">
      <c r="B181" s="1509" t="s">
        <v>600</v>
      </c>
      <c r="K181" s="191"/>
      <c r="L181" s="192"/>
      <c r="M181" s="192"/>
      <c r="N181" s="193"/>
      <c r="P181" s="191">
        <v>100.7</v>
      </c>
      <c r="Q181" s="192">
        <v>111.2</v>
      </c>
      <c r="R181" s="192">
        <v>120.5</v>
      </c>
      <c r="S181" s="193">
        <v>126.9</v>
      </c>
      <c r="T181" s="64">
        <f>SUM(P181:S181)</f>
        <v>459.29999999999995</v>
      </c>
      <c r="U181" s="191">
        <v>134.30000000000001</v>
      </c>
      <c r="V181" s="192">
        <v>148.5</v>
      </c>
      <c r="W181" s="192">
        <v>155.4</v>
      </c>
      <c r="X181" s="193">
        <v>153.9</v>
      </c>
      <c r="Y181" s="64">
        <f>SUM(U181:X181)</f>
        <v>592.1</v>
      </c>
      <c r="Z181" s="191">
        <v>154.69999999999999</v>
      </c>
      <c r="AA181" s="192">
        <v>154</v>
      </c>
      <c r="AB181" s="192">
        <v>157</v>
      </c>
      <c r="AC181" s="193">
        <v>162.80000000000001</v>
      </c>
      <c r="AD181" s="64">
        <f>SUM(Z181:AC181)</f>
        <v>628.5</v>
      </c>
      <c r="AE181" s="191">
        <v>192.8</v>
      </c>
      <c r="AF181" s="192">
        <v>207.9</v>
      </c>
      <c r="AG181" s="192">
        <v>228.7</v>
      </c>
      <c r="AH181" s="193">
        <v>230.5</v>
      </c>
      <c r="AI181" s="64">
        <f>SUM(AE181:AH181)</f>
        <v>859.90000000000009</v>
      </c>
      <c r="AJ181" s="191">
        <v>189.8</v>
      </c>
      <c r="AK181" s="192">
        <v>186.9</v>
      </c>
      <c r="AL181" s="192">
        <v>199.3</v>
      </c>
      <c r="AM181" s="193">
        <v>210.5</v>
      </c>
      <c r="AN181" s="64">
        <f>SUM(AJ181:AM181)</f>
        <v>786.5</v>
      </c>
      <c r="AO181" s="191">
        <v>212.6</v>
      </c>
      <c r="AP181" s="192">
        <v>236.63900000000001</v>
      </c>
      <c r="AQ181" s="192">
        <v>253.75</v>
      </c>
      <c r="AR181" s="193">
        <v>263.90199999999999</v>
      </c>
      <c r="AS181" s="164">
        <f>SUM(AO181:AR181)</f>
        <v>966.89100000000008</v>
      </c>
      <c r="AT181" s="191">
        <v>273.89999999999998</v>
      </c>
      <c r="AU181" s="192">
        <v>281.53699999999998</v>
      </c>
      <c r="AV181" s="192">
        <v>283</v>
      </c>
      <c r="AW181" s="193">
        <v>289.3</v>
      </c>
      <c r="AX181" s="164">
        <f>SUM(AT181:AW181)</f>
        <v>1127.7369999999999</v>
      </c>
      <c r="AY181" s="191">
        <v>322.7</v>
      </c>
      <c r="AZ181" s="192">
        <v>291.10000000000002</v>
      </c>
      <c r="BA181" s="192">
        <v>338.8</v>
      </c>
      <c r="BB181" s="193">
        <v>354.8</v>
      </c>
      <c r="BC181" s="164">
        <f>SUM(AY181:BB181)</f>
        <v>1307.3999999999999</v>
      </c>
      <c r="BD181" s="191">
        <v>393.3</v>
      </c>
      <c r="BE181" s="192">
        <v>318.2</v>
      </c>
      <c r="BF181" s="192">
        <v>433.6</v>
      </c>
      <c r="BG181" s="193">
        <v>321.60000000000002</v>
      </c>
      <c r="BH181" s="164">
        <f>SUM(BD181:BG181)</f>
        <v>1466.6999999999998</v>
      </c>
      <c r="BI181" s="191">
        <f>BD181*(1+0.1139)</f>
        <v>438.09687000000008</v>
      </c>
      <c r="BJ181" s="192">
        <f>BE181*(1+0.435)</f>
        <v>456.61700000000002</v>
      </c>
      <c r="BK181" s="192">
        <f>BF181*(1+0.1525)</f>
        <v>499.72400000000005</v>
      </c>
      <c r="BL181" s="193">
        <f>BG181*(1+0.18986)</f>
        <v>382.658976</v>
      </c>
      <c r="BM181" s="164">
        <f>SUM(BI181:BL181)</f>
        <v>1777.0968460000001</v>
      </c>
      <c r="BN181" s="191">
        <v>131.25</v>
      </c>
      <c r="BO181" s="192">
        <v>131.25</v>
      </c>
      <c r="BP181" s="192">
        <v>131.25</v>
      </c>
      <c r="BQ181" s="193">
        <v>131.25</v>
      </c>
      <c r="BR181" s="164">
        <f>SUM(BN181:BQ181)</f>
        <v>525</v>
      </c>
      <c r="BS181" s="191">
        <v>131.25</v>
      </c>
      <c r="BT181" s="192">
        <v>131.25</v>
      </c>
      <c r="BU181" s="192">
        <v>131.25</v>
      </c>
      <c r="BV181" s="193">
        <v>131.25</v>
      </c>
      <c r="BW181" s="64">
        <f>SUM(BS181:BV181)</f>
        <v>525</v>
      </c>
      <c r="BX181" s="191">
        <v>131.25</v>
      </c>
      <c r="BY181" s="192">
        <v>131.25</v>
      </c>
      <c r="BZ181" s="192">
        <v>131.25</v>
      </c>
      <c r="CA181" s="193">
        <v>131.25</v>
      </c>
      <c r="CB181" s="64">
        <f>SUM(BX181:CA181)</f>
        <v>525</v>
      </c>
      <c r="CC181" s="191">
        <v>131.25</v>
      </c>
      <c r="CD181" s="192">
        <v>131.25</v>
      </c>
      <c r="CE181" s="192">
        <v>131.25</v>
      </c>
      <c r="CF181" s="192">
        <v>131.25</v>
      </c>
      <c r="CG181" s="619">
        <f>SUM(CC181:CF181)</f>
        <v>525</v>
      </c>
      <c r="CH181" s="192">
        <v>131.25</v>
      </c>
      <c r="CI181" s="192">
        <v>131.25</v>
      </c>
      <c r="CJ181" s="192">
        <v>131.25</v>
      </c>
      <c r="CK181" s="192">
        <v>0</v>
      </c>
      <c r="CL181" s="619">
        <f>SUM(CH181:CK181)</f>
        <v>393.75</v>
      </c>
      <c r="CM181" s="192">
        <v>0</v>
      </c>
      <c r="CN181" s="192">
        <v>0</v>
      </c>
      <c r="CO181" s="192">
        <v>0</v>
      </c>
      <c r="CP181" s="192">
        <f>CK181*(1+0.15)</f>
        <v>0</v>
      </c>
      <c r="CQ181" s="619">
        <f>SUM(CM181:CP181)</f>
        <v>0</v>
      </c>
      <c r="CR181" s="192">
        <f>CM181*(1+0.15)</f>
        <v>0</v>
      </c>
      <c r="CS181" s="192">
        <f>CN181*(1+0.15)</f>
        <v>0</v>
      </c>
      <c r="CT181" s="192">
        <f>CO181*(1+0.15)</f>
        <v>0</v>
      </c>
      <c r="CU181" s="192">
        <f>CP181*(1+0.15)</f>
        <v>0</v>
      </c>
      <c r="CV181" s="619">
        <f>SUM(CR181:CU181)</f>
        <v>0</v>
      </c>
      <c r="CW181" s="192">
        <f>CR181*(1+0.15)</f>
        <v>0</v>
      </c>
      <c r="CX181" s="192">
        <f>CS181*(1+0.15)</f>
        <v>0</v>
      </c>
      <c r="CY181" s="192">
        <f>CT181*(1+0.15)</f>
        <v>0</v>
      </c>
      <c r="CZ181" s="192">
        <f>CU181*(1+0.15)</f>
        <v>0</v>
      </c>
      <c r="DA181" s="619">
        <v>0</v>
      </c>
      <c r="DB181" s="192">
        <f>CW181*(1+0.15)</f>
        <v>0</v>
      </c>
      <c r="DC181" s="192">
        <f>CX181*(1+0.15)</f>
        <v>0</v>
      </c>
      <c r="DD181" s="192">
        <f>CY181*(1+0.15)</f>
        <v>0</v>
      </c>
      <c r="DE181" s="192">
        <f>CZ181*(1+0.15)</f>
        <v>0</v>
      </c>
      <c r="DF181" s="619">
        <v>0</v>
      </c>
      <c r="DG181" s="192">
        <f>DB181*(1+0.15)</f>
        <v>0</v>
      </c>
      <c r="DH181" s="192">
        <f>DC181*(1+0.15)</f>
        <v>0</v>
      </c>
      <c r="DI181" s="192">
        <f>DD181*(1+0.15)</f>
        <v>0</v>
      </c>
      <c r="DJ181" s="192">
        <f>DE181*(1+0.15)</f>
        <v>0</v>
      </c>
      <c r="DK181" s="1377">
        <v>0</v>
      </c>
      <c r="DL181" s="192">
        <f>DG181*(1+0.15)</f>
        <v>0</v>
      </c>
      <c r="DM181" s="192">
        <f>DH181*(1+0.15)</f>
        <v>0</v>
      </c>
      <c r="DN181" s="192">
        <f>DI181*(1+0.15)</f>
        <v>0</v>
      </c>
      <c r="DO181" s="192">
        <f>DJ181*(1+0.15)</f>
        <v>0</v>
      </c>
      <c r="DP181" s="1377">
        <f>SUM(DL181:DO181)</f>
        <v>0</v>
      </c>
      <c r="DQ181" s="192">
        <f>DL181*(1+0.15)</f>
        <v>0</v>
      </c>
      <c r="DR181" s="192">
        <v>1495</v>
      </c>
      <c r="DS181" s="192">
        <f>1765-1000</f>
        <v>765</v>
      </c>
      <c r="DT181" s="192">
        <f>1765-1000</f>
        <v>765</v>
      </c>
      <c r="DU181" s="1377">
        <f>SUM(DQ181:DT181)</f>
        <v>3025</v>
      </c>
      <c r="DV181" s="192">
        <f>DQ181*(1+DV184)+750</f>
        <v>750</v>
      </c>
      <c r="DW181" s="192">
        <f>DR181*(1+DW184)+(750*0.33)</f>
        <v>1764.925</v>
      </c>
      <c r="DX181" s="192">
        <f>DS181*(1+DX184)</f>
        <v>776.47499999999991</v>
      </c>
      <c r="DY181" s="192">
        <f>DT181*(1+DY184)</f>
        <v>776.47499999999991</v>
      </c>
      <c r="DZ181" s="1377">
        <f>SUM(DV181:DY181)</f>
        <v>4067.875</v>
      </c>
      <c r="EA181" s="192">
        <f>DV181*(1+EA184)</f>
        <v>761.24999999999989</v>
      </c>
      <c r="EB181" s="192">
        <f t="shared" ref="EB181:ED181" si="447">DW181*(1+EB184)</f>
        <v>1791.3988749999999</v>
      </c>
      <c r="EC181" s="192">
        <f t="shared" si="447"/>
        <v>788.12212499999987</v>
      </c>
      <c r="ED181" s="192">
        <f t="shared" si="447"/>
        <v>788.12212499999987</v>
      </c>
      <c r="EE181" s="1377">
        <f>SUM(EA181:ED181)</f>
        <v>4128.8931249999996</v>
      </c>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row>
    <row r="182" spans="2:238" s="64" customFormat="1" ht="12.75" hidden="1" customHeight="1" outlineLevel="1">
      <c r="B182" s="2201" t="s">
        <v>601</v>
      </c>
      <c r="C182" s="270"/>
      <c r="D182" s="270"/>
      <c r="E182" s="270"/>
      <c r="F182" s="269"/>
      <c r="G182" s="269"/>
      <c r="H182" s="269"/>
      <c r="I182" s="269"/>
      <c r="J182" s="269"/>
      <c r="K182" s="436"/>
      <c r="L182" s="269"/>
      <c r="M182" s="269"/>
      <c r="N182" s="437"/>
      <c r="O182" s="269"/>
      <c r="P182" s="436">
        <f>P181*P183</f>
        <v>8.8615999999999993</v>
      </c>
      <c r="Q182" s="269">
        <f>Q181*Q183</f>
        <v>9.7856000000000005</v>
      </c>
      <c r="R182" s="269">
        <f>R181*R183</f>
        <v>10.603999999999999</v>
      </c>
      <c r="S182" s="437">
        <f>S181*S183</f>
        <v>11.167199999999999</v>
      </c>
      <c r="T182" s="270">
        <f>SUM(P182:S182)</f>
        <v>40.418399999999998</v>
      </c>
      <c r="U182" s="436">
        <f>U181*U183</f>
        <v>11.8184</v>
      </c>
      <c r="V182" s="269">
        <f>V181*V183</f>
        <v>13.068</v>
      </c>
      <c r="W182" s="269">
        <f>W181*W183</f>
        <v>13.6752</v>
      </c>
      <c r="X182" s="437">
        <f>X181*X183</f>
        <v>13.543200000000001</v>
      </c>
      <c r="Y182" s="270">
        <f>SUM(U182:X182)</f>
        <v>52.104799999999997</v>
      </c>
      <c r="Z182" s="436">
        <f>Z181*Z183</f>
        <v>13.613599999999998</v>
      </c>
      <c r="AA182" s="269">
        <f>AA181*AA183</f>
        <v>13.552</v>
      </c>
      <c r="AB182" s="269">
        <f>AB181*AB183</f>
        <v>13.815999999999999</v>
      </c>
      <c r="AC182" s="437">
        <f>AC181*AC183</f>
        <v>14.3264</v>
      </c>
      <c r="AD182" s="270">
        <f>SUM(Z182:AC182)</f>
        <v>55.308</v>
      </c>
      <c r="AE182" s="436">
        <f>AE181*AE183</f>
        <v>15.038400000000001</v>
      </c>
      <c r="AF182" s="269">
        <f>AF181*AF183</f>
        <v>16.216200000000001</v>
      </c>
      <c r="AG182" s="269">
        <f>AG181*AG183</f>
        <v>17.8386</v>
      </c>
      <c r="AH182" s="437">
        <f>AH181*AH183</f>
        <v>17.978999999999999</v>
      </c>
      <c r="AI182" s="270">
        <f>SUM(AE182:AH182)</f>
        <v>67.072200000000009</v>
      </c>
      <c r="AJ182" s="436">
        <f>AJ181*AJ183</f>
        <v>12.147200000000002</v>
      </c>
      <c r="AK182" s="269">
        <f>AK181*AK183</f>
        <v>11.961600000000001</v>
      </c>
      <c r="AL182" s="269">
        <f>AL181*AL183</f>
        <v>12.7552</v>
      </c>
      <c r="AM182" s="437">
        <f>AM181*AM183</f>
        <v>13.472</v>
      </c>
      <c r="AN182" s="270">
        <f>SUM(AJ182:AM182)</f>
        <v>50.336000000000006</v>
      </c>
      <c r="AO182" s="436">
        <f>AO181*AO183</f>
        <v>11.693</v>
      </c>
      <c r="AP182" s="269">
        <f>AP181*AP183</f>
        <v>13.015145</v>
      </c>
      <c r="AQ182" s="269">
        <f>AQ181*AQ183</f>
        <v>13.956250000000001</v>
      </c>
      <c r="AR182" s="437">
        <f>AR181*AR183</f>
        <v>14.514609999999999</v>
      </c>
      <c r="AS182" s="270">
        <f>SUM(AO182:AR182)</f>
        <v>53.179004999999997</v>
      </c>
      <c r="AT182" s="436">
        <f>AT181*AT183</f>
        <v>13.695</v>
      </c>
      <c r="AU182" s="269">
        <f>AU181*AU183</f>
        <v>14.07685</v>
      </c>
      <c r="AV182" s="269">
        <f>AV181*AV183</f>
        <v>14.15</v>
      </c>
      <c r="AW182" s="437">
        <f>AW181*AW183</f>
        <v>14.465000000000002</v>
      </c>
      <c r="AX182" s="270">
        <f>SUM(AT182:AW182)</f>
        <v>56.386850000000003</v>
      </c>
      <c r="AY182" s="436">
        <f>AY181*AY183</f>
        <v>16.135000000000002</v>
      </c>
      <c r="AZ182" s="269">
        <f>AZ181*AZ183</f>
        <v>14.555000000000001</v>
      </c>
      <c r="BA182" s="269">
        <f>BA181*BA183</f>
        <v>16.940000000000001</v>
      </c>
      <c r="BB182" s="437">
        <f>BB181*BB183</f>
        <v>17.740000000000002</v>
      </c>
      <c r="BC182" s="270">
        <f>SUM(AY182:BB182)</f>
        <v>65.37</v>
      </c>
      <c r="BD182" s="436">
        <f>BD181*BD183</f>
        <v>19.665000000000003</v>
      </c>
      <c r="BE182" s="269">
        <f>BE181*BE183</f>
        <v>15.91</v>
      </c>
      <c r="BF182" s="269">
        <f>BF181*BF183</f>
        <v>21.680000000000003</v>
      </c>
      <c r="BG182" s="437">
        <f>BG181*BG183</f>
        <v>16.080000000000002</v>
      </c>
      <c r="BH182" s="270">
        <f>SUM(BD182:BG182)</f>
        <v>73.335000000000008</v>
      </c>
      <c r="BI182" s="436">
        <f>BI181*BI183</f>
        <v>21.904843500000005</v>
      </c>
      <c r="BJ182" s="269">
        <f>BJ181*BJ183</f>
        <v>22.830850000000002</v>
      </c>
      <c r="BK182" s="269">
        <f>BK181*BK183</f>
        <v>26.235510000000001</v>
      </c>
      <c r="BL182" s="437">
        <f>BL181*BL183</f>
        <v>20.089596239999999</v>
      </c>
      <c r="BM182" s="270">
        <f>SUM(BI182:BL182)</f>
        <v>91.060799740000022</v>
      </c>
      <c r="BN182" s="436">
        <f>BN181*BN183</f>
        <v>6.5625</v>
      </c>
      <c r="BO182" s="269">
        <f>BO181*BO183</f>
        <v>6.5625</v>
      </c>
      <c r="BP182" s="269">
        <f>BP181*BP183</f>
        <v>6.5625</v>
      </c>
      <c r="BQ182" s="437">
        <f>BQ181*BQ183</f>
        <v>6.5625</v>
      </c>
      <c r="BR182" s="270">
        <f>SUM(BN182:BQ182)</f>
        <v>26.25</v>
      </c>
      <c r="BS182" s="436">
        <f>BS181*BS183</f>
        <v>6.5625</v>
      </c>
      <c r="BT182" s="269">
        <f>BT181*BT183</f>
        <v>6.9562499999999998</v>
      </c>
      <c r="BU182" s="269">
        <f>BU181*BU183</f>
        <v>6.9562499999999998</v>
      </c>
      <c r="BV182" s="437">
        <f>BV181*BV183</f>
        <v>6.9562499999999998</v>
      </c>
      <c r="BW182" s="270">
        <f>SUM(BS182:BV182)</f>
        <v>27.431250000000002</v>
      </c>
      <c r="BX182" s="436">
        <f>BX181*BX183</f>
        <v>3.9375</v>
      </c>
      <c r="BY182" s="269">
        <f>BY181*BY183</f>
        <v>3.9375</v>
      </c>
      <c r="BZ182" s="269">
        <f>BZ181*BZ183</f>
        <v>5.25</v>
      </c>
      <c r="CA182" s="437">
        <f>CA181*CA183</f>
        <v>5.90625</v>
      </c>
      <c r="CB182" s="270">
        <f>SUM(BX182:CA182)</f>
        <v>19.03125</v>
      </c>
      <c r="CC182" s="436">
        <f>CC181*CC183</f>
        <v>3.28125</v>
      </c>
      <c r="CD182" s="269">
        <f>CD181*CD183</f>
        <v>7.21875</v>
      </c>
      <c r="CE182" s="269">
        <f>CE181*CE183</f>
        <v>7.21875</v>
      </c>
      <c r="CF182" s="269">
        <f>CF181*CF183</f>
        <v>7.21875</v>
      </c>
      <c r="CG182" s="616">
        <f>SUM(CC182:CF182)</f>
        <v>24.9375</v>
      </c>
      <c r="CH182" s="269">
        <f>CH181*CH183</f>
        <v>7.21875</v>
      </c>
      <c r="CI182" s="269">
        <f>CI181*CI183</f>
        <v>7.21875</v>
      </c>
      <c r="CJ182" s="269">
        <f>CJ181*CJ183</f>
        <v>7.21875</v>
      </c>
      <c r="CK182" s="269">
        <f>CK181*CK183</f>
        <v>0</v>
      </c>
      <c r="CL182" s="616">
        <f>SUM(CH182:CK182)</f>
        <v>21.65625</v>
      </c>
      <c r="CM182" s="269">
        <f>CM181*CM183</f>
        <v>0</v>
      </c>
      <c r="CN182" s="269">
        <f>CN181*CN183</f>
        <v>0</v>
      </c>
      <c r="CO182" s="269">
        <f>CO181*CO183</f>
        <v>0</v>
      </c>
      <c r="CP182" s="269">
        <f>CP181*CP183</f>
        <v>0</v>
      </c>
      <c r="CQ182" s="616">
        <f>SUM(CM182:CP182)</f>
        <v>0</v>
      </c>
      <c r="CR182" s="269">
        <f>CR181*CR183</f>
        <v>0</v>
      </c>
      <c r="CS182" s="269">
        <f>CS181*CS183</f>
        <v>0</v>
      </c>
      <c r="CT182" s="269">
        <f>CT181*CT183</f>
        <v>0</v>
      </c>
      <c r="CU182" s="269">
        <f>CU181*CU183</f>
        <v>0</v>
      </c>
      <c r="CV182" s="616">
        <f>SUM(CR182:CU182)</f>
        <v>0</v>
      </c>
      <c r="CW182" s="269">
        <f>CW181*CW183</f>
        <v>0</v>
      </c>
      <c r="CX182" s="269">
        <f>CX181*CX183</f>
        <v>0</v>
      </c>
      <c r="CY182" s="269">
        <f>CY181*CY183</f>
        <v>0</v>
      </c>
      <c r="CZ182" s="269">
        <f>CZ181*CZ183</f>
        <v>0</v>
      </c>
      <c r="DA182" s="616">
        <v>0</v>
      </c>
      <c r="DB182" s="269">
        <f>DB181*DB183</f>
        <v>0</v>
      </c>
      <c r="DC182" s="269">
        <f>DC181*DC183</f>
        <v>0</v>
      </c>
      <c r="DD182" s="269">
        <f>DD181*DD183</f>
        <v>0</v>
      </c>
      <c r="DE182" s="269">
        <f>DE181*DE183</f>
        <v>0</v>
      </c>
      <c r="DF182" s="616">
        <v>0</v>
      </c>
      <c r="DG182" s="269">
        <f>DG181*DG183</f>
        <v>0</v>
      </c>
      <c r="DH182" s="269">
        <f>DH181*DH183</f>
        <v>0</v>
      </c>
      <c r="DI182" s="269">
        <f>DI181*DI183</f>
        <v>0</v>
      </c>
      <c r="DJ182" s="269">
        <f>DJ181*DJ183</f>
        <v>0</v>
      </c>
      <c r="DK182" s="1402">
        <v>0</v>
      </c>
      <c r="DL182" s="269">
        <f>DL181*DL183</f>
        <v>0</v>
      </c>
      <c r="DM182" s="269">
        <f>DM181*DM183</f>
        <v>0</v>
      </c>
      <c r="DN182" s="269">
        <f>DN181*DN183</f>
        <v>0</v>
      </c>
      <c r="DO182" s="269">
        <f>DO181*DO183</f>
        <v>0</v>
      </c>
      <c r="DP182" s="1402">
        <v>0</v>
      </c>
      <c r="DQ182" s="269">
        <f>DQ181*DQ183</f>
        <v>0</v>
      </c>
      <c r="DR182" s="269">
        <f>DR181*DR183</f>
        <v>19.434999999999999</v>
      </c>
      <c r="DS182" s="269">
        <f>DS181*DS183</f>
        <v>9.9450000000000003</v>
      </c>
      <c r="DT182" s="269">
        <f>DT181*DT183</f>
        <v>9.9450000000000003</v>
      </c>
      <c r="DU182" s="1402">
        <f>SUM(DQ182:DT182)</f>
        <v>39.325000000000003</v>
      </c>
      <c r="DV182" s="269">
        <f>DV181*DV183</f>
        <v>9.75</v>
      </c>
      <c r="DW182" s="269">
        <f>DW181*DW183</f>
        <v>22.944025</v>
      </c>
      <c r="DX182" s="269">
        <f>DX181*DX183</f>
        <v>10.094174999999998</v>
      </c>
      <c r="DY182" s="269">
        <f>DY181*DY183</f>
        <v>10.094174999999998</v>
      </c>
      <c r="DZ182" s="1402">
        <f>SUM(DV182:DY182)</f>
        <v>52.882374999999996</v>
      </c>
      <c r="EA182" s="269">
        <f>EA181*EA183</f>
        <v>9.8962499999999984</v>
      </c>
      <c r="EB182" s="269">
        <f>EB181*EB183</f>
        <v>23.288185374999998</v>
      </c>
      <c r="EC182" s="269">
        <f>EC181*EC183</f>
        <v>10.245587624999997</v>
      </c>
      <c r="ED182" s="269">
        <f>ED181*ED183</f>
        <v>10.245587624999997</v>
      </c>
      <c r="EE182" s="1402">
        <f>SUM(EA182:ED182)</f>
        <v>53.67561062499999</v>
      </c>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row>
    <row r="183" spans="2:238" s="253" customFormat="1" ht="12.75" hidden="1" customHeight="1" outlineLevel="1">
      <c r="B183" s="564" t="s">
        <v>602</v>
      </c>
      <c r="E183" s="272"/>
      <c r="F183" s="272"/>
      <c r="G183" s="272"/>
      <c r="H183" s="272"/>
      <c r="I183" s="272"/>
      <c r="J183" s="272"/>
      <c r="K183" s="224"/>
      <c r="L183" s="225"/>
      <c r="M183" s="225"/>
      <c r="N183" s="226"/>
      <c r="O183" s="272"/>
      <c r="P183" s="224">
        <v>8.7999999999999995E-2</v>
      </c>
      <c r="Q183" s="225">
        <v>8.7999999999999995E-2</v>
      </c>
      <c r="R183" s="225">
        <v>8.7999999999999995E-2</v>
      </c>
      <c r="S183" s="226">
        <v>8.7999999999999995E-2</v>
      </c>
      <c r="T183" s="272">
        <f>T182/T181</f>
        <v>8.8000000000000009E-2</v>
      </c>
      <c r="U183" s="224">
        <v>8.7999999999999995E-2</v>
      </c>
      <c r="V183" s="225">
        <v>8.7999999999999995E-2</v>
      </c>
      <c r="W183" s="225">
        <v>8.7999999999999995E-2</v>
      </c>
      <c r="X183" s="226">
        <v>8.7999999999999995E-2</v>
      </c>
      <c r="Y183" s="272">
        <f>Y182/Y181</f>
        <v>8.7999999999999995E-2</v>
      </c>
      <c r="Z183" s="224">
        <v>8.7999999999999995E-2</v>
      </c>
      <c r="AA183" s="225">
        <v>8.7999999999999995E-2</v>
      </c>
      <c r="AB183" s="225">
        <v>8.7999999999999995E-2</v>
      </c>
      <c r="AC183" s="226">
        <v>8.7999999999999995E-2</v>
      </c>
      <c r="AD183" s="272">
        <f>AD182/AD181</f>
        <v>8.7999999999999995E-2</v>
      </c>
      <c r="AE183" s="224">
        <v>7.8E-2</v>
      </c>
      <c r="AF183" s="225">
        <v>7.8E-2</v>
      </c>
      <c r="AG183" s="225">
        <v>7.8E-2</v>
      </c>
      <c r="AH183" s="226">
        <v>7.8E-2</v>
      </c>
      <c r="AI183" s="272">
        <f>AI182/AI181</f>
        <v>7.8E-2</v>
      </c>
      <c r="AJ183" s="224">
        <v>6.4000000000000001E-2</v>
      </c>
      <c r="AK183" s="225">
        <v>6.4000000000000001E-2</v>
      </c>
      <c r="AL183" s="225">
        <v>6.4000000000000001E-2</v>
      </c>
      <c r="AM183" s="226">
        <v>6.4000000000000001E-2</v>
      </c>
      <c r="AN183" s="272">
        <f>AN182/AN181</f>
        <v>6.4000000000000001E-2</v>
      </c>
      <c r="AO183" s="224">
        <v>5.5E-2</v>
      </c>
      <c r="AP183" s="225">
        <v>5.5E-2</v>
      </c>
      <c r="AQ183" s="225">
        <v>5.5E-2</v>
      </c>
      <c r="AR183" s="226">
        <v>5.5E-2</v>
      </c>
      <c r="AS183" s="272">
        <f>AS182/AS181</f>
        <v>5.4999999999999993E-2</v>
      </c>
      <c r="AT183" s="224">
        <v>0.05</v>
      </c>
      <c r="AU183" s="225">
        <v>0.05</v>
      </c>
      <c r="AV183" s="225">
        <v>0.05</v>
      </c>
      <c r="AW183" s="226">
        <v>0.05</v>
      </c>
      <c r="AX183" s="272">
        <f>AX182/AX181</f>
        <v>5.000000000000001E-2</v>
      </c>
      <c r="AY183" s="224">
        <v>0.05</v>
      </c>
      <c r="AZ183" s="225">
        <v>0.05</v>
      </c>
      <c r="BA183" s="225">
        <v>0.05</v>
      </c>
      <c r="BB183" s="226">
        <v>0.05</v>
      </c>
      <c r="BC183" s="272">
        <f>BC182/BC181</f>
        <v>5.000000000000001E-2</v>
      </c>
      <c r="BD183" s="224">
        <v>0.05</v>
      </c>
      <c r="BE183" s="225">
        <v>0.05</v>
      </c>
      <c r="BF183" s="225">
        <v>0.05</v>
      </c>
      <c r="BG183" s="226">
        <v>0.05</v>
      </c>
      <c r="BH183" s="272">
        <f>BH182/BH181</f>
        <v>5.000000000000001E-2</v>
      </c>
      <c r="BI183" s="224">
        <v>0.05</v>
      </c>
      <c r="BJ183" s="225">
        <v>0.05</v>
      </c>
      <c r="BK183" s="225">
        <v>5.2499999999999998E-2</v>
      </c>
      <c r="BL183" s="226">
        <v>5.2499999999999998E-2</v>
      </c>
      <c r="BM183" s="272">
        <f>BM182/BM181</f>
        <v>5.1241326518003408E-2</v>
      </c>
      <c r="BN183" s="224">
        <v>0.05</v>
      </c>
      <c r="BO183" s="225">
        <v>0.05</v>
      </c>
      <c r="BP183" s="225">
        <v>0.05</v>
      </c>
      <c r="BQ183" s="226">
        <v>0.05</v>
      </c>
      <c r="BR183" s="272">
        <f>BR182/BR181</f>
        <v>0.05</v>
      </c>
      <c r="BS183" s="224">
        <v>0.05</v>
      </c>
      <c r="BT183" s="225">
        <v>5.2999999999999999E-2</v>
      </c>
      <c r="BU183" s="225">
        <v>5.2999999999999999E-2</v>
      </c>
      <c r="BV183" s="226">
        <v>5.2999999999999999E-2</v>
      </c>
      <c r="BW183" s="272">
        <f>BW182/BW181</f>
        <v>5.2250000000000005E-2</v>
      </c>
      <c r="BX183" s="273">
        <v>0.03</v>
      </c>
      <c r="BY183" s="274">
        <v>0.03</v>
      </c>
      <c r="BZ183" s="274">
        <v>0.04</v>
      </c>
      <c r="CA183" s="275">
        <v>4.4999999999999998E-2</v>
      </c>
      <c r="CB183" s="272">
        <f>CB182/CB181</f>
        <v>3.6249999999999998E-2</v>
      </c>
      <c r="CC183" s="273">
        <v>2.5000000000000001E-2</v>
      </c>
      <c r="CD183" s="274">
        <v>5.5E-2</v>
      </c>
      <c r="CE183" s="274">
        <v>5.5E-2</v>
      </c>
      <c r="CF183" s="274">
        <v>5.5E-2</v>
      </c>
      <c r="CG183" s="817">
        <f>CG182/CG181</f>
        <v>4.7500000000000001E-2</v>
      </c>
      <c r="CH183" s="274">
        <v>5.5E-2</v>
      </c>
      <c r="CI183" s="274">
        <v>5.5E-2</v>
      </c>
      <c r="CJ183" s="274">
        <v>5.5E-2</v>
      </c>
      <c r="CK183" s="274"/>
      <c r="CL183" s="817">
        <f>CL182/CL181</f>
        <v>5.5E-2</v>
      </c>
      <c r="CM183" s="274"/>
      <c r="CN183" s="274"/>
      <c r="CO183" s="274"/>
      <c r="CP183" s="274"/>
      <c r="CQ183" s="817"/>
      <c r="CR183" s="274"/>
      <c r="CS183" s="274"/>
      <c r="CT183" s="274"/>
      <c r="CU183" s="274"/>
      <c r="CV183" s="817"/>
      <c r="CW183" s="274"/>
      <c r="CX183" s="274"/>
      <c r="CY183" s="274"/>
      <c r="CZ183" s="274"/>
      <c r="DA183" s="817"/>
      <c r="DB183" s="274"/>
      <c r="DC183" s="274"/>
      <c r="DD183" s="274"/>
      <c r="DE183" s="274"/>
      <c r="DF183" s="817"/>
      <c r="DG183" s="274"/>
      <c r="DH183" s="274"/>
      <c r="DI183" s="274"/>
      <c r="DJ183" s="274"/>
      <c r="DK183" s="1403"/>
      <c r="DL183" s="274"/>
      <c r="DM183" s="274"/>
      <c r="DN183" s="274"/>
      <c r="DO183" s="274"/>
      <c r="DP183" s="1403"/>
      <c r="DQ183" s="274"/>
      <c r="DR183" s="274">
        <v>1.2999999999999999E-2</v>
      </c>
      <c r="DS183" s="274">
        <v>1.2999999999999999E-2</v>
      </c>
      <c r="DT183" s="274">
        <v>1.2999999999999999E-2</v>
      </c>
      <c r="DU183" s="1403"/>
      <c r="DV183" s="274">
        <v>1.2999999999999999E-2</v>
      </c>
      <c r="DW183" s="274">
        <v>1.2999999999999999E-2</v>
      </c>
      <c r="DX183" s="274">
        <v>1.2999999999999999E-2</v>
      </c>
      <c r="DY183" s="274">
        <v>1.2999999999999999E-2</v>
      </c>
      <c r="DZ183" s="1403"/>
      <c r="EA183" s="274">
        <v>1.2999999999999999E-2</v>
      </c>
      <c r="EB183" s="274">
        <v>1.2999999999999999E-2</v>
      </c>
      <c r="EC183" s="274">
        <v>1.2999999999999999E-2</v>
      </c>
      <c r="ED183" s="274">
        <v>1.2999999999999999E-2</v>
      </c>
      <c r="EE183" s="1403"/>
      <c r="EF183"/>
      <c r="EG183" s="1689"/>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row>
    <row r="184" spans="2:238" s="253" customFormat="1" ht="12.75" hidden="1" customHeight="1" outlineLevel="1">
      <c r="B184" s="564" t="s">
        <v>603</v>
      </c>
      <c r="E184" s="272"/>
      <c r="F184" s="272"/>
      <c r="G184" s="272"/>
      <c r="H184" s="272"/>
      <c r="I184" s="272"/>
      <c r="J184" s="272"/>
      <c r="K184" s="224"/>
      <c r="L184" s="225"/>
      <c r="M184" s="225"/>
      <c r="N184" s="226"/>
      <c r="O184" s="272"/>
      <c r="P184" s="224"/>
      <c r="Q184" s="225"/>
      <c r="R184" s="225"/>
      <c r="S184" s="226"/>
      <c r="T184" s="272"/>
      <c r="U184" s="224"/>
      <c r="V184" s="225"/>
      <c r="W184" s="225"/>
      <c r="X184" s="226"/>
      <c r="Y184" s="272"/>
      <c r="Z184" s="224"/>
      <c r="AA184" s="225"/>
      <c r="AB184" s="225"/>
      <c r="AC184" s="226"/>
      <c r="AD184" s="272"/>
      <c r="AE184" s="224"/>
      <c r="AF184" s="225"/>
      <c r="AG184" s="225"/>
      <c r="AH184" s="226"/>
      <c r="AI184" s="272"/>
      <c r="AJ184" s="224"/>
      <c r="AK184" s="225"/>
      <c r="AL184" s="225"/>
      <c r="AM184" s="226"/>
      <c r="AN184" s="272"/>
      <c r="AO184" s="224"/>
      <c r="AP184" s="225"/>
      <c r="AQ184" s="225"/>
      <c r="AR184" s="226"/>
      <c r="AS184" s="272"/>
      <c r="AT184" s="224"/>
      <c r="AU184" s="225"/>
      <c r="AV184" s="225"/>
      <c r="AW184" s="226"/>
      <c r="AX184" s="272"/>
      <c r="AY184" s="224"/>
      <c r="AZ184" s="225"/>
      <c r="BA184" s="225"/>
      <c r="BB184" s="226"/>
      <c r="BC184" s="272"/>
      <c r="BD184" s="224"/>
      <c r="BE184" s="225"/>
      <c r="BF184" s="225"/>
      <c r="BG184" s="226"/>
      <c r="BH184" s="272"/>
      <c r="BI184" s="224"/>
      <c r="BJ184" s="225"/>
      <c r="BK184" s="225"/>
      <c r="BL184" s="226"/>
      <c r="BM184" s="272"/>
      <c r="BN184" s="224"/>
      <c r="BO184" s="225"/>
      <c r="BP184" s="225"/>
      <c r="BQ184" s="226"/>
      <c r="BR184" s="272"/>
      <c r="BS184" s="224"/>
      <c r="BT184" s="225"/>
      <c r="BU184" s="225"/>
      <c r="BV184" s="226"/>
      <c r="BW184" s="272"/>
      <c r="BX184" s="273"/>
      <c r="BY184" s="274"/>
      <c r="BZ184" s="274"/>
      <c r="CA184" s="275"/>
      <c r="CB184" s="272"/>
      <c r="CC184" s="273"/>
      <c r="CD184" s="274"/>
      <c r="CE184" s="274"/>
      <c r="CF184" s="274"/>
      <c r="CG184" s="817"/>
      <c r="CH184" s="274"/>
      <c r="CI184" s="274"/>
      <c r="CJ184" s="274"/>
      <c r="CK184" s="274"/>
      <c r="CL184" s="817"/>
      <c r="CM184" s="274"/>
      <c r="CN184" s="274"/>
      <c r="CO184" s="274"/>
      <c r="CP184" s="274"/>
      <c r="CQ184" s="817"/>
      <c r="CR184" s="274"/>
      <c r="CS184" s="274"/>
      <c r="CT184" s="274"/>
      <c r="CU184" s="274"/>
      <c r="CV184" s="817"/>
      <c r="CW184" s="274"/>
      <c r="CX184" s="274"/>
      <c r="CY184" s="274"/>
      <c r="CZ184" s="274"/>
      <c r="DA184" s="817"/>
      <c r="DB184" s="274"/>
      <c r="DC184" s="274"/>
      <c r="DD184" s="274"/>
      <c r="DE184" s="274"/>
      <c r="DF184" s="2237"/>
      <c r="DG184" s="2240"/>
      <c r="DH184" s="274"/>
      <c r="DI184" s="274"/>
      <c r="DJ184" s="274"/>
      <c r="DK184" s="1403"/>
      <c r="DL184" s="274"/>
      <c r="DM184" s="274"/>
      <c r="DN184" s="274"/>
      <c r="DO184" s="274"/>
      <c r="DP184" s="1403"/>
      <c r="DQ184" s="274"/>
      <c r="DR184" s="274">
        <v>1.4999999999999999E-2</v>
      </c>
      <c r="DS184" s="274">
        <v>1.4999999999999999E-2</v>
      </c>
      <c r="DT184" s="274">
        <v>1.4999999999999999E-2</v>
      </c>
      <c r="DU184" s="1403"/>
      <c r="DV184" s="274">
        <v>1.4999999999999999E-2</v>
      </c>
      <c r="DW184" s="274">
        <v>1.4999999999999999E-2</v>
      </c>
      <c r="DX184" s="274">
        <v>1.4999999999999999E-2</v>
      </c>
      <c r="DY184" s="274">
        <v>1.4999999999999999E-2</v>
      </c>
      <c r="DZ184" s="1403"/>
      <c r="EA184" s="274">
        <v>1.4999999999999999E-2</v>
      </c>
      <c r="EB184" s="274">
        <v>1.4999999999999999E-2</v>
      </c>
      <c r="EC184" s="274">
        <v>1.4999999999999999E-2</v>
      </c>
      <c r="ED184" s="274">
        <v>1.4999999999999999E-2</v>
      </c>
      <c r="EE184" s="1403"/>
      <c r="EF184" s="2199"/>
      <c r="EG184" s="2199"/>
      <c r="EH184" s="2199"/>
      <c r="EI184" s="2199"/>
      <c r="EJ184"/>
      <c r="EK184"/>
      <c r="EL184"/>
      <c r="EM184"/>
      <c r="EN184"/>
      <c r="EO184"/>
      <c r="EP184" s="2199"/>
      <c r="EQ184" s="2199"/>
      <c r="ER184" s="2199"/>
      <c r="ES184" s="2199"/>
      <c r="ET184" s="2199"/>
      <c r="EU184" s="2199"/>
      <c r="EV184" s="2199"/>
      <c r="EW184" s="2199"/>
      <c r="EX184" s="2199"/>
      <c r="EY184" s="2199"/>
      <c r="EZ184" s="2199"/>
      <c r="FA184" s="2199"/>
      <c r="FB184" s="2199"/>
      <c r="FC184" s="2199"/>
      <c r="FD184" s="2199"/>
      <c r="FE184" s="2199"/>
      <c r="FF184" s="2199"/>
      <c r="FG184" s="2199"/>
      <c r="FH184" s="2199"/>
      <c r="FI184" s="2199"/>
      <c r="FJ184" s="2199"/>
      <c r="FK184" s="2199"/>
      <c r="FL184" s="2199"/>
      <c r="FM184" s="2199"/>
      <c r="FN184" s="2199"/>
      <c r="FO184" s="2199"/>
      <c r="FP184" s="2199"/>
      <c r="FQ184" s="2199"/>
      <c r="FR184" s="2199"/>
      <c r="FS184" s="2199"/>
      <c r="FT184" s="2199"/>
      <c r="FU184" s="2199"/>
      <c r="FV184" s="2199"/>
      <c r="FW184" s="2199"/>
      <c r="FX184" s="2199"/>
      <c r="FY184" s="2199"/>
      <c r="FZ184" s="2199"/>
      <c r="GA184" s="2199"/>
      <c r="GB184" s="2199"/>
      <c r="GC184" s="2199"/>
      <c r="GD184" s="2199"/>
      <c r="GE184" s="2199"/>
      <c r="GF184" s="2199"/>
      <c r="GG184" s="2199"/>
      <c r="GH184" s="2199"/>
      <c r="GI184" s="2199"/>
      <c r="GJ184" s="2199"/>
      <c r="GK184" s="2199"/>
      <c r="GL184" s="2199"/>
      <c r="GM184" s="2199"/>
      <c r="GN184" s="2199"/>
      <c r="GO184" s="2199"/>
      <c r="GP184" s="2199"/>
      <c r="GQ184" s="2199"/>
      <c r="GR184" s="2199"/>
      <c r="GS184" s="2199"/>
      <c r="GT184" s="2199"/>
      <c r="GU184" s="2199"/>
      <c r="GV184" s="2199"/>
      <c r="GW184" s="2199"/>
      <c r="GX184" s="2199"/>
      <c r="GY184" s="2199"/>
      <c r="GZ184" s="2199"/>
      <c r="HA184" s="2199"/>
      <c r="HB184" s="2199"/>
      <c r="HC184" s="2199"/>
      <c r="HD184" s="2199"/>
      <c r="HE184" s="2199"/>
      <c r="HF184" s="2199"/>
      <c r="HG184" s="2199"/>
      <c r="HH184" s="2199"/>
      <c r="HI184" s="2199"/>
      <c r="HJ184" s="2199"/>
      <c r="HK184" s="2199"/>
      <c r="HL184" s="2199"/>
      <c r="HM184" s="2199"/>
      <c r="HN184" s="2199"/>
      <c r="HO184" s="2199"/>
      <c r="HP184" s="2199"/>
      <c r="HQ184" s="2199"/>
      <c r="HR184" s="2199"/>
      <c r="HS184" s="2199"/>
      <c r="HT184" s="2199"/>
      <c r="HU184" s="2199"/>
      <c r="HV184" s="2199"/>
      <c r="HW184" s="2199"/>
      <c r="HX184" s="2199"/>
      <c r="HY184" s="2199"/>
      <c r="HZ184" s="2199"/>
      <c r="IA184" s="2199"/>
      <c r="IB184" s="2199"/>
      <c r="IC184" s="2199"/>
      <c r="ID184" s="2199"/>
    </row>
    <row r="185" spans="2:238" s="253" customFormat="1" ht="12.75" customHeight="1" collapsed="1">
      <c r="B185" s="564"/>
      <c r="E185" s="272"/>
      <c r="F185" s="272"/>
      <c r="G185" s="272"/>
      <c r="H185" s="272"/>
      <c r="I185" s="272"/>
      <c r="J185" s="272"/>
      <c r="K185" s="224"/>
      <c r="L185" s="225"/>
      <c r="M185" s="225"/>
      <c r="N185" s="226"/>
      <c r="O185" s="272"/>
      <c r="P185" s="224"/>
      <c r="Q185" s="225"/>
      <c r="R185" s="225"/>
      <c r="S185" s="226"/>
      <c r="T185" s="272"/>
      <c r="U185" s="224"/>
      <c r="V185" s="225"/>
      <c r="W185" s="225"/>
      <c r="X185" s="226"/>
      <c r="Y185" s="272"/>
      <c r="Z185" s="224"/>
      <c r="AA185" s="225"/>
      <c r="AB185" s="225"/>
      <c r="AC185" s="226"/>
      <c r="AD185" s="272"/>
      <c r="AE185" s="224"/>
      <c r="AF185" s="225"/>
      <c r="AG185" s="225"/>
      <c r="AH185" s="226"/>
      <c r="AI185" s="272"/>
      <c r="AJ185" s="224"/>
      <c r="AK185" s="225"/>
      <c r="AL185" s="225"/>
      <c r="AM185" s="226"/>
      <c r="AN185" s="272"/>
      <c r="AO185" s="224"/>
      <c r="AP185" s="225"/>
      <c r="AQ185" s="225"/>
      <c r="AR185" s="226"/>
      <c r="AS185" s="272"/>
      <c r="AT185" s="224"/>
      <c r="AU185" s="225"/>
      <c r="AV185" s="225"/>
      <c r="AW185" s="226"/>
      <c r="AX185" s="272"/>
      <c r="AY185" s="224"/>
      <c r="AZ185" s="225"/>
      <c r="BA185" s="225"/>
      <c r="BB185" s="226"/>
      <c r="BC185" s="272"/>
      <c r="BD185" s="224"/>
      <c r="BE185" s="225"/>
      <c r="BF185" s="225"/>
      <c r="BG185" s="226"/>
      <c r="BH185" s="272"/>
      <c r="BI185" s="224"/>
      <c r="BJ185" s="225"/>
      <c r="BK185" s="225"/>
      <c r="BL185" s="226"/>
      <c r="BM185" s="272"/>
      <c r="BN185" s="224"/>
      <c r="BO185" s="225"/>
      <c r="BP185" s="225"/>
      <c r="BQ185" s="226"/>
      <c r="BR185" s="272"/>
      <c r="BS185" s="224"/>
      <c r="BT185" s="225"/>
      <c r="BU185" s="225"/>
      <c r="BV185" s="226"/>
      <c r="BW185" s="272"/>
      <c r="BX185" s="273"/>
      <c r="BY185" s="274"/>
      <c r="BZ185" s="274"/>
      <c r="CA185" s="275"/>
      <c r="CB185" s="272"/>
      <c r="CC185" s="273"/>
      <c r="CD185" s="274"/>
      <c r="CE185" s="274"/>
      <c r="CF185" s="274"/>
      <c r="CG185" s="817"/>
      <c r="CH185" s="274"/>
      <c r="CI185" s="274"/>
      <c r="CJ185" s="274"/>
      <c r="CK185" s="274"/>
      <c r="CL185" s="817"/>
      <c r="CM185" s="274"/>
      <c r="CN185" s="274"/>
      <c r="CO185" s="274"/>
      <c r="CP185" s="274"/>
      <c r="CQ185" s="817"/>
      <c r="CR185" s="274"/>
      <c r="CS185" s="274"/>
      <c r="CT185" s="274"/>
      <c r="CU185" s="274"/>
      <c r="CV185" s="817"/>
      <c r="CW185" s="274"/>
      <c r="CX185" s="274"/>
      <c r="CY185" s="274"/>
      <c r="CZ185" s="274"/>
      <c r="DA185" s="817"/>
      <c r="DB185" s="274"/>
      <c r="DC185" s="274"/>
      <c r="DD185" s="274"/>
      <c r="DE185" s="274"/>
      <c r="DF185" s="2237"/>
      <c r="DG185" s="2240"/>
      <c r="DH185" s="274"/>
      <c r="DI185" s="274"/>
      <c r="DJ185" s="274"/>
      <c r="DK185" s="1403"/>
      <c r="DL185" s="274"/>
      <c r="DM185" s="274"/>
      <c r="DN185" s="274"/>
      <c r="DO185" s="274"/>
      <c r="DP185" s="1403"/>
      <c r="DQ185" s="274"/>
      <c r="DR185" s="274"/>
      <c r="DS185" s="274"/>
      <c r="DT185" s="274"/>
      <c r="DU185" s="1403"/>
      <c r="DV185" s="274"/>
      <c r="DW185" s="274"/>
      <c r="DX185" s="274"/>
      <c r="DY185" s="274"/>
      <c r="DZ185" s="1403"/>
      <c r="EA185" s="274"/>
      <c r="EB185" s="274"/>
      <c r="EC185" s="274"/>
      <c r="ED185" s="274"/>
      <c r="EE185" s="1403"/>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row>
    <row r="186" spans="2:238" s="93" customFormat="1" ht="12.75" customHeight="1">
      <c r="B186" s="552" t="s">
        <v>559</v>
      </c>
      <c r="C186" s="151"/>
      <c r="D186" s="151"/>
      <c r="E186" s="152"/>
      <c r="F186" s="152"/>
      <c r="G186" s="152"/>
      <c r="H186" s="152"/>
      <c r="I186" s="152"/>
      <c r="J186" s="152"/>
      <c r="K186" s="153"/>
      <c r="L186" s="154"/>
      <c r="M186" s="154"/>
      <c r="N186" s="155"/>
      <c r="O186" s="152"/>
      <c r="P186" s="153"/>
      <c r="Q186" s="154"/>
      <c r="R186" s="154"/>
      <c r="S186" s="155"/>
      <c r="T186" s="152"/>
      <c r="U186" s="153"/>
      <c r="V186" s="154"/>
      <c r="W186" s="154"/>
      <c r="X186" s="155"/>
      <c r="Y186" s="152"/>
      <c r="Z186" s="153"/>
      <c r="AA186" s="154"/>
      <c r="AB186" s="154"/>
      <c r="AC186" s="155"/>
      <c r="AD186" s="152"/>
      <c r="AE186" s="153"/>
      <c r="AF186" s="154"/>
      <c r="AG186" s="154"/>
      <c r="AH186" s="155"/>
      <c r="AI186" s="152"/>
      <c r="AJ186" s="153"/>
      <c r="AK186" s="154"/>
      <c r="AL186" s="154"/>
      <c r="AM186" s="155"/>
      <c r="AN186" s="152"/>
      <c r="AO186" s="153"/>
      <c r="AP186" s="154"/>
      <c r="AQ186" s="154"/>
      <c r="AR186" s="155"/>
      <c r="AS186" s="152"/>
      <c r="AT186" s="153"/>
      <c r="AU186" s="154"/>
      <c r="AV186" s="154"/>
      <c r="AW186" s="155"/>
      <c r="AX186" s="152"/>
      <c r="AY186" s="153"/>
      <c r="AZ186" s="154"/>
      <c r="BA186" s="154"/>
      <c r="BB186" s="155"/>
      <c r="BC186" s="152"/>
      <c r="BD186" s="153"/>
      <c r="BE186" s="154"/>
      <c r="BF186" s="154"/>
      <c r="BG186" s="155"/>
      <c r="BH186" s="152"/>
      <c r="BI186" s="153"/>
      <c r="BJ186" s="154"/>
      <c r="BK186" s="154"/>
      <c r="BL186" s="155"/>
      <c r="BM186" s="152"/>
      <c r="BN186" s="153"/>
      <c r="BO186" s="154"/>
      <c r="BP186" s="154"/>
      <c r="BQ186" s="155"/>
      <c r="BR186" s="152"/>
      <c r="BS186" s="153"/>
      <c r="BT186" s="154"/>
      <c r="BU186" s="154"/>
      <c r="BV186" s="155"/>
      <c r="BW186" s="152"/>
      <c r="BX186" s="153"/>
      <c r="BY186" s="154"/>
      <c r="BZ186" s="154"/>
      <c r="CA186" s="155"/>
      <c r="CB186" s="152"/>
      <c r="CC186" s="153"/>
      <c r="CD186" s="154"/>
      <c r="CE186" s="154"/>
      <c r="CF186" s="154"/>
      <c r="CG186" s="804"/>
      <c r="CH186" s="154"/>
      <c r="CI186" s="154"/>
      <c r="CJ186" s="154"/>
      <c r="CK186" s="158"/>
      <c r="CL186" s="804"/>
      <c r="CM186" s="154"/>
      <c r="CN186" s="154"/>
      <c r="CO186" s="154"/>
      <c r="CP186" s="158"/>
      <c r="CQ186" s="834"/>
      <c r="CR186" s="154"/>
      <c r="CS186" s="154"/>
      <c r="CT186" s="154"/>
      <c r="CU186" s="158"/>
      <c r="CV186" s="834"/>
      <c r="CW186" s="154"/>
      <c r="CX186" s="154"/>
      <c r="CY186" s="154"/>
      <c r="CZ186" s="158"/>
      <c r="DA186" s="834"/>
      <c r="DB186" s="154"/>
      <c r="DC186" s="154"/>
      <c r="DD186" s="154"/>
      <c r="DE186" s="154"/>
      <c r="DF186" s="2238"/>
      <c r="DG186" s="2241"/>
      <c r="DH186" s="154"/>
      <c r="DI186" s="154"/>
      <c r="DJ186" s="154"/>
      <c r="DK186" s="1396"/>
      <c r="DL186" s="154"/>
      <c r="DM186" s="154"/>
      <c r="DN186" s="154"/>
      <c r="DO186" s="154"/>
      <c r="DP186" s="1396"/>
      <c r="DQ186" s="154"/>
      <c r="DR186" s="158"/>
      <c r="DS186" s="158"/>
      <c r="DT186" s="158"/>
      <c r="DU186" s="1396"/>
      <c r="DV186" s="158"/>
      <c r="DW186" s="158"/>
      <c r="DX186" s="158"/>
      <c r="DY186" s="158"/>
      <c r="DZ186" s="1396"/>
      <c r="EA186" s="158"/>
      <c r="EB186" s="158"/>
      <c r="EC186" s="158"/>
      <c r="ED186" s="158"/>
      <c r="EE186" s="139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row>
    <row r="187" spans="2:238" s="253" customFormat="1" ht="18.75" customHeight="1">
      <c r="B187" s="564"/>
      <c r="E187" s="272"/>
      <c r="F187" s="272"/>
      <c r="G187" s="272"/>
      <c r="H187" s="272"/>
      <c r="I187" s="272"/>
      <c r="J187" s="272"/>
      <c r="K187" s="224"/>
      <c r="L187" s="225"/>
      <c r="M187" s="225"/>
      <c r="N187" s="226"/>
      <c r="O187" s="272"/>
      <c r="P187" s="224"/>
      <c r="Q187" s="225"/>
      <c r="R187" s="225"/>
      <c r="S187" s="226"/>
      <c r="T187" s="272"/>
      <c r="U187" s="224"/>
      <c r="V187" s="225"/>
      <c r="W187" s="225"/>
      <c r="X187" s="226"/>
      <c r="Y187" s="272"/>
      <c r="Z187" s="224"/>
      <c r="AA187" s="225"/>
      <c r="AB187" s="225"/>
      <c r="AC187" s="226"/>
      <c r="AD187" s="272"/>
      <c r="AE187" s="224"/>
      <c r="AF187" s="225"/>
      <c r="AG187" s="225"/>
      <c r="AH187" s="226"/>
      <c r="AI187" s="272"/>
      <c r="AJ187" s="224"/>
      <c r="AK187" s="225"/>
      <c r="AL187" s="225"/>
      <c r="AM187" s="226"/>
      <c r="AN187" s="272"/>
      <c r="AO187" s="224"/>
      <c r="AP187" s="225"/>
      <c r="AQ187" s="225"/>
      <c r="AR187" s="226"/>
      <c r="AS187" s="272"/>
      <c r="AT187" s="224"/>
      <c r="AU187" s="225"/>
      <c r="AV187" s="225"/>
      <c r="AW187" s="226"/>
      <c r="AX187" s="272"/>
      <c r="AY187" s="224"/>
      <c r="AZ187" s="225"/>
      <c r="BA187" s="225"/>
      <c r="BB187" s="226"/>
      <c r="BC187" s="272"/>
      <c r="BD187" s="224"/>
      <c r="BE187" s="225"/>
      <c r="BF187" s="225"/>
      <c r="BG187" s="226"/>
      <c r="BH187" s="272"/>
      <c r="BI187" s="224"/>
      <c r="BJ187" s="225"/>
      <c r="BK187" s="225"/>
      <c r="BL187" s="226"/>
      <c r="BM187" s="272"/>
      <c r="BN187" s="224"/>
      <c r="BO187" s="225"/>
      <c r="BP187" s="225"/>
      <c r="BQ187" s="226"/>
      <c r="BR187" s="272"/>
      <c r="BS187" s="224"/>
      <c r="BT187" s="225"/>
      <c r="BU187" s="225"/>
      <c r="BV187" s="226"/>
      <c r="BW187" s="272"/>
      <c r="BX187" s="273"/>
      <c r="BY187" s="274"/>
      <c r="BZ187" s="274"/>
      <c r="CA187" s="275"/>
      <c r="CB187" s="272"/>
      <c r="CC187" s="273"/>
      <c r="CD187" s="274"/>
      <c r="CE187" s="274"/>
      <c r="CF187" s="274"/>
      <c r="CG187" s="817"/>
      <c r="CH187" s="274"/>
      <c r="CI187" s="274"/>
      <c r="CJ187" s="274"/>
      <c r="CK187" s="274"/>
      <c r="CL187" s="817"/>
      <c r="CM187" s="274"/>
      <c r="CN187" s="274"/>
      <c r="CO187" s="274"/>
      <c r="CP187" s="274"/>
      <c r="CQ187" s="817"/>
      <c r="CR187" s="274"/>
      <c r="CS187" s="274"/>
      <c r="CT187" s="274"/>
      <c r="CU187" s="274"/>
      <c r="CV187" s="817"/>
      <c r="CW187" s="274"/>
      <c r="CX187" s="274"/>
      <c r="CY187" s="1661">
        <f>CY188/CT188-1</f>
        <v>5.9411347130453818E-2</v>
      </c>
      <c r="CZ187" s="274"/>
      <c r="DA187" s="817"/>
      <c r="DB187" s="1646"/>
      <c r="DC187" s="1661"/>
      <c r="DD187" s="1661"/>
      <c r="DE187" s="1661"/>
      <c r="DF187" s="2239"/>
      <c r="DG187" s="2242"/>
      <c r="DH187" s="1661"/>
      <c r="DI187" s="1661"/>
      <c r="DJ187" s="1661"/>
      <c r="DK187" s="2118"/>
      <c r="DL187" s="2178"/>
      <c r="DM187" s="2178"/>
      <c r="DN187" s="2220"/>
      <c r="DO187" s="2220"/>
      <c r="DP187" s="2118"/>
      <c r="DQ187" s="2220"/>
      <c r="DR187" s="1661"/>
      <c r="DS187" s="1646"/>
      <c r="DT187" s="1646"/>
      <c r="DU187" s="2118"/>
      <c r="DV187" s="1646"/>
      <c r="DW187" s="1646"/>
      <c r="DX187" s="1646"/>
      <c r="DY187" s="1646"/>
      <c r="DZ187" s="2118"/>
      <c r="EA187" s="1646"/>
      <c r="EB187" s="1646"/>
      <c r="EC187" s="1646"/>
      <c r="ED187" s="1646"/>
      <c r="EE187" s="2118"/>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row>
    <row r="188" spans="2:238" s="93" customFormat="1">
      <c r="B188" s="1895" t="s">
        <v>560</v>
      </c>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f>CG66+CG158+CG181</f>
        <v>67420</v>
      </c>
      <c r="CH188">
        <f>CH66+CH158+CH181</f>
        <v>17344</v>
      </c>
      <c r="CI188">
        <f>CI66+CI158+CI181</f>
        <v>18502</v>
      </c>
      <c r="CJ188">
        <f>CJ66+CJ158+CJ181</f>
        <v>18371</v>
      </c>
      <c r="CK188">
        <f>CK66+CK158+CK181</f>
        <v>17967</v>
      </c>
      <c r="CL188">
        <f t="shared" ref="CL188:DA188" si="448">CL66+CL158+CL181</f>
        <v>72184</v>
      </c>
      <c r="CM188">
        <f t="shared" si="448"/>
        <v>18157</v>
      </c>
      <c r="CN188">
        <f t="shared" si="448"/>
        <v>18651</v>
      </c>
      <c r="CO188">
        <f t="shared" si="448"/>
        <v>17752</v>
      </c>
      <c r="CP188">
        <f t="shared" si="448"/>
        <v>17073</v>
      </c>
      <c r="CQ188">
        <f t="shared" si="448"/>
        <v>71633</v>
      </c>
      <c r="CR188">
        <f t="shared" si="448"/>
        <v>17316</v>
      </c>
      <c r="CS188">
        <f t="shared" si="448"/>
        <v>18647</v>
      </c>
      <c r="CT188">
        <f t="shared" si="448"/>
        <v>18313</v>
      </c>
      <c r="CU188">
        <f t="shared" si="448"/>
        <v>17941</v>
      </c>
      <c r="CV188">
        <f t="shared" si="448"/>
        <v>72217</v>
      </c>
      <c r="CW188">
        <f t="shared" si="448"/>
        <v>18329</v>
      </c>
      <c r="CX188">
        <f t="shared" si="448"/>
        <v>19605</v>
      </c>
      <c r="CY188">
        <f t="shared" si="448"/>
        <v>19401</v>
      </c>
      <c r="CZ188">
        <f t="shared" si="448"/>
        <v>19057</v>
      </c>
      <c r="DA188">
        <f t="shared" si="448"/>
        <v>76392</v>
      </c>
      <c r="DB188" s="2129">
        <v>19554</v>
      </c>
      <c r="DC188" s="2129">
        <v>21048</v>
      </c>
      <c r="DD188" s="2129">
        <v>20425</v>
      </c>
      <c r="DE188" s="2129">
        <v>19947</v>
      </c>
      <c r="DF188" s="1539">
        <f>SUM(DB188:DE188)</f>
        <v>80974</v>
      </c>
      <c r="DG188" s="2243">
        <v>20370</v>
      </c>
      <c r="DH188" s="2129">
        <v>21500</v>
      </c>
      <c r="DI188" s="2129">
        <v>21185</v>
      </c>
      <c r="DJ188" s="2129">
        <v>20747</v>
      </c>
      <c r="DK188" s="1900">
        <f>DK66+DK158+DK181</f>
        <v>83802</v>
      </c>
      <c r="DL188" s="2129">
        <v>20659</v>
      </c>
      <c r="DM188" s="2129">
        <v>21814</v>
      </c>
      <c r="DN188" s="2129">
        <v>22528</v>
      </c>
      <c r="DO188" s="2129">
        <v>22301</v>
      </c>
      <c r="DP188" s="1900">
        <f t="shared" ref="DP188:DU188" si="449">DP66+DP158+DP181</f>
        <v>87302</v>
      </c>
      <c r="DQ188" s="2129">
        <v>22301</v>
      </c>
      <c r="DR188">
        <f t="shared" ca="1" si="449"/>
        <v>25587.34691051254</v>
      </c>
      <c r="DS188">
        <f t="shared" ca="1" si="449"/>
        <v>25885.45996908392</v>
      </c>
      <c r="DT188">
        <f t="shared" si="449"/>
        <v>25157.105169969604</v>
      </c>
      <c r="DU188" s="1900">
        <f t="shared" ca="1" si="449"/>
        <v>98930.912049566075</v>
      </c>
      <c r="DV188" s="2161">
        <f t="shared" ref="DV188:DZ188" si="450">DV66+DV158+DV181</f>
        <v>24848.341650808834</v>
      </c>
      <c r="DW188" s="2161">
        <f t="shared" ca="1" si="450"/>
        <v>26185.142516968463</v>
      </c>
      <c r="DX188" s="2161">
        <f t="shared" ca="1" si="450"/>
        <v>26214.904191508824</v>
      </c>
      <c r="DY188" s="2161">
        <f t="shared" si="450"/>
        <v>25466.797277750775</v>
      </c>
      <c r="DZ188" s="1900">
        <f t="shared" ca="1" si="450"/>
        <v>102715.18563703689</v>
      </c>
      <c r="EA188" s="2248">
        <f t="shared" ref="EA188:EE188" si="451">EA66+EA158+EA181</f>
        <v>25249.671249761548</v>
      </c>
      <c r="EB188" s="2248">
        <f t="shared" ca="1" si="451"/>
        <v>26582.00384367229</v>
      </c>
      <c r="EC188" s="2248">
        <f t="shared" ca="1" si="451"/>
        <v>26651.899495512247</v>
      </c>
      <c r="ED188" s="2248">
        <f t="shared" si="451"/>
        <v>25922.695126636274</v>
      </c>
      <c r="EE188" s="1900">
        <f t="shared" ca="1" si="451"/>
        <v>104406.26971558236</v>
      </c>
      <c r="EF188" s="1"/>
      <c r="EG188" s="1"/>
      <c r="EH188" s="1"/>
      <c r="EI188" s="1"/>
      <c r="EJ188"/>
      <c r="EK188"/>
      <c r="EL188"/>
      <c r="EM188"/>
      <c r="EN188"/>
      <c r="EO188"/>
      <c r="EP188" s="1"/>
      <c r="EQ188" s="1"/>
      <c r="ER188" s="1"/>
      <c r="ES188" s="1"/>
      <c r="ET188" s="1"/>
      <c r="EU188" s="1"/>
      <c r="EV188" s="1"/>
      <c r="EW188" s="1"/>
      <c r="EX188" s="1"/>
      <c r="EY188" s="1"/>
      <c r="EZ188" s="1"/>
      <c r="FA188" s="1"/>
      <c r="FB188" s="1"/>
      <c r="FC188" s="1"/>
      <c r="FD188" s="1"/>
      <c r="FE188" s="1"/>
      <c r="FF188" s="1"/>
      <c r="FG188" s="1"/>
      <c r="FH188" s="1"/>
      <c r="FI188" s="1"/>
      <c r="FJ188" s="1"/>
      <c r="FK188" s="1"/>
      <c r="FL188" s="1"/>
      <c r="FM188" s="1"/>
      <c r="FN188" s="1"/>
      <c r="FO188" s="1"/>
      <c r="FP188" s="1"/>
      <c r="FQ188" s="1"/>
      <c r="FR188" s="1"/>
      <c r="FS188" s="1"/>
      <c r="FT188" s="1"/>
      <c r="FU188" s="1"/>
      <c r="FV188" s="1"/>
      <c r="FW188" s="1"/>
      <c r="FX188" s="1"/>
      <c r="FY188" s="1"/>
      <c r="FZ188" s="1"/>
      <c r="GA188" s="1"/>
      <c r="GB188" s="1"/>
      <c r="GC188" s="1"/>
      <c r="GD188" s="1"/>
      <c r="GE188" s="1"/>
      <c r="GF188" s="1"/>
      <c r="GG188" s="1"/>
      <c r="GH188" s="1"/>
      <c r="GI188" s="1"/>
      <c r="GJ188" s="1"/>
      <c r="GK188" s="1"/>
      <c r="GL188" s="1"/>
      <c r="GM188" s="1"/>
      <c r="GN188" s="1"/>
      <c r="GO188" s="1"/>
      <c r="GP188" s="1"/>
      <c r="GQ188" s="1"/>
      <c r="GR188" s="1"/>
      <c r="GS188" s="1"/>
      <c r="GT188" s="1"/>
      <c r="GU188" s="1"/>
      <c r="GV188" s="1"/>
      <c r="GW188" s="1"/>
      <c r="GX188" s="1"/>
      <c r="GY188" s="1"/>
      <c r="GZ188" s="1"/>
      <c r="HA188" s="1"/>
      <c r="HB188" s="1"/>
      <c r="HC188" s="1"/>
      <c r="HD188" s="1"/>
      <c r="HE188" s="1"/>
      <c r="HF188" s="1"/>
      <c r="HG188" s="1"/>
      <c r="HH188" s="1"/>
      <c r="HI188" s="1"/>
      <c r="HJ188" s="1"/>
      <c r="HK188" s="1"/>
      <c r="HL188" s="1"/>
      <c r="HM188" s="1"/>
      <c r="HN188" s="1"/>
      <c r="HO188" s="1"/>
      <c r="HP188" s="1"/>
      <c r="HQ188" s="1"/>
      <c r="HR188" s="1"/>
      <c r="HS188" s="1"/>
      <c r="HT188" s="1"/>
      <c r="HU188" s="1"/>
      <c r="HV188" s="1"/>
      <c r="HW188" s="1"/>
      <c r="HX188" s="1"/>
      <c r="HY188" s="1"/>
      <c r="HZ188" s="1"/>
      <c r="IA188" s="1"/>
      <c r="IB188" s="1"/>
      <c r="IC188" s="1"/>
      <c r="ID188" s="1"/>
    </row>
    <row r="189" spans="2:238" s="93" customFormat="1" ht="24.75" customHeight="1">
      <c r="B189" s="1580" t="s">
        <v>565</v>
      </c>
      <c r="C189" s="159"/>
      <c r="D189" s="159"/>
      <c r="E189" s="204"/>
      <c r="F189" s="204"/>
      <c r="G189" s="204"/>
      <c r="H189" s="204"/>
      <c r="I189" s="204"/>
      <c r="J189" s="204"/>
      <c r="K189" s="160"/>
      <c r="L189" s="160"/>
      <c r="M189" s="160"/>
      <c r="N189" s="160"/>
      <c r="O189" s="204"/>
      <c r="P189" s="160"/>
      <c r="Q189" s="160"/>
      <c r="R189" s="160"/>
      <c r="S189" s="160"/>
      <c r="T189" s="204"/>
      <c r="U189" s="160"/>
      <c r="V189" s="160"/>
      <c r="W189" s="160"/>
      <c r="X189" s="160"/>
      <c r="Y189" s="204"/>
      <c r="Z189" s="160"/>
      <c r="AA189" s="160"/>
      <c r="AB189" s="160"/>
      <c r="AC189" s="160"/>
      <c r="AD189" s="204"/>
      <c r="AE189" s="160"/>
      <c r="AF189" s="160"/>
      <c r="AG189" s="160"/>
      <c r="AH189" s="160"/>
      <c r="AI189" s="204"/>
      <c r="AJ189" s="160"/>
      <c r="AK189" s="160"/>
      <c r="AL189" s="160"/>
      <c r="AM189" s="160"/>
      <c r="AN189" s="204"/>
      <c r="AO189" s="160"/>
      <c r="AP189" s="160"/>
      <c r="AQ189" s="160"/>
      <c r="AR189" s="160"/>
      <c r="AS189" s="204"/>
      <c r="AT189" s="160"/>
      <c r="AU189" s="160"/>
      <c r="AV189" s="160"/>
      <c r="AW189" s="160"/>
      <c r="AX189" s="204"/>
      <c r="AY189" s="160"/>
      <c r="AZ189" s="160"/>
      <c r="BA189" s="160"/>
      <c r="BB189" s="160"/>
      <c r="BC189" s="204"/>
      <c r="BD189" s="160"/>
      <c r="BE189" s="160"/>
      <c r="BF189" s="160"/>
      <c r="BG189" s="160"/>
      <c r="BH189" s="204"/>
      <c r="BI189" s="160"/>
      <c r="BJ189" s="160"/>
      <c r="BK189" s="160"/>
      <c r="BL189" s="160"/>
      <c r="BM189" s="204"/>
      <c r="BN189" s="160"/>
      <c r="BO189" s="160"/>
      <c r="BP189" s="160"/>
      <c r="BQ189" s="160"/>
      <c r="BR189" s="204"/>
      <c r="BS189" s="160"/>
      <c r="BT189" s="160"/>
      <c r="BU189" s="160"/>
      <c r="BV189" s="160"/>
      <c r="BW189" s="204"/>
      <c r="BX189" s="160"/>
      <c r="BY189" s="160"/>
      <c r="BZ189" s="160"/>
      <c r="CA189" s="160"/>
      <c r="CB189" s="204"/>
      <c r="CC189" s="160"/>
      <c r="CD189" s="160"/>
      <c r="CE189" s="160"/>
      <c r="CF189" s="160"/>
      <c r="CG189" s="619">
        <f>CG84+CG161+CG182</f>
        <v>18976</v>
      </c>
      <c r="CH189" s="73">
        <f>CH84+CH161+CH182</f>
        <v>4945</v>
      </c>
      <c r="CI189" s="73">
        <f t="shared" ref="CI189:DF189" si="452">CI84+CI161+CI182</f>
        <v>5324</v>
      </c>
      <c r="CJ189" s="73">
        <f t="shared" si="452"/>
        <v>5154</v>
      </c>
      <c r="CK189" s="73">
        <f t="shared" si="452"/>
        <v>5069</v>
      </c>
      <c r="CL189" s="619">
        <f t="shared" si="452"/>
        <v>20492</v>
      </c>
      <c r="CM189" s="73">
        <f>CM84+CM161+CM182</f>
        <v>5104</v>
      </c>
      <c r="CN189" s="73">
        <f t="shared" si="452"/>
        <v>5389</v>
      </c>
      <c r="CO189" s="73">
        <f t="shared" si="452"/>
        <v>5014</v>
      </c>
      <c r="CP189" s="73">
        <f t="shared" si="452"/>
        <v>4835</v>
      </c>
      <c r="CQ189" s="619">
        <f t="shared" si="452"/>
        <v>20342</v>
      </c>
      <c r="CR189" s="73">
        <f>CR84+CR161+CR182</f>
        <v>5099</v>
      </c>
      <c r="CS189" s="73">
        <f t="shared" si="452"/>
        <v>5607</v>
      </c>
      <c r="CT189" s="73">
        <f t="shared" si="452"/>
        <v>5222</v>
      </c>
      <c r="CU189" s="73">
        <f t="shared" si="452"/>
        <v>5191</v>
      </c>
      <c r="CV189" s="619">
        <f t="shared" si="452"/>
        <v>21119</v>
      </c>
      <c r="CW189" s="73">
        <f>CW84+CW161+CW182</f>
        <v>5152</v>
      </c>
      <c r="CX189" s="73">
        <f t="shared" si="452"/>
        <v>5650</v>
      </c>
      <c r="CY189" s="73">
        <f t="shared" si="452"/>
        <v>5440</v>
      </c>
      <c r="CZ189" s="73">
        <f t="shared" si="452"/>
        <v>5327</v>
      </c>
      <c r="DA189" s="619">
        <f t="shared" si="452"/>
        <v>21569</v>
      </c>
      <c r="DB189" s="1660">
        <v>5296</v>
      </c>
      <c r="DC189" s="1710">
        <v>5746</v>
      </c>
      <c r="DD189" s="1710">
        <v>5527</v>
      </c>
      <c r="DE189" s="1710">
        <v>5253</v>
      </c>
      <c r="DF189" s="538">
        <f t="shared" ca="1" si="452"/>
        <v>21822</v>
      </c>
      <c r="DG189" s="2244">
        <v>5445</v>
      </c>
      <c r="DH189" s="1710">
        <v>5895</v>
      </c>
      <c r="DI189" s="1710">
        <v>5603</v>
      </c>
      <c r="DJ189" s="1710">
        <v>5388</v>
      </c>
      <c r="DK189" s="777">
        <f ca="1">DK84+DK161+DK182</f>
        <v>22331</v>
      </c>
      <c r="DL189" s="1710">
        <v>5439</v>
      </c>
      <c r="DM189" s="1710">
        <v>5876</v>
      </c>
      <c r="DN189" s="1710">
        <v>5665</v>
      </c>
      <c r="DO189" s="1710">
        <v>5628</v>
      </c>
      <c r="DP189" s="777">
        <f t="shared" ref="DP189:DU189" si="453">DP84+DP161+DP182</f>
        <v>22608</v>
      </c>
      <c r="DQ189" s="1710">
        <v>5628</v>
      </c>
      <c r="DR189" s="73">
        <f t="shared" ca="1" si="453"/>
        <v>6431.1296050066549</v>
      </c>
      <c r="DS189" s="73">
        <f t="shared" ca="1" si="453"/>
        <v>6339.2347145396889</v>
      </c>
      <c r="DT189" s="73">
        <f t="shared" si="453"/>
        <v>6196.6332913150945</v>
      </c>
      <c r="DU189" s="777">
        <f t="shared" ca="1" si="453"/>
        <v>24594.997610861439</v>
      </c>
      <c r="DV189" s="73">
        <f t="shared" ref="DV189:DZ189" si="454">DV84+DV161+DV182</f>
        <v>6127.7352701235177</v>
      </c>
      <c r="DW189" s="73">
        <f t="shared" ca="1" si="454"/>
        <v>6594.6762387326444</v>
      </c>
      <c r="DX189" s="73">
        <f t="shared" ca="1" si="454"/>
        <v>6484.8982536790372</v>
      </c>
      <c r="DY189" s="73">
        <f t="shared" si="454"/>
        <v>6344.2477883306619</v>
      </c>
      <c r="DZ189" s="777">
        <f t="shared" ca="1" si="454"/>
        <v>25551.557550865862</v>
      </c>
      <c r="EA189" s="73">
        <f t="shared" ref="EA189:EE189" si="455">EA84+EA161+EA182</f>
        <v>6263.0969615620834</v>
      </c>
      <c r="EB189" s="73">
        <f t="shared" ca="1" si="455"/>
        <v>6709.9277936641729</v>
      </c>
      <c r="EC189" s="73">
        <f t="shared" ca="1" si="455"/>
        <v>6615.6513157695181</v>
      </c>
      <c r="ED189" s="73">
        <f t="shared" si="455"/>
        <v>6473.3780198159902</v>
      </c>
      <c r="EE189" s="777">
        <f t="shared" ca="1" si="455"/>
        <v>26062.054090811765</v>
      </c>
      <c r="EF189" s="1"/>
      <c r="EG189" s="1">
        <f ca="1">DR189-DQ189</f>
        <v>803.12960500665486</v>
      </c>
      <c r="EH189" s="1"/>
      <c r="EI189" s="1"/>
      <c r="EJ189"/>
      <c r="EK189"/>
      <c r="EL189"/>
      <c r="EM189"/>
      <c r="EN189"/>
      <c r="EO189"/>
      <c r="EP189" s="1"/>
      <c r="EQ189" s="1"/>
      <c r="ER189" s="1"/>
      <c r="ES189" s="1"/>
      <c r="ET189" s="1"/>
      <c r="EU189" s="1"/>
      <c r="EV189" s="1"/>
      <c r="EW189" s="1"/>
      <c r="EX189" s="1"/>
      <c r="EY189" s="1"/>
      <c r="EZ189" s="1"/>
      <c r="FA189" s="1"/>
      <c r="FB189" s="1"/>
      <c r="FC189" s="1"/>
      <c r="FD189" s="1"/>
      <c r="FE189" s="1"/>
      <c r="FF189" s="1"/>
      <c r="FG189" s="1"/>
      <c r="FH189" s="1"/>
      <c r="FI189" s="1"/>
      <c r="FJ189" s="1"/>
      <c r="FK189" s="1"/>
      <c r="FL189" s="1"/>
      <c r="FM189" s="1"/>
      <c r="FN189" s="1"/>
      <c r="FO189" s="1"/>
      <c r="FP189" s="1"/>
      <c r="FQ189" s="1"/>
      <c r="FR189" s="1"/>
      <c r="FS189" s="1"/>
      <c r="FT189" s="1"/>
      <c r="FU189" s="1"/>
      <c r="FV189" s="1"/>
      <c r="FW189" s="1"/>
      <c r="FX189" s="1"/>
      <c r="FY189" s="1"/>
      <c r="FZ189" s="1"/>
      <c r="GA189" s="1"/>
      <c r="GB189" s="1"/>
      <c r="GC189" s="1"/>
      <c r="GD189" s="1"/>
      <c r="GE189" s="1"/>
      <c r="GF189" s="1"/>
      <c r="GG189" s="1"/>
      <c r="GH189" s="1"/>
      <c r="GI189" s="1"/>
      <c r="GJ189" s="1"/>
      <c r="GK189" s="1"/>
      <c r="GL189" s="1"/>
      <c r="GM189" s="1"/>
      <c r="GN189" s="1"/>
      <c r="GO189" s="1"/>
      <c r="GP189" s="1"/>
      <c r="GQ189" s="1"/>
      <c r="GR189" s="1"/>
      <c r="GS189" s="1"/>
      <c r="GT189" s="1"/>
      <c r="GU189" s="1"/>
      <c r="GV189" s="1"/>
      <c r="GW189" s="1"/>
      <c r="GX189" s="1"/>
      <c r="GY189" s="1"/>
      <c r="GZ189" s="1"/>
      <c r="HA189" s="1"/>
      <c r="HB189" s="1"/>
      <c r="HC189" s="1"/>
      <c r="HD189" s="1"/>
      <c r="HE189" s="1"/>
      <c r="HF189" s="1"/>
      <c r="HG189" s="1"/>
      <c r="HH189" s="1"/>
      <c r="HI189" s="1"/>
      <c r="HJ189" s="1"/>
      <c r="HK189" s="1"/>
      <c r="HL189" s="1"/>
      <c r="HM189" s="1"/>
      <c r="HN189" s="1"/>
      <c r="HO189" s="1"/>
      <c r="HP189" s="1"/>
      <c r="HQ189" s="1"/>
      <c r="HR189" s="1"/>
      <c r="HS189" s="1"/>
      <c r="HT189" s="1"/>
      <c r="HU189" s="1"/>
      <c r="HV189" s="1"/>
      <c r="HW189" s="1"/>
      <c r="HX189" s="1"/>
      <c r="HY189" s="1"/>
      <c r="HZ189" s="1"/>
      <c r="IA189" s="1"/>
      <c r="IB189" s="1"/>
      <c r="IC189" s="1"/>
      <c r="ID189" s="1"/>
    </row>
    <row r="190" spans="2:238" s="182" customFormat="1" ht="12.75" customHeight="1">
      <c r="B190" s="551" t="s">
        <v>470</v>
      </c>
      <c r="C190" s="107"/>
      <c r="D190" s="107"/>
      <c r="E190" s="143"/>
      <c r="F190" s="143"/>
      <c r="G190" s="143"/>
      <c r="H190" s="143"/>
      <c r="I190" s="143"/>
      <c r="J190" s="143"/>
      <c r="K190" s="145"/>
      <c r="L190" s="145"/>
      <c r="M190" s="145"/>
      <c r="N190" s="145"/>
      <c r="O190" s="143"/>
      <c r="P190" s="145"/>
      <c r="Q190" s="145"/>
      <c r="R190" s="145"/>
      <c r="S190" s="145"/>
      <c r="T190" s="143"/>
      <c r="U190" s="145"/>
      <c r="V190" s="145"/>
      <c r="W190" s="145"/>
      <c r="X190" s="145"/>
      <c r="Y190" s="143"/>
      <c r="Z190" s="145"/>
      <c r="AA190" s="145"/>
      <c r="AB190" s="145"/>
      <c r="AC190" s="145"/>
      <c r="AD190" s="143"/>
      <c r="AE190" s="145"/>
      <c r="AF190" s="145"/>
      <c r="AG190" s="145"/>
      <c r="AH190" s="145"/>
      <c r="AI190" s="143"/>
      <c r="AJ190" s="145"/>
      <c r="AK190" s="145"/>
      <c r="AL190" s="145"/>
      <c r="AM190" s="145"/>
      <c r="AN190" s="143"/>
      <c r="AO190" s="145"/>
      <c r="AP190" s="145"/>
      <c r="AQ190" s="145"/>
      <c r="AR190" s="145"/>
      <c r="AS190" s="143"/>
      <c r="AT190" s="145"/>
      <c r="AU190" s="145"/>
      <c r="AV190" s="145"/>
      <c r="AW190" s="145"/>
      <c r="AX190" s="143"/>
      <c r="AY190" s="145"/>
      <c r="AZ190" s="145"/>
      <c r="BA190" s="145"/>
      <c r="BB190" s="145"/>
      <c r="BC190" s="143"/>
      <c r="BD190" s="145"/>
      <c r="BE190" s="145"/>
      <c r="BF190" s="145"/>
      <c r="BG190" s="145"/>
      <c r="BH190" s="143"/>
      <c r="BI190" s="145"/>
      <c r="BJ190" s="145"/>
      <c r="BK190" s="145"/>
      <c r="BL190" s="145"/>
      <c r="BM190" s="143"/>
      <c r="BN190" s="145"/>
      <c r="BO190" s="145"/>
      <c r="BP190" s="145"/>
      <c r="BQ190" s="145"/>
      <c r="BR190" s="143"/>
      <c r="BS190" s="145"/>
      <c r="BT190" s="145"/>
      <c r="BU190" s="145"/>
      <c r="BV190" s="145"/>
      <c r="BW190" s="143"/>
      <c r="BX190" s="145"/>
      <c r="BY190" s="145"/>
      <c r="BZ190" s="145"/>
      <c r="CA190" s="145"/>
      <c r="CB190" s="143"/>
      <c r="CC190" s="145"/>
      <c r="CD190" s="145"/>
      <c r="CE190" s="145"/>
      <c r="CF190" s="145"/>
      <c r="CG190" s="1589"/>
      <c r="CH190" s="1590"/>
      <c r="CI190" s="1590"/>
      <c r="CJ190" s="1590"/>
      <c r="CK190" s="1590"/>
      <c r="CL190" s="1589"/>
      <c r="CM190" s="1590"/>
      <c r="CN190" s="1590"/>
      <c r="CO190" s="1590"/>
      <c r="CP190" s="1590"/>
      <c r="CQ190" s="1589"/>
      <c r="CR190" s="1973">
        <f>CR188/CP188-1</f>
        <v>1.4232999472851837E-2</v>
      </c>
      <c r="CS190" s="115">
        <f>CS188/CR188-1</f>
        <v>7.6865326865326766E-2</v>
      </c>
      <c r="CT190" s="115">
        <f>CT188/CS188-1</f>
        <v>-1.7911728428165352E-2</v>
      </c>
      <c r="CU190" s="1973">
        <f>CU188/CT188-1</f>
        <v>-2.0313438540927264E-2</v>
      </c>
      <c r="CV190" s="1589"/>
      <c r="CW190" s="1973">
        <f>CW188/CU188-1</f>
        <v>2.1626442227300702E-2</v>
      </c>
      <c r="CX190" s="115">
        <f>CX188/CW188-1</f>
        <v>6.9616454798406835E-2</v>
      </c>
      <c r="CY190" s="115">
        <f>CY188/CX188-1</f>
        <v>-1.0405508798775776E-2</v>
      </c>
      <c r="CZ190" s="1973">
        <f>CZ188/CY188-1</f>
        <v>-1.7731044791505557E-2</v>
      </c>
      <c r="DA190" s="1589"/>
      <c r="DB190" s="1590"/>
      <c r="DC190" s="1590">
        <f>Model!DC9</f>
        <v>26573</v>
      </c>
      <c r="DD190" s="1590">
        <f>Model!DD9</f>
        <v>28795</v>
      </c>
      <c r="DE190" s="1590">
        <f>Model!DE9</f>
        <v>28522</v>
      </c>
      <c r="DF190" s="545">
        <f>Model!DF9</f>
        <v>103444</v>
      </c>
      <c r="DG190" s="2245">
        <f>Model!DG9</f>
        <v>29033</v>
      </c>
      <c r="DH190" s="1590">
        <f>Model!DH9</f>
        <v>30184</v>
      </c>
      <c r="DI190" s="1590">
        <f>Model!DI9</f>
        <v>29498</v>
      </c>
      <c r="DJ190" s="1590">
        <f>Model!DJ9</f>
        <v>28636</v>
      </c>
      <c r="DK190" s="1591">
        <f>Model!DK9</f>
        <v>117351</v>
      </c>
      <c r="DL190" s="1590">
        <f>Model!DL9</f>
        <v>28501</v>
      </c>
      <c r="DM190" s="1590">
        <f>Model!DM9</f>
        <v>29446</v>
      </c>
      <c r="DN190" s="1590">
        <f>Model!DN9</f>
        <v>30118</v>
      </c>
      <c r="DO190" s="1590">
        <f>Model!DO9</f>
        <v>30149</v>
      </c>
      <c r="DP190" s="1591">
        <f>Model!DP9</f>
        <v>118214</v>
      </c>
      <c r="DQ190" s="1590">
        <f>Model!DQ9</f>
        <v>30740</v>
      </c>
      <c r="DR190" s="1590">
        <f ca="1">Model!DR9</f>
        <v>33566.861696755666</v>
      </c>
      <c r="DS190" s="1590">
        <f ca="1">Model!DS9</f>
        <v>33846.769999439988</v>
      </c>
      <c r="DT190" s="1590">
        <f>Model!DT9</f>
        <v>33300.983209543454</v>
      </c>
      <c r="DU190" s="1591">
        <f ca="1">Model!DU9</f>
        <v>131454.61490573912</v>
      </c>
      <c r="DV190" s="1590">
        <f>Model!DV9</f>
        <v>33290.238599673678</v>
      </c>
      <c r="DW190" s="1590">
        <f ca="1">Model!DW9</f>
        <v>34360.8961025096</v>
      </c>
      <c r="DX190" s="1590">
        <f ca="1">Model!DX9</f>
        <v>34363.933544856904</v>
      </c>
      <c r="DY190" s="1590">
        <f>Model!DY9</f>
        <v>33802.297253989949</v>
      </c>
      <c r="DZ190" s="1591">
        <f ca="1">Model!DZ9</f>
        <v>135817.36550103012</v>
      </c>
      <c r="EA190" s="1590">
        <f>Model!EA9</f>
        <v>33888.349850143466</v>
      </c>
      <c r="EB190" s="1590">
        <f ca="1">Model!EB9</f>
        <v>34959.600922786703</v>
      </c>
      <c r="EC190" s="1590">
        <f ca="1">Model!EC9</f>
        <v>34993.838013079541</v>
      </c>
      <c r="ED190" s="1590">
        <f>Model!ED9</f>
        <v>34455.105501630089</v>
      </c>
      <c r="EE190" s="1591">
        <f ca="1">Model!EE9</f>
        <v>138296.89428763979</v>
      </c>
      <c r="EF190" s="4"/>
      <c r="EG190" s="4"/>
      <c r="EH190" s="4"/>
      <c r="EI190" s="4"/>
      <c r="EJ190"/>
      <c r="EK190"/>
      <c r="EL190"/>
      <c r="EM190"/>
      <c r="EN190"/>
      <c r="EO190"/>
      <c r="EP190" s="4"/>
      <c r="EQ190" s="4"/>
      <c r="ER190" s="4"/>
      <c r="ES190" s="4"/>
      <c r="ET190" s="4"/>
      <c r="EU190" s="4"/>
      <c r="EV190" s="4"/>
      <c r="EW190" s="4"/>
      <c r="EX190" s="4"/>
      <c r="EY190" s="4"/>
      <c r="EZ190" s="4"/>
      <c r="FA190" s="4"/>
      <c r="FB190" s="4"/>
      <c r="FC190" s="4"/>
      <c r="FD190" s="4"/>
      <c r="FE190" s="4"/>
      <c r="FF190" s="4"/>
      <c r="FG190" s="4"/>
      <c r="FH190" s="4"/>
      <c r="FI190" s="4"/>
      <c r="FJ190" s="4"/>
      <c r="FK190" s="4"/>
      <c r="FL190" s="4"/>
      <c r="FM190" s="4"/>
      <c r="FN190" s="4"/>
      <c r="FO190" s="4"/>
      <c r="FP190" s="4"/>
      <c r="FQ190" s="4"/>
      <c r="FR190" s="4"/>
      <c r="FS190" s="4"/>
      <c r="FT190" s="4"/>
      <c r="FU190" s="4"/>
      <c r="FV190" s="4"/>
      <c r="FW190" s="4"/>
      <c r="FX190" s="4"/>
      <c r="FY190" s="4"/>
      <c r="FZ190" s="4"/>
      <c r="GA190" s="4"/>
      <c r="GB190" s="4"/>
      <c r="GC190" s="4"/>
      <c r="GD190" s="4"/>
      <c r="GE190" s="4"/>
      <c r="GF190" s="4"/>
      <c r="GG190" s="4"/>
      <c r="GH190" s="4"/>
      <c r="GI190" s="4"/>
      <c r="GJ190" s="4"/>
      <c r="GK190" s="4"/>
      <c r="GL190" s="4"/>
      <c r="GM190" s="4"/>
      <c r="GN190" s="4"/>
      <c r="GO190" s="4"/>
      <c r="GP190" s="4"/>
      <c r="GQ190" s="4"/>
      <c r="GR190" s="4"/>
      <c r="GS190" s="4"/>
      <c r="GT190" s="4"/>
      <c r="GU190" s="4"/>
      <c r="GV190" s="4"/>
      <c r="GW190" s="4"/>
      <c r="GX190" s="4"/>
      <c r="GY190" s="4"/>
      <c r="GZ190" s="4"/>
      <c r="HA190" s="4"/>
      <c r="HB190" s="4"/>
      <c r="HC190" s="4"/>
      <c r="HD190" s="4"/>
      <c r="HE190" s="4"/>
      <c r="HF190" s="4"/>
      <c r="HG190" s="4"/>
      <c r="HH190" s="4"/>
      <c r="HI190" s="4"/>
      <c r="HJ190" s="4"/>
      <c r="HK190" s="4"/>
      <c r="HL190" s="4"/>
      <c r="HM190" s="4"/>
      <c r="HN190" s="4"/>
      <c r="HO190" s="4"/>
      <c r="HP190" s="4"/>
      <c r="HQ190" s="4"/>
      <c r="HR190" s="4"/>
      <c r="HS190" s="4"/>
      <c r="HT190" s="4"/>
      <c r="HU190" s="4"/>
      <c r="HV190" s="4"/>
      <c r="HW190" s="4"/>
      <c r="HX190" s="4"/>
      <c r="HY190" s="4"/>
      <c r="HZ190" s="4"/>
      <c r="IA190" s="4"/>
      <c r="IB190" s="4"/>
      <c r="IC190" s="4"/>
      <c r="ID190" s="4"/>
    </row>
    <row r="191" spans="2:238" s="182" customFormat="1" ht="12.75" customHeight="1">
      <c r="B191" s="551" t="s">
        <v>228</v>
      </c>
      <c r="C191" s="107"/>
      <c r="D191" s="107"/>
      <c r="E191" s="143"/>
      <c r="F191" s="143"/>
      <c r="G191" s="143"/>
      <c r="H191" s="143"/>
      <c r="I191" s="143"/>
      <c r="J191" s="143"/>
      <c r="K191" s="145"/>
      <c r="L191" s="145"/>
      <c r="M191" s="145"/>
      <c r="N191" s="145"/>
      <c r="O191" s="143"/>
      <c r="P191" s="145"/>
      <c r="Q191" s="145"/>
      <c r="R191" s="145"/>
      <c r="S191" s="145"/>
      <c r="T191" s="143"/>
      <c r="U191" s="145"/>
      <c r="V191" s="145"/>
      <c r="W191" s="145"/>
      <c r="X191" s="145"/>
      <c r="Y191" s="143"/>
      <c r="Z191" s="145"/>
      <c r="AA191" s="145"/>
      <c r="AB191" s="145"/>
      <c r="AC191" s="145"/>
      <c r="AD191" s="143"/>
      <c r="AE191" s="145"/>
      <c r="AF191" s="145"/>
      <c r="AG191" s="145"/>
      <c r="AH191" s="145"/>
      <c r="AI191" s="143"/>
      <c r="AJ191" s="145"/>
      <c r="AK191" s="145"/>
      <c r="AL191" s="145"/>
      <c r="AM191" s="145"/>
      <c r="AN191" s="143"/>
      <c r="AO191" s="145"/>
      <c r="AP191" s="145"/>
      <c r="AQ191" s="145"/>
      <c r="AR191" s="145"/>
      <c r="AS191" s="143"/>
      <c r="AT191" s="145"/>
      <c r="AU191" s="145"/>
      <c r="AV191" s="145"/>
      <c r="AW191" s="145"/>
      <c r="AX191" s="143"/>
      <c r="AY191" s="145"/>
      <c r="AZ191" s="145"/>
      <c r="BA191" s="145"/>
      <c r="BB191" s="145"/>
      <c r="BC191" s="143"/>
      <c r="BD191" s="145"/>
      <c r="BE191" s="145"/>
      <c r="BF191" s="145"/>
      <c r="BG191" s="145"/>
      <c r="BH191" s="143"/>
      <c r="BI191" s="145"/>
      <c r="BJ191" s="145"/>
      <c r="BK191" s="145"/>
      <c r="BL191" s="145"/>
      <c r="BM191" s="143"/>
      <c r="BN191" s="145"/>
      <c r="BO191" s="145"/>
      <c r="BP191" s="145"/>
      <c r="BQ191" s="145"/>
      <c r="BR191" s="143"/>
      <c r="BS191" s="145"/>
      <c r="BT191" s="145"/>
      <c r="BU191" s="145"/>
      <c r="BV191" s="145"/>
      <c r="BW191" s="143"/>
      <c r="BX191" s="145"/>
      <c r="BY191" s="145"/>
      <c r="BZ191" s="145"/>
      <c r="CA191" s="145"/>
      <c r="CB191" s="143"/>
      <c r="CC191" s="145"/>
      <c r="CD191" s="145"/>
      <c r="CE191" s="145"/>
      <c r="CF191" s="145"/>
      <c r="CG191" s="1589"/>
      <c r="CH191" s="1590"/>
      <c r="CI191" s="1590"/>
      <c r="CJ191" s="1590"/>
      <c r="CK191" s="1590"/>
      <c r="CL191" s="1589"/>
      <c r="CM191" s="1590"/>
      <c r="CN191" s="1590"/>
      <c r="CO191" s="1590"/>
      <c r="CP191" s="1590"/>
      <c r="CQ191" s="1589"/>
      <c r="CR191" s="1590"/>
      <c r="CS191" s="1590"/>
      <c r="CT191" s="1590"/>
      <c r="CU191" s="1590"/>
      <c r="CV191" s="1589"/>
      <c r="CW191" s="1590"/>
      <c r="CX191" s="1590"/>
      <c r="CY191" s="1590"/>
      <c r="CZ191" s="1590"/>
      <c r="DA191" s="1589"/>
      <c r="DB191" s="1590"/>
      <c r="DC191" s="1590">
        <f>Model!DC11</f>
        <v>6882</v>
      </c>
      <c r="DD191" s="1590">
        <f>Model!DD11</f>
        <v>7481</v>
      </c>
      <c r="DE191" s="1590">
        <f>Model!DE11</f>
        <v>7265</v>
      </c>
      <c r="DF191" s="545">
        <f>Model!DF11</f>
        <v>26924</v>
      </c>
      <c r="DG191" s="2245">
        <f>Model!DG11</f>
        <v>7502</v>
      </c>
      <c r="DH191" s="1590">
        <f>Model!DH11</f>
        <v>7944</v>
      </c>
      <c r="DI191" s="1590">
        <f>Model!DI11</f>
        <v>7497</v>
      </c>
      <c r="DJ191" s="1590">
        <f>Model!DJ11</f>
        <v>7155</v>
      </c>
      <c r="DK191" s="1591">
        <f>Model!DK11</f>
        <v>30098</v>
      </c>
      <c r="DL191" s="1590">
        <f>Model!DL11</f>
        <v>7116</v>
      </c>
      <c r="DM191" s="1590">
        <f>Model!DM11</f>
        <v>7561</v>
      </c>
      <c r="DN191" s="1590">
        <f>Model!DN11</f>
        <v>7145</v>
      </c>
      <c r="DO191" s="1590">
        <f>Model!DO11</f>
        <v>7340</v>
      </c>
      <c r="DP191" s="1591">
        <f>Model!DP11</f>
        <v>29162</v>
      </c>
      <c r="DQ191" s="1590">
        <f>Model!DQ11</f>
        <v>7341</v>
      </c>
      <c r="DR191" s="1590">
        <f ca="1">Model!DR11</f>
        <v>8297.8390253425878</v>
      </c>
      <c r="DS191" s="1590">
        <f ca="1">Model!DS11</f>
        <v>8132.3036935442333</v>
      </c>
      <c r="DT191" s="1590">
        <f>Model!DT11</f>
        <v>8033.4841696022559</v>
      </c>
      <c r="DU191" s="1591">
        <f ca="1">Model!DU11</f>
        <v>31804.626888489089</v>
      </c>
      <c r="DV191" s="1590">
        <f>Model!DV11</f>
        <v>7926.5777207918818</v>
      </c>
      <c r="DW191" s="1590">
        <f ca="1">Model!DW11</f>
        <v>8519.1062221134598</v>
      </c>
      <c r="DX191" s="1590">
        <f ca="1">Model!DX11</f>
        <v>8332.776412285737</v>
      </c>
      <c r="DY191" s="1590">
        <f>Model!DY11</f>
        <v>8237.6084434622862</v>
      </c>
      <c r="DZ191" s="1591">
        <f ca="1">Model!DZ11</f>
        <v>33016.068798653345</v>
      </c>
      <c r="EA191" s="1590">
        <f>Model!EA11</f>
        <v>8116.7739832998295</v>
      </c>
      <c r="EB191" s="1590">
        <f ca="1">Model!EB11</f>
        <v>8693.9773569173849</v>
      </c>
      <c r="EC191" s="1590">
        <f ca="1">Model!EC11</f>
        <v>8520.1310341027765</v>
      </c>
      <c r="ED191" s="1590">
        <f>Model!ED11</f>
        <v>8425.1024660429139</v>
      </c>
      <c r="EE191" s="1591">
        <f ca="1">Model!EE11</f>
        <v>33755.984840362915</v>
      </c>
      <c r="EF191" s="4"/>
      <c r="EG191" s="4">
        <f>DM189-DL189</f>
        <v>437</v>
      </c>
      <c r="EH191" s="4"/>
      <c r="EI191" s="4"/>
      <c r="EJ191"/>
      <c r="EK191"/>
      <c r="EL191"/>
      <c r="EM191"/>
      <c r="EN191"/>
      <c r="EO191"/>
      <c r="EP191" s="4"/>
      <c r="EQ191" s="4"/>
      <c r="ER191" s="4"/>
      <c r="ES191" s="4"/>
      <c r="ET191" s="4"/>
      <c r="EU191" s="4"/>
      <c r="EV191" s="4"/>
      <c r="EW191" s="4"/>
      <c r="EX191" s="4"/>
      <c r="EY191" s="4"/>
      <c r="EZ191" s="4"/>
      <c r="FA191" s="4"/>
      <c r="FB191" s="4"/>
      <c r="FC191" s="4"/>
      <c r="FD191" s="4"/>
      <c r="FE191" s="4"/>
      <c r="FF191" s="4"/>
      <c r="FG191" s="4"/>
      <c r="FH191" s="4"/>
      <c r="FI191" s="4"/>
      <c r="FJ191" s="4"/>
      <c r="FK191" s="4"/>
      <c r="FL191" s="4"/>
      <c r="FM191" s="4"/>
      <c r="FN191" s="4"/>
      <c r="FO191" s="4"/>
      <c r="FP191" s="4"/>
      <c r="FQ191" s="4"/>
      <c r="FR191" s="4"/>
      <c r="FS191" s="4"/>
      <c r="FT191" s="4"/>
      <c r="FU191" s="4"/>
      <c r="FV191" s="4"/>
      <c r="FW191" s="4"/>
      <c r="FX191" s="4"/>
      <c r="FY191" s="4"/>
      <c r="FZ191" s="4"/>
      <c r="GA191" s="4"/>
      <c r="GB191" s="4"/>
      <c r="GC191" s="4"/>
      <c r="GD191" s="4"/>
      <c r="GE191" s="4"/>
      <c r="GF191" s="4"/>
      <c r="GG191" s="4"/>
      <c r="GH191" s="4"/>
      <c r="GI191" s="4"/>
      <c r="GJ191" s="4"/>
      <c r="GK191" s="4"/>
      <c r="GL191" s="4"/>
      <c r="GM191" s="4"/>
      <c r="GN191" s="4"/>
      <c r="GO191" s="4"/>
      <c r="GP191" s="4"/>
      <c r="GQ191" s="4"/>
      <c r="GR191" s="4"/>
      <c r="GS191" s="4"/>
      <c r="GT191" s="4"/>
      <c r="GU191" s="4"/>
      <c r="GV191" s="4"/>
      <c r="GW191" s="4"/>
      <c r="GX191" s="4"/>
      <c r="GY191" s="4"/>
      <c r="GZ191" s="4"/>
      <c r="HA191" s="4"/>
      <c r="HB191" s="4"/>
      <c r="HC191" s="4"/>
      <c r="HD191" s="4"/>
      <c r="HE191" s="4"/>
      <c r="HF191" s="4"/>
      <c r="HG191" s="4"/>
      <c r="HH191" s="4"/>
      <c r="HI191" s="4"/>
      <c r="HJ191" s="4"/>
      <c r="HK191" s="4"/>
      <c r="HL191" s="4"/>
      <c r="HM191" s="4"/>
      <c r="HN191" s="4"/>
      <c r="HO191" s="4"/>
      <c r="HP191" s="4"/>
      <c r="HQ191" s="4"/>
      <c r="HR191" s="4"/>
      <c r="HS191" s="4"/>
      <c r="HT191" s="4"/>
      <c r="HU191" s="4"/>
      <c r="HV191" s="4"/>
      <c r="HW191" s="4"/>
      <c r="HX191" s="4"/>
      <c r="HY191" s="4"/>
      <c r="HZ191" s="4"/>
      <c r="IA191" s="4"/>
      <c r="IB191" s="4"/>
      <c r="IC191" s="4"/>
      <c r="ID191" s="4"/>
    </row>
    <row r="192" spans="2:238" s="93" customFormat="1" ht="12.75" customHeight="1">
      <c r="B192" s="1580"/>
      <c r="C192" s="159"/>
      <c r="D192" s="159"/>
      <c r="E192" s="204"/>
      <c r="F192" s="204"/>
      <c r="G192" s="204"/>
      <c r="H192" s="204"/>
      <c r="I192" s="204"/>
      <c r="J192" s="204"/>
      <c r="K192" s="160"/>
      <c r="L192" s="160"/>
      <c r="M192" s="160"/>
      <c r="N192" s="160"/>
      <c r="O192" s="204"/>
      <c r="P192" s="160"/>
      <c r="Q192" s="160"/>
      <c r="R192" s="160"/>
      <c r="S192" s="160"/>
      <c r="T192" s="204"/>
      <c r="U192" s="160"/>
      <c r="V192" s="160"/>
      <c r="W192" s="160"/>
      <c r="X192" s="160"/>
      <c r="Y192" s="204"/>
      <c r="Z192" s="160"/>
      <c r="AA192" s="160"/>
      <c r="AB192" s="160"/>
      <c r="AC192" s="160"/>
      <c r="AD192" s="204"/>
      <c r="AE192" s="160"/>
      <c r="AF192" s="160"/>
      <c r="AG192" s="160"/>
      <c r="AH192" s="160"/>
      <c r="AI192" s="204"/>
      <c r="AJ192" s="160"/>
      <c r="AK192" s="160"/>
      <c r="AL192" s="160"/>
      <c r="AM192" s="160"/>
      <c r="AN192" s="204"/>
      <c r="AO192" s="160"/>
      <c r="AP192" s="160"/>
      <c r="AQ192" s="160"/>
      <c r="AR192" s="160"/>
      <c r="AS192" s="204"/>
      <c r="AT192" s="160"/>
      <c r="AU192" s="160"/>
      <c r="AV192" s="160"/>
      <c r="AW192" s="160"/>
      <c r="AX192" s="204"/>
      <c r="AY192" s="160"/>
      <c r="AZ192" s="160"/>
      <c r="BA192" s="160"/>
      <c r="BB192" s="160"/>
      <c r="BC192" s="204"/>
      <c r="BD192" s="160"/>
      <c r="BE192" s="160"/>
      <c r="BF192" s="160"/>
      <c r="BG192" s="160"/>
      <c r="BH192" s="204"/>
      <c r="BI192" s="160"/>
      <c r="BJ192" s="160"/>
      <c r="BK192" s="160"/>
      <c r="BL192" s="160"/>
      <c r="BM192" s="204"/>
      <c r="BN192" s="160"/>
      <c r="BO192" s="160"/>
      <c r="BP192" s="160"/>
      <c r="BQ192" s="160"/>
      <c r="BR192" s="204"/>
      <c r="BS192" s="160"/>
      <c r="BT192" s="160"/>
      <c r="BU192" s="160"/>
      <c r="BV192" s="160"/>
      <c r="BW192" s="204"/>
      <c r="BX192" s="160"/>
      <c r="BY192" s="160"/>
      <c r="BZ192" s="160"/>
      <c r="CA192" s="160"/>
      <c r="CB192" s="204"/>
      <c r="CC192" s="160"/>
      <c r="CD192" s="160"/>
      <c r="CE192" s="160"/>
      <c r="CF192" s="160"/>
      <c r="CG192" s="619"/>
      <c r="CH192" s="73"/>
      <c r="CI192" s="73"/>
      <c r="CJ192" s="73"/>
      <c r="CK192" s="73"/>
      <c r="CL192" s="619"/>
      <c r="CM192" s="73"/>
      <c r="CN192" s="73"/>
      <c r="CO192" s="73"/>
      <c r="CP192" s="73"/>
      <c r="CQ192" s="619"/>
      <c r="CR192" s="73"/>
      <c r="CS192" s="73"/>
      <c r="CT192" s="73"/>
      <c r="CU192" s="73"/>
      <c r="CV192" s="619"/>
      <c r="CW192" s="73"/>
      <c r="CX192" s="73"/>
      <c r="CY192" s="73"/>
      <c r="CZ192" s="73"/>
      <c r="DA192" s="619"/>
      <c r="DB192" s="73"/>
      <c r="DC192" s="73"/>
      <c r="DD192" s="73"/>
      <c r="DE192" s="73"/>
      <c r="DF192" s="619"/>
      <c r="DG192" s="73"/>
      <c r="DH192" s="73"/>
      <c r="DI192" s="73"/>
      <c r="DJ192" s="73"/>
      <c r="DK192" s="777"/>
      <c r="DL192" s="73"/>
      <c r="DM192" s="73"/>
      <c r="DN192" s="73"/>
      <c r="DO192" s="73"/>
      <c r="DP192" s="777"/>
      <c r="DQ192" s="73"/>
      <c r="DR192" s="73"/>
      <c r="DS192" s="73"/>
      <c r="DT192" s="73"/>
      <c r="DU192" s="777"/>
      <c r="DV192" s="73"/>
      <c r="DW192" s="73"/>
      <c r="DX192" s="73"/>
      <c r="DY192" s="73"/>
      <c r="DZ192" s="777"/>
      <c r="EA192" s="73"/>
      <c r="EB192" s="73"/>
      <c r="EC192" s="73"/>
      <c r="ED192" s="73"/>
      <c r="EE192" s="777"/>
      <c r="EF192" s="1"/>
      <c r="EG192" s="1"/>
      <c r="EH192" s="1"/>
      <c r="EI192" s="1"/>
      <c r="EJ192"/>
      <c r="EK192"/>
      <c r="EL192"/>
      <c r="EM192"/>
      <c r="EN192"/>
      <c r="EO192"/>
      <c r="EP192" s="1"/>
      <c r="EQ192" s="1"/>
      <c r="ER192" s="1"/>
      <c r="ES192" s="1"/>
      <c r="ET192" s="1"/>
      <c r="EU192" s="1"/>
      <c r="EV192" s="1"/>
      <c r="EW192" s="1"/>
      <c r="EX192" s="1"/>
      <c r="EY192" s="1"/>
      <c r="EZ192" s="1"/>
      <c r="FA192" s="1"/>
      <c r="FB192" s="1"/>
      <c r="FC192" s="1"/>
      <c r="FD192" s="1"/>
      <c r="FE192" s="1"/>
      <c r="FF192" s="1"/>
      <c r="FG192" s="1"/>
      <c r="FH192" s="1"/>
      <c r="FI192" s="1"/>
      <c r="FJ192" s="1"/>
      <c r="FK192" s="1"/>
      <c r="FL192" s="1"/>
      <c r="FM192" s="1"/>
      <c r="FN192" s="1"/>
      <c r="FO192" s="1"/>
      <c r="FP192" s="1"/>
      <c r="FQ192" s="1"/>
      <c r="FR192" s="1"/>
      <c r="FS192" s="1"/>
      <c r="FT192" s="1"/>
      <c r="FU192" s="1"/>
      <c r="FV192" s="1"/>
      <c r="FW192" s="1"/>
      <c r="FX192" s="1"/>
      <c r="FY192" s="1"/>
      <c r="FZ192" s="1"/>
      <c r="GA192" s="1"/>
      <c r="GB192" s="1"/>
      <c r="GC192" s="1"/>
      <c r="GD192" s="1"/>
      <c r="GE192" s="1"/>
      <c r="GF192" s="1"/>
      <c r="GG192" s="1"/>
      <c r="GH192" s="1"/>
      <c r="GI192" s="1"/>
      <c r="GJ192" s="1"/>
      <c r="GK192" s="1"/>
      <c r="GL192" s="1"/>
      <c r="GM192" s="1"/>
      <c r="GN192" s="1"/>
      <c r="GO192" s="1"/>
      <c r="GP192" s="1"/>
      <c r="GQ192" s="1"/>
      <c r="GR192" s="1"/>
      <c r="GS192" s="1"/>
      <c r="GT192" s="1"/>
      <c r="GU192" s="1"/>
      <c r="GV192" s="1"/>
      <c r="GW192" s="1"/>
      <c r="GX192" s="1"/>
      <c r="GY192" s="1"/>
      <c r="GZ192" s="1"/>
      <c r="HA192" s="1"/>
      <c r="HB192" s="1"/>
      <c r="HC192" s="1"/>
      <c r="HD192" s="1"/>
      <c r="HE192" s="1"/>
      <c r="HF192" s="1"/>
      <c r="HG192" s="1"/>
      <c r="HH192" s="1"/>
      <c r="HI192" s="1"/>
      <c r="HJ192" s="1"/>
      <c r="HK192" s="1"/>
      <c r="HL192" s="1"/>
      <c r="HM192" s="1"/>
      <c r="HN192" s="1"/>
      <c r="HO192" s="1"/>
      <c r="HP192" s="1"/>
      <c r="HQ192" s="1"/>
      <c r="HR192" s="1"/>
      <c r="HS192" s="1"/>
      <c r="HT192" s="1"/>
      <c r="HU192" s="1"/>
      <c r="HV192" s="1"/>
      <c r="HW192" s="1"/>
      <c r="HX192" s="1"/>
      <c r="HY192" s="1"/>
      <c r="HZ192" s="1"/>
      <c r="IA192" s="1"/>
      <c r="IB192" s="1"/>
      <c r="IC192" s="1"/>
      <c r="ID192" s="1"/>
    </row>
    <row r="193" spans="2:238" s="1582" customFormat="1" ht="12.75" customHeight="1">
      <c r="B193" s="1581" t="s">
        <v>210</v>
      </c>
      <c r="C193" s="1583"/>
      <c r="D193" s="1583"/>
      <c r="E193" s="1584"/>
      <c r="F193" s="1584"/>
      <c r="G193" s="1584"/>
      <c r="H193" s="1584"/>
      <c r="I193" s="1584"/>
      <c r="J193" s="1584"/>
      <c r="K193" s="1585"/>
      <c r="L193" s="1585"/>
      <c r="M193" s="1585"/>
      <c r="N193" s="1585"/>
      <c r="O193" s="1584"/>
      <c r="P193" s="1585"/>
      <c r="Q193" s="1585"/>
      <c r="R193" s="1585"/>
      <c r="S193" s="1585"/>
      <c r="T193" s="1584"/>
      <c r="U193" s="1585"/>
      <c r="V193" s="1585"/>
      <c r="W193" s="1585"/>
      <c r="X193" s="1585"/>
      <c r="Y193" s="1584"/>
      <c r="Z193" s="1585"/>
      <c r="AA193" s="1585"/>
      <c r="AB193" s="1585"/>
      <c r="AC193" s="1585"/>
      <c r="AD193" s="1584"/>
      <c r="AE193" s="1585"/>
      <c r="AF193" s="1585"/>
      <c r="AG193" s="1585"/>
      <c r="AH193" s="1585"/>
      <c r="AI193" s="1584"/>
      <c r="AJ193" s="1585"/>
      <c r="AK193" s="1585"/>
      <c r="AL193" s="1585"/>
      <c r="AM193" s="1585"/>
      <c r="AN193" s="1584"/>
      <c r="AO193" s="1585"/>
      <c r="AP193" s="1585"/>
      <c r="AQ193" s="1585"/>
      <c r="AR193" s="1585"/>
      <c r="AS193" s="1584"/>
      <c r="AT193" s="1585"/>
      <c r="AU193" s="1585"/>
      <c r="AV193" s="1585"/>
      <c r="AW193" s="1585"/>
      <c r="AX193" s="1584"/>
      <c r="AY193" s="1585"/>
      <c r="AZ193" s="1585"/>
      <c r="BA193" s="1585"/>
      <c r="BB193" s="1585"/>
      <c r="BC193" s="1584"/>
      <c r="BD193" s="1585"/>
      <c r="BE193" s="1585"/>
      <c r="BF193" s="1585"/>
      <c r="BG193" s="1585"/>
      <c r="BH193" s="1584"/>
      <c r="BI193" s="1585"/>
      <c r="BJ193" s="1585"/>
      <c r="BK193" s="1585"/>
      <c r="BL193" s="1585"/>
      <c r="BM193" s="1584"/>
      <c r="BN193" s="1585"/>
      <c r="BO193" s="1585"/>
      <c r="BP193" s="1585"/>
      <c r="BQ193" s="1585"/>
      <c r="BR193" s="1584"/>
      <c r="BS193" s="1585"/>
      <c r="BT193" s="1585"/>
      <c r="BU193" s="1585"/>
      <c r="BV193" s="1585"/>
      <c r="BW193" s="1584"/>
      <c r="BX193" s="1585"/>
      <c r="BY193" s="1585"/>
      <c r="BZ193" s="1585"/>
      <c r="CA193" s="1585"/>
      <c r="CB193" s="1584"/>
      <c r="CC193" s="1585"/>
      <c r="CD193" s="1585"/>
      <c r="CE193" s="1585"/>
      <c r="CF193" s="1585"/>
      <c r="CG193" s="1586">
        <f>Model!CG59</f>
        <v>140</v>
      </c>
      <c r="CH193" s="1587">
        <f>Model!CH59</f>
        <v>42</v>
      </c>
      <c r="CI193" s="1587">
        <f>Model!CI59</f>
        <v>56</v>
      </c>
      <c r="CJ193" s="1587">
        <f>Model!CJ59</f>
        <v>50</v>
      </c>
      <c r="CK193" s="1587">
        <f>Model!CK59</f>
        <v>60</v>
      </c>
      <c r="CL193" s="1586">
        <f>Model!CL59</f>
        <v>208</v>
      </c>
      <c r="CM193" s="1587">
        <f>Model!CM59</f>
        <v>45</v>
      </c>
      <c r="CN193" s="1587">
        <f>Model!CN59</f>
        <v>72</v>
      </c>
      <c r="CO193" s="1587">
        <f>Model!CO59</f>
        <v>60</v>
      </c>
      <c r="CP193" s="1587">
        <f>Model!CP59</f>
        <v>132</v>
      </c>
      <c r="CQ193" s="1586">
        <f>Model!CQ59</f>
        <v>309</v>
      </c>
      <c r="CR193" s="1587">
        <f>Model!CR59</f>
        <v>55</v>
      </c>
      <c r="CS193" s="1587">
        <f>Model!CS59</f>
        <v>72</v>
      </c>
      <c r="CT193" s="1587">
        <f>Model!CT59</f>
        <v>120</v>
      </c>
      <c r="CU193" s="1587">
        <f>Model!CU59</f>
        <v>-8</v>
      </c>
      <c r="CV193" s="1586">
        <f>Model!CV59</f>
        <v>239</v>
      </c>
      <c r="CW193" s="1587">
        <f>Model!CW59</f>
        <v>63</v>
      </c>
      <c r="CX193" s="1587">
        <f>Model!CX59</f>
        <v>51</v>
      </c>
      <c r="CY193" s="1587">
        <f>Model!CY59</f>
        <v>41</v>
      </c>
      <c r="CZ193" s="1587">
        <f>Model!CZ59</f>
        <v>-11</v>
      </c>
      <c r="DA193" s="1586">
        <f>Model!DA59</f>
        <v>144</v>
      </c>
      <c r="DB193" s="1587">
        <f>Model!DB59</f>
        <v>52</v>
      </c>
      <c r="DC193" s="1587">
        <f>Model!DC59</f>
        <v>55</v>
      </c>
      <c r="DD193" s="1587">
        <f>Model!DD59</f>
        <v>69</v>
      </c>
      <c r="DE193" s="1587">
        <f>Model!DE59</f>
        <v>109</v>
      </c>
      <c r="DF193" s="1586">
        <f>Model!DF59</f>
        <v>285</v>
      </c>
      <c r="DG193" s="1587">
        <f>Model!DG59</f>
        <v>46</v>
      </c>
      <c r="DH193" s="1587">
        <f>Model!DH59</f>
        <v>68</v>
      </c>
      <c r="DI193" s="1587">
        <f>Model!DI59</f>
        <v>92</v>
      </c>
      <c r="DJ193" s="1587">
        <f>Model!DJ59</f>
        <v>8</v>
      </c>
      <c r="DK193" s="1588">
        <f>Model!DK59</f>
        <v>214</v>
      </c>
      <c r="DL193" s="1587">
        <f>Model!DL59</f>
        <v>58</v>
      </c>
      <c r="DM193" s="1587">
        <f>Model!DM59</f>
        <v>49</v>
      </c>
      <c r="DN193" s="1587">
        <f>Model!DN59</f>
        <v>49</v>
      </c>
      <c r="DO193" s="1587">
        <f>Model!DO59</f>
        <v>-10</v>
      </c>
      <c r="DP193" s="1588">
        <f>Model!DP59</f>
        <v>146</v>
      </c>
      <c r="DQ193" s="1587">
        <f>Model!DQ59</f>
        <v>97</v>
      </c>
      <c r="DR193" s="1587">
        <f>Model!DR59</f>
        <v>49</v>
      </c>
      <c r="DS193" s="1587">
        <f>Model!DS59</f>
        <v>49</v>
      </c>
      <c r="DT193" s="1587">
        <f>Model!DT59</f>
        <v>-38</v>
      </c>
      <c r="DU193" s="1588">
        <f>Model!DU59</f>
        <v>157</v>
      </c>
      <c r="DV193" s="1587">
        <f>Model!DV59</f>
        <v>54</v>
      </c>
      <c r="DW193" s="1587">
        <f>Model!DW59</f>
        <v>49</v>
      </c>
      <c r="DX193" s="1587">
        <f>Model!DX59</f>
        <v>49</v>
      </c>
      <c r="DY193" s="1587">
        <f>Model!DY59</f>
        <v>-38</v>
      </c>
      <c r="DZ193" s="1588">
        <f>Model!DZ59</f>
        <v>114</v>
      </c>
      <c r="EA193" s="1587">
        <f>Model!EA59</f>
        <v>54</v>
      </c>
      <c r="EB193" s="1587">
        <f>Model!EB59</f>
        <v>49</v>
      </c>
      <c r="EC193" s="1587">
        <f>Model!EC59</f>
        <v>49</v>
      </c>
      <c r="ED193" s="1587">
        <f>Model!ED59</f>
        <v>-38</v>
      </c>
      <c r="EE193" s="1588">
        <f>Model!EE59</f>
        <v>114</v>
      </c>
      <c r="EF193" s="1539"/>
      <c r="EG193" s="1539"/>
      <c r="EH193" s="1539"/>
      <c r="EI193" s="1539"/>
      <c r="EJ193"/>
      <c r="EK193"/>
      <c r="EL193"/>
      <c r="EM193"/>
      <c r="EN193"/>
      <c r="EO193"/>
      <c r="EP193" s="1539"/>
      <c r="EQ193" s="1539"/>
      <c r="ER193" s="1539"/>
      <c r="ES193" s="1539"/>
      <c r="ET193" s="1539"/>
      <c r="EU193" s="1539"/>
      <c r="EV193" s="1539"/>
      <c r="EW193" s="1539"/>
      <c r="EX193" s="1539"/>
      <c r="EY193" s="1539"/>
      <c r="EZ193" s="1539"/>
      <c r="FA193" s="1539"/>
      <c r="FB193" s="1539"/>
      <c r="FC193" s="1539"/>
      <c r="FD193" s="1539"/>
      <c r="FE193" s="1539"/>
      <c r="FF193" s="1539"/>
      <c r="FG193" s="1539"/>
      <c r="FH193" s="1539"/>
      <c r="FI193" s="1539"/>
      <c r="FJ193" s="1539"/>
      <c r="FK193" s="1539"/>
      <c r="FL193" s="1539"/>
      <c r="FM193" s="1539"/>
      <c r="FN193" s="1539"/>
      <c r="FO193" s="1539"/>
      <c r="FP193" s="1539"/>
      <c r="FQ193" s="1539"/>
      <c r="FR193" s="1539"/>
      <c r="FS193" s="1539"/>
      <c r="FT193" s="1539"/>
      <c r="FU193" s="1539"/>
      <c r="FV193" s="1539"/>
      <c r="FW193" s="1539"/>
      <c r="FX193" s="1539"/>
      <c r="FY193" s="1539"/>
      <c r="FZ193" s="1539"/>
      <c r="GA193" s="1539"/>
      <c r="GB193" s="1539"/>
      <c r="GC193" s="1539"/>
      <c r="GD193" s="1539"/>
      <c r="GE193" s="1539"/>
      <c r="GF193" s="1539"/>
      <c r="GG193" s="1539"/>
      <c r="GH193" s="1539"/>
      <c r="GI193" s="1539"/>
      <c r="GJ193" s="1539"/>
      <c r="GK193" s="1539"/>
      <c r="GL193" s="1539"/>
      <c r="GM193" s="1539"/>
      <c r="GN193" s="1539"/>
      <c r="GO193" s="1539"/>
      <c r="GP193" s="1539"/>
      <c r="GQ193" s="1539"/>
      <c r="GR193" s="1539"/>
      <c r="GS193" s="1539"/>
      <c r="GT193" s="1539"/>
      <c r="GU193" s="1539"/>
      <c r="GV193" s="1539"/>
      <c r="GW193" s="1539"/>
      <c r="GX193" s="1539"/>
      <c r="GY193" s="1539"/>
      <c r="GZ193" s="1539"/>
      <c r="HA193" s="1539"/>
      <c r="HB193" s="1539"/>
      <c r="HC193" s="1539"/>
      <c r="HD193" s="1539"/>
      <c r="HE193" s="1539"/>
      <c r="HF193" s="1539"/>
      <c r="HG193" s="1539"/>
      <c r="HH193" s="1539"/>
      <c r="HI193" s="1539"/>
      <c r="HJ193" s="1539"/>
      <c r="HK193" s="1539"/>
      <c r="HL193" s="1539"/>
      <c r="HM193" s="1539"/>
      <c r="HN193" s="1539"/>
      <c r="HO193" s="1539"/>
      <c r="HP193" s="1539"/>
      <c r="HQ193" s="1539"/>
      <c r="HR193" s="1539"/>
      <c r="HS193" s="1539"/>
      <c r="HT193" s="1539"/>
      <c r="HU193" s="1539"/>
      <c r="HV193" s="1539"/>
      <c r="HW193" s="1539"/>
      <c r="HX193" s="1539"/>
      <c r="HY193" s="1539"/>
      <c r="HZ193" s="1539"/>
      <c r="IA193" s="1539"/>
      <c r="IB193" s="1539"/>
      <c r="IC193" s="1539"/>
      <c r="ID193" s="1539"/>
    </row>
    <row r="194" spans="2:238" s="93" customFormat="1" ht="12.75" customHeight="1">
      <c r="B194" s="1580" t="s">
        <v>214</v>
      </c>
      <c r="C194" s="159"/>
      <c r="D194" s="159"/>
      <c r="E194" s="204"/>
      <c r="F194" s="204"/>
      <c r="G194" s="204"/>
      <c r="H194" s="204"/>
      <c r="I194" s="204"/>
      <c r="J194" s="204"/>
      <c r="K194" s="160"/>
      <c r="L194" s="160"/>
      <c r="M194" s="160"/>
      <c r="N194" s="160"/>
      <c r="O194" s="204"/>
      <c r="P194" s="160"/>
      <c r="Q194" s="160"/>
      <c r="R194" s="160"/>
      <c r="S194" s="160"/>
      <c r="T194" s="204"/>
      <c r="U194" s="160"/>
      <c r="V194" s="160"/>
      <c r="W194" s="160"/>
      <c r="X194" s="160"/>
      <c r="Y194" s="204"/>
      <c r="Z194" s="160"/>
      <c r="AA194" s="160"/>
      <c r="AB194" s="160"/>
      <c r="AC194" s="160"/>
      <c r="AD194" s="204"/>
      <c r="AE194" s="160"/>
      <c r="AF194" s="160"/>
      <c r="AG194" s="160"/>
      <c r="AH194" s="160"/>
      <c r="AI194" s="204"/>
      <c r="AJ194" s="160"/>
      <c r="AK194" s="160"/>
      <c r="AL194" s="160"/>
      <c r="AM194" s="160"/>
      <c r="AN194" s="204"/>
      <c r="AO194" s="160"/>
      <c r="AP194" s="160"/>
      <c r="AQ194" s="160"/>
      <c r="AR194" s="160"/>
      <c r="AS194" s="204"/>
      <c r="AT194" s="160"/>
      <c r="AU194" s="160"/>
      <c r="AV194" s="160"/>
      <c r="AW194" s="160"/>
      <c r="AX194" s="204"/>
      <c r="AY194" s="160"/>
      <c r="AZ194" s="160"/>
      <c r="BA194" s="160"/>
      <c r="BB194" s="160"/>
      <c r="BC194" s="204"/>
      <c r="BD194" s="160"/>
      <c r="BE194" s="160"/>
      <c r="BF194" s="160"/>
      <c r="BG194" s="160"/>
      <c r="BH194" s="204"/>
      <c r="BI194" s="160"/>
      <c r="BJ194" s="160"/>
      <c r="BK194" s="160"/>
      <c r="BL194" s="160"/>
      <c r="BM194" s="204"/>
      <c r="BN194" s="160"/>
      <c r="BO194" s="160"/>
      <c r="BP194" s="160"/>
      <c r="BQ194" s="160"/>
      <c r="BR194" s="204"/>
      <c r="BS194" s="160"/>
      <c r="BT194" s="160"/>
      <c r="BU194" s="160"/>
      <c r="BV194" s="160"/>
      <c r="BW194" s="204"/>
      <c r="BX194" s="160"/>
      <c r="BY194" s="160"/>
      <c r="BZ194" s="160"/>
      <c r="CA194" s="160"/>
      <c r="CB194" s="204"/>
      <c r="CC194" s="160"/>
      <c r="CD194" s="160"/>
      <c r="CE194" s="160"/>
      <c r="CF194" s="160"/>
      <c r="CG194" s="619">
        <f>CG189+CG193</f>
        <v>19116</v>
      </c>
      <c r="CH194" s="73">
        <f t="shared" ref="CH194:DF194" si="456">CH189+CH193</f>
        <v>4987</v>
      </c>
      <c r="CI194" s="73">
        <f t="shared" si="456"/>
        <v>5380</v>
      </c>
      <c r="CJ194" s="73">
        <f t="shared" si="456"/>
        <v>5204</v>
      </c>
      <c r="CK194" s="73">
        <f t="shared" si="456"/>
        <v>5129</v>
      </c>
      <c r="CL194" s="619">
        <f t="shared" si="456"/>
        <v>20700</v>
      </c>
      <c r="CM194" s="73">
        <f t="shared" si="456"/>
        <v>5149</v>
      </c>
      <c r="CN194" s="73">
        <f t="shared" si="456"/>
        <v>5461</v>
      </c>
      <c r="CO194" s="73">
        <f t="shared" si="456"/>
        <v>5074</v>
      </c>
      <c r="CP194" s="73">
        <f t="shared" si="456"/>
        <v>4967</v>
      </c>
      <c r="CQ194" s="619">
        <f t="shared" si="456"/>
        <v>20651</v>
      </c>
      <c r="CR194" s="73">
        <f t="shared" si="456"/>
        <v>5154</v>
      </c>
      <c r="CS194" s="73">
        <f t="shared" si="456"/>
        <v>5679</v>
      </c>
      <c r="CT194" s="73">
        <f t="shared" si="456"/>
        <v>5342</v>
      </c>
      <c r="CU194" s="73">
        <f t="shared" si="456"/>
        <v>5183</v>
      </c>
      <c r="CV194" s="619">
        <f t="shared" si="456"/>
        <v>21358</v>
      </c>
      <c r="CW194" s="73">
        <f t="shared" si="456"/>
        <v>5215</v>
      </c>
      <c r="CX194" s="73">
        <f t="shared" si="456"/>
        <v>5701</v>
      </c>
      <c r="CY194" s="73">
        <f t="shared" si="456"/>
        <v>5481</v>
      </c>
      <c r="CZ194" s="73">
        <f t="shared" si="456"/>
        <v>5316</v>
      </c>
      <c r="DA194" s="619">
        <f t="shared" si="456"/>
        <v>21713</v>
      </c>
      <c r="DB194" s="73">
        <f t="shared" si="456"/>
        <v>5348</v>
      </c>
      <c r="DC194" s="73">
        <f t="shared" si="456"/>
        <v>5801</v>
      </c>
      <c r="DD194" s="73">
        <f t="shared" si="456"/>
        <v>5596</v>
      </c>
      <c r="DE194" s="73">
        <f>DE189+DE193</f>
        <v>5362</v>
      </c>
      <c r="DF194" s="619">
        <f t="shared" ca="1" si="456"/>
        <v>22107</v>
      </c>
      <c r="DG194" s="73">
        <f t="shared" ref="DG194:DL194" si="457">DG189+DG193</f>
        <v>5491</v>
      </c>
      <c r="DH194" s="73">
        <f t="shared" si="457"/>
        <v>5963</v>
      </c>
      <c r="DI194" s="73">
        <f t="shared" si="457"/>
        <v>5695</v>
      </c>
      <c r="DJ194" s="73">
        <f t="shared" si="457"/>
        <v>5396</v>
      </c>
      <c r="DK194" s="777">
        <f t="shared" ca="1" si="457"/>
        <v>22545</v>
      </c>
      <c r="DL194" s="73">
        <f t="shared" si="457"/>
        <v>5497</v>
      </c>
      <c r="DM194" s="73">
        <f t="shared" ref="DM194:DN194" si="458">DM189+DM193</f>
        <v>5925</v>
      </c>
      <c r="DN194" s="73">
        <f t="shared" si="458"/>
        <v>5714</v>
      </c>
      <c r="DO194" s="73">
        <f t="shared" ref="DO194:DQ194" si="459">DO189+DO193</f>
        <v>5618</v>
      </c>
      <c r="DP194" s="777">
        <f t="shared" ref="DP194:DU194" si="460">DP189+DP193</f>
        <v>22754</v>
      </c>
      <c r="DQ194" s="73">
        <f t="shared" si="459"/>
        <v>5725</v>
      </c>
      <c r="DR194" s="73">
        <f t="shared" ca="1" si="460"/>
        <v>6480.1296050066549</v>
      </c>
      <c r="DS194" s="73">
        <f t="shared" ca="1" si="460"/>
        <v>6388.2347145396889</v>
      </c>
      <c r="DT194" s="73">
        <f t="shared" si="460"/>
        <v>6158.6332913150945</v>
      </c>
      <c r="DU194" s="777">
        <f t="shared" ca="1" si="460"/>
        <v>24751.997610861439</v>
      </c>
      <c r="DV194" s="73">
        <f t="shared" ref="DV194:DZ194" si="461">DV189+DV193</f>
        <v>6181.7352701235177</v>
      </c>
      <c r="DW194" s="73">
        <f t="shared" ca="1" si="461"/>
        <v>6643.6762387326444</v>
      </c>
      <c r="DX194" s="73">
        <f t="shared" ca="1" si="461"/>
        <v>6533.8982536790372</v>
      </c>
      <c r="DY194" s="73">
        <f t="shared" si="461"/>
        <v>6306.2477883306619</v>
      </c>
      <c r="DZ194" s="777">
        <f t="shared" ca="1" si="461"/>
        <v>25665.557550865862</v>
      </c>
      <c r="EA194" s="73">
        <f t="shared" ref="EA194:EE194" si="462">EA189+EA193</f>
        <v>6317.0969615620834</v>
      </c>
      <c r="EB194" s="73">
        <f t="shared" ca="1" si="462"/>
        <v>6758.9277936641729</v>
      </c>
      <c r="EC194" s="73">
        <f t="shared" ca="1" si="462"/>
        <v>6664.6513157695181</v>
      </c>
      <c r="ED194" s="73">
        <f t="shared" si="462"/>
        <v>6435.3780198159902</v>
      </c>
      <c r="EE194" s="777">
        <f t="shared" ca="1" si="462"/>
        <v>26176.054090811765</v>
      </c>
      <c r="EF194" s="1"/>
      <c r="EG194" s="1"/>
      <c r="EH194" s="1"/>
      <c r="EI194" s="1"/>
      <c r="EJ194"/>
      <c r="EK194"/>
      <c r="EL194"/>
      <c r="EM194"/>
      <c r="EN194"/>
      <c r="EO194"/>
      <c r="EP194" s="1"/>
      <c r="EQ194" s="1"/>
      <c r="ER194" s="1"/>
      <c r="ES194" s="1"/>
      <c r="ET194" s="1"/>
      <c r="EU194" s="1"/>
      <c r="EV194" s="1"/>
      <c r="EW194" s="1"/>
      <c r="EX194" s="1"/>
      <c r="EY194" s="1"/>
      <c r="EZ194" s="1"/>
      <c r="FA194" s="1"/>
      <c r="FB194" s="1"/>
      <c r="FC194" s="1"/>
      <c r="FD194" s="1"/>
      <c r="FE194" s="1"/>
      <c r="FF194" s="1"/>
      <c r="FG194" s="1"/>
      <c r="FH194" s="1"/>
      <c r="FI194" s="1"/>
      <c r="FJ194" s="1"/>
      <c r="FK194" s="1"/>
      <c r="FL194" s="1"/>
      <c r="FM194" s="1"/>
      <c r="FN194" s="1"/>
      <c r="FO194" s="1"/>
      <c r="FP194" s="1"/>
      <c r="FQ194" s="1"/>
      <c r="FR194" s="1"/>
      <c r="FS194" s="1"/>
      <c r="FT194" s="1"/>
      <c r="FU194" s="1"/>
      <c r="FV194" s="1"/>
      <c r="FW194" s="1"/>
      <c r="FX194" s="1"/>
      <c r="FY194" s="1"/>
      <c r="FZ194" s="1"/>
      <c r="GA194" s="1"/>
      <c r="GB194" s="1"/>
      <c r="GC194" s="1"/>
      <c r="GD194" s="1"/>
      <c r="GE194" s="1"/>
      <c r="GF194" s="1"/>
      <c r="GG194" s="1"/>
      <c r="GH194" s="1"/>
      <c r="GI194" s="1"/>
      <c r="GJ194" s="1"/>
      <c r="GK194" s="1"/>
      <c r="GL194" s="1"/>
      <c r="GM194" s="1"/>
      <c r="GN194" s="1"/>
      <c r="GO194" s="1"/>
      <c r="GP194" s="1"/>
      <c r="GQ194" s="1"/>
      <c r="GR194" s="1"/>
      <c r="GS194" s="1"/>
      <c r="GT194" s="1"/>
      <c r="GU194" s="1"/>
      <c r="GV194" s="1"/>
      <c r="GW194" s="1"/>
      <c r="GX194" s="1"/>
      <c r="GY194" s="1"/>
      <c r="GZ194" s="1"/>
      <c r="HA194" s="1"/>
      <c r="HB194" s="1"/>
      <c r="HC194" s="1"/>
      <c r="HD194" s="1"/>
      <c r="HE194" s="1"/>
      <c r="HF194" s="1"/>
      <c r="HG194" s="1"/>
      <c r="HH194" s="1"/>
      <c r="HI194" s="1"/>
      <c r="HJ194" s="1"/>
      <c r="HK194" s="1"/>
      <c r="HL194" s="1"/>
      <c r="HM194" s="1"/>
      <c r="HN194" s="1"/>
      <c r="HO194" s="1"/>
      <c r="HP194" s="1"/>
      <c r="HQ194" s="1"/>
      <c r="HR194" s="1"/>
      <c r="HS194" s="1"/>
      <c r="HT194" s="1"/>
      <c r="HU194" s="1"/>
      <c r="HV194" s="1"/>
      <c r="HW194" s="1"/>
      <c r="HX194" s="1"/>
      <c r="HY194" s="1"/>
      <c r="HZ194" s="1"/>
      <c r="IA194" s="1"/>
      <c r="IB194" s="1"/>
      <c r="IC194" s="1"/>
      <c r="ID194" s="1"/>
    </row>
    <row r="195" spans="2:238" s="182" customFormat="1" ht="12.75" customHeight="1">
      <c r="B195" s="551" t="s">
        <v>296</v>
      </c>
      <c r="C195" s="107"/>
      <c r="D195" s="107"/>
      <c r="E195" s="143"/>
      <c r="F195" s="143"/>
      <c r="G195" s="143"/>
      <c r="H195" s="143"/>
      <c r="I195" s="143"/>
      <c r="J195" s="143"/>
      <c r="K195" s="145"/>
      <c r="L195" s="145"/>
      <c r="M195" s="145"/>
      <c r="N195" s="145"/>
      <c r="O195" s="143"/>
      <c r="P195" s="145"/>
      <c r="Q195" s="145"/>
      <c r="R195" s="145"/>
      <c r="S195" s="145"/>
      <c r="T195" s="143"/>
      <c r="U195" s="145"/>
      <c r="V195" s="145"/>
      <c r="W195" s="145"/>
      <c r="X195" s="145"/>
      <c r="Y195" s="143"/>
      <c r="Z195" s="145"/>
      <c r="AA195" s="145"/>
      <c r="AB195" s="145"/>
      <c r="AC195" s="145"/>
      <c r="AD195" s="143"/>
      <c r="AE195" s="145"/>
      <c r="AF195" s="145"/>
      <c r="AG195" s="145"/>
      <c r="AH195" s="145"/>
      <c r="AI195" s="143"/>
      <c r="AJ195" s="145"/>
      <c r="AK195" s="145"/>
      <c r="AL195" s="145"/>
      <c r="AM195" s="145"/>
      <c r="AN195" s="143"/>
      <c r="AO195" s="145"/>
      <c r="AP195" s="145"/>
      <c r="AQ195" s="145"/>
      <c r="AR195" s="145"/>
      <c r="AS195" s="143"/>
      <c r="AT195" s="145"/>
      <c r="AU195" s="145"/>
      <c r="AV195" s="145"/>
      <c r="AW195" s="145"/>
      <c r="AX195" s="143"/>
      <c r="AY195" s="145"/>
      <c r="AZ195" s="145"/>
      <c r="BA195" s="145"/>
      <c r="BB195" s="145"/>
      <c r="BC195" s="143"/>
      <c r="BD195" s="145"/>
      <c r="BE195" s="145"/>
      <c r="BF195" s="145"/>
      <c r="BG195" s="145"/>
      <c r="BH195" s="143"/>
      <c r="BI195" s="145"/>
      <c r="BJ195" s="145"/>
      <c r="BK195" s="145"/>
      <c r="BL195" s="145"/>
      <c r="BM195" s="143"/>
      <c r="BN195" s="145"/>
      <c r="BO195" s="145"/>
      <c r="BP195" s="145"/>
      <c r="BQ195" s="145"/>
      <c r="BR195" s="143"/>
      <c r="BS195" s="145"/>
      <c r="BT195" s="145"/>
      <c r="BU195" s="145"/>
      <c r="BV195" s="145"/>
      <c r="BW195" s="143"/>
      <c r="BX195" s="145"/>
      <c r="BY195" s="145"/>
      <c r="BZ195" s="145"/>
      <c r="CA195" s="145"/>
      <c r="CB195" s="143"/>
      <c r="CC195" s="145"/>
      <c r="CD195" s="145"/>
      <c r="CE195" s="145"/>
      <c r="CF195" s="145"/>
      <c r="CG195" s="1589"/>
      <c r="CH195" s="1590"/>
      <c r="CI195" s="1590"/>
      <c r="CJ195" s="1590"/>
      <c r="CK195" s="1590"/>
      <c r="CL195" s="1589"/>
      <c r="CM195" s="1590"/>
      <c r="CN195" s="1590"/>
      <c r="CO195" s="1590"/>
      <c r="CP195" s="1590"/>
      <c r="CQ195" s="1589"/>
      <c r="CR195" s="1590">
        <f>Model!CR60</f>
        <v>5154</v>
      </c>
      <c r="CS195" s="1590">
        <f>Model!CS60</f>
        <v>5679</v>
      </c>
      <c r="CT195" s="1590">
        <f>Model!CT60</f>
        <v>5342</v>
      </c>
      <c r="CU195" s="1590">
        <f>Model!CU60</f>
        <v>5183</v>
      </c>
      <c r="CV195" s="1589">
        <f>Model!CV60</f>
        <v>21358</v>
      </c>
      <c r="CW195" s="1590">
        <f>Model!CW60</f>
        <v>5215</v>
      </c>
      <c r="CX195" s="1590">
        <f>Model!CX60</f>
        <v>5701</v>
      </c>
      <c r="CY195" s="1590">
        <f>Model!CY60</f>
        <v>5481</v>
      </c>
      <c r="CZ195" s="1590">
        <f>Model!CZ60</f>
        <v>5316</v>
      </c>
      <c r="DA195" s="1589">
        <f>Model!DA60</f>
        <v>21713</v>
      </c>
      <c r="DB195" s="1590">
        <f>Model!DB60</f>
        <v>5348</v>
      </c>
      <c r="DC195" s="1590">
        <f>Model!DC60</f>
        <v>6937</v>
      </c>
      <c r="DD195" s="1590">
        <f>Model!DD60</f>
        <v>7550</v>
      </c>
      <c r="DE195" s="1590">
        <f>Model!DE60</f>
        <v>7374</v>
      </c>
      <c r="DF195" s="1589">
        <f>Model!DF60</f>
        <v>27209</v>
      </c>
      <c r="DG195" s="1590">
        <f>Model!DG60</f>
        <v>7548</v>
      </c>
      <c r="DH195" s="1590">
        <f>Model!DH60</f>
        <v>8012</v>
      </c>
      <c r="DI195" s="1590">
        <f>Model!DI60</f>
        <v>7589</v>
      </c>
      <c r="DJ195" s="1590">
        <f>Model!DJ60</f>
        <v>7163</v>
      </c>
      <c r="DK195" s="1591">
        <f>Model!DK60</f>
        <v>30312</v>
      </c>
      <c r="DL195" s="1590">
        <f>Model!DL60</f>
        <v>7174</v>
      </c>
      <c r="DM195" s="1590">
        <f>Model!DM60</f>
        <v>7610</v>
      </c>
      <c r="DN195" s="1590">
        <f>Model!DN60</f>
        <v>7194</v>
      </c>
      <c r="DO195" s="1590">
        <f>Model!DO60</f>
        <v>7330</v>
      </c>
      <c r="DP195" s="1591">
        <f>Model!DP60</f>
        <v>29308</v>
      </c>
      <c r="DQ195" s="1590">
        <f>Model!DQ60</f>
        <v>7438</v>
      </c>
      <c r="DR195" s="1590">
        <f ca="1">Model!DR60</f>
        <v>8346.8390253425878</v>
      </c>
      <c r="DS195" s="1590">
        <f ca="1">Model!DS60</f>
        <v>8181.3036935442333</v>
      </c>
      <c r="DT195" s="1590">
        <f>Model!DT60</f>
        <v>7995.4841696022559</v>
      </c>
      <c r="DU195" s="1591">
        <f ca="1">Model!DU60</f>
        <v>31961.626888489078</v>
      </c>
      <c r="DV195" s="1590">
        <f>Model!DV60</f>
        <v>7980.5777207918818</v>
      </c>
      <c r="DW195" s="1590">
        <f ca="1">Model!DW60</f>
        <v>8568.1062221134598</v>
      </c>
      <c r="DX195" s="1590">
        <f ca="1">Model!DX60</f>
        <v>8381.776412285737</v>
      </c>
      <c r="DY195" s="1590">
        <f>Model!DY60</f>
        <v>8199.6084434622862</v>
      </c>
      <c r="DZ195" s="1591">
        <f ca="1">Model!DZ60</f>
        <v>33130.068798653367</v>
      </c>
      <c r="EA195" s="1590">
        <f>Model!EA60</f>
        <v>8170.7739832998295</v>
      </c>
      <c r="EB195" s="1590">
        <f ca="1">Model!EB60</f>
        <v>8742.9773569173849</v>
      </c>
      <c r="EC195" s="1590">
        <f ca="1">Model!EC60</f>
        <v>8569.1310341027765</v>
      </c>
      <c r="ED195" s="1590">
        <f>Model!ED60</f>
        <v>8387.1024660429139</v>
      </c>
      <c r="EE195" s="1591">
        <f ca="1">Model!EE60</f>
        <v>33869.9848403629</v>
      </c>
      <c r="EF195" s="4"/>
      <c r="EG195" s="4"/>
      <c r="EH195" s="4"/>
      <c r="EI195" s="4"/>
      <c r="EJ195"/>
      <c r="EK195"/>
      <c r="EL195"/>
      <c r="EM195"/>
      <c r="EN195"/>
      <c r="EO195"/>
      <c r="EP195" s="4"/>
      <c r="EQ195" s="4"/>
      <c r="ER195" s="4"/>
      <c r="ES195" s="4"/>
      <c r="ET195" s="4"/>
      <c r="EU195" s="4"/>
      <c r="EV195" s="4"/>
      <c r="EW195" s="4"/>
      <c r="EX195" s="4"/>
      <c r="EY195" s="4"/>
      <c r="EZ195" s="4"/>
      <c r="FA195" s="4"/>
      <c r="FB195" s="4"/>
      <c r="FC195" s="4"/>
      <c r="FD195" s="4"/>
      <c r="FE195" s="4"/>
      <c r="FF195" s="4"/>
      <c r="FG195" s="4"/>
      <c r="FH195" s="4"/>
      <c r="FI195" s="4"/>
      <c r="FJ195" s="4"/>
      <c r="FK195" s="4"/>
      <c r="FL195" s="4"/>
      <c r="FM195" s="4"/>
      <c r="FN195" s="4"/>
      <c r="FO195" s="4"/>
      <c r="FP195" s="4"/>
      <c r="FQ195" s="4"/>
      <c r="FR195" s="4"/>
      <c r="FS195" s="4"/>
      <c r="FT195" s="4"/>
      <c r="FU195" s="4"/>
      <c r="FV195" s="4"/>
      <c r="FW195" s="4"/>
      <c r="FX195" s="4"/>
      <c r="FY195" s="4"/>
      <c r="FZ195" s="4"/>
      <c r="GA195" s="4"/>
      <c r="GB195" s="4"/>
      <c r="GC195" s="4"/>
      <c r="GD195" s="4"/>
      <c r="GE195" s="4"/>
      <c r="GF195" s="4"/>
      <c r="GG195" s="4"/>
      <c r="GH195" s="4"/>
      <c r="GI195" s="4"/>
      <c r="GJ195" s="4"/>
      <c r="GK195" s="4"/>
      <c r="GL195" s="4"/>
      <c r="GM195" s="4"/>
      <c r="GN195" s="4"/>
      <c r="GO195" s="4"/>
      <c r="GP195" s="4"/>
      <c r="GQ195" s="4"/>
      <c r="GR195" s="4"/>
      <c r="GS195" s="4"/>
      <c r="GT195" s="4"/>
      <c r="GU195" s="4"/>
      <c r="GV195" s="4"/>
      <c r="GW195" s="4"/>
      <c r="GX195" s="4"/>
      <c r="GY195" s="4"/>
      <c r="GZ195" s="4"/>
      <c r="HA195" s="4"/>
      <c r="HB195" s="4"/>
      <c r="HC195" s="4"/>
      <c r="HD195" s="4"/>
      <c r="HE195" s="4"/>
      <c r="HF195" s="4"/>
      <c r="HG195" s="4"/>
      <c r="HH195" s="4"/>
      <c r="HI195" s="4"/>
      <c r="HJ195" s="4"/>
      <c r="HK195" s="4"/>
      <c r="HL195" s="4"/>
      <c r="HM195" s="4"/>
      <c r="HN195" s="4"/>
      <c r="HO195" s="4"/>
      <c r="HP195" s="4"/>
      <c r="HQ195" s="4"/>
      <c r="HR195" s="4"/>
      <c r="HS195" s="4"/>
      <c r="HT195" s="4"/>
      <c r="HU195" s="4"/>
      <c r="HV195" s="4"/>
      <c r="HW195" s="4"/>
      <c r="HX195" s="4"/>
      <c r="HY195" s="4"/>
      <c r="HZ195" s="4"/>
      <c r="IA195" s="4"/>
      <c r="IB195" s="4"/>
      <c r="IC195" s="4"/>
      <c r="ID195" s="4"/>
    </row>
    <row r="196" spans="2:238" s="93" customFormat="1" ht="12.75" customHeight="1">
      <c r="B196" s="1580"/>
      <c r="C196" s="159"/>
      <c r="D196" s="159"/>
      <c r="E196" s="204"/>
      <c r="F196" s="204"/>
      <c r="G196" s="204"/>
      <c r="H196" s="204"/>
      <c r="I196" s="204"/>
      <c r="J196" s="204"/>
      <c r="K196" s="160"/>
      <c r="L196" s="160"/>
      <c r="M196" s="160"/>
      <c r="N196" s="160"/>
      <c r="O196" s="204"/>
      <c r="P196" s="160"/>
      <c r="Q196" s="160"/>
      <c r="R196" s="160"/>
      <c r="S196" s="160"/>
      <c r="T196" s="204"/>
      <c r="U196" s="160"/>
      <c r="V196" s="160"/>
      <c r="W196" s="160"/>
      <c r="X196" s="160"/>
      <c r="Y196" s="204"/>
      <c r="Z196" s="160"/>
      <c r="AA196" s="160"/>
      <c r="AB196" s="160"/>
      <c r="AC196" s="160"/>
      <c r="AD196" s="204"/>
      <c r="AE196" s="160"/>
      <c r="AF196" s="160"/>
      <c r="AG196" s="160"/>
      <c r="AH196" s="160"/>
      <c r="AI196" s="204"/>
      <c r="AJ196" s="160"/>
      <c r="AK196" s="160"/>
      <c r="AL196" s="160"/>
      <c r="AM196" s="160"/>
      <c r="AN196" s="204"/>
      <c r="AO196" s="160"/>
      <c r="AP196" s="160"/>
      <c r="AQ196" s="160"/>
      <c r="AR196" s="160"/>
      <c r="AS196" s="204"/>
      <c r="AT196" s="160"/>
      <c r="AU196" s="160"/>
      <c r="AV196" s="160"/>
      <c r="AW196" s="160"/>
      <c r="AX196" s="204"/>
      <c r="AY196" s="160"/>
      <c r="AZ196" s="160"/>
      <c r="BA196" s="160"/>
      <c r="BB196" s="160"/>
      <c r="BC196" s="204"/>
      <c r="BD196" s="160"/>
      <c r="BE196" s="160"/>
      <c r="BF196" s="160"/>
      <c r="BG196" s="160"/>
      <c r="BH196" s="204"/>
      <c r="BI196" s="160"/>
      <c r="BJ196" s="160"/>
      <c r="BK196" s="160"/>
      <c r="BL196" s="160"/>
      <c r="BM196" s="204"/>
      <c r="BN196" s="160"/>
      <c r="BO196" s="160"/>
      <c r="BP196" s="160"/>
      <c r="BQ196" s="160"/>
      <c r="BR196" s="204"/>
      <c r="BS196" s="160"/>
      <c r="BT196" s="160"/>
      <c r="BU196" s="160"/>
      <c r="BV196" s="160"/>
      <c r="BW196" s="204"/>
      <c r="BX196" s="160"/>
      <c r="BY196" s="160"/>
      <c r="BZ196" s="160"/>
      <c r="CA196" s="160"/>
      <c r="CB196" s="204"/>
      <c r="CC196" s="160"/>
      <c r="CD196" s="160"/>
      <c r="CE196" s="160"/>
      <c r="CF196" s="160"/>
      <c r="CG196" s="619"/>
      <c r="CH196" s="73"/>
      <c r="CI196" s="73"/>
      <c r="CJ196" s="73"/>
      <c r="CK196" s="73"/>
      <c r="CL196" s="619"/>
      <c r="CM196" s="73"/>
      <c r="CN196" s="73"/>
      <c r="CO196" s="73"/>
      <c r="CP196" s="73"/>
      <c r="CQ196" s="619"/>
      <c r="CR196" s="73"/>
      <c r="CS196" s="73"/>
      <c r="CT196" s="73"/>
      <c r="CU196" s="73"/>
      <c r="CV196" s="619"/>
      <c r="CW196" s="73"/>
      <c r="CX196" s="73"/>
      <c r="CY196" s="73"/>
      <c r="CZ196" s="73"/>
      <c r="DA196" s="619"/>
      <c r="DB196" s="119"/>
      <c r="DC196" s="1665"/>
      <c r="DD196" s="1665"/>
      <c r="DE196" s="119"/>
      <c r="DF196" s="619"/>
      <c r="DG196" s="119"/>
      <c r="DH196" s="119"/>
      <c r="DI196" s="119"/>
      <c r="DJ196" s="119"/>
      <c r="DK196" s="777"/>
      <c r="DL196" s="420">
        <f>DL194-DG194</f>
        <v>6</v>
      </c>
      <c r="DM196" s="420">
        <f>DM194-DH194</f>
        <v>-38</v>
      </c>
      <c r="DN196" s="420">
        <f>DN194-DI194</f>
        <v>19</v>
      </c>
      <c r="DO196" s="420">
        <f>DO194-DJ194</f>
        <v>222</v>
      </c>
      <c r="DP196" s="777"/>
      <c r="DQ196" s="420">
        <f>DQ194-DL194</f>
        <v>228</v>
      </c>
      <c r="DR196" s="420">
        <f ca="1">DR194-DM194</f>
        <v>555.12960500665486</v>
      </c>
      <c r="DS196" s="420">
        <f ca="1">DS194-DN194</f>
        <v>674.23471453968887</v>
      </c>
      <c r="DT196" s="420">
        <f>DT194-DO194</f>
        <v>540.63329131509454</v>
      </c>
      <c r="DU196" s="777"/>
      <c r="DV196" s="73"/>
      <c r="DW196" s="73"/>
      <c r="DX196" s="73"/>
      <c r="DY196" s="73"/>
      <c r="DZ196" s="777"/>
      <c r="EA196" s="73"/>
      <c r="EB196" s="73"/>
      <c r="EC196" s="73"/>
      <c r="ED196" s="73"/>
      <c r="EE196" s="777"/>
      <c r="EF196" s="1"/>
      <c r="EG196" s="1"/>
      <c r="EH196" s="1"/>
      <c r="EI196" s="1"/>
      <c r="EJ196"/>
      <c r="EK196"/>
      <c r="EL196"/>
      <c r="EM196"/>
      <c r="EN196"/>
      <c r="EO196"/>
      <c r="EP196" s="1"/>
      <c r="EQ196" s="1"/>
      <c r="ER196" s="1"/>
      <c r="ES196" s="1"/>
      <c r="ET196" s="1"/>
      <c r="EU196" s="1"/>
      <c r="EV196" s="1"/>
      <c r="EW196" s="1"/>
      <c r="EX196" s="1"/>
      <c r="EY196" s="1"/>
      <c r="EZ196" s="1"/>
      <c r="FA196" s="1"/>
      <c r="FB196" s="1"/>
      <c r="FC196" s="1"/>
      <c r="FD196" s="1"/>
      <c r="FE196" s="1"/>
      <c r="FF196" s="1"/>
      <c r="FG196" s="1"/>
      <c r="FH196" s="1"/>
      <c r="FI196" s="1"/>
      <c r="FJ196" s="1"/>
      <c r="FK196" s="1"/>
      <c r="FL196" s="1"/>
      <c r="FM196" s="1"/>
      <c r="FN196" s="1"/>
      <c r="FO196" s="1"/>
      <c r="FP196" s="1"/>
      <c r="FQ196" s="1"/>
      <c r="FR196" s="1"/>
      <c r="FS196" s="1"/>
      <c r="FT196" s="1"/>
      <c r="FU196" s="1"/>
      <c r="FV196" s="1"/>
      <c r="FW196" s="1"/>
      <c r="FX196" s="1"/>
      <c r="FY196" s="1"/>
      <c r="FZ196" s="1"/>
      <c r="GA196" s="1"/>
      <c r="GB196" s="1"/>
      <c r="GC196" s="1"/>
      <c r="GD196" s="1"/>
      <c r="GE196" s="1"/>
      <c r="GF196" s="1"/>
      <c r="GG196" s="1"/>
      <c r="GH196" s="1"/>
      <c r="GI196" s="1"/>
      <c r="GJ196" s="1"/>
      <c r="GK196" s="1"/>
      <c r="GL196" s="1"/>
      <c r="GM196" s="1"/>
      <c r="GN196" s="1"/>
      <c r="GO196" s="1"/>
      <c r="GP196" s="1"/>
      <c r="GQ196" s="1"/>
      <c r="GR196" s="1"/>
      <c r="GS196" s="1"/>
      <c r="GT196" s="1"/>
      <c r="GU196" s="1"/>
      <c r="GV196" s="1"/>
      <c r="GW196" s="1"/>
      <c r="GX196" s="1"/>
      <c r="GY196" s="1"/>
      <c r="GZ196" s="1"/>
      <c r="HA196" s="1"/>
      <c r="HB196" s="1"/>
      <c r="HC196" s="1"/>
      <c r="HD196" s="1"/>
      <c r="HE196" s="1"/>
      <c r="HF196" s="1"/>
      <c r="HG196" s="1"/>
      <c r="HH196" s="1"/>
      <c r="HI196" s="1"/>
      <c r="HJ196" s="1"/>
      <c r="HK196" s="1"/>
      <c r="HL196" s="1"/>
      <c r="HM196" s="1"/>
      <c r="HN196" s="1"/>
      <c r="HO196" s="1"/>
      <c r="HP196" s="1"/>
      <c r="HQ196" s="1"/>
      <c r="HR196" s="1"/>
      <c r="HS196" s="1"/>
      <c r="HT196" s="1"/>
      <c r="HU196" s="1"/>
      <c r="HV196" s="1"/>
      <c r="HW196" s="1"/>
      <c r="HX196" s="1"/>
      <c r="HY196" s="1"/>
      <c r="HZ196" s="1"/>
      <c r="IA196" s="1"/>
      <c r="IB196" s="1"/>
      <c r="IC196" s="1"/>
      <c r="ID196" s="1"/>
    </row>
    <row r="197" spans="2:238" s="93" customFormat="1" ht="12.75" customHeight="1">
      <c r="B197" s="1581" t="s">
        <v>471</v>
      </c>
      <c r="C197" s="1583"/>
      <c r="D197" s="1583"/>
      <c r="E197" s="1584"/>
      <c r="F197" s="1584"/>
      <c r="G197" s="1584"/>
      <c r="H197" s="1584"/>
      <c r="I197" s="1584"/>
      <c r="J197" s="1584"/>
      <c r="K197" s="1585"/>
      <c r="L197" s="1585"/>
      <c r="M197" s="1585"/>
      <c r="N197" s="1585"/>
      <c r="O197" s="1584"/>
      <c r="P197" s="1585"/>
      <c r="Q197" s="1585"/>
      <c r="R197" s="1585"/>
      <c r="S197" s="1585"/>
      <c r="T197" s="1584"/>
      <c r="U197" s="1585"/>
      <c r="V197" s="1585"/>
      <c r="W197" s="1585"/>
      <c r="X197" s="1585"/>
      <c r="Y197" s="1584"/>
      <c r="Z197" s="1585"/>
      <c r="AA197" s="1585"/>
      <c r="AB197" s="1585"/>
      <c r="AC197" s="1585"/>
      <c r="AD197" s="1584"/>
      <c r="AE197" s="1585"/>
      <c r="AF197" s="1585"/>
      <c r="AG197" s="1585"/>
      <c r="AH197" s="1585"/>
      <c r="AI197" s="1584"/>
      <c r="AJ197" s="1585"/>
      <c r="AK197" s="1585"/>
      <c r="AL197" s="1585"/>
      <c r="AM197" s="1585"/>
      <c r="AN197" s="1584"/>
      <c r="AO197" s="1585"/>
      <c r="AP197" s="1585"/>
      <c r="AQ197" s="1585"/>
      <c r="AR197" s="1585"/>
      <c r="AS197" s="1584"/>
      <c r="AT197" s="1585"/>
      <c r="AU197" s="1585"/>
      <c r="AV197" s="1585"/>
      <c r="AW197" s="1585"/>
      <c r="AX197" s="1584"/>
      <c r="AY197" s="1585"/>
      <c r="AZ197" s="1585"/>
      <c r="BA197" s="1585"/>
      <c r="BB197" s="1585"/>
      <c r="BC197" s="1584"/>
      <c r="BD197" s="1585"/>
      <c r="BE197" s="1585"/>
      <c r="BF197" s="1585"/>
      <c r="BG197" s="1585"/>
      <c r="BH197" s="1584"/>
      <c r="BI197" s="1585"/>
      <c r="BJ197" s="1585"/>
      <c r="BK197" s="1585"/>
      <c r="BL197" s="1585"/>
      <c r="BM197" s="1584"/>
      <c r="BN197" s="1585"/>
      <c r="BO197" s="1585"/>
      <c r="BP197" s="1585"/>
      <c r="BQ197" s="1585"/>
      <c r="BR197" s="1584"/>
      <c r="BS197" s="1585"/>
      <c r="BT197" s="1585"/>
      <c r="BU197" s="1585"/>
      <c r="BV197" s="1585"/>
      <c r="BW197" s="1584"/>
      <c r="BX197" s="1585"/>
      <c r="BY197" s="1585"/>
      <c r="BZ197" s="1585"/>
      <c r="CA197" s="1585"/>
      <c r="CB197" s="1584"/>
      <c r="CC197" s="1585"/>
      <c r="CD197" s="1585"/>
      <c r="CE197" s="1585"/>
      <c r="CF197" s="1585"/>
      <c r="CG197" s="1586"/>
      <c r="CH197" s="1587"/>
      <c r="CI197" s="1587"/>
      <c r="CJ197" s="1587"/>
      <c r="CK197" s="1587"/>
      <c r="CL197" s="1586"/>
      <c r="CM197" s="1587"/>
      <c r="CN197" s="1587"/>
      <c r="CO197" s="1587"/>
      <c r="CP197" s="1587"/>
      <c r="CQ197" s="1586"/>
      <c r="CR197" s="1587">
        <f>Model!CR62</f>
        <v>4398</v>
      </c>
      <c r="CS197" s="1587">
        <f>Model!CS62</f>
        <v>4497</v>
      </c>
      <c r="CT197" s="1587">
        <f>Model!CT62</f>
        <v>4362</v>
      </c>
      <c r="CU197" s="1587">
        <f>Model!CU62</f>
        <v>4286</v>
      </c>
      <c r="CV197" s="1586">
        <f>SUM(CR197:CU197)</f>
        <v>17543</v>
      </c>
      <c r="CW197" s="1587">
        <f>Model!CW62</f>
        <v>4379</v>
      </c>
      <c r="CX197" s="1587">
        <f>Model!CX62</f>
        <v>4569</v>
      </c>
      <c r="CY197" s="1587">
        <f>Model!CY62</f>
        <v>4551</v>
      </c>
      <c r="CZ197" s="1587">
        <f>Model!CZ62</f>
        <v>4493</v>
      </c>
      <c r="DA197" s="1586">
        <f>SUM(CW197:CZ197)</f>
        <v>17992</v>
      </c>
      <c r="DB197" s="1587">
        <f>Model!DB62</f>
        <v>4456</v>
      </c>
      <c r="DC197" s="1587">
        <f>DC189-DC199</f>
        <v>4555</v>
      </c>
      <c r="DD197" s="1587"/>
      <c r="DE197" s="1561"/>
      <c r="DF197" s="1586"/>
      <c r="DG197" s="1561"/>
      <c r="DH197" s="1561"/>
      <c r="DI197" s="1561"/>
      <c r="DJ197" s="1561"/>
      <c r="DK197" s="2119"/>
      <c r="DL197" s="1561"/>
      <c r="DM197" s="1561"/>
      <c r="DN197" s="1561"/>
      <c r="DO197" s="1561"/>
      <c r="DP197" s="2118"/>
      <c r="DQ197" s="1561"/>
      <c r="DR197" s="1587"/>
      <c r="DS197" s="1587"/>
      <c r="DT197" s="1587"/>
      <c r="DU197" s="1588"/>
      <c r="DV197" s="1587"/>
      <c r="DW197" s="1587"/>
      <c r="DX197" s="1587"/>
      <c r="DY197" s="1587"/>
      <c r="DZ197" s="1588"/>
      <c r="EA197" s="1587"/>
      <c r="EB197" s="1587"/>
      <c r="EC197" s="1587"/>
      <c r="ED197" s="1587"/>
      <c r="EE197" s="1588"/>
      <c r="EF197" s="1457"/>
      <c r="EG197" s="1457"/>
      <c r="EH197" s="1"/>
      <c r="EI197" s="1"/>
      <c r="EJ197"/>
      <c r="EK197"/>
      <c r="EL197"/>
      <c r="EM197"/>
      <c r="EN197"/>
      <c r="EO197"/>
      <c r="EP197" s="1"/>
      <c r="EQ197" s="1"/>
      <c r="ER197" s="1"/>
      <c r="ES197" s="1"/>
      <c r="ET197" s="1"/>
      <c r="EU197" s="1"/>
      <c r="EV197" s="1"/>
      <c r="EW197" s="1"/>
      <c r="EX197" s="1"/>
      <c r="EY197" s="1"/>
      <c r="EZ197" s="1"/>
      <c r="FA197" s="1"/>
      <c r="FB197" s="1"/>
      <c r="FC197" s="1"/>
      <c r="FD197" s="1"/>
      <c r="FE197" s="1"/>
      <c r="FF197" s="1"/>
      <c r="FG197" s="1"/>
      <c r="FH197" s="1"/>
      <c r="FI197" s="1"/>
      <c r="FJ197" s="1"/>
      <c r="FK197" s="1"/>
      <c r="FL197" s="1"/>
      <c r="FM197" s="1"/>
      <c r="FN197" s="1"/>
      <c r="FO197" s="1"/>
      <c r="FP197" s="1"/>
      <c r="FQ197" s="1"/>
      <c r="FR197" s="1"/>
      <c r="FS197" s="1"/>
      <c r="FT197" s="1"/>
      <c r="FU197" s="1"/>
      <c r="FV197" s="1"/>
      <c r="FW197" s="1"/>
      <c r="FX197" s="1"/>
      <c r="FY197" s="1"/>
      <c r="FZ197" s="1"/>
      <c r="GA197" s="1"/>
      <c r="GB197" s="1"/>
      <c r="GC197" s="1"/>
      <c r="GD197" s="1"/>
      <c r="GE197" s="1"/>
      <c r="GF197" s="1"/>
      <c r="GG197" s="1"/>
      <c r="GH197" s="1"/>
      <c r="GI197" s="1"/>
      <c r="GJ197" s="1"/>
      <c r="GK197" s="1"/>
      <c r="GL197" s="1"/>
      <c r="GM197" s="1"/>
      <c r="GN197" s="1"/>
      <c r="GO197" s="1"/>
      <c r="GP197" s="1"/>
      <c r="GQ197" s="1"/>
      <c r="GR197" s="1"/>
      <c r="GS197" s="1"/>
      <c r="GT197" s="1"/>
      <c r="GU197" s="1"/>
      <c r="GV197" s="1"/>
      <c r="GW197" s="1"/>
      <c r="GX197" s="1"/>
      <c r="GY197" s="1"/>
      <c r="GZ197" s="1"/>
      <c r="HA197" s="1"/>
      <c r="HB197" s="1"/>
      <c r="HC197" s="1"/>
      <c r="HD197" s="1"/>
      <c r="HE197" s="1"/>
      <c r="HF197" s="1"/>
      <c r="HG197" s="1"/>
      <c r="HH197" s="1"/>
      <c r="HI197" s="1"/>
      <c r="HJ197" s="1"/>
      <c r="HK197" s="1"/>
      <c r="HL197" s="1"/>
      <c r="HM197" s="1"/>
      <c r="HN197" s="1"/>
      <c r="HO197" s="1"/>
      <c r="HP197" s="1"/>
      <c r="HQ197" s="1"/>
      <c r="HR197" s="1"/>
      <c r="HS197" s="1"/>
      <c r="HT197" s="1"/>
      <c r="HU197" s="1"/>
      <c r="HV197" s="1"/>
      <c r="HW197" s="1"/>
      <c r="HX197" s="1"/>
      <c r="HY197" s="1"/>
      <c r="HZ197" s="1"/>
      <c r="IA197" s="1"/>
      <c r="IB197" s="1"/>
      <c r="IC197" s="1"/>
      <c r="ID197" s="1"/>
    </row>
    <row r="198" spans="2:238" s="93" customFormat="1" ht="12.75" customHeight="1">
      <c r="B198" s="1581" t="s">
        <v>99</v>
      </c>
      <c r="C198" s="1583"/>
      <c r="D198" s="1583"/>
      <c r="E198" s="1584"/>
      <c r="F198" s="1584"/>
      <c r="G198" s="1584"/>
      <c r="H198" s="1584"/>
      <c r="I198" s="1584"/>
      <c r="J198" s="1584"/>
      <c r="K198" s="1585"/>
      <c r="L198" s="1585"/>
      <c r="M198" s="1585"/>
      <c r="N198" s="1585"/>
      <c r="O198" s="1584"/>
      <c r="P198" s="1585"/>
      <c r="Q198" s="1585"/>
      <c r="R198" s="1585"/>
      <c r="S198" s="1585"/>
      <c r="T198" s="1584"/>
      <c r="U198" s="1585"/>
      <c r="V198" s="1585"/>
      <c r="W198" s="1585"/>
      <c r="X198" s="1585"/>
      <c r="Y198" s="1584"/>
      <c r="Z198" s="1585"/>
      <c r="AA198" s="1585"/>
      <c r="AB198" s="1585"/>
      <c r="AC198" s="1585"/>
      <c r="AD198" s="1584"/>
      <c r="AE198" s="1585"/>
      <c r="AF198" s="1585"/>
      <c r="AG198" s="1585"/>
      <c r="AH198" s="1585"/>
      <c r="AI198" s="1584"/>
      <c r="AJ198" s="1585"/>
      <c r="AK198" s="1585"/>
      <c r="AL198" s="1585"/>
      <c r="AM198" s="1585"/>
      <c r="AN198" s="1584"/>
      <c r="AO198" s="1585"/>
      <c r="AP198" s="1585"/>
      <c r="AQ198" s="1585"/>
      <c r="AR198" s="1585"/>
      <c r="AS198" s="1584"/>
      <c r="AT198" s="1585"/>
      <c r="AU198" s="1585"/>
      <c r="AV198" s="1585"/>
      <c r="AW198" s="1585"/>
      <c r="AX198" s="1584"/>
      <c r="AY198" s="1585"/>
      <c r="AZ198" s="1585"/>
      <c r="BA198" s="1585"/>
      <c r="BB198" s="1585"/>
      <c r="BC198" s="1584"/>
      <c r="BD198" s="1585"/>
      <c r="BE198" s="1585"/>
      <c r="BF198" s="1585"/>
      <c r="BG198" s="1585"/>
      <c r="BH198" s="1584"/>
      <c r="BI198" s="1585"/>
      <c r="BJ198" s="1585"/>
      <c r="BK198" s="1585"/>
      <c r="BL198" s="1585"/>
      <c r="BM198" s="1584"/>
      <c r="BN198" s="1585"/>
      <c r="BO198" s="1585"/>
      <c r="BP198" s="1585"/>
      <c r="BQ198" s="1585"/>
      <c r="BR198" s="1584"/>
      <c r="BS198" s="1585"/>
      <c r="BT198" s="1585"/>
      <c r="BU198" s="1585"/>
      <c r="BV198" s="1585"/>
      <c r="BW198" s="1584"/>
      <c r="BX198" s="1585"/>
      <c r="BY198" s="1585"/>
      <c r="BZ198" s="1585"/>
      <c r="CA198" s="1585"/>
      <c r="CB198" s="1584"/>
      <c r="CC198" s="1585"/>
      <c r="CD198" s="1585"/>
      <c r="CE198" s="1585"/>
      <c r="CF198" s="1585"/>
      <c r="CG198" s="1586"/>
      <c r="CH198" s="1587"/>
      <c r="CI198" s="1587"/>
      <c r="CJ198" s="1587"/>
      <c r="CK198" s="1587"/>
      <c r="CL198" s="1586"/>
      <c r="CM198" s="1587"/>
      <c r="CN198" s="1587"/>
      <c r="CO198" s="1587"/>
      <c r="CP198" s="1587"/>
      <c r="CQ198" s="1586"/>
      <c r="CR198" s="1587">
        <f>Model!CR67</f>
        <v>4248</v>
      </c>
      <c r="CS198" s="1587">
        <f>Model!CS67</f>
        <v>4401</v>
      </c>
      <c r="CT198" s="1587">
        <f>Model!CT67</f>
        <v>4240</v>
      </c>
      <c r="CU198" s="1587">
        <f>Model!CU67</f>
        <v>4189</v>
      </c>
      <c r="CV198" s="1586">
        <f>SUM(CR198:CU198)</f>
        <v>17078</v>
      </c>
      <c r="CW198" s="1587">
        <f>Model!CW67</f>
        <v>4265</v>
      </c>
      <c r="CX198" s="1587">
        <f>Model!CX67</f>
        <v>4477</v>
      </c>
      <c r="CY198" s="1587">
        <f>Model!CY67</f>
        <v>4361</v>
      </c>
      <c r="CZ198" s="1587">
        <f>Model!CZ67</f>
        <v>4275</v>
      </c>
      <c r="DA198" s="1586">
        <f>SUM(CW198:CZ198)</f>
        <v>17378</v>
      </c>
      <c r="DB198" s="1587">
        <f>Model!DB67</f>
        <v>4337</v>
      </c>
      <c r="DC198" s="1587">
        <f>DC194-DC200</f>
        <v>4304</v>
      </c>
      <c r="DD198" s="1587">
        <f>DD194-DD200</f>
        <v>4268</v>
      </c>
      <c r="DE198" s="1587">
        <f>DE194-DE200</f>
        <v>4308</v>
      </c>
      <c r="DF198" s="1586">
        <f>SUM(DB198:DE198)</f>
        <v>17217</v>
      </c>
      <c r="DG198" s="1587">
        <f>DG194-DG200</f>
        <v>4248</v>
      </c>
      <c r="DH198" s="1587">
        <f>DH194-DH200</f>
        <v>4331</v>
      </c>
      <c r="DI198" s="1587">
        <f>DI194-DI200</f>
        <v>4313</v>
      </c>
      <c r="DJ198" s="1587">
        <f>DJ194-DJ200</f>
        <v>4296</v>
      </c>
      <c r="DK198" s="1588">
        <f>SUM(DG198:DJ198)</f>
        <v>17188</v>
      </c>
      <c r="DL198" s="1587">
        <f>DL194-DL200</f>
        <v>4208</v>
      </c>
      <c r="DM198" s="1587">
        <f>DM194-DM200</f>
        <v>4373</v>
      </c>
      <c r="DN198" s="1587">
        <f>DN194-DN200</f>
        <v>4251</v>
      </c>
      <c r="DO198" s="1587">
        <f>DO194-DO200</f>
        <v>4215</v>
      </c>
      <c r="DP198" s="1588">
        <f>SUM(DL198:DO198)</f>
        <v>17047</v>
      </c>
      <c r="DQ198" s="1587">
        <f>DQ194-DQ200</f>
        <v>4348</v>
      </c>
      <c r="DR198" s="1587">
        <f>Model!DR67</f>
        <v>4854.0300000000007</v>
      </c>
      <c r="DS198" s="1587">
        <f>Model!DS67</f>
        <v>4888.6499999999996</v>
      </c>
      <c r="DT198" s="1587">
        <f>Model!DT67</f>
        <v>4805.1000000000004</v>
      </c>
      <c r="DU198" s="1588">
        <f>SUM(DQ198:DT198)</f>
        <v>18895.78</v>
      </c>
      <c r="DV198" s="1587">
        <f>Model!DV67</f>
        <v>4809.5429897871754</v>
      </c>
      <c r="DW198" s="1587">
        <f>Model!DW67</f>
        <v>4999.4156389058062</v>
      </c>
      <c r="DX198" s="1587">
        <f>Model!DX67</f>
        <v>4855.5685856954178</v>
      </c>
      <c r="DY198" s="1587">
        <f>Model!DY67</f>
        <v>4739.0563127095402</v>
      </c>
      <c r="DZ198" s="1588">
        <f>SUM(DV198:DY198)</f>
        <v>19403.583527097941</v>
      </c>
      <c r="EA198" s="1587">
        <f>Model!EA67</f>
        <v>4905.733849582919</v>
      </c>
      <c r="EB198" s="1587">
        <f>Model!EB67</f>
        <v>5099.4039516839221</v>
      </c>
      <c r="EC198" s="1587">
        <f>Model!EC67</f>
        <v>4952.6799574093266</v>
      </c>
      <c r="ED198" s="1587">
        <f>Model!ED67</f>
        <v>4833.8374389637311</v>
      </c>
      <c r="EE198" s="1588">
        <f>SUM(EA198:ED198)</f>
        <v>19791.655197639899</v>
      </c>
      <c r="EF198" s="1"/>
      <c r="EG198" s="1"/>
      <c r="EH198" s="1"/>
      <c r="EI198" s="1"/>
      <c r="EJ198"/>
      <c r="EK198"/>
      <c r="EL198"/>
      <c r="EM198"/>
      <c r="EN198"/>
      <c r="EO198"/>
      <c r="EP198" s="1"/>
      <c r="EQ198" s="1"/>
      <c r="ER198" s="1"/>
      <c r="ES198" s="1"/>
      <c r="ET198" s="1"/>
      <c r="EU198" s="1"/>
      <c r="EV198" s="1"/>
      <c r="EW198" s="1"/>
      <c r="EX198" s="1"/>
      <c r="EY198" s="1"/>
      <c r="EZ198" s="1"/>
      <c r="FA198" s="1"/>
      <c r="FB198" s="1"/>
      <c r="FC198" s="1"/>
      <c r="FD198" s="1"/>
      <c r="FE198" s="1"/>
      <c r="FF198" s="1"/>
      <c r="FG198" s="1"/>
      <c r="FH198" s="1"/>
      <c r="FI198" s="1"/>
      <c r="FJ198" s="1"/>
      <c r="FK198" s="1"/>
      <c r="FL198" s="1"/>
      <c r="FM198" s="1"/>
      <c r="FN198" s="1"/>
      <c r="FO198" s="1"/>
      <c r="FP198" s="1"/>
      <c r="FQ198" s="1"/>
      <c r="FR198" s="1"/>
      <c r="FS198" s="1"/>
      <c r="FT198" s="1"/>
      <c r="FU198" s="1"/>
      <c r="FV198" s="1"/>
      <c r="FW198" s="1"/>
      <c r="FX198" s="1"/>
      <c r="FY198" s="1"/>
      <c r="FZ198" s="1"/>
      <c r="GA198" s="1"/>
      <c r="GB198" s="1"/>
      <c r="GC198" s="1"/>
      <c r="GD198" s="1"/>
      <c r="GE198" s="1"/>
      <c r="GF198" s="1"/>
      <c r="GG198" s="1"/>
      <c r="GH198" s="1"/>
      <c r="GI198" s="1"/>
      <c r="GJ198" s="1"/>
      <c r="GK198" s="1"/>
      <c r="GL198" s="1"/>
      <c r="GM198" s="1"/>
      <c r="GN198" s="1"/>
      <c r="GO198" s="1"/>
      <c r="GP198" s="1"/>
      <c r="GQ198" s="1"/>
      <c r="GR198" s="1"/>
      <c r="GS198" s="1"/>
      <c r="GT198" s="1"/>
      <c r="GU198" s="1"/>
      <c r="GV198" s="1"/>
      <c r="GW198" s="1"/>
      <c r="GX198" s="1"/>
      <c r="GY198" s="1"/>
      <c r="GZ198" s="1"/>
      <c r="HA198" s="1"/>
      <c r="HB198" s="1"/>
      <c r="HC198" s="1"/>
      <c r="HD198" s="1"/>
      <c r="HE198" s="1"/>
      <c r="HF198" s="1"/>
      <c r="HG198" s="1"/>
      <c r="HH198" s="1"/>
      <c r="HI198" s="1"/>
      <c r="HJ198" s="1"/>
      <c r="HK198" s="1"/>
      <c r="HL198" s="1"/>
      <c r="HM198" s="1"/>
      <c r="HN198" s="1"/>
      <c r="HO198" s="1"/>
      <c r="HP198" s="1"/>
      <c r="HQ198" s="1"/>
      <c r="HR198" s="1"/>
      <c r="HS198" s="1"/>
      <c r="HT198" s="1"/>
      <c r="HU198" s="1"/>
      <c r="HV198" s="1"/>
      <c r="HW198" s="1"/>
      <c r="HX198" s="1"/>
      <c r="HY198" s="1"/>
      <c r="HZ198" s="1"/>
      <c r="IA198" s="1"/>
      <c r="IB198" s="1"/>
      <c r="IC198" s="1"/>
      <c r="ID198" s="1"/>
    </row>
    <row r="199" spans="2:238" s="93" customFormat="1" ht="12.75" customHeight="1">
      <c r="B199" s="1581" t="s">
        <v>472</v>
      </c>
      <c r="C199" s="1583"/>
      <c r="D199" s="1583"/>
      <c r="E199" s="1584"/>
      <c r="F199" s="1584"/>
      <c r="G199" s="1584"/>
      <c r="H199" s="1584"/>
      <c r="I199" s="1584"/>
      <c r="J199" s="1584"/>
      <c r="K199" s="1585"/>
      <c r="L199" s="1585"/>
      <c r="M199" s="1585"/>
      <c r="N199" s="1585"/>
      <c r="O199" s="1584"/>
      <c r="P199" s="1585"/>
      <c r="Q199" s="1585"/>
      <c r="R199" s="1585"/>
      <c r="S199" s="1585"/>
      <c r="T199" s="1584"/>
      <c r="U199" s="1585"/>
      <c r="V199" s="1585"/>
      <c r="W199" s="1585"/>
      <c r="X199" s="1585"/>
      <c r="Y199" s="1584"/>
      <c r="Z199" s="1585"/>
      <c r="AA199" s="1585"/>
      <c r="AB199" s="1585"/>
      <c r="AC199" s="1585"/>
      <c r="AD199" s="1584"/>
      <c r="AE199" s="1585"/>
      <c r="AF199" s="1585"/>
      <c r="AG199" s="1585"/>
      <c r="AH199" s="1585"/>
      <c r="AI199" s="1584"/>
      <c r="AJ199" s="1585"/>
      <c r="AK199" s="1585"/>
      <c r="AL199" s="1585"/>
      <c r="AM199" s="1585"/>
      <c r="AN199" s="1584"/>
      <c r="AO199" s="1585"/>
      <c r="AP199" s="1585"/>
      <c r="AQ199" s="1585"/>
      <c r="AR199" s="1585"/>
      <c r="AS199" s="1584"/>
      <c r="AT199" s="1585"/>
      <c r="AU199" s="1585"/>
      <c r="AV199" s="1585"/>
      <c r="AW199" s="1585"/>
      <c r="AX199" s="1584"/>
      <c r="AY199" s="1585"/>
      <c r="AZ199" s="1585"/>
      <c r="BA199" s="1585"/>
      <c r="BB199" s="1585"/>
      <c r="BC199" s="1584"/>
      <c r="BD199" s="1585"/>
      <c r="BE199" s="1585"/>
      <c r="BF199" s="1585"/>
      <c r="BG199" s="1585"/>
      <c r="BH199" s="1584"/>
      <c r="BI199" s="1585"/>
      <c r="BJ199" s="1585"/>
      <c r="BK199" s="1585"/>
      <c r="BL199" s="1585"/>
      <c r="BM199" s="1584"/>
      <c r="BN199" s="1585"/>
      <c r="BO199" s="1585"/>
      <c r="BP199" s="1585"/>
      <c r="BQ199" s="1585"/>
      <c r="BR199" s="1584"/>
      <c r="BS199" s="1585"/>
      <c r="BT199" s="1585"/>
      <c r="BU199" s="1585"/>
      <c r="BV199" s="1585"/>
      <c r="BW199" s="1584"/>
      <c r="BX199" s="1585"/>
      <c r="BY199" s="1585"/>
      <c r="BZ199" s="1585"/>
      <c r="CA199" s="1585"/>
      <c r="CB199" s="1584"/>
      <c r="CC199" s="1585"/>
      <c r="CD199" s="1585"/>
      <c r="CE199" s="1585"/>
      <c r="CF199" s="1585"/>
      <c r="CG199" s="1586"/>
      <c r="CH199" s="1587"/>
      <c r="CI199" s="1587"/>
      <c r="CJ199" s="1587"/>
      <c r="CK199" s="1587"/>
      <c r="CL199" s="1586"/>
      <c r="CM199" s="1587"/>
      <c r="CN199" s="1587"/>
      <c r="CO199" s="1587"/>
      <c r="CP199" s="1587"/>
      <c r="CQ199" s="1586"/>
      <c r="CR199" s="1587">
        <f>Model!CR22+Model!CR21</f>
        <v>701</v>
      </c>
      <c r="CS199" s="1587">
        <f>Model!CS22+Model!CS21</f>
        <v>1130</v>
      </c>
      <c r="CT199" s="1587">
        <f>Model!CT22+Model!CT21</f>
        <v>860</v>
      </c>
      <c r="CU199" s="1587">
        <f>Model!CU22+Model!CU21</f>
        <v>905</v>
      </c>
      <c r="CV199" s="1586">
        <f>SUM(CR199:CU199)</f>
        <v>3596</v>
      </c>
      <c r="CW199" s="1587">
        <f>Model!CW22+Model!CW21</f>
        <v>773</v>
      </c>
      <c r="CX199" s="1587">
        <f>Model!CX22+Model!CX21</f>
        <v>1081</v>
      </c>
      <c r="CY199" s="1587">
        <f>Model!CY22+Model!CY21</f>
        <v>889</v>
      </c>
      <c r="CZ199" s="1587">
        <f>Model!CZ22+Model!CZ21</f>
        <v>834</v>
      </c>
      <c r="DA199" s="1586">
        <f>SUM(CW199:CZ199)</f>
        <v>3577</v>
      </c>
      <c r="DB199" s="1587">
        <f>Model!DB22+Model!DB21</f>
        <v>840</v>
      </c>
      <c r="DC199" s="1660">
        <f>1292-101</f>
        <v>1191</v>
      </c>
      <c r="DD199" s="1660">
        <v>1033</v>
      </c>
      <c r="DE199" s="1660">
        <v>511</v>
      </c>
      <c r="DF199" s="1586"/>
      <c r="DG199" s="1660">
        <v>1028</v>
      </c>
      <c r="DH199" s="1660">
        <v>1429</v>
      </c>
      <c r="DI199" s="1660">
        <v>1169</v>
      </c>
      <c r="DJ199" s="1660">
        <v>779</v>
      </c>
      <c r="DK199" s="2119">
        <f>DK198/DK188</f>
        <v>0.20510250352020237</v>
      </c>
      <c r="DL199" s="1660">
        <v>1105</v>
      </c>
      <c r="DM199" s="1660">
        <v>1120</v>
      </c>
      <c r="DN199" s="1660">
        <v>1170</v>
      </c>
      <c r="DO199" s="1660">
        <v>800</v>
      </c>
      <c r="DP199" s="2119">
        <f>DP198/DP188</f>
        <v>0.1952647132940826</v>
      </c>
      <c r="DQ199" s="1660">
        <v>1126</v>
      </c>
      <c r="DR199" s="1587"/>
      <c r="DS199" s="1587"/>
      <c r="DT199" s="1587"/>
      <c r="DU199" s="1588"/>
      <c r="DV199" s="1587"/>
      <c r="DW199" s="1587"/>
      <c r="DX199" s="1587"/>
      <c r="DY199" s="1587"/>
      <c r="DZ199" s="1588"/>
      <c r="EA199" s="1587"/>
      <c r="EB199" s="1587"/>
      <c r="EC199" s="1587"/>
      <c r="ED199" s="1587"/>
      <c r="EE199" s="1588"/>
      <c r="EF199" s="1"/>
      <c r="EG199" s="1"/>
      <c r="EH199" s="1"/>
      <c r="EI199" s="1"/>
      <c r="EJ199"/>
      <c r="EK199"/>
      <c r="EL199"/>
      <c r="EM199"/>
      <c r="EN199"/>
      <c r="EO199"/>
      <c r="EP199" s="1"/>
      <c r="EQ199" s="1"/>
      <c r="ER199" s="1"/>
      <c r="ES199" s="1"/>
      <c r="ET199" s="1"/>
      <c r="EU199" s="1"/>
      <c r="EV199" s="1"/>
      <c r="EW199" s="1"/>
      <c r="EX199" s="1"/>
      <c r="EY199" s="1"/>
      <c r="EZ199" s="1"/>
      <c r="FA199" s="1"/>
      <c r="FB199" s="1"/>
      <c r="FC199" s="1"/>
      <c r="FD199" s="1"/>
      <c r="FE199" s="1"/>
      <c r="FF199" s="1"/>
      <c r="FG199" s="1"/>
      <c r="FH199" s="1"/>
      <c r="FI199" s="1"/>
      <c r="FJ199" s="1"/>
      <c r="FK199" s="1"/>
      <c r="FL199" s="1"/>
      <c r="FM199" s="1"/>
      <c r="FN199" s="1"/>
      <c r="FO199" s="1"/>
      <c r="FP199" s="1"/>
      <c r="FQ199" s="1"/>
      <c r="FR199" s="1"/>
      <c r="FS199" s="1"/>
      <c r="FT199" s="1"/>
      <c r="FU199" s="1"/>
      <c r="FV199" s="1"/>
      <c r="FW199" s="1"/>
      <c r="FX199" s="1"/>
      <c r="FY199" s="1"/>
      <c r="FZ199" s="1"/>
      <c r="GA199" s="1"/>
      <c r="GB199" s="1"/>
      <c r="GC199" s="1"/>
      <c r="GD199" s="1"/>
      <c r="GE199" s="1"/>
      <c r="GF199" s="1"/>
      <c r="GG199" s="1"/>
      <c r="GH199" s="1"/>
      <c r="GI199" s="1"/>
      <c r="GJ199" s="1"/>
      <c r="GK199" s="1"/>
      <c r="GL199" s="1"/>
      <c r="GM199" s="1"/>
      <c r="GN199" s="1"/>
      <c r="GO199" s="1"/>
      <c r="GP199" s="1"/>
      <c r="GQ199" s="1"/>
      <c r="GR199" s="1"/>
      <c r="GS199" s="1"/>
      <c r="GT199" s="1"/>
      <c r="GU199" s="1"/>
      <c r="GV199" s="1"/>
      <c r="GW199" s="1"/>
      <c r="GX199" s="1"/>
      <c r="GY199" s="1"/>
      <c r="GZ199" s="1"/>
      <c r="HA199" s="1"/>
      <c r="HB199" s="1"/>
      <c r="HC199" s="1"/>
      <c r="HD199" s="1"/>
      <c r="HE199" s="1"/>
      <c r="HF199" s="1"/>
      <c r="HG199" s="1"/>
      <c r="HH199" s="1"/>
      <c r="HI199" s="1"/>
      <c r="HJ199" s="1"/>
      <c r="HK199" s="1"/>
      <c r="HL199" s="1"/>
      <c r="HM199" s="1"/>
      <c r="HN199" s="1"/>
      <c r="HO199" s="1"/>
      <c r="HP199" s="1"/>
      <c r="HQ199" s="1"/>
      <c r="HR199" s="1"/>
      <c r="HS199" s="1"/>
      <c r="HT199" s="1"/>
      <c r="HU199" s="1"/>
      <c r="HV199" s="1"/>
      <c r="HW199" s="1"/>
      <c r="HX199" s="1"/>
      <c r="HY199" s="1"/>
      <c r="HZ199" s="1"/>
      <c r="IA199" s="1"/>
      <c r="IB199" s="1"/>
      <c r="IC199" s="1"/>
      <c r="ID199" s="1"/>
    </row>
    <row r="200" spans="2:238" s="93" customFormat="1" ht="12.75" customHeight="1">
      <c r="B200" s="1580" t="s">
        <v>473</v>
      </c>
      <c r="C200" s="159"/>
      <c r="D200" s="159"/>
      <c r="E200" s="204"/>
      <c r="F200" s="204"/>
      <c r="G200" s="204"/>
      <c r="H200" s="204"/>
      <c r="I200" s="204"/>
      <c r="J200" s="204"/>
      <c r="K200" s="160"/>
      <c r="L200" s="160"/>
      <c r="M200" s="160"/>
      <c r="N200" s="160"/>
      <c r="O200" s="204"/>
      <c r="P200" s="160"/>
      <c r="Q200" s="160"/>
      <c r="R200" s="160"/>
      <c r="S200" s="160"/>
      <c r="T200" s="204"/>
      <c r="U200" s="160"/>
      <c r="V200" s="160"/>
      <c r="W200" s="160"/>
      <c r="X200" s="160"/>
      <c r="Y200" s="204"/>
      <c r="Z200" s="160"/>
      <c r="AA200" s="160"/>
      <c r="AB200" s="160"/>
      <c r="AC200" s="160"/>
      <c r="AD200" s="204"/>
      <c r="AE200" s="160"/>
      <c r="AF200" s="160"/>
      <c r="AG200" s="160"/>
      <c r="AH200" s="160"/>
      <c r="AI200" s="204"/>
      <c r="AJ200" s="160"/>
      <c r="AK200" s="160"/>
      <c r="AL200" s="160"/>
      <c r="AM200" s="160"/>
      <c r="AN200" s="204"/>
      <c r="AO200" s="160"/>
      <c r="AP200" s="160"/>
      <c r="AQ200" s="160"/>
      <c r="AR200" s="160"/>
      <c r="AS200" s="204"/>
      <c r="AT200" s="160"/>
      <c r="AU200" s="160"/>
      <c r="AV200" s="160"/>
      <c r="AW200" s="160"/>
      <c r="AX200" s="204"/>
      <c r="AY200" s="160"/>
      <c r="AZ200" s="160"/>
      <c r="BA200" s="160"/>
      <c r="BB200" s="160"/>
      <c r="BC200" s="204"/>
      <c r="BD200" s="160"/>
      <c r="BE200" s="160"/>
      <c r="BF200" s="160"/>
      <c r="BG200" s="160"/>
      <c r="BH200" s="204"/>
      <c r="BI200" s="160"/>
      <c r="BJ200" s="160"/>
      <c r="BK200" s="160"/>
      <c r="BL200" s="160"/>
      <c r="BM200" s="204"/>
      <c r="BN200" s="160"/>
      <c r="BO200" s="160"/>
      <c r="BP200" s="160"/>
      <c r="BQ200" s="160"/>
      <c r="BR200" s="204"/>
      <c r="BS200" s="160"/>
      <c r="BT200" s="160"/>
      <c r="BU200" s="160"/>
      <c r="BV200" s="160"/>
      <c r="BW200" s="204"/>
      <c r="BX200" s="160"/>
      <c r="BY200" s="160"/>
      <c r="BZ200" s="160"/>
      <c r="CA200" s="160"/>
      <c r="CB200" s="204"/>
      <c r="CC200" s="160"/>
      <c r="CD200" s="160"/>
      <c r="CE200" s="160"/>
      <c r="CF200" s="160"/>
      <c r="CG200" s="619"/>
      <c r="CH200" s="73"/>
      <c r="CI200" s="73"/>
      <c r="CJ200" s="73"/>
      <c r="CK200" s="73"/>
      <c r="CL200" s="619"/>
      <c r="CM200" s="73"/>
      <c r="CN200" s="73"/>
      <c r="CO200" s="73"/>
      <c r="CP200" s="73"/>
      <c r="CQ200" s="619"/>
      <c r="CR200" s="73">
        <f>CR194-CR198</f>
        <v>906</v>
      </c>
      <c r="CS200" s="73">
        <f>CS194-CS198</f>
        <v>1278</v>
      </c>
      <c r="CT200" s="73">
        <f>CT194-CT198</f>
        <v>1102</v>
      </c>
      <c r="CU200" s="73">
        <f>CU194-CU198</f>
        <v>994</v>
      </c>
      <c r="CV200" s="1586">
        <f>SUM(CR200:CU200)</f>
        <v>4280</v>
      </c>
      <c r="CW200" s="73">
        <f>CW194-CW198</f>
        <v>950</v>
      </c>
      <c r="CX200" s="73">
        <f>CX194-CX198</f>
        <v>1224</v>
      </c>
      <c r="CY200" s="73">
        <f>CY194-CY198</f>
        <v>1120</v>
      </c>
      <c r="CZ200" s="73">
        <f>CZ194-CZ198</f>
        <v>1041</v>
      </c>
      <c r="DA200" s="1586">
        <f>SUM(CW200:CZ200)</f>
        <v>4335</v>
      </c>
      <c r="DB200" s="73">
        <f>DB194-DB198</f>
        <v>1011</v>
      </c>
      <c r="DC200" s="1660">
        <f>1598-101</f>
        <v>1497</v>
      </c>
      <c r="DD200" s="1660">
        <v>1328</v>
      </c>
      <c r="DE200" s="1660">
        <v>1054</v>
      </c>
      <c r="DF200" s="619">
        <f>SUM(DB200:DE200)</f>
        <v>4890</v>
      </c>
      <c r="DG200" s="1660">
        <v>1243</v>
      </c>
      <c r="DH200" s="1660">
        <v>1632</v>
      </c>
      <c r="DI200" s="1660">
        <v>1382</v>
      </c>
      <c r="DJ200" s="1660">
        <v>1100</v>
      </c>
      <c r="DK200" s="777">
        <f>SUM(DG200:DJ200)</f>
        <v>5357</v>
      </c>
      <c r="DL200" s="1660">
        <v>1289</v>
      </c>
      <c r="DM200" s="1660">
        <v>1552</v>
      </c>
      <c r="DN200" s="1660">
        <v>1463</v>
      </c>
      <c r="DO200" s="1660">
        <v>1403</v>
      </c>
      <c r="DP200" s="777">
        <f>SUM(DL200:DO200)</f>
        <v>5707</v>
      </c>
      <c r="DQ200" s="1660">
        <v>1377</v>
      </c>
      <c r="DR200" s="73">
        <f ca="1">DR194-DR198</f>
        <v>1626.0996050066542</v>
      </c>
      <c r="DS200" s="73">
        <f ca="1">DS194-DS198</f>
        <v>1499.5847145396892</v>
      </c>
      <c r="DT200" s="73">
        <f>DT194-DT198</f>
        <v>1353.5332913150942</v>
      </c>
      <c r="DU200" s="777">
        <f ca="1">SUM(DQ200:DT200)</f>
        <v>5856.2176108614376</v>
      </c>
      <c r="DV200" s="73">
        <f>DV194-DV198</f>
        <v>1372.1922803363423</v>
      </c>
      <c r="DW200" s="73">
        <f ca="1">DW194-DW198</f>
        <v>1644.2605998268382</v>
      </c>
      <c r="DX200" s="73">
        <f ca="1">DX194-DX198</f>
        <v>1678.3296679836194</v>
      </c>
      <c r="DY200" s="73">
        <f>DY194-DY198</f>
        <v>1567.1914756211218</v>
      </c>
      <c r="DZ200" s="777">
        <f ca="1">SUM(DV200:DY200)</f>
        <v>6261.9740237679216</v>
      </c>
      <c r="EA200" s="73">
        <f>EA194-EA198</f>
        <v>1411.3631119791644</v>
      </c>
      <c r="EB200" s="73">
        <f ca="1">EB194-EB198</f>
        <v>1659.5238419802508</v>
      </c>
      <c r="EC200" s="73">
        <f ca="1">EC194-EC198</f>
        <v>1711.9713583601915</v>
      </c>
      <c r="ED200" s="73">
        <f>ED194-ED198</f>
        <v>1601.5405808522592</v>
      </c>
      <c r="EE200" s="777">
        <f ca="1">SUM(EA200:ED200)</f>
        <v>6384.3988931718659</v>
      </c>
      <c r="EF200" s="1"/>
      <c r="EG200" s="1"/>
      <c r="EH200" s="1"/>
      <c r="EI200" s="1"/>
      <c r="EJ200"/>
      <c r="EK200"/>
      <c r="EL200"/>
      <c r="EM200"/>
      <c r="EN200"/>
      <c r="EO200"/>
      <c r="EP200" s="1"/>
      <c r="EQ200" s="1"/>
      <c r="ER200" s="1"/>
      <c r="ES200" s="1"/>
      <c r="ET200" s="1"/>
      <c r="EU200" s="1"/>
      <c r="EV200" s="1"/>
      <c r="EW200" s="1"/>
      <c r="EX200" s="1"/>
      <c r="EY200" s="1"/>
      <c r="EZ200" s="1"/>
      <c r="FA200" s="1"/>
      <c r="FB200" s="1"/>
      <c r="FC200" s="1"/>
      <c r="FD200" s="1"/>
      <c r="FE200" s="1"/>
      <c r="FF200" s="1"/>
      <c r="FG200" s="1"/>
      <c r="FH200" s="1"/>
      <c r="FI200" s="1"/>
      <c r="FJ200" s="1"/>
      <c r="FK200" s="1"/>
      <c r="FL200" s="1"/>
      <c r="FM200" s="1"/>
      <c r="FN200" s="1"/>
      <c r="FO200" s="1"/>
      <c r="FP200" s="1"/>
      <c r="FQ200" s="1"/>
      <c r="FR200" s="1"/>
      <c r="FS200" s="1"/>
      <c r="FT200" s="1"/>
      <c r="FU200" s="1"/>
      <c r="FV200" s="1"/>
      <c r="FW200" s="1"/>
      <c r="FX200" s="1"/>
      <c r="FY200" s="1"/>
      <c r="FZ200" s="1"/>
      <c r="GA200" s="1"/>
      <c r="GB200" s="1"/>
      <c r="GC200" s="1"/>
      <c r="GD200" s="1"/>
      <c r="GE200" s="1"/>
      <c r="GF200" s="1"/>
      <c r="GG200" s="1"/>
      <c r="GH200" s="1"/>
      <c r="GI200" s="1"/>
      <c r="GJ200" s="1"/>
      <c r="GK200" s="1"/>
      <c r="GL200" s="1"/>
      <c r="GM200" s="1"/>
      <c r="GN200" s="1"/>
      <c r="GO200" s="1"/>
      <c r="GP200" s="1"/>
      <c r="GQ200" s="1"/>
      <c r="GR200" s="1"/>
      <c r="GS200" s="1"/>
      <c r="GT200" s="1"/>
      <c r="GU200" s="1"/>
      <c r="GV200" s="1"/>
      <c r="GW200" s="1"/>
      <c r="GX200" s="1"/>
      <c r="GY200" s="1"/>
      <c r="GZ200" s="1"/>
      <c r="HA200" s="1"/>
      <c r="HB200" s="1"/>
      <c r="HC200" s="1"/>
      <c r="HD200" s="1"/>
      <c r="HE200" s="1"/>
      <c r="HF200" s="1"/>
      <c r="HG200" s="1"/>
      <c r="HH200" s="1"/>
      <c r="HI200" s="1"/>
      <c r="HJ200" s="1"/>
      <c r="HK200" s="1"/>
      <c r="HL200" s="1"/>
      <c r="HM200" s="1"/>
      <c r="HN200" s="1"/>
      <c r="HO200" s="1"/>
      <c r="HP200" s="1"/>
      <c r="HQ200" s="1"/>
      <c r="HR200" s="1"/>
      <c r="HS200" s="1"/>
      <c r="HT200" s="1"/>
      <c r="HU200" s="1"/>
      <c r="HV200" s="1"/>
      <c r="HW200" s="1"/>
      <c r="HX200" s="1"/>
      <c r="HY200" s="1"/>
      <c r="HZ200" s="1"/>
      <c r="IA200" s="1"/>
      <c r="IB200" s="1"/>
      <c r="IC200" s="1"/>
      <c r="ID200" s="1"/>
    </row>
    <row r="201" spans="2:238" s="93" customFormat="1" ht="12.75" customHeight="1">
      <c r="B201" s="551" t="s">
        <v>469</v>
      </c>
      <c r="C201" s="107"/>
      <c r="D201" s="107"/>
      <c r="E201" s="143"/>
      <c r="F201" s="143"/>
      <c r="G201" s="143"/>
      <c r="H201" s="143"/>
      <c r="I201" s="143"/>
      <c r="J201" s="143"/>
      <c r="K201" s="145"/>
      <c r="L201" s="145"/>
      <c r="M201" s="145"/>
      <c r="N201" s="145"/>
      <c r="O201" s="143"/>
      <c r="P201" s="145"/>
      <c r="Q201" s="145"/>
      <c r="R201" s="145"/>
      <c r="S201" s="145"/>
      <c r="T201" s="143"/>
      <c r="U201" s="145"/>
      <c r="V201" s="145"/>
      <c r="W201" s="145"/>
      <c r="X201" s="145"/>
      <c r="Y201" s="143"/>
      <c r="Z201" s="145"/>
      <c r="AA201" s="145"/>
      <c r="AB201" s="145"/>
      <c r="AC201" s="145"/>
      <c r="AD201" s="143"/>
      <c r="AE201" s="145"/>
      <c r="AF201" s="145"/>
      <c r="AG201" s="145"/>
      <c r="AH201" s="145"/>
      <c r="AI201" s="143"/>
      <c r="AJ201" s="145"/>
      <c r="AK201" s="145"/>
      <c r="AL201" s="145"/>
      <c r="AM201" s="145"/>
      <c r="AN201" s="143"/>
      <c r="AO201" s="145"/>
      <c r="AP201" s="145"/>
      <c r="AQ201" s="145"/>
      <c r="AR201" s="145"/>
      <c r="AS201" s="143"/>
      <c r="AT201" s="145"/>
      <c r="AU201" s="145"/>
      <c r="AV201" s="145"/>
      <c r="AW201" s="145"/>
      <c r="AX201" s="143"/>
      <c r="AY201" s="145"/>
      <c r="AZ201" s="145"/>
      <c r="BA201" s="145"/>
      <c r="BB201" s="145"/>
      <c r="BC201" s="143"/>
      <c r="BD201" s="145"/>
      <c r="BE201" s="145"/>
      <c r="BF201" s="145"/>
      <c r="BG201" s="145"/>
      <c r="BH201" s="143"/>
      <c r="BI201" s="145"/>
      <c r="BJ201" s="145"/>
      <c r="BK201" s="145"/>
      <c r="BL201" s="145"/>
      <c r="BM201" s="143"/>
      <c r="BN201" s="145"/>
      <c r="BO201" s="145"/>
      <c r="BP201" s="145"/>
      <c r="BQ201" s="145"/>
      <c r="BR201" s="143"/>
      <c r="BS201" s="145"/>
      <c r="BT201" s="145"/>
      <c r="BU201" s="145"/>
      <c r="BV201" s="145"/>
      <c r="BW201" s="143"/>
      <c r="BX201" s="145"/>
      <c r="BY201" s="145"/>
      <c r="BZ201" s="145"/>
      <c r="CA201" s="145"/>
      <c r="CB201" s="143"/>
      <c r="CC201" s="145"/>
      <c r="CD201" s="145"/>
      <c r="CE201" s="145"/>
      <c r="CF201" s="145"/>
      <c r="CG201" s="1589"/>
      <c r="CH201" s="1590"/>
      <c r="CI201" s="1590"/>
      <c r="CJ201" s="1590"/>
      <c r="CK201" s="1590"/>
      <c r="CL201" s="1589"/>
      <c r="CM201" s="1590"/>
      <c r="CN201" s="1590"/>
      <c r="CO201" s="1590"/>
      <c r="CP201" s="1590"/>
      <c r="CQ201" s="1589"/>
      <c r="CR201" s="1590"/>
      <c r="CS201" s="1590"/>
      <c r="CT201" s="1590"/>
      <c r="CU201" s="1590"/>
      <c r="CV201" s="1589"/>
      <c r="CW201" s="1590"/>
      <c r="CX201" s="1590"/>
      <c r="CY201" s="1590"/>
      <c r="CZ201" s="1590"/>
      <c r="DA201" s="1589"/>
      <c r="DB201" s="1590"/>
      <c r="DC201" s="1590">
        <f>Model!DC76</f>
        <v>1840</v>
      </c>
      <c r="DD201" s="1590">
        <f>Model!DD76</f>
        <v>1749</v>
      </c>
      <c r="DE201" s="1590">
        <f>Model!DE76</f>
        <v>1450</v>
      </c>
      <c r="DF201" s="1589">
        <f>SUM(DB201:DE201)</f>
        <v>5039</v>
      </c>
      <c r="DG201" s="1590">
        <f>Model!DG76</f>
        <v>1719</v>
      </c>
      <c r="DH201" s="1590">
        <f>Model!DH76</f>
        <v>2120</v>
      </c>
      <c r="DI201" s="1590">
        <f>Model!DI76</f>
        <v>1814</v>
      </c>
      <c r="DJ201" s="1590">
        <f>Model!DJ76</f>
        <v>1555</v>
      </c>
      <c r="DK201" s="1591">
        <f>SUM(DG201:DJ201)</f>
        <v>7208</v>
      </c>
      <c r="DL201" s="1590">
        <f>Model!DL76</f>
        <v>1726</v>
      </c>
      <c r="DM201" s="1590">
        <f>Model!DM76</f>
        <v>2016</v>
      </c>
      <c r="DN201" s="1590">
        <f>Model!DN76</f>
        <v>2054</v>
      </c>
      <c r="DO201" s="1590">
        <f>Model!DO76</f>
        <v>1884</v>
      </c>
      <c r="DP201" s="1591">
        <f>SUM(DL201:DO201)</f>
        <v>7680</v>
      </c>
      <c r="DQ201" s="1590">
        <f>Model!DQ76</f>
        <v>1809</v>
      </c>
      <c r="DR201" s="1590">
        <f ca="1">Model!DR76</f>
        <v>2092.5589827854706</v>
      </c>
      <c r="DS201" s="1590">
        <f ca="1">Model!DS76</f>
        <v>1956.7108103980572</v>
      </c>
      <c r="DT201" s="1590">
        <f>Model!DT76</f>
        <v>1864.4675875938412</v>
      </c>
      <c r="DU201" s="1591">
        <f ca="1">SUM(DQ201:DT201)</f>
        <v>7722.7373807773693</v>
      </c>
      <c r="DV201" s="1590">
        <f>Model!DV76</f>
        <v>1827.1445882831288</v>
      </c>
      <c r="DW201" s="1590">
        <f ca="1">Model!DW76</f>
        <v>2131.680172854698</v>
      </c>
      <c r="DX201" s="1590">
        <f ca="1">Model!DX76</f>
        <v>2151.3883448000151</v>
      </c>
      <c r="DY201" s="1590">
        <f>Model!DY76</f>
        <v>2102.8223249511507</v>
      </c>
      <c r="DZ201" s="1591">
        <f ca="1">SUM(DV201:DY201)</f>
        <v>8213.0354308889928</v>
      </c>
      <c r="EA201" s="1590">
        <f>Model!EA76</f>
        <v>1875.2821606749424</v>
      </c>
      <c r="EB201" s="1590">
        <f ca="1">Model!EB76</f>
        <v>2156.898451616451</v>
      </c>
      <c r="EC201" s="1590">
        <f ca="1">Model!EC76</f>
        <v>2193.8041800181127</v>
      </c>
      <c r="ED201" s="1590">
        <f>Model!ED76</f>
        <v>2148.7638887745029</v>
      </c>
      <c r="EE201" s="1591">
        <f ca="1">SUM(EA201:ED201)</f>
        <v>8374.7486810840091</v>
      </c>
      <c r="EF201" s="1"/>
      <c r="EG201" s="1"/>
      <c r="EH201" s="1"/>
      <c r="EI201" s="1"/>
      <c r="EJ201"/>
      <c r="EK201"/>
      <c r="EL201"/>
      <c r="EM201"/>
      <c r="EN201"/>
      <c r="EO201"/>
      <c r="EP201" s="1"/>
      <c r="EQ201" s="1"/>
      <c r="ER201" s="1"/>
      <c r="ES201" s="1"/>
      <c r="ET201" s="1"/>
      <c r="EU201" s="1"/>
      <c r="EV201" s="1"/>
      <c r="EW201" s="1"/>
      <c r="EX201" s="1"/>
      <c r="EY201" s="1"/>
      <c r="EZ201" s="1"/>
      <c r="FA201" s="1"/>
      <c r="FB201" s="1"/>
      <c r="FC201" s="1"/>
      <c r="FD201" s="1"/>
      <c r="FE201" s="1"/>
      <c r="FF201" s="1"/>
      <c r="FG201" s="1"/>
      <c r="FH201" s="1"/>
      <c r="FI201" s="1"/>
      <c r="FJ201" s="1"/>
      <c r="FK201" s="1"/>
      <c r="FL201" s="1"/>
      <c r="FM201" s="1"/>
      <c r="FN201" s="1"/>
      <c r="FO201" s="1"/>
      <c r="FP201" s="1"/>
      <c r="FQ201" s="1"/>
      <c r="FR201" s="1"/>
      <c r="FS201" s="1"/>
      <c r="FT201" s="1"/>
      <c r="FU201" s="1"/>
      <c r="FV201" s="1"/>
      <c r="FW201" s="1"/>
      <c r="FX201" s="1"/>
      <c r="FY201" s="1"/>
      <c r="FZ201" s="1"/>
      <c r="GA201" s="1"/>
      <c r="GB201" s="1"/>
      <c r="GC201" s="1"/>
      <c r="GD201" s="1"/>
      <c r="GE201" s="1"/>
      <c r="GF201" s="1"/>
      <c r="GG201" s="1"/>
      <c r="GH201" s="1"/>
      <c r="GI201" s="1"/>
      <c r="GJ201" s="1"/>
      <c r="GK201" s="1"/>
      <c r="GL201" s="1"/>
      <c r="GM201" s="1"/>
      <c r="GN201" s="1"/>
      <c r="GO201" s="1"/>
      <c r="GP201" s="1"/>
      <c r="GQ201" s="1"/>
      <c r="GR201" s="1"/>
      <c r="GS201" s="1"/>
      <c r="GT201" s="1"/>
      <c r="GU201" s="1"/>
      <c r="GV201" s="1"/>
      <c r="GW201" s="1"/>
      <c r="GX201" s="1"/>
      <c r="GY201" s="1"/>
      <c r="GZ201" s="1"/>
      <c r="HA201" s="1"/>
      <c r="HB201" s="1"/>
      <c r="HC201" s="1"/>
      <c r="HD201" s="1"/>
      <c r="HE201" s="1"/>
      <c r="HF201" s="1"/>
      <c r="HG201" s="1"/>
      <c r="HH201" s="1"/>
      <c r="HI201" s="1"/>
      <c r="HJ201" s="1"/>
      <c r="HK201" s="1"/>
      <c r="HL201" s="1"/>
      <c r="HM201" s="1"/>
      <c r="HN201" s="1"/>
      <c r="HO201" s="1"/>
      <c r="HP201" s="1"/>
      <c r="HQ201" s="1"/>
      <c r="HR201" s="1"/>
      <c r="HS201" s="1"/>
      <c r="HT201" s="1"/>
      <c r="HU201" s="1"/>
      <c r="HV201" s="1"/>
      <c r="HW201" s="1"/>
      <c r="HX201" s="1"/>
      <c r="HY201" s="1"/>
      <c r="HZ201" s="1"/>
      <c r="IA201" s="1"/>
      <c r="IB201" s="1"/>
      <c r="IC201" s="1"/>
      <c r="ID201" s="1"/>
    </row>
    <row r="202" spans="2:238" s="93" customFormat="1" ht="12.75" customHeight="1">
      <c r="B202" s="551"/>
      <c r="C202" s="107"/>
      <c r="D202" s="107"/>
      <c r="E202" s="143"/>
      <c r="F202" s="143"/>
      <c r="G202" s="143"/>
      <c r="H202" s="143"/>
      <c r="I202" s="143"/>
      <c r="J202" s="143"/>
      <c r="K202" s="145"/>
      <c r="L202" s="145"/>
      <c r="M202" s="145"/>
      <c r="N202" s="145"/>
      <c r="O202" s="143"/>
      <c r="P202" s="145"/>
      <c r="Q202" s="145"/>
      <c r="R202" s="145"/>
      <c r="S202" s="145"/>
      <c r="T202" s="143"/>
      <c r="U202" s="145"/>
      <c r="V202" s="145"/>
      <c r="W202" s="145"/>
      <c r="X202" s="145"/>
      <c r="Y202" s="143"/>
      <c r="Z202" s="145"/>
      <c r="AA202" s="145"/>
      <c r="AB202" s="145"/>
      <c r="AC202" s="145"/>
      <c r="AD202" s="143"/>
      <c r="AE202" s="145"/>
      <c r="AF202" s="145"/>
      <c r="AG202" s="145"/>
      <c r="AH202" s="145"/>
      <c r="AI202" s="143"/>
      <c r="AJ202" s="145"/>
      <c r="AK202" s="145"/>
      <c r="AL202" s="145"/>
      <c r="AM202" s="145"/>
      <c r="AN202" s="143"/>
      <c r="AO202" s="145"/>
      <c r="AP202" s="145"/>
      <c r="AQ202" s="145"/>
      <c r="AR202" s="145"/>
      <c r="AS202" s="143"/>
      <c r="AT202" s="145"/>
      <c r="AU202" s="145"/>
      <c r="AV202" s="145"/>
      <c r="AW202" s="145"/>
      <c r="AX202" s="143"/>
      <c r="AY202" s="145"/>
      <c r="AZ202" s="145"/>
      <c r="BA202" s="145"/>
      <c r="BB202" s="145"/>
      <c r="BC202" s="143"/>
      <c r="BD202" s="145"/>
      <c r="BE202" s="145"/>
      <c r="BF202" s="145"/>
      <c r="BG202" s="145"/>
      <c r="BH202" s="143"/>
      <c r="BI202" s="145"/>
      <c r="BJ202" s="145"/>
      <c r="BK202" s="145"/>
      <c r="BL202" s="145"/>
      <c r="BM202" s="143"/>
      <c r="BN202" s="145"/>
      <c r="BO202" s="145"/>
      <c r="BP202" s="145"/>
      <c r="BQ202" s="145"/>
      <c r="BR202" s="143"/>
      <c r="BS202" s="145"/>
      <c r="BT202" s="145"/>
      <c r="BU202" s="145"/>
      <c r="BV202" s="145"/>
      <c r="BW202" s="143"/>
      <c r="BX202" s="145"/>
      <c r="BY202" s="145"/>
      <c r="BZ202" s="145"/>
      <c r="CA202" s="145"/>
      <c r="CB202" s="143"/>
      <c r="CC202" s="145"/>
      <c r="CD202" s="145"/>
      <c r="CE202" s="145"/>
      <c r="CF202" s="145"/>
      <c r="CG202" s="1589"/>
      <c r="CH202" s="1590"/>
      <c r="CI202" s="1590"/>
      <c r="CJ202" s="1590"/>
      <c r="CK202" s="1590"/>
      <c r="CL202" s="1589"/>
      <c r="CM202" s="1590"/>
      <c r="CN202" s="1590"/>
      <c r="CO202" s="1590"/>
      <c r="CP202" s="1590"/>
      <c r="CQ202" s="1589"/>
      <c r="CR202" s="1590"/>
      <c r="CS202" s="1590"/>
      <c r="CT202" s="1590"/>
      <c r="CU202" s="1590"/>
      <c r="CV202" s="1589"/>
      <c r="CW202" s="1590"/>
      <c r="CX202" s="1590"/>
      <c r="CY202" s="1590"/>
      <c r="CZ202" s="1590"/>
      <c r="DA202" s="1589"/>
      <c r="DB202" s="1590"/>
      <c r="DC202" s="1664"/>
      <c r="DD202" s="1664"/>
      <c r="DE202" s="1664"/>
      <c r="DF202" s="2175"/>
      <c r="DG202" s="1664"/>
      <c r="DH202" s="1664"/>
      <c r="DI202" s="1664"/>
      <c r="DJ202" s="1664"/>
      <c r="DK202" s="2175"/>
      <c r="DL202" s="420">
        <f>DL200-DG200</f>
        <v>46</v>
      </c>
      <c r="DM202" s="420">
        <f>DM200-DH200</f>
        <v>-80</v>
      </c>
      <c r="DN202" s="420">
        <f>DN200-DI200</f>
        <v>81</v>
      </c>
      <c r="DO202" s="420">
        <f>DO200-DJ200</f>
        <v>303</v>
      </c>
      <c r="DP202" s="2175"/>
      <c r="DQ202" s="420">
        <f>DQ200-DL200</f>
        <v>88</v>
      </c>
      <c r="DR202" s="119">
        <f ca="1">DR200/DM200-1</f>
        <v>4.7744590854802871E-2</v>
      </c>
      <c r="DS202" s="420"/>
      <c r="DT202" s="420"/>
      <c r="DU202" s="2298">
        <f ca="1">DU200/DP200-1</f>
        <v>2.6146418584446662E-2</v>
      </c>
      <c r="DV202" s="1590"/>
      <c r="DW202" s="1590"/>
      <c r="DX202" s="1590"/>
      <c r="DY202" s="1590"/>
      <c r="DZ202" s="2298">
        <f ca="1">DZ200/DU200-1</f>
        <v>6.9286430229972051E-2</v>
      </c>
      <c r="EA202" s="1590"/>
      <c r="EB202" s="1590"/>
      <c r="EC202" s="1590"/>
      <c r="ED202" s="1590"/>
      <c r="EE202" s="2298">
        <f ca="1">EE200/DZ200-1</f>
        <v>1.9550523355617466E-2</v>
      </c>
      <c r="EF202" s="1"/>
      <c r="EG202" s="1"/>
      <c r="EH202" s="1"/>
      <c r="EI202" s="1"/>
      <c r="EJ202"/>
      <c r="EK202"/>
      <c r="EL202"/>
      <c r="EM202"/>
      <c r="EN202"/>
      <c r="EO202"/>
      <c r="EP202" s="1"/>
      <c r="EQ202" s="1"/>
      <c r="ER202" s="1"/>
      <c r="ES202" s="1"/>
      <c r="ET202" s="1"/>
      <c r="EU202" s="1"/>
      <c r="EV202" s="1"/>
      <c r="EW202" s="1"/>
      <c r="EX202" s="1"/>
      <c r="EY202" s="1"/>
      <c r="EZ202" s="1"/>
      <c r="FA202" s="1"/>
      <c r="FB202" s="1"/>
      <c r="FC202" s="1"/>
      <c r="FD202" s="1"/>
      <c r="FE202" s="1"/>
      <c r="FF202" s="1"/>
      <c r="FG202" s="1"/>
      <c r="FH202" s="1"/>
      <c r="FI202" s="1"/>
      <c r="FJ202" s="1"/>
      <c r="FK202" s="1"/>
      <c r="FL202" s="1"/>
      <c r="FM202" s="1"/>
      <c r="FN202" s="1"/>
      <c r="FO202" s="1"/>
      <c r="FP202" s="1"/>
      <c r="FQ202" s="1"/>
      <c r="FR202" s="1"/>
      <c r="FS202" s="1"/>
      <c r="FT202" s="1"/>
      <c r="FU202" s="1"/>
      <c r="FV202" s="1"/>
      <c r="FW202" s="1"/>
      <c r="FX202" s="1"/>
      <c r="FY202" s="1"/>
      <c r="FZ202" s="1"/>
      <c r="GA202" s="1"/>
      <c r="GB202" s="1"/>
      <c r="GC202" s="1"/>
      <c r="GD202" s="1"/>
      <c r="GE202" s="1"/>
      <c r="GF202" s="1"/>
      <c r="GG202" s="1"/>
      <c r="GH202" s="1"/>
      <c r="GI202" s="1"/>
      <c r="GJ202" s="1"/>
      <c r="GK202" s="1"/>
      <c r="GL202" s="1"/>
      <c r="GM202" s="1"/>
      <c r="GN202" s="1"/>
      <c r="GO202" s="1"/>
      <c r="GP202" s="1"/>
      <c r="GQ202" s="1"/>
      <c r="GR202" s="1"/>
      <c r="GS202" s="1"/>
      <c r="GT202" s="1"/>
      <c r="GU202" s="1"/>
      <c r="GV202" s="1"/>
      <c r="GW202" s="1"/>
      <c r="GX202" s="1"/>
      <c r="GY202" s="1"/>
      <c r="GZ202" s="1"/>
      <c r="HA202" s="1"/>
      <c r="HB202" s="1"/>
      <c r="HC202" s="1"/>
      <c r="HD202" s="1"/>
      <c r="HE202" s="1"/>
      <c r="HF202" s="1"/>
      <c r="HG202" s="1"/>
      <c r="HH202" s="1"/>
      <c r="HI202" s="1"/>
      <c r="HJ202" s="1"/>
      <c r="HK202" s="1"/>
      <c r="HL202" s="1"/>
      <c r="HM202" s="1"/>
      <c r="HN202" s="1"/>
      <c r="HO202" s="1"/>
      <c r="HP202" s="1"/>
      <c r="HQ202" s="1"/>
      <c r="HR202" s="1"/>
      <c r="HS202" s="1"/>
      <c r="HT202" s="1"/>
      <c r="HU202" s="1"/>
      <c r="HV202" s="1"/>
      <c r="HW202" s="1"/>
      <c r="HX202" s="1"/>
      <c r="HY202" s="1"/>
      <c r="HZ202" s="1"/>
      <c r="IA202" s="1"/>
      <c r="IB202" s="1"/>
      <c r="IC202" s="1"/>
      <c r="ID202" s="1"/>
    </row>
    <row r="203" spans="2:238" s="93" customFormat="1" ht="12.75" customHeight="1">
      <c r="B203" s="1580" t="s">
        <v>405</v>
      </c>
      <c r="C203" s="159"/>
      <c r="D203" s="159"/>
      <c r="E203" s="204"/>
      <c r="F203" s="204"/>
      <c r="G203" s="204"/>
      <c r="H203" s="204"/>
      <c r="I203" s="204"/>
      <c r="J203" s="204"/>
      <c r="K203" s="160"/>
      <c r="L203" s="160"/>
      <c r="M203" s="160"/>
      <c r="N203" s="160"/>
      <c r="O203" s="204"/>
      <c r="P203" s="160"/>
      <c r="Q203" s="160"/>
      <c r="R203" s="160"/>
      <c r="S203" s="160"/>
      <c r="T203" s="204"/>
      <c r="U203" s="160"/>
      <c r="V203" s="160"/>
      <c r="W203" s="160"/>
      <c r="X203" s="160"/>
      <c r="Y203" s="204"/>
      <c r="Z203" s="160"/>
      <c r="AA203" s="160"/>
      <c r="AB203" s="160"/>
      <c r="AC203" s="160"/>
      <c r="AD203" s="204"/>
      <c r="AE203" s="160"/>
      <c r="AF203" s="160"/>
      <c r="AG203" s="160"/>
      <c r="AH203" s="160"/>
      <c r="AI203" s="204"/>
      <c r="AJ203" s="160"/>
      <c r="AK203" s="160"/>
      <c r="AL203" s="160"/>
      <c r="AM203" s="160"/>
      <c r="AN203" s="204"/>
      <c r="AO203" s="160"/>
      <c r="AP203" s="160"/>
      <c r="AQ203" s="160"/>
      <c r="AR203" s="160"/>
      <c r="AS203" s="204"/>
      <c r="AT203" s="160"/>
      <c r="AU203" s="160"/>
      <c r="AV203" s="160"/>
      <c r="AW203" s="160"/>
      <c r="AX203" s="204"/>
      <c r="AY203" s="160"/>
      <c r="AZ203" s="160"/>
      <c r="BA203" s="160"/>
      <c r="BB203" s="160"/>
      <c r="BC203" s="204"/>
      <c r="BD203" s="160"/>
      <c r="BE203" s="160"/>
      <c r="BF203" s="160"/>
      <c r="BG203" s="160"/>
      <c r="BH203" s="204"/>
      <c r="BI203" s="160"/>
      <c r="BJ203" s="160"/>
      <c r="BK203" s="160"/>
      <c r="BL203" s="160"/>
      <c r="BM203" s="204"/>
      <c r="BN203" s="160"/>
      <c r="BO203" s="160"/>
      <c r="BP203" s="160"/>
      <c r="BQ203" s="160"/>
      <c r="BR203" s="204"/>
      <c r="BS203" s="160"/>
      <c r="BT203" s="160"/>
      <c r="BU203" s="160"/>
      <c r="BV203" s="160"/>
      <c r="BW203" s="204"/>
      <c r="BX203" s="160"/>
      <c r="BY203" s="160"/>
      <c r="BZ203" s="160"/>
      <c r="CA203" s="160"/>
      <c r="CB203" s="204"/>
      <c r="CC203" s="160"/>
      <c r="CD203" s="160"/>
      <c r="CE203" s="160"/>
      <c r="CF203" s="160"/>
      <c r="CG203" s="619"/>
      <c r="CH203" s="73"/>
      <c r="CI203" s="73"/>
      <c r="CJ203" s="73"/>
      <c r="CK203" s="73"/>
      <c r="CL203" s="619"/>
      <c r="CM203" s="73"/>
      <c r="CN203" s="73"/>
      <c r="CO203" s="73"/>
      <c r="CP203" s="73"/>
      <c r="CQ203" s="619"/>
      <c r="CR203" s="73"/>
      <c r="CS203" s="73"/>
      <c r="CT203" s="73"/>
      <c r="CU203" s="73"/>
      <c r="CV203" s="619"/>
      <c r="CW203" s="1612"/>
      <c r="CX203" s="1612"/>
      <c r="CY203" s="1612"/>
      <c r="CZ203" s="1612"/>
      <c r="DA203" s="1613"/>
      <c r="DB203" s="1612"/>
      <c r="DC203" s="1612"/>
      <c r="DD203" s="1612"/>
      <c r="DE203" s="1612"/>
      <c r="DF203" s="1691"/>
      <c r="DG203" s="1612"/>
      <c r="DH203" s="1612"/>
      <c r="DI203" s="1612"/>
      <c r="DJ203" s="1612"/>
      <c r="DK203" s="1614"/>
      <c r="DL203" s="1612"/>
      <c r="DM203" s="1612"/>
      <c r="DN203" s="1612"/>
      <c r="DO203" s="1612"/>
      <c r="DP203" s="2176"/>
      <c r="DQ203" s="1612"/>
      <c r="DR203" s="1612"/>
      <c r="DS203" s="1612"/>
      <c r="DT203" s="1612"/>
      <c r="DU203" s="1614"/>
      <c r="DV203" s="1612"/>
      <c r="DW203" s="1612"/>
      <c r="DX203" s="1612"/>
      <c r="DY203" s="1612"/>
      <c r="DZ203" s="1614"/>
      <c r="EA203" s="1612"/>
      <c r="EB203" s="1612"/>
      <c r="EC203" s="1612"/>
      <c r="ED203" s="1612"/>
      <c r="EE203" s="1614"/>
      <c r="EF203" s="1"/>
      <c r="EG203" s="1"/>
      <c r="EH203" s="1"/>
      <c r="EI203" s="1"/>
      <c r="EJ203"/>
      <c r="EK203"/>
      <c r="EL203"/>
      <c r="EM203"/>
      <c r="EN203"/>
      <c r="EO203"/>
      <c r="EP203" s="1"/>
      <c r="EQ203" s="1"/>
      <c r="ER203" s="1"/>
      <c r="ES203" s="1"/>
      <c r="ET203" s="1"/>
      <c r="EU203" s="1"/>
      <c r="EV203" s="1"/>
      <c r="EW203" s="1"/>
      <c r="EX203" s="1"/>
      <c r="EY203" s="1"/>
      <c r="EZ203" s="1"/>
      <c r="FA203" s="1"/>
      <c r="FB203" s="1"/>
      <c r="FC203" s="1"/>
      <c r="FD203" s="1"/>
      <c r="FE203" s="1"/>
      <c r="FF203" s="1"/>
      <c r="FG203" s="1"/>
      <c r="FH203" s="1"/>
      <c r="FI203" s="1"/>
      <c r="FJ203" s="1"/>
      <c r="FK203" s="1"/>
      <c r="FL203" s="1"/>
      <c r="FM203" s="1"/>
      <c r="FN203" s="1"/>
      <c r="FO203" s="1"/>
      <c r="FP203" s="1"/>
      <c r="FQ203" s="1"/>
      <c r="FR203" s="1"/>
      <c r="FS203" s="1"/>
      <c r="FT203" s="1"/>
      <c r="FU203" s="1"/>
      <c r="FV203" s="1"/>
      <c r="FW203" s="1"/>
      <c r="FX203" s="1"/>
      <c r="FY203" s="1"/>
      <c r="FZ203" s="1"/>
      <c r="GA203" s="1"/>
      <c r="GB203" s="1"/>
      <c r="GC203" s="1"/>
      <c r="GD203" s="1"/>
      <c r="GE203" s="1"/>
      <c r="GF203" s="1"/>
      <c r="GG203" s="1"/>
      <c r="GH203" s="1"/>
      <c r="GI203" s="1"/>
      <c r="GJ203" s="1"/>
      <c r="GK203" s="1"/>
      <c r="GL203" s="1"/>
      <c r="GM203" s="1"/>
      <c r="GN203" s="1"/>
      <c r="GO203" s="1"/>
      <c r="GP203" s="1"/>
      <c r="GQ203" s="1"/>
      <c r="GR203" s="1"/>
      <c r="GS203" s="1"/>
      <c r="GT203" s="1"/>
      <c r="GU203" s="1"/>
      <c r="GV203" s="1"/>
      <c r="GW203" s="1"/>
      <c r="GX203" s="1"/>
      <c r="GY203" s="1"/>
      <c r="GZ203" s="1"/>
      <c r="HA203" s="1"/>
      <c r="HB203" s="1"/>
      <c r="HC203" s="1"/>
      <c r="HD203" s="1"/>
      <c r="HE203" s="1"/>
      <c r="HF203" s="1"/>
      <c r="HG203" s="1"/>
      <c r="HH203" s="1"/>
      <c r="HI203" s="1"/>
      <c r="HJ203" s="1"/>
      <c r="HK203" s="1"/>
      <c r="HL203" s="1"/>
      <c r="HM203" s="1"/>
      <c r="HN203" s="1"/>
      <c r="HO203" s="1"/>
      <c r="HP203" s="1"/>
      <c r="HQ203" s="1"/>
      <c r="HR203" s="1"/>
      <c r="HS203" s="1"/>
      <c r="HT203" s="1"/>
      <c r="HU203" s="1"/>
      <c r="HV203" s="1"/>
      <c r="HW203" s="1"/>
      <c r="HX203" s="1"/>
      <c r="HY203" s="1"/>
      <c r="HZ203" s="1"/>
      <c r="IA203" s="1"/>
      <c r="IB203" s="1"/>
      <c r="IC203" s="1"/>
      <c r="ID203" s="1"/>
    </row>
    <row r="204" spans="2:238" s="93" customFormat="1" ht="12.75" customHeight="1">
      <c r="B204" s="1581" t="s">
        <v>209</v>
      </c>
      <c r="C204" s="159"/>
      <c r="D204" s="159"/>
      <c r="E204" s="204"/>
      <c r="F204" s="204"/>
      <c r="G204" s="204"/>
      <c r="H204" s="204"/>
      <c r="I204" s="204"/>
      <c r="J204" s="204"/>
      <c r="K204" s="160"/>
      <c r="L204" s="160"/>
      <c r="M204" s="160"/>
      <c r="N204" s="160"/>
      <c r="O204" s="204"/>
      <c r="P204" s="160"/>
      <c r="Q204" s="160"/>
      <c r="R204" s="160"/>
      <c r="S204" s="160"/>
      <c r="T204" s="204"/>
      <c r="U204" s="160"/>
      <c r="V204" s="160"/>
      <c r="W204" s="160"/>
      <c r="X204" s="160"/>
      <c r="Y204" s="204"/>
      <c r="Z204" s="160"/>
      <c r="AA204" s="160"/>
      <c r="AB204" s="160"/>
      <c r="AC204" s="160"/>
      <c r="AD204" s="204"/>
      <c r="AE204" s="160"/>
      <c r="AF204" s="160"/>
      <c r="AG204" s="160"/>
      <c r="AH204" s="160"/>
      <c r="AI204" s="204"/>
      <c r="AJ204" s="160"/>
      <c r="AK204" s="160"/>
      <c r="AL204" s="160"/>
      <c r="AM204" s="160"/>
      <c r="AN204" s="204"/>
      <c r="AO204" s="160"/>
      <c r="AP204" s="160"/>
      <c r="AQ204" s="160"/>
      <c r="AR204" s="160"/>
      <c r="AS204" s="204"/>
      <c r="AT204" s="160"/>
      <c r="AU204" s="160"/>
      <c r="AV204" s="160"/>
      <c r="AW204" s="160"/>
      <c r="AX204" s="204"/>
      <c r="AY204" s="160"/>
      <c r="AZ204" s="160"/>
      <c r="BA204" s="160"/>
      <c r="BB204" s="160"/>
      <c r="BC204" s="204"/>
      <c r="BD204" s="160"/>
      <c r="BE204" s="160"/>
      <c r="BF204" s="160"/>
      <c r="BG204" s="160"/>
      <c r="BH204" s="204"/>
      <c r="BI204" s="160"/>
      <c r="BJ204" s="160"/>
      <c r="BK204" s="160"/>
      <c r="BL204" s="160"/>
      <c r="BM204" s="204"/>
      <c r="BN204" s="160"/>
      <c r="BO204" s="160"/>
      <c r="BP204" s="160"/>
      <c r="BQ204" s="160"/>
      <c r="BR204" s="204"/>
      <c r="BS204" s="160"/>
      <c r="BT204" s="160"/>
      <c r="BU204" s="160"/>
      <c r="BV204" s="160"/>
      <c r="BW204" s="204"/>
      <c r="BX204" s="160"/>
      <c r="BY204" s="160"/>
      <c r="BZ204" s="160"/>
      <c r="CA204" s="160"/>
      <c r="CB204" s="204"/>
      <c r="CC204" s="160"/>
      <c r="CD204" s="160"/>
      <c r="CE204" s="160"/>
      <c r="CF204" s="160"/>
      <c r="CG204" s="941">
        <f>CG189/CG188</f>
        <v>0.28145950756452093</v>
      </c>
      <c r="CH204" s="217">
        <f t="shared" ref="CH204:DF204" si="463">CH189/CH188</f>
        <v>0.28511300738007378</v>
      </c>
      <c r="CI204" s="217">
        <f t="shared" si="463"/>
        <v>0.28775267538644472</v>
      </c>
      <c r="CJ204" s="217">
        <f t="shared" si="463"/>
        <v>0.28055086821621034</v>
      </c>
      <c r="CK204" s="217">
        <f t="shared" si="463"/>
        <v>0.28212834641286805</v>
      </c>
      <c r="CL204" s="941">
        <f t="shared" si="463"/>
        <v>0.28388562562340686</v>
      </c>
      <c r="CM204" s="217">
        <f t="shared" si="463"/>
        <v>0.28110370655945366</v>
      </c>
      <c r="CN204" s="217">
        <f t="shared" si="463"/>
        <v>0.28893893088842421</v>
      </c>
      <c r="CO204" s="217">
        <f t="shared" si="463"/>
        <v>0.28244704821991889</v>
      </c>
      <c r="CP204" s="217">
        <f t="shared" si="463"/>
        <v>0.28319568909974813</v>
      </c>
      <c r="CQ204" s="941">
        <f t="shared" si="463"/>
        <v>0.2839752627978725</v>
      </c>
      <c r="CR204" s="217">
        <f t="shared" si="463"/>
        <v>0.29446754446754447</v>
      </c>
      <c r="CS204" s="217">
        <f t="shared" si="463"/>
        <v>0.3006918002895908</v>
      </c>
      <c r="CT204" s="217">
        <f t="shared" si="463"/>
        <v>0.28515262381914486</v>
      </c>
      <c r="CU204" s="217">
        <f t="shared" si="463"/>
        <v>0.28933727216989019</v>
      </c>
      <c r="CV204" s="941">
        <f t="shared" si="463"/>
        <v>0.29243806859880639</v>
      </c>
      <c r="CW204" s="217">
        <f t="shared" si="463"/>
        <v>0.28108462000109119</v>
      </c>
      <c r="CX204" s="217">
        <f t="shared" si="463"/>
        <v>0.28819178780923232</v>
      </c>
      <c r="CY204" s="217">
        <f t="shared" si="463"/>
        <v>0.28039791763311167</v>
      </c>
      <c r="CZ204" s="217">
        <f t="shared" si="463"/>
        <v>0.27952983155795769</v>
      </c>
      <c r="DA204" s="941">
        <f t="shared" si="463"/>
        <v>0.28234631898628126</v>
      </c>
      <c r="DB204" s="217">
        <f t="shared" si="463"/>
        <v>0.2708397258872865</v>
      </c>
      <c r="DC204" s="217">
        <f t="shared" si="463"/>
        <v>0.27299505891296083</v>
      </c>
      <c r="DD204" s="217">
        <f t="shared" si="463"/>
        <v>0.27059975520195839</v>
      </c>
      <c r="DE204" s="217">
        <f>DE189/DE188</f>
        <v>0.26334787186043013</v>
      </c>
      <c r="DF204" s="941">
        <f t="shared" ca="1" si="463"/>
        <v>0.26949391162595399</v>
      </c>
      <c r="DG204" s="217">
        <f t="shared" ref="DG204:DL204" si="464">DG189/DG188</f>
        <v>0.26730486008836524</v>
      </c>
      <c r="DH204" s="217">
        <f t="shared" si="464"/>
        <v>0.27418604651162792</v>
      </c>
      <c r="DI204" s="217">
        <f t="shared" si="464"/>
        <v>0.26447958461175358</v>
      </c>
      <c r="DJ204" s="217">
        <f t="shared" si="464"/>
        <v>0.25970019761893287</v>
      </c>
      <c r="DK204" s="1398">
        <f t="shared" ca="1" si="464"/>
        <v>0.26647335385790316</v>
      </c>
      <c r="DL204" s="217">
        <f t="shared" si="464"/>
        <v>0.26327508591896992</v>
      </c>
      <c r="DM204" s="217">
        <f t="shared" ref="DM204:DN204" si="465">DM189/DM188</f>
        <v>0.26936829558998809</v>
      </c>
      <c r="DN204" s="217">
        <f t="shared" si="465"/>
        <v>0.25146484375</v>
      </c>
      <c r="DO204" s="217">
        <f t="shared" ref="DO204:DQ204" si="466">DO189/DO188</f>
        <v>0.25236536478184834</v>
      </c>
      <c r="DP204" s="1398">
        <f t="shared" ref="DP204:DU204" si="467">DP189/DP188</f>
        <v>0.25896313944697719</v>
      </c>
      <c r="DQ204" s="217">
        <f t="shared" si="466"/>
        <v>0.25236536478184834</v>
      </c>
      <c r="DR204" s="217">
        <f t="shared" ca="1" si="467"/>
        <v>0.25134022794541588</v>
      </c>
      <c r="DS204" s="217">
        <f t="shared" ca="1" si="467"/>
        <v>0.24489557929860625</v>
      </c>
      <c r="DT204" s="217">
        <f t="shared" si="467"/>
        <v>0.24631742203439624</v>
      </c>
      <c r="DU204" s="1398">
        <f t="shared" ca="1" si="467"/>
        <v>0.24860781227346743</v>
      </c>
      <c r="DV204" s="217">
        <f t="shared" ref="DV204:DZ204" si="468">DV189/DV188</f>
        <v>0.24660540152884025</v>
      </c>
      <c r="DW204" s="217">
        <f t="shared" ca="1" si="468"/>
        <v>0.2518480178009026</v>
      </c>
      <c r="DX204" s="217">
        <f t="shared" ca="1" si="468"/>
        <v>0.2473744785143841</v>
      </c>
      <c r="DY204" s="217">
        <f t="shared" si="468"/>
        <v>0.24911839989684739</v>
      </c>
      <c r="DZ204" s="1398">
        <f t="shared" ca="1" si="468"/>
        <v>0.24876124588974621</v>
      </c>
      <c r="EA204" s="217">
        <f t="shared" ref="EA204:EE204" si="469">EA189/EA188</f>
        <v>0.24804667354317458</v>
      </c>
      <c r="EB204" s="217">
        <f t="shared" ca="1" si="469"/>
        <v>0.2524237011297189</v>
      </c>
      <c r="EC204" s="217">
        <f t="shared" ca="1" si="469"/>
        <v>0.2482243832895846</v>
      </c>
      <c r="ED204" s="217">
        <f t="shared" si="469"/>
        <v>0.24971855697073791</v>
      </c>
      <c r="EE204" s="1398">
        <f t="shared" ca="1" si="469"/>
        <v>0.24962154247832566</v>
      </c>
      <c r="EF204" s="1"/>
      <c r="EG204" s="1"/>
      <c r="EH204" s="1"/>
      <c r="EI204" s="1"/>
      <c r="EJ204"/>
      <c r="EK204"/>
      <c r="EL204"/>
      <c r="EM204"/>
      <c r="EN204"/>
      <c r="EO204"/>
      <c r="EP204" s="1"/>
      <c r="EQ204" s="1"/>
      <c r="ER204" s="1"/>
      <c r="ES204" s="1"/>
      <c r="ET204" s="1"/>
      <c r="EU204" s="1"/>
      <c r="EV204" s="1"/>
      <c r="EW204" s="1"/>
      <c r="EX204" s="1"/>
      <c r="EY204" s="1"/>
      <c r="EZ204" s="1"/>
      <c r="FA204" s="1"/>
      <c r="FB204" s="1"/>
      <c r="FC204" s="1"/>
      <c r="FD204" s="1"/>
      <c r="FE204" s="1"/>
      <c r="FF204" s="1"/>
      <c r="FG204" s="1"/>
      <c r="FH204" s="1"/>
      <c r="FI204" s="1"/>
      <c r="FJ204" s="1"/>
      <c r="FK204" s="1"/>
      <c r="FL204" s="1"/>
      <c r="FM204" s="1"/>
      <c r="FN204" s="1"/>
      <c r="FO204" s="1"/>
      <c r="FP204" s="1"/>
      <c r="FQ204" s="1"/>
      <c r="FR204" s="1"/>
      <c r="FS204" s="1"/>
      <c r="FT204" s="1"/>
      <c r="FU204" s="1"/>
      <c r="FV204" s="1"/>
      <c r="FW204" s="1"/>
      <c r="FX204" s="1"/>
      <c r="FY204" s="1"/>
      <c r="FZ204" s="1"/>
      <c r="GA204" s="1"/>
      <c r="GB204" s="1"/>
      <c r="GC204" s="1"/>
      <c r="GD204" s="1"/>
      <c r="GE204" s="1"/>
      <c r="GF204" s="1"/>
      <c r="GG204" s="1"/>
      <c r="GH204" s="1"/>
      <c r="GI204" s="1"/>
      <c r="GJ204" s="1"/>
      <c r="GK204" s="1"/>
      <c r="GL204" s="1"/>
      <c r="GM204" s="1"/>
      <c r="GN204" s="1"/>
      <c r="GO204" s="1"/>
      <c r="GP204" s="1"/>
      <c r="GQ204" s="1"/>
      <c r="GR204" s="1"/>
      <c r="GS204" s="1"/>
      <c r="GT204" s="1"/>
      <c r="GU204" s="1"/>
      <c r="GV204" s="1"/>
      <c r="GW204" s="1"/>
      <c r="GX204" s="1"/>
      <c r="GY204" s="1"/>
      <c r="GZ204" s="1"/>
      <c r="HA204" s="1"/>
      <c r="HB204" s="1"/>
      <c r="HC204" s="1"/>
      <c r="HD204" s="1"/>
      <c r="HE204" s="1"/>
      <c r="HF204" s="1"/>
      <c r="HG204" s="1"/>
      <c r="HH204" s="1"/>
      <c r="HI204" s="1"/>
      <c r="HJ204" s="1"/>
      <c r="HK204" s="1"/>
      <c r="HL204" s="1"/>
      <c r="HM204" s="1"/>
      <c r="HN204" s="1"/>
      <c r="HO204" s="1"/>
      <c r="HP204" s="1"/>
      <c r="HQ204" s="1"/>
      <c r="HR204" s="1"/>
      <c r="HS204" s="1"/>
      <c r="HT204" s="1"/>
      <c r="HU204" s="1"/>
      <c r="HV204" s="1"/>
      <c r="HW204" s="1"/>
      <c r="HX204" s="1"/>
      <c r="HY204" s="1"/>
      <c r="HZ204" s="1"/>
      <c r="IA204" s="1"/>
      <c r="IB204" s="1"/>
      <c r="IC204" s="1"/>
      <c r="ID204" s="1"/>
    </row>
    <row r="205" spans="2:238" s="93" customFormat="1" ht="12.75" customHeight="1">
      <c r="B205" s="1581" t="s">
        <v>214</v>
      </c>
      <c r="C205" s="159"/>
      <c r="D205" s="159"/>
      <c r="E205" s="204"/>
      <c r="F205" s="204"/>
      <c r="G205" s="204"/>
      <c r="H205" s="204"/>
      <c r="I205" s="204"/>
      <c r="J205" s="204"/>
      <c r="K205" s="160"/>
      <c r="L205" s="160"/>
      <c r="M205" s="160"/>
      <c r="N205" s="160"/>
      <c r="O205" s="204"/>
      <c r="P205" s="160"/>
      <c r="Q205" s="160"/>
      <c r="R205" s="160"/>
      <c r="S205" s="160"/>
      <c r="T205" s="204"/>
      <c r="U205" s="160"/>
      <c r="V205" s="160"/>
      <c r="W205" s="160"/>
      <c r="X205" s="160"/>
      <c r="Y205" s="204"/>
      <c r="Z205" s="160"/>
      <c r="AA205" s="160"/>
      <c r="AB205" s="160"/>
      <c r="AC205" s="160"/>
      <c r="AD205" s="204"/>
      <c r="AE205" s="160"/>
      <c r="AF205" s="160"/>
      <c r="AG205" s="160"/>
      <c r="AH205" s="160"/>
      <c r="AI205" s="204"/>
      <c r="AJ205" s="160"/>
      <c r="AK205" s="160"/>
      <c r="AL205" s="160"/>
      <c r="AM205" s="160"/>
      <c r="AN205" s="204"/>
      <c r="AO205" s="160"/>
      <c r="AP205" s="160"/>
      <c r="AQ205" s="160"/>
      <c r="AR205" s="160"/>
      <c r="AS205" s="204"/>
      <c r="AT205" s="160"/>
      <c r="AU205" s="160"/>
      <c r="AV205" s="160"/>
      <c r="AW205" s="160"/>
      <c r="AX205" s="204"/>
      <c r="AY205" s="160"/>
      <c r="AZ205" s="160"/>
      <c r="BA205" s="160"/>
      <c r="BB205" s="160"/>
      <c r="BC205" s="204"/>
      <c r="BD205" s="160"/>
      <c r="BE205" s="160"/>
      <c r="BF205" s="160"/>
      <c r="BG205" s="160"/>
      <c r="BH205" s="204"/>
      <c r="BI205" s="160"/>
      <c r="BJ205" s="160"/>
      <c r="BK205" s="160"/>
      <c r="BL205" s="160"/>
      <c r="BM205" s="204"/>
      <c r="BN205" s="160"/>
      <c r="BO205" s="160"/>
      <c r="BP205" s="160"/>
      <c r="BQ205" s="160"/>
      <c r="BR205" s="204"/>
      <c r="BS205" s="160"/>
      <c r="BT205" s="160"/>
      <c r="BU205" s="160"/>
      <c r="BV205" s="160"/>
      <c r="BW205" s="204"/>
      <c r="BX205" s="160"/>
      <c r="BY205" s="160"/>
      <c r="BZ205" s="160"/>
      <c r="CA205" s="160"/>
      <c r="CB205" s="204"/>
      <c r="CC205" s="160"/>
      <c r="CD205" s="160"/>
      <c r="CE205" s="160"/>
      <c r="CF205" s="160"/>
      <c r="CG205" s="941">
        <f>CG194/CG188</f>
        <v>0.28353604271729455</v>
      </c>
      <c r="CH205" s="217">
        <f t="shared" ref="CH205:DF205" si="470">CH194/CH188</f>
        <v>0.28753459409594095</v>
      </c>
      <c r="CI205" s="217">
        <f t="shared" si="470"/>
        <v>0.29077937520268077</v>
      </c>
      <c r="CJ205" s="217">
        <f t="shared" si="470"/>
        <v>0.28327254912634042</v>
      </c>
      <c r="CK205" s="217">
        <f t="shared" si="470"/>
        <v>0.28546780208159406</v>
      </c>
      <c r="CL205" s="941">
        <f t="shared" si="470"/>
        <v>0.28676715061509478</v>
      </c>
      <c r="CM205" s="217">
        <f t="shared" si="470"/>
        <v>0.28358208955223879</v>
      </c>
      <c r="CN205" s="217">
        <f t="shared" si="470"/>
        <v>0.29279931370972068</v>
      </c>
      <c r="CO205" s="217">
        <f t="shared" si="470"/>
        <v>0.28582694907616041</v>
      </c>
      <c r="CP205" s="217">
        <f t="shared" si="470"/>
        <v>0.29092719498623559</v>
      </c>
      <c r="CQ205" s="941">
        <f t="shared" si="470"/>
        <v>0.28828891711920485</v>
      </c>
      <c r="CR205" s="217">
        <f t="shared" si="470"/>
        <v>0.29764379764379767</v>
      </c>
      <c r="CS205" s="217">
        <f t="shared" si="470"/>
        <v>0.30455301120823725</v>
      </c>
      <c r="CT205" s="217">
        <f t="shared" si="470"/>
        <v>0.2917053459291214</v>
      </c>
      <c r="CU205" s="217">
        <f t="shared" si="470"/>
        <v>0.28889136614458505</v>
      </c>
      <c r="CV205" s="941">
        <f t="shared" si="470"/>
        <v>0.2957475386681806</v>
      </c>
      <c r="CW205" s="217">
        <f t="shared" si="470"/>
        <v>0.28452179606088712</v>
      </c>
      <c r="CX205" s="217">
        <f t="shared" si="470"/>
        <v>0.29079316500892627</v>
      </c>
      <c r="CY205" s="217">
        <f t="shared" si="470"/>
        <v>0.28251121076233182</v>
      </c>
      <c r="CZ205" s="217">
        <f t="shared" si="470"/>
        <v>0.27895261583670045</v>
      </c>
      <c r="DA205" s="941">
        <f t="shared" si="470"/>
        <v>0.28423133312388732</v>
      </c>
      <c r="DB205" s="217">
        <f t="shared" si="470"/>
        <v>0.27349902833179912</v>
      </c>
      <c r="DC205" s="217">
        <f t="shared" si="470"/>
        <v>0.27560813378943366</v>
      </c>
      <c r="DD205" s="217">
        <f t="shared" si="470"/>
        <v>0.27397796817625458</v>
      </c>
      <c r="DE205" s="217">
        <f>DE194/DE188</f>
        <v>0.26881235273474707</v>
      </c>
      <c r="DF205" s="941">
        <f t="shared" ca="1" si="470"/>
        <v>0.27301355990811865</v>
      </c>
      <c r="DG205" s="217">
        <f t="shared" ref="DG205:DL205" si="471">DG194/DG188</f>
        <v>0.26956308296514481</v>
      </c>
      <c r="DH205" s="217">
        <f t="shared" si="471"/>
        <v>0.27734883720930231</v>
      </c>
      <c r="DI205" s="217">
        <f t="shared" si="471"/>
        <v>0.26882227991503421</v>
      </c>
      <c r="DJ205" s="217">
        <f t="shared" si="471"/>
        <v>0.26008579553670408</v>
      </c>
      <c r="DK205" s="1398">
        <f t="shared" ca="1" si="471"/>
        <v>0.26902699219589032</v>
      </c>
      <c r="DL205" s="217">
        <f t="shared" si="471"/>
        <v>0.26608257902124982</v>
      </c>
      <c r="DM205" s="217">
        <f t="shared" ref="DM205:DN205" si="472">DM194/DM188</f>
        <v>0.27161455945722929</v>
      </c>
      <c r="DN205" s="217">
        <f t="shared" si="472"/>
        <v>0.25363991477272729</v>
      </c>
      <c r="DO205" s="217">
        <f t="shared" ref="DO205:DQ205" si="473">DO194/DO188</f>
        <v>0.25191695439666384</v>
      </c>
      <c r="DP205" s="1398">
        <f t="shared" ref="DP205:DU205" si="474">DP194/DP188</f>
        <v>0.26063549517765916</v>
      </c>
      <c r="DQ205" s="217">
        <f t="shared" si="473"/>
        <v>0.25671494551813823</v>
      </c>
      <c r="DR205" s="217">
        <f t="shared" ca="1" si="474"/>
        <v>0.25325523696027658</v>
      </c>
      <c r="DS205" s="217">
        <f t="shared" ca="1" si="474"/>
        <v>0.2467885338784562</v>
      </c>
      <c r="DT205" s="217">
        <f t="shared" si="474"/>
        <v>0.24480691437688717</v>
      </c>
      <c r="DU205" s="1398">
        <f t="shared" ca="1" si="474"/>
        <v>0.25019477833642395</v>
      </c>
      <c r="DV205" s="217">
        <f t="shared" ref="DV205:DZ205" si="475">DV194/DV188</f>
        <v>0.24877858478424039</v>
      </c>
      <c r="DW205" s="217">
        <f t="shared" ca="1" si="475"/>
        <v>0.25371930797884401</v>
      </c>
      <c r="DX205" s="217">
        <f t="shared" ca="1" si="475"/>
        <v>0.24924364422416653</v>
      </c>
      <c r="DY205" s="217">
        <f t="shared" si="475"/>
        <v>0.24762626095273294</v>
      </c>
      <c r="DZ205" s="1398">
        <f t="shared" ca="1" si="475"/>
        <v>0.24987111099190198</v>
      </c>
      <c r="EA205" s="217">
        <f t="shared" ref="EA205:EE205" si="476">EA194/EA188</f>
        <v>0.2501853152492724</v>
      </c>
      <c r="EB205" s="217">
        <f t="shared" ca="1" si="476"/>
        <v>0.2542670535078228</v>
      </c>
      <c r="EC205" s="217">
        <f t="shared" ca="1" si="476"/>
        <v>0.25006290140377196</v>
      </c>
      <c r="ED205" s="217">
        <f t="shared" si="476"/>
        <v>0.24825266001001048</v>
      </c>
      <c r="EE205" s="1398">
        <f t="shared" ca="1" si="476"/>
        <v>0.25071343092822956</v>
      </c>
      <c r="EF205" s="1"/>
      <c r="EG205" s="1"/>
      <c r="EH205" s="1"/>
      <c r="EI205" s="1"/>
      <c r="EJ205"/>
      <c r="EK205"/>
      <c r="EL205"/>
      <c r="EM205"/>
      <c r="EN205"/>
      <c r="EO205"/>
      <c r="EP205" s="1"/>
      <c r="EQ205" s="1"/>
      <c r="ER205" s="1"/>
      <c r="ES205" s="1"/>
      <c r="ET205" s="1"/>
      <c r="EU205" s="1"/>
      <c r="EV205" s="1"/>
      <c r="EW205" s="1"/>
      <c r="EX205" s="1"/>
      <c r="EY205" s="1"/>
      <c r="EZ205" s="1"/>
      <c r="FA205" s="1"/>
      <c r="FB205" s="1"/>
      <c r="FC205" s="1"/>
      <c r="FD205" s="1"/>
      <c r="FE205" s="1"/>
      <c r="FF205" s="1"/>
      <c r="FG205" s="1"/>
      <c r="FH205" s="1"/>
      <c r="FI205" s="1"/>
      <c r="FJ205" s="1"/>
      <c r="FK205" s="1"/>
      <c r="FL205" s="1"/>
      <c r="FM205" s="1"/>
      <c r="FN205" s="1"/>
      <c r="FO205" s="1"/>
      <c r="FP205" s="1"/>
      <c r="FQ205" s="1"/>
      <c r="FR205" s="1"/>
      <c r="FS205" s="1"/>
      <c r="FT205" s="1"/>
      <c r="FU205" s="1"/>
      <c r="FV205" s="1"/>
      <c r="FW205" s="1"/>
      <c r="FX205" s="1"/>
      <c r="FY205" s="1"/>
      <c r="FZ205" s="1"/>
      <c r="GA205" s="1"/>
      <c r="GB205" s="1"/>
      <c r="GC205" s="1"/>
      <c r="GD205" s="1"/>
      <c r="GE205" s="1"/>
      <c r="GF205" s="1"/>
      <c r="GG205" s="1"/>
      <c r="GH205" s="1"/>
      <c r="GI205" s="1"/>
      <c r="GJ205" s="1"/>
      <c r="GK205" s="1"/>
      <c r="GL205" s="1"/>
      <c r="GM205" s="1"/>
      <c r="GN205" s="1"/>
      <c r="GO205" s="1"/>
      <c r="GP205" s="1"/>
      <c r="GQ205" s="1"/>
      <c r="GR205" s="1"/>
      <c r="GS205" s="1"/>
      <c r="GT205" s="1"/>
      <c r="GU205" s="1"/>
      <c r="GV205" s="1"/>
      <c r="GW205" s="1"/>
      <c r="GX205" s="1"/>
      <c r="GY205" s="1"/>
      <c r="GZ205" s="1"/>
      <c r="HA205" s="1"/>
      <c r="HB205" s="1"/>
      <c r="HC205" s="1"/>
      <c r="HD205" s="1"/>
      <c r="HE205" s="1"/>
      <c r="HF205" s="1"/>
      <c r="HG205" s="1"/>
      <c r="HH205" s="1"/>
      <c r="HI205" s="1"/>
      <c r="HJ205" s="1"/>
      <c r="HK205" s="1"/>
      <c r="HL205" s="1"/>
      <c r="HM205" s="1"/>
      <c r="HN205" s="1"/>
      <c r="HO205" s="1"/>
      <c r="HP205" s="1"/>
      <c r="HQ205" s="1"/>
      <c r="HR205" s="1"/>
      <c r="HS205" s="1"/>
      <c r="HT205" s="1"/>
      <c r="HU205" s="1"/>
      <c r="HV205" s="1"/>
      <c r="HW205" s="1"/>
      <c r="HX205" s="1"/>
      <c r="HY205" s="1"/>
      <c r="HZ205" s="1"/>
      <c r="IA205" s="1"/>
      <c r="IB205" s="1"/>
      <c r="IC205" s="1"/>
      <c r="ID205" s="1"/>
    </row>
    <row r="206" spans="2:238" s="1592" customFormat="1" ht="12.75" customHeight="1">
      <c r="B206" s="551" t="s">
        <v>296</v>
      </c>
      <c r="C206" s="1593"/>
      <c r="D206" s="1593"/>
      <c r="E206" s="1594"/>
      <c r="F206" s="1594"/>
      <c r="G206" s="1594"/>
      <c r="H206" s="1594"/>
      <c r="I206" s="1594"/>
      <c r="J206" s="1594"/>
      <c r="K206" s="1595"/>
      <c r="L206" s="1595"/>
      <c r="M206" s="1595"/>
      <c r="N206" s="1595"/>
      <c r="O206" s="1594"/>
      <c r="P206" s="1595"/>
      <c r="Q206" s="1595"/>
      <c r="R206" s="1595"/>
      <c r="S206" s="1595"/>
      <c r="T206" s="1594"/>
      <c r="U206" s="1595"/>
      <c r="V206" s="1595"/>
      <c r="W206" s="1595"/>
      <c r="X206" s="1595"/>
      <c r="Y206" s="1594"/>
      <c r="Z206" s="1595"/>
      <c r="AA206" s="1595"/>
      <c r="AB206" s="1595"/>
      <c r="AC206" s="1595"/>
      <c r="AD206" s="1594"/>
      <c r="AE206" s="1595"/>
      <c r="AF206" s="1595"/>
      <c r="AG206" s="1595"/>
      <c r="AH206" s="1595"/>
      <c r="AI206" s="1594"/>
      <c r="AJ206" s="1595"/>
      <c r="AK206" s="1595"/>
      <c r="AL206" s="1595"/>
      <c r="AM206" s="1595"/>
      <c r="AN206" s="1594"/>
      <c r="AO206" s="1595"/>
      <c r="AP206" s="1595"/>
      <c r="AQ206" s="1595"/>
      <c r="AR206" s="1595"/>
      <c r="AS206" s="1594"/>
      <c r="AT206" s="1595"/>
      <c r="AU206" s="1595"/>
      <c r="AV206" s="1595"/>
      <c r="AW206" s="1595"/>
      <c r="AX206" s="1594"/>
      <c r="AY206" s="1595"/>
      <c r="AZ206" s="1595"/>
      <c r="BA206" s="1595"/>
      <c r="BB206" s="1595"/>
      <c r="BC206" s="1594"/>
      <c r="BD206" s="1595"/>
      <c r="BE206" s="1595"/>
      <c r="BF206" s="1595"/>
      <c r="BG206" s="1595"/>
      <c r="BH206" s="1594"/>
      <c r="BI206" s="1595"/>
      <c r="BJ206" s="1595"/>
      <c r="BK206" s="1595"/>
      <c r="BL206" s="1595"/>
      <c r="BM206" s="1594"/>
      <c r="BN206" s="1595"/>
      <c r="BO206" s="1595"/>
      <c r="BP206" s="1595"/>
      <c r="BQ206" s="1595"/>
      <c r="BR206" s="1594"/>
      <c r="BS206" s="1595"/>
      <c r="BT206" s="1595"/>
      <c r="BU206" s="1595"/>
      <c r="BV206" s="1595"/>
      <c r="BW206" s="1594"/>
      <c r="BX206" s="1595"/>
      <c r="BY206" s="1595"/>
      <c r="BZ206" s="1595"/>
      <c r="CA206" s="1595"/>
      <c r="CB206" s="1594"/>
      <c r="CC206" s="1595"/>
      <c r="CD206" s="1595"/>
      <c r="CE206" s="1595"/>
      <c r="CF206" s="1595"/>
      <c r="CG206" s="817"/>
      <c r="CH206" s="225"/>
      <c r="CI206" s="225"/>
      <c r="CJ206" s="225"/>
      <c r="CK206" s="225"/>
      <c r="CL206" s="817"/>
      <c r="CM206" s="225"/>
      <c r="CN206" s="225"/>
      <c r="CO206" s="225"/>
      <c r="CP206" s="225"/>
      <c r="CQ206" s="817"/>
      <c r="CR206" s="225"/>
      <c r="CS206" s="225"/>
      <c r="CT206" s="225"/>
      <c r="CU206" s="225"/>
      <c r="CV206" s="817"/>
      <c r="CW206" s="225"/>
      <c r="CX206" s="225"/>
      <c r="CY206" s="225"/>
      <c r="CZ206" s="225"/>
      <c r="DA206" s="817"/>
      <c r="DB206" s="225"/>
      <c r="DC206" s="225">
        <f>Model!DC97</f>
        <v>0.26105445376886316</v>
      </c>
      <c r="DD206" s="225">
        <f>Model!DD97</f>
        <v>0.26219829831567981</v>
      </c>
      <c r="DE206" s="225">
        <f>Model!DE97</f>
        <v>0.25853726947619382</v>
      </c>
      <c r="DF206" s="817">
        <f>Model!DF97</f>
        <v>0.26303120528981866</v>
      </c>
      <c r="DG206" s="225">
        <f>Model!DG97</f>
        <v>0.25998002273275239</v>
      </c>
      <c r="DH206" s="225">
        <f>Model!DH97</f>
        <v>0.26543864298966341</v>
      </c>
      <c r="DI206" s="225">
        <f>Model!DI97</f>
        <v>0.25727167943589396</v>
      </c>
      <c r="DJ206" s="225">
        <f>Model!DJ97</f>
        <v>0.25013968431345163</v>
      </c>
      <c r="DK206" s="811">
        <f>Model!DK97</f>
        <v>0.25830201702584554</v>
      </c>
      <c r="DL206" s="225">
        <f>Model!DL97</f>
        <v>0.25171046629942812</v>
      </c>
      <c r="DM206" s="225">
        <f>Model!DM97</f>
        <v>0.25843917679820688</v>
      </c>
      <c r="DN206" s="225">
        <f>Model!DN97</f>
        <v>0.23886048210372535</v>
      </c>
      <c r="DO206" s="225">
        <f>Model!DO97</f>
        <v>0.24312580848452686</v>
      </c>
      <c r="DP206" s="811">
        <f>Model!DP97</f>
        <v>0.24792325782056271</v>
      </c>
      <c r="DQ206" s="225">
        <f>Model!DQ97</f>
        <v>0.24196486662329214</v>
      </c>
      <c r="DR206" s="225">
        <f ca="1">Model!DR97</f>
        <v>0.24866307433647672</v>
      </c>
      <c r="DS206" s="225">
        <f ca="1">Model!DS97</f>
        <v>0.24171593607542455</v>
      </c>
      <c r="DT206" s="225">
        <f>Model!DT97</f>
        <v>0.240097540642911</v>
      </c>
      <c r="DU206" s="811">
        <f ca="1">Model!DU97</f>
        <v>0.24313811205036423</v>
      </c>
      <c r="DV206" s="225">
        <f>Model!DV97</f>
        <v>0.23972726109779549</v>
      </c>
      <c r="DW206" s="225">
        <f ca="1">Model!DW97</f>
        <v>0.24935630888531091</v>
      </c>
      <c r="DX206" s="225">
        <f ca="1">Model!DX97</f>
        <v>0.24391201901681597</v>
      </c>
      <c r="DY206" s="225">
        <f>Model!DY97</f>
        <v>0.24257547887501707</v>
      </c>
      <c r="DZ206" s="811">
        <f ca="1">Model!DZ97</f>
        <v>0.24393102219614243</v>
      </c>
      <c r="EA206" s="225">
        <f>Model!EA97</f>
        <v>0.24110864115342101</v>
      </c>
      <c r="EB206" s="225">
        <f ca="1">Model!EB97</f>
        <v>0.25008801948933873</v>
      </c>
      <c r="EC206" s="225">
        <f ca="1">Model!EC97</f>
        <v>0.24487542723664429</v>
      </c>
      <c r="ED206" s="225">
        <f>Model!ED97</f>
        <v>0.24342118080718447</v>
      </c>
      <c r="EE206" s="811">
        <f ca="1">Model!EE97</f>
        <v>0.24490777623623042</v>
      </c>
      <c r="EF206" s="13"/>
      <c r="EG206" s="13"/>
      <c r="EH206" s="13"/>
      <c r="EI206" s="13"/>
      <c r="EJ206"/>
      <c r="EK206"/>
      <c r="EL206"/>
      <c r="EM206"/>
      <c r="EN206"/>
      <c r="EO206"/>
      <c r="EP206" s="13"/>
      <c r="EQ206" s="13"/>
      <c r="ER206" s="13"/>
      <c r="ES206" s="13"/>
      <c r="ET206" s="13"/>
      <c r="EU206" s="13"/>
      <c r="EV206" s="13"/>
      <c r="EW206" s="13"/>
      <c r="EX206" s="13"/>
      <c r="EY206" s="13"/>
      <c r="EZ206" s="13"/>
      <c r="FA206" s="13"/>
      <c r="FB206" s="13"/>
      <c r="FC206" s="13"/>
      <c r="FD206" s="13"/>
      <c r="FE206" s="13"/>
      <c r="FF206" s="13"/>
      <c r="FG206" s="13"/>
      <c r="FH206" s="13"/>
      <c r="FI206" s="13"/>
      <c r="FJ206" s="13"/>
      <c r="FK206" s="13"/>
      <c r="FL206" s="13"/>
      <c r="FM206" s="13"/>
      <c r="FN206" s="13"/>
      <c r="FO206" s="13"/>
      <c r="FP206" s="13"/>
      <c r="FQ206" s="13"/>
      <c r="FR206" s="13"/>
      <c r="FS206" s="13"/>
      <c r="FT206" s="13"/>
      <c r="FU206" s="13"/>
      <c r="FV206" s="13"/>
      <c r="FW206" s="13"/>
      <c r="FX206" s="13"/>
      <c r="FY206" s="13"/>
      <c r="FZ206" s="13"/>
      <c r="GA206" s="13"/>
      <c r="GB206" s="13"/>
      <c r="GC206" s="13"/>
      <c r="GD206" s="13"/>
      <c r="GE206" s="13"/>
      <c r="GF206" s="13"/>
      <c r="GG206" s="13"/>
      <c r="GH206" s="13"/>
      <c r="GI206" s="13"/>
      <c r="GJ206" s="13"/>
      <c r="GK206" s="13"/>
      <c r="GL206" s="13"/>
      <c r="GM206" s="13"/>
      <c r="GN206" s="13"/>
      <c r="GO206" s="13"/>
      <c r="GP206" s="13"/>
      <c r="GQ206" s="13"/>
      <c r="GR206" s="13"/>
      <c r="GS206" s="13"/>
      <c r="GT206" s="13"/>
      <c r="GU206" s="13"/>
      <c r="GV206" s="13"/>
      <c r="GW206" s="13"/>
      <c r="GX206" s="13"/>
      <c r="GY206" s="13"/>
      <c r="GZ206" s="13"/>
      <c r="HA206" s="13"/>
      <c r="HB206" s="13"/>
      <c r="HC206" s="13"/>
      <c r="HD206" s="13"/>
      <c r="HE206" s="13"/>
      <c r="HF206" s="13"/>
      <c r="HG206" s="13"/>
      <c r="HH206" s="13"/>
      <c r="HI206" s="13"/>
      <c r="HJ206" s="13"/>
      <c r="HK206" s="13"/>
      <c r="HL206" s="13"/>
      <c r="HM206" s="13"/>
      <c r="HN206" s="13"/>
      <c r="HO206" s="13"/>
      <c r="HP206" s="13"/>
      <c r="HQ206" s="13"/>
      <c r="HR206" s="13"/>
      <c r="HS206" s="13"/>
      <c r="HT206" s="13"/>
      <c r="HU206" s="13"/>
      <c r="HV206" s="13"/>
      <c r="HW206" s="13"/>
      <c r="HX206" s="13"/>
      <c r="HY206" s="13"/>
      <c r="HZ206" s="13"/>
      <c r="IA206" s="13"/>
      <c r="IB206" s="13"/>
      <c r="IC206" s="13"/>
      <c r="ID206" s="13"/>
    </row>
    <row r="207" spans="2:238" s="1592" customFormat="1" ht="12.75" customHeight="1">
      <c r="B207" s="551"/>
      <c r="C207" s="1593"/>
      <c r="D207" s="1593"/>
      <c r="E207" s="1594"/>
      <c r="F207" s="1594"/>
      <c r="G207" s="1594"/>
      <c r="H207" s="1594"/>
      <c r="I207" s="1594"/>
      <c r="J207" s="1594"/>
      <c r="K207" s="1595"/>
      <c r="L207" s="1595"/>
      <c r="M207" s="1595"/>
      <c r="N207" s="1595"/>
      <c r="O207" s="1594"/>
      <c r="P207" s="1595"/>
      <c r="Q207" s="1595"/>
      <c r="R207" s="1595"/>
      <c r="S207" s="1595"/>
      <c r="T207" s="1594"/>
      <c r="U207" s="1595"/>
      <c r="V207" s="1595"/>
      <c r="W207" s="1595"/>
      <c r="X207" s="1595"/>
      <c r="Y207" s="1594"/>
      <c r="Z207" s="1595"/>
      <c r="AA207" s="1595"/>
      <c r="AB207" s="1595"/>
      <c r="AC207" s="1595"/>
      <c r="AD207" s="1594"/>
      <c r="AE207" s="1595"/>
      <c r="AF207" s="1595"/>
      <c r="AG207" s="1595"/>
      <c r="AH207" s="1595"/>
      <c r="AI207" s="1594"/>
      <c r="AJ207" s="1595"/>
      <c r="AK207" s="1595"/>
      <c r="AL207" s="1595"/>
      <c r="AM207" s="1595"/>
      <c r="AN207" s="1594"/>
      <c r="AO207" s="1595"/>
      <c r="AP207" s="1595"/>
      <c r="AQ207" s="1595"/>
      <c r="AR207" s="1595"/>
      <c r="AS207" s="1594"/>
      <c r="AT207" s="1595"/>
      <c r="AU207" s="1595"/>
      <c r="AV207" s="1595"/>
      <c r="AW207" s="1595"/>
      <c r="AX207" s="1594"/>
      <c r="AY207" s="1595"/>
      <c r="AZ207" s="1595"/>
      <c r="BA207" s="1595"/>
      <c r="BB207" s="1595"/>
      <c r="BC207" s="1594"/>
      <c r="BD207" s="1595"/>
      <c r="BE207" s="1595"/>
      <c r="BF207" s="1595"/>
      <c r="BG207" s="1595"/>
      <c r="BH207" s="1594"/>
      <c r="BI207" s="1595"/>
      <c r="BJ207" s="1595"/>
      <c r="BK207" s="1595"/>
      <c r="BL207" s="1595"/>
      <c r="BM207" s="1594"/>
      <c r="BN207" s="1595"/>
      <c r="BO207" s="1595"/>
      <c r="BP207" s="1595"/>
      <c r="BQ207" s="1595"/>
      <c r="BR207" s="1594"/>
      <c r="BS207" s="1595"/>
      <c r="BT207" s="1595"/>
      <c r="BU207" s="1595"/>
      <c r="BV207" s="1595"/>
      <c r="BW207" s="1594"/>
      <c r="BX207" s="1595"/>
      <c r="BY207" s="1595"/>
      <c r="BZ207" s="1595"/>
      <c r="CA207" s="1595"/>
      <c r="CB207" s="1594"/>
      <c r="CC207" s="1595"/>
      <c r="CD207" s="1595"/>
      <c r="CE207" s="1595"/>
      <c r="CF207" s="1595"/>
      <c r="CG207" s="817"/>
      <c r="CH207" s="225"/>
      <c r="CI207" s="225"/>
      <c r="CJ207" s="225"/>
      <c r="CK207" s="225"/>
      <c r="CL207" s="817"/>
      <c r="CM207" s="225"/>
      <c r="CN207" s="225"/>
      <c r="CO207" s="225"/>
      <c r="CP207" s="225"/>
      <c r="CQ207" s="817"/>
      <c r="CR207" s="225"/>
      <c r="CS207" s="225"/>
      <c r="CT207" s="225"/>
      <c r="CU207" s="225"/>
      <c r="CV207" s="817"/>
      <c r="CW207" s="225"/>
      <c r="CX207" s="225"/>
      <c r="CY207" s="225"/>
      <c r="CZ207" s="225"/>
      <c r="DA207" s="817"/>
      <c r="DB207" s="225"/>
      <c r="DC207" s="225"/>
      <c r="DD207" s="225"/>
      <c r="DE207" s="225"/>
      <c r="DF207" s="817"/>
      <c r="DG207" s="225"/>
      <c r="DH207" s="225"/>
      <c r="DI207" s="225"/>
      <c r="DJ207" s="225"/>
      <c r="DK207" s="811"/>
      <c r="DL207" s="225"/>
      <c r="DM207" s="225"/>
      <c r="DN207" s="225"/>
      <c r="DO207" s="225"/>
      <c r="DP207" s="811"/>
      <c r="DQ207" s="225"/>
      <c r="DR207" s="225"/>
      <c r="DS207" s="225"/>
      <c r="DT207" s="225"/>
      <c r="DU207" s="811"/>
      <c r="DV207" s="225"/>
      <c r="DW207" s="225"/>
      <c r="DX207" s="225"/>
      <c r="DY207" s="225"/>
      <c r="DZ207" s="811"/>
      <c r="EA207" s="225"/>
      <c r="EB207" s="225"/>
      <c r="EC207" s="225"/>
      <c r="ED207" s="225"/>
      <c r="EE207" s="811"/>
      <c r="EF207" s="13"/>
      <c r="EG207" s="13"/>
      <c r="EH207" s="13"/>
      <c r="EI207" s="13"/>
      <c r="EJ207"/>
      <c r="EK207"/>
      <c r="EL207"/>
      <c r="EM207"/>
      <c r="EN207"/>
      <c r="EO207"/>
      <c r="EP207" s="13"/>
      <c r="EQ207" s="13"/>
      <c r="ER207" s="13"/>
      <c r="ES207" s="13"/>
      <c r="ET207" s="13"/>
      <c r="EU207" s="13"/>
      <c r="EV207" s="13"/>
      <c r="EW207" s="13"/>
      <c r="EX207" s="13"/>
      <c r="EY207" s="13"/>
      <c r="EZ207" s="13"/>
      <c r="FA207" s="13"/>
      <c r="FB207" s="13"/>
      <c r="FC207" s="13"/>
      <c r="FD207" s="13"/>
      <c r="FE207" s="13"/>
      <c r="FF207" s="13"/>
      <c r="FG207" s="13"/>
      <c r="FH207" s="13"/>
      <c r="FI207" s="13"/>
      <c r="FJ207" s="13"/>
      <c r="FK207" s="13"/>
      <c r="FL207" s="13"/>
      <c r="FM207" s="13"/>
      <c r="FN207" s="13"/>
      <c r="FO207" s="13"/>
      <c r="FP207" s="13"/>
      <c r="FQ207" s="13"/>
      <c r="FR207" s="13"/>
      <c r="FS207" s="13"/>
      <c r="FT207" s="13"/>
      <c r="FU207" s="13"/>
      <c r="FV207" s="13"/>
      <c r="FW207" s="13"/>
      <c r="FX207" s="13"/>
      <c r="FY207" s="13"/>
      <c r="FZ207" s="13"/>
      <c r="GA207" s="13"/>
      <c r="GB207" s="13"/>
      <c r="GC207" s="13"/>
      <c r="GD207" s="13"/>
      <c r="GE207" s="13"/>
      <c r="GF207" s="13"/>
      <c r="GG207" s="13"/>
      <c r="GH207" s="13"/>
      <c r="GI207" s="13"/>
      <c r="GJ207" s="13"/>
      <c r="GK207" s="13"/>
      <c r="GL207" s="13"/>
      <c r="GM207" s="13"/>
      <c r="GN207" s="13"/>
      <c r="GO207" s="13"/>
      <c r="GP207" s="13"/>
      <c r="GQ207" s="13"/>
      <c r="GR207" s="13"/>
      <c r="GS207" s="13"/>
      <c r="GT207" s="13"/>
      <c r="GU207" s="13"/>
      <c r="GV207" s="13"/>
      <c r="GW207" s="13"/>
      <c r="GX207" s="13"/>
      <c r="GY207" s="13"/>
      <c r="GZ207" s="13"/>
      <c r="HA207" s="13"/>
      <c r="HB207" s="13"/>
      <c r="HC207" s="13"/>
      <c r="HD207" s="13"/>
      <c r="HE207" s="13"/>
      <c r="HF207" s="13"/>
      <c r="HG207" s="13"/>
      <c r="HH207" s="13"/>
      <c r="HI207" s="13"/>
      <c r="HJ207" s="13"/>
      <c r="HK207" s="13"/>
      <c r="HL207" s="13"/>
      <c r="HM207" s="13"/>
      <c r="HN207" s="13"/>
      <c r="HO207" s="13"/>
      <c r="HP207" s="13"/>
      <c r="HQ207" s="13"/>
      <c r="HR207" s="13"/>
      <c r="HS207" s="13"/>
      <c r="HT207" s="13"/>
      <c r="HU207" s="13"/>
      <c r="HV207" s="13"/>
      <c r="HW207" s="13"/>
      <c r="HX207" s="13"/>
      <c r="HY207" s="13"/>
      <c r="HZ207" s="13"/>
      <c r="IA207" s="13"/>
      <c r="IB207" s="13"/>
      <c r="IC207" s="13"/>
      <c r="ID207" s="13"/>
    </row>
    <row r="208" spans="2:238" s="1592" customFormat="1" ht="12.75" customHeight="1">
      <c r="B208" s="551" t="s">
        <v>479</v>
      </c>
      <c r="C208" s="1593"/>
      <c r="D208" s="1593"/>
      <c r="E208" s="1594"/>
      <c r="F208" s="1594"/>
      <c r="G208" s="1594"/>
      <c r="H208" s="1594"/>
      <c r="I208" s="1594"/>
      <c r="J208" s="1594"/>
      <c r="K208" s="1595"/>
      <c r="L208" s="1595"/>
      <c r="M208" s="1595"/>
      <c r="N208" s="1595"/>
      <c r="O208" s="1594"/>
      <c r="P208" s="1595"/>
      <c r="Q208" s="1595"/>
      <c r="R208" s="1595"/>
      <c r="S208" s="1595"/>
      <c r="T208" s="1594"/>
      <c r="U208" s="1595"/>
      <c r="V208" s="1595"/>
      <c r="W208" s="1595"/>
      <c r="X208" s="1595"/>
      <c r="Y208" s="1594"/>
      <c r="Z208" s="1595"/>
      <c r="AA208" s="1595"/>
      <c r="AB208" s="1595"/>
      <c r="AC208" s="1595"/>
      <c r="AD208" s="1594"/>
      <c r="AE208" s="1595"/>
      <c r="AF208" s="1595"/>
      <c r="AG208" s="1595"/>
      <c r="AH208" s="1595"/>
      <c r="AI208" s="1594"/>
      <c r="AJ208" s="1595"/>
      <c r="AK208" s="1595"/>
      <c r="AL208" s="1595"/>
      <c r="AM208" s="1595"/>
      <c r="AN208" s="1594"/>
      <c r="AO208" s="1595"/>
      <c r="AP208" s="1595"/>
      <c r="AQ208" s="1595"/>
      <c r="AR208" s="1595"/>
      <c r="AS208" s="1594"/>
      <c r="AT208" s="1595"/>
      <c r="AU208" s="1595"/>
      <c r="AV208" s="1595"/>
      <c r="AW208" s="1595"/>
      <c r="AX208" s="1594"/>
      <c r="AY208" s="1595"/>
      <c r="AZ208" s="1595"/>
      <c r="BA208" s="1595"/>
      <c r="BB208" s="1595"/>
      <c r="BC208" s="1594"/>
      <c r="BD208" s="1595"/>
      <c r="BE208" s="1595"/>
      <c r="BF208" s="1595"/>
      <c r="BG208" s="1595"/>
      <c r="BH208" s="1594"/>
      <c r="BI208" s="1595"/>
      <c r="BJ208" s="1595"/>
      <c r="BK208" s="1595"/>
      <c r="BL208" s="1595"/>
      <c r="BM208" s="1594"/>
      <c r="BN208" s="1595"/>
      <c r="BO208" s="1595"/>
      <c r="BP208" s="1595"/>
      <c r="BQ208" s="1595"/>
      <c r="BR208" s="1594"/>
      <c r="BS208" s="1595"/>
      <c r="BT208" s="1595"/>
      <c r="BU208" s="1595"/>
      <c r="BV208" s="1595"/>
      <c r="BW208" s="1594"/>
      <c r="BX208" s="1595"/>
      <c r="BY208" s="1595"/>
      <c r="BZ208" s="1595"/>
      <c r="CA208" s="1595"/>
      <c r="CB208" s="1594"/>
      <c r="CC208" s="1595"/>
      <c r="CD208" s="1595"/>
      <c r="CE208" s="1595"/>
      <c r="CF208" s="1595"/>
      <c r="CG208" s="817"/>
      <c r="CH208" s="225"/>
      <c r="CI208" s="225"/>
      <c r="CJ208" s="225"/>
      <c r="CK208" s="225"/>
      <c r="CL208" s="817"/>
      <c r="CM208" s="225"/>
      <c r="CN208" s="225"/>
      <c r="CO208" s="225"/>
      <c r="CP208" s="225"/>
      <c r="CQ208" s="817"/>
      <c r="CR208" s="225"/>
      <c r="CS208" s="225"/>
      <c r="CT208" s="225"/>
      <c r="CU208" s="225"/>
      <c r="CV208" s="817"/>
      <c r="CW208" s="225">
        <f>CW197/CW188</f>
        <v>0.2389110153308964</v>
      </c>
      <c r="CX208" s="225">
        <f t="shared" ref="CX208:DC208" si="477">CX197/CX188</f>
        <v>0.23305279265493498</v>
      </c>
      <c r="CY208" s="225">
        <f t="shared" si="477"/>
        <v>0.23457553734343592</v>
      </c>
      <c r="CZ208" s="225">
        <f t="shared" si="477"/>
        <v>0.23576638505536024</v>
      </c>
      <c r="DA208" s="817">
        <f t="shared" si="477"/>
        <v>0.23552204419310924</v>
      </c>
      <c r="DB208" s="225">
        <f t="shared" si="477"/>
        <v>0.22788176332208243</v>
      </c>
      <c r="DC208" s="225">
        <f t="shared" si="477"/>
        <v>0.21641011022424933</v>
      </c>
      <c r="DD208" s="225"/>
      <c r="DE208" s="225"/>
      <c r="DF208" s="817"/>
      <c r="DG208" s="225"/>
      <c r="DH208" s="225"/>
      <c r="DI208" s="225"/>
      <c r="DJ208" s="225"/>
      <c r="DK208" s="811"/>
      <c r="DL208" s="225"/>
      <c r="DM208" s="225"/>
      <c r="DN208" s="225"/>
      <c r="DO208" s="225"/>
      <c r="DP208" s="811"/>
      <c r="DQ208" s="225"/>
      <c r="DR208" s="225"/>
      <c r="DS208" s="225"/>
      <c r="DT208" s="225"/>
      <c r="DU208" s="811"/>
      <c r="DV208" s="225"/>
      <c r="DW208" s="225"/>
      <c r="DX208" s="225"/>
      <c r="DY208" s="225"/>
      <c r="DZ208" s="811"/>
      <c r="EA208" s="225"/>
      <c r="EB208" s="225"/>
      <c r="EC208" s="225"/>
      <c r="ED208" s="225"/>
      <c r="EE208" s="811"/>
      <c r="EF208" s="13"/>
      <c r="EG208" s="13"/>
      <c r="EH208" s="13"/>
      <c r="EI208" s="13"/>
      <c r="EJ208"/>
      <c r="EK208"/>
      <c r="EL208"/>
      <c r="EM208"/>
      <c r="EN208"/>
      <c r="EO208"/>
      <c r="EP208" s="13"/>
      <c r="EQ208" s="13"/>
      <c r="ER208" s="13"/>
      <c r="ES208" s="13"/>
      <c r="ET208" s="13"/>
      <c r="EU208" s="13"/>
      <c r="EV208" s="13"/>
      <c r="EW208" s="13"/>
      <c r="EX208" s="13"/>
      <c r="EY208" s="13"/>
      <c r="EZ208" s="13"/>
      <c r="FA208" s="13"/>
      <c r="FB208" s="13"/>
      <c r="FC208" s="13"/>
      <c r="FD208" s="13"/>
      <c r="FE208" s="13"/>
      <c r="FF208" s="13"/>
      <c r="FG208" s="13"/>
      <c r="FH208" s="13"/>
      <c r="FI208" s="13"/>
      <c r="FJ208" s="13"/>
      <c r="FK208" s="13"/>
      <c r="FL208" s="13"/>
      <c r="FM208" s="13"/>
      <c r="FN208" s="13"/>
      <c r="FO208" s="13"/>
      <c r="FP208" s="13"/>
      <c r="FQ208" s="13"/>
      <c r="FR208" s="13"/>
      <c r="FS208" s="13"/>
      <c r="FT208" s="13"/>
      <c r="FU208" s="13"/>
      <c r="FV208" s="13"/>
      <c r="FW208" s="13"/>
      <c r="FX208" s="13"/>
      <c r="FY208" s="13"/>
      <c r="FZ208" s="13"/>
      <c r="GA208" s="13"/>
      <c r="GB208" s="13"/>
      <c r="GC208" s="13"/>
      <c r="GD208" s="13"/>
      <c r="GE208" s="13"/>
      <c r="GF208" s="13"/>
      <c r="GG208" s="13"/>
      <c r="GH208" s="13"/>
      <c r="GI208" s="13"/>
      <c r="GJ208" s="13"/>
      <c r="GK208" s="13"/>
      <c r="GL208" s="13"/>
      <c r="GM208" s="13"/>
      <c r="GN208" s="13"/>
      <c r="GO208" s="13"/>
      <c r="GP208" s="13"/>
      <c r="GQ208" s="13"/>
      <c r="GR208" s="13"/>
      <c r="GS208" s="13"/>
      <c r="GT208" s="13"/>
      <c r="GU208" s="13"/>
      <c r="GV208" s="13"/>
      <c r="GW208" s="13"/>
      <c r="GX208" s="13"/>
      <c r="GY208" s="13"/>
      <c r="GZ208" s="13"/>
      <c r="HA208" s="13"/>
      <c r="HB208" s="13"/>
      <c r="HC208" s="13"/>
      <c r="HD208" s="13"/>
      <c r="HE208" s="13"/>
      <c r="HF208" s="13"/>
      <c r="HG208" s="13"/>
      <c r="HH208" s="13"/>
      <c r="HI208" s="13"/>
      <c r="HJ208" s="13"/>
      <c r="HK208" s="13"/>
      <c r="HL208" s="13"/>
      <c r="HM208" s="13"/>
      <c r="HN208" s="13"/>
      <c r="HO208" s="13"/>
      <c r="HP208" s="13"/>
      <c r="HQ208" s="13"/>
      <c r="HR208" s="13"/>
      <c r="HS208" s="13"/>
      <c r="HT208" s="13"/>
      <c r="HU208" s="13"/>
      <c r="HV208" s="13"/>
      <c r="HW208" s="13"/>
      <c r="HX208" s="13"/>
      <c r="HY208" s="13"/>
      <c r="HZ208" s="13"/>
      <c r="IA208" s="13"/>
      <c r="IB208" s="13"/>
      <c r="IC208" s="13"/>
      <c r="ID208" s="13"/>
    </row>
    <row r="209" spans="1:238" s="1592" customFormat="1" ht="12.75" customHeight="1">
      <c r="B209" s="551" t="s">
        <v>480</v>
      </c>
      <c r="C209" s="1593"/>
      <c r="D209" s="1593"/>
      <c r="E209" s="1594"/>
      <c r="F209" s="1594"/>
      <c r="G209" s="1594"/>
      <c r="H209" s="1594"/>
      <c r="I209" s="1594"/>
      <c r="J209" s="1594"/>
      <c r="K209" s="1595"/>
      <c r="L209" s="1595"/>
      <c r="M209" s="1595"/>
      <c r="N209" s="1595"/>
      <c r="O209" s="1594"/>
      <c r="P209" s="1595"/>
      <c r="Q209" s="1595"/>
      <c r="R209" s="1595"/>
      <c r="S209" s="1595"/>
      <c r="T209" s="1594"/>
      <c r="U209" s="1595"/>
      <c r="V209" s="1595"/>
      <c r="W209" s="1595"/>
      <c r="X209" s="1595"/>
      <c r="Y209" s="1594"/>
      <c r="Z209" s="1595"/>
      <c r="AA209" s="1595"/>
      <c r="AB209" s="1595"/>
      <c r="AC209" s="1595"/>
      <c r="AD209" s="1594"/>
      <c r="AE209" s="1595"/>
      <c r="AF209" s="1595"/>
      <c r="AG209" s="1595"/>
      <c r="AH209" s="1595"/>
      <c r="AI209" s="1594"/>
      <c r="AJ209" s="1595"/>
      <c r="AK209" s="1595"/>
      <c r="AL209" s="1595"/>
      <c r="AM209" s="1595"/>
      <c r="AN209" s="1594"/>
      <c r="AO209" s="1595"/>
      <c r="AP209" s="1595"/>
      <c r="AQ209" s="1595"/>
      <c r="AR209" s="1595"/>
      <c r="AS209" s="1594"/>
      <c r="AT209" s="1595"/>
      <c r="AU209" s="1595"/>
      <c r="AV209" s="1595"/>
      <c r="AW209" s="1595"/>
      <c r="AX209" s="1594"/>
      <c r="AY209" s="1595"/>
      <c r="AZ209" s="1595"/>
      <c r="BA209" s="1595"/>
      <c r="BB209" s="1595"/>
      <c r="BC209" s="1594"/>
      <c r="BD209" s="1595"/>
      <c r="BE209" s="1595"/>
      <c r="BF209" s="1595"/>
      <c r="BG209" s="1595"/>
      <c r="BH209" s="1594"/>
      <c r="BI209" s="1595"/>
      <c r="BJ209" s="1595"/>
      <c r="BK209" s="1595"/>
      <c r="BL209" s="1595"/>
      <c r="BM209" s="1594"/>
      <c r="BN209" s="1595"/>
      <c r="BO209" s="1595"/>
      <c r="BP209" s="1595"/>
      <c r="BQ209" s="1595"/>
      <c r="BR209" s="1594"/>
      <c r="BS209" s="1595"/>
      <c r="BT209" s="1595"/>
      <c r="BU209" s="1595"/>
      <c r="BV209" s="1595"/>
      <c r="BW209" s="1594"/>
      <c r="BX209" s="1595"/>
      <c r="BY209" s="1595"/>
      <c r="BZ209" s="1595"/>
      <c r="CA209" s="1595"/>
      <c r="CB209" s="1594"/>
      <c r="CC209" s="1595"/>
      <c r="CD209" s="1595"/>
      <c r="CE209" s="1595"/>
      <c r="CF209" s="1595"/>
      <c r="CG209" s="817"/>
      <c r="CH209" s="225"/>
      <c r="CI209" s="225"/>
      <c r="CJ209" s="225"/>
      <c r="CK209" s="225"/>
      <c r="CL209" s="817"/>
      <c r="CM209" s="225"/>
      <c r="CN209" s="225"/>
      <c r="CO209" s="225"/>
      <c r="CP209" s="225"/>
      <c r="CQ209" s="817"/>
      <c r="CR209" s="225"/>
      <c r="CS209" s="225"/>
      <c r="CT209" s="225"/>
      <c r="CU209" s="225"/>
      <c r="CV209" s="817"/>
      <c r="CW209" s="225">
        <f>CW198/CW188</f>
        <v>0.2326913634131704</v>
      </c>
      <c r="CX209" s="225">
        <f t="shared" ref="CX209:DF209" si="478">CX198/CX188</f>
        <v>0.22836011221627137</v>
      </c>
      <c r="CY209" s="225">
        <f t="shared" si="478"/>
        <v>0.22478222772022061</v>
      </c>
      <c r="CZ209" s="225">
        <f t="shared" si="478"/>
        <v>0.22432701894317048</v>
      </c>
      <c r="DA209" s="817">
        <f t="shared" si="478"/>
        <v>0.22748455335637238</v>
      </c>
      <c r="DB209" s="225">
        <f t="shared" si="478"/>
        <v>0.22179605195867852</v>
      </c>
      <c r="DC209" s="225">
        <f t="shared" si="478"/>
        <v>0.20448498669707335</v>
      </c>
      <c r="DD209" s="225">
        <f t="shared" si="478"/>
        <v>0.20895960832313343</v>
      </c>
      <c r="DE209" s="225">
        <f>DE198/DE188</f>
        <v>0.21597232666566402</v>
      </c>
      <c r="DF209" s="817">
        <f t="shared" si="478"/>
        <v>0.21262380517203053</v>
      </c>
      <c r="DG209" s="225">
        <f t="shared" ref="DG209:DL209" si="479">DG198/DG188</f>
        <v>0.20854197349042711</v>
      </c>
      <c r="DH209" s="225">
        <f t="shared" si="479"/>
        <v>0.20144186046511628</v>
      </c>
      <c r="DI209" s="225">
        <f t="shared" si="479"/>
        <v>0.20358744394618833</v>
      </c>
      <c r="DJ209" s="225">
        <f t="shared" si="479"/>
        <v>0.20706608184315806</v>
      </c>
      <c r="DK209" s="811">
        <f t="shared" si="479"/>
        <v>0.20510250352020237</v>
      </c>
      <c r="DL209" s="225">
        <f t="shared" si="479"/>
        <v>0.20368846507575392</v>
      </c>
      <c r="DM209" s="225">
        <f t="shared" ref="DM209:DN209" si="480">DM198/DM188</f>
        <v>0.20046758962134409</v>
      </c>
      <c r="DN209" s="225">
        <f t="shared" si="480"/>
        <v>0.18869850852272727</v>
      </c>
      <c r="DO209" s="225">
        <f t="shared" ref="DO209:DQ209" si="481">DO198/DO188</f>
        <v>0.18900497735527555</v>
      </c>
      <c r="DP209" s="811">
        <f t="shared" ref="DP209:DU209" si="482">DP198/DP188</f>
        <v>0.1952647132940826</v>
      </c>
      <c r="DQ209" s="225">
        <f t="shared" si="481"/>
        <v>0.19496883547822969</v>
      </c>
      <c r="DR209" s="225">
        <f t="shared" ca="1" si="482"/>
        <v>0.18970431037559921</v>
      </c>
      <c r="DS209" s="225">
        <f t="shared" ca="1" si="482"/>
        <v>0.18885698789354013</v>
      </c>
      <c r="DT209" s="225">
        <f t="shared" si="482"/>
        <v>0.19100369329202141</v>
      </c>
      <c r="DU209" s="811">
        <f t="shared" ca="1" si="482"/>
        <v>0.19099975537001915</v>
      </c>
      <c r="DV209" s="225">
        <f t="shared" ref="DV209:DZ209" si="483">DV198/DV188</f>
        <v>0.19355589428764236</v>
      </c>
      <c r="DW209" s="225">
        <f t="shared" ca="1" si="483"/>
        <v>0.19092566082716911</v>
      </c>
      <c r="DX209" s="225">
        <f t="shared" ca="1" si="483"/>
        <v>0.18522167963017647</v>
      </c>
      <c r="DY209" s="225">
        <f t="shared" si="483"/>
        <v>0.18608764427750976</v>
      </c>
      <c r="DZ209" s="811">
        <f t="shared" ca="1" si="483"/>
        <v>0.18890666853939292</v>
      </c>
      <c r="EA209" s="225">
        <f t="shared" ref="EA209:EE209" si="484">EA198/EA188</f>
        <v>0.19428901869877802</v>
      </c>
      <c r="EB209" s="225">
        <f t="shared" ca="1" si="484"/>
        <v>0.19183670206630449</v>
      </c>
      <c r="EC209" s="225">
        <f t="shared" ca="1" si="484"/>
        <v>0.18582840439734055</v>
      </c>
      <c r="ED209" s="225">
        <f t="shared" si="484"/>
        <v>0.18647125290598476</v>
      </c>
      <c r="EE209" s="811">
        <f t="shared" ca="1" si="484"/>
        <v>0.18956385714723076</v>
      </c>
      <c r="EF209" s="13"/>
      <c r="EG209" s="13"/>
      <c r="EH209" s="13"/>
      <c r="EI209" s="13"/>
      <c r="EJ209"/>
      <c r="EK209"/>
      <c r="EL209"/>
      <c r="EM209"/>
      <c r="EN209"/>
      <c r="EO209"/>
      <c r="EP209" s="13"/>
      <c r="EQ209" s="13"/>
      <c r="ER209" s="13"/>
      <c r="ES209" s="13"/>
      <c r="ET209" s="13"/>
      <c r="EU209" s="13"/>
      <c r="EV209" s="13"/>
      <c r="EW209" s="13"/>
      <c r="EX209" s="13"/>
      <c r="EY209" s="13"/>
      <c r="EZ209" s="13"/>
      <c r="FA209" s="13"/>
      <c r="FB209" s="13"/>
      <c r="FC209" s="13"/>
      <c r="FD209" s="13"/>
      <c r="FE209" s="13"/>
      <c r="FF209" s="13"/>
      <c r="FG209" s="13"/>
      <c r="FH209" s="13"/>
      <c r="FI209" s="13"/>
      <c r="FJ209" s="13"/>
      <c r="FK209" s="13"/>
      <c r="FL209" s="13"/>
      <c r="FM209" s="13"/>
      <c r="FN209" s="13"/>
      <c r="FO209" s="13"/>
      <c r="FP209" s="13"/>
      <c r="FQ209" s="13"/>
      <c r="FR209" s="13"/>
      <c r="FS209" s="13"/>
      <c r="FT209" s="13"/>
      <c r="FU209" s="13"/>
      <c r="FV209" s="13"/>
      <c r="FW209" s="13"/>
      <c r="FX209" s="13"/>
      <c r="FY209" s="13"/>
      <c r="FZ209" s="13"/>
      <c r="GA209" s="13"/>
      <c r="GB209" s="13"/>
      <c r="GC209" s="13"/>
      <c r="GD209" s="13"/>
      <c r="GE209" s="13"/>
      <c r="GF209" s="13"/>
      <c r="GG209" s="13"/>
      <c r="GH209" s="13"/>
      <c r="GI209" s="13"/>
      <c r="GJ209" s="13"/>
      <c r="GK209" s="13"/>
      <c r="GL209" s="13"/>
      <c r="GM209" s="13"/>
      <c r="GN209" s="13"/>
      <c r="GO209" s="13"/>
      <c r="GP209" s="13"/>
      <c r="GQ209" s="13"/>
      <c r="GR209" s="13"/>
      <c r="GS209" s="13"/>
      <c r="GT209" s="13"/>
      <c r="GU209" s="13"/>
      <c r="GV209" s="13"/>
      <c r="GW209" s="13"/>
      <c r="GX209" s="13"/>
      <c r="GY209" s="13"/>
      <c r="GZ209" s="13"/>
      <c r="HA209" s="13"/>
      <c r="HB209" s="13"/>
      <c r="HC209" s="13"/>
      <c r="HD209" s="13"/>
      <c r="HE209" s="13"/>
      <c r="HF209" s="13"/>
      <c r="HG209" s="13"/>
      <c r="HH209" s="13"/>
      <c r="HI209" s="13"/>
      <c r="HJ209" s="13"/>
      <c r="HK209" s="13"/>
      <c r="HL209" s="13"/>
      <c r="HM209" s="13"/>
      <c r="HN209" s="13"/>
      <c r="HO209" s="13"/>
      <c r="HP209" s="13"/>
      <c r="HQ209" s="13"/>
      <c r="HR209" s="13"/>
      <c r="HS209" s="13"/>
      <c r="HT209" s="13"/>
      <c r="HU209" s="13"/>
      <c r="HV209" s="13"/>
      <c r="HW209" s="13"/>
      <c r="HX209" s="13"/>
      <c r="HY209" s="13"/>
      <c r="HZ209" s="13"/>
      <c r="IA209" s="13"/>
      <c r="IB209" s="13"/>
      <c r="IC209" s="13"/>
      <c r="ID209" s="13"/>
    </row>
    <row r="210" spans="1:238" s="1592" customFormat="1" ht="12.75" customHeight="1">
      <c r="B210" s="551" t="s">
        <v>481</v>
      </c>
      <c r="C210" s="1593"/>
      <c r="D210" s="1593"/>
      <c r="E210" s="1594"/>
      <c r="F210" s="1594"/>
      <c r="G210" s="1594"/>
      <c r="H210" s="1594"/>
      <c r="I210" s="1594"/>
      <c r="J210" s="1594"/>
      <c r="K210" s="1595"/>
      <c r="L210" s="1595"/>
      <c r="M210" s="1595"/>
      <c r="N210" s="1595"/>
      <c r="O210" s="1594"/>
      <c r="P210" s="1595"/>
      <c r="Q210" s="1595"/>
      <c r="R210" s="1595"/>
      <c r="S210" s="1595"/>
      <c r="T210" s="1594"/>
      <c r="U210" s="1595"/>
      <c r="V210" s="1595"/>
      <c r="W210" s="1595"/>
      <c r="X210" s="1595"/>
      <c r="Y210" s="1594"/>
      <c r="Z210" s="1595"/>
      <c r="AA210" s="1595"/>
      <c r="AB210" s="1595"/>
      <c r="AC210" s="1595"/>
      <c r="AD210" s="1594"/>
      <c r="AE210" s="1595"/>
      <c r="AF210" s="1595"/>
      <c r="AG210" s="1595"/>
      <c r="AH210" s="1595"/>
      <c r="AI210" s="1594"/>
      <c r="AJ210" s="1595"/>
      <c r="AK210" s="1595"/>
      <c r="AL210" s="1595"/>
      <c r="AM210" s="1595"/>
      <c r="AN210" s="1594"/>
      <c r="AO210" s="1595"/>
      <c r="AP210" s="1595"/>
      <c r="AQ210" s="1595"/>
      <c r="AR210" s="1595"/>
      <c r="AS210" s="1594"/>
      <c r="AT210" s="1595"/>
      <c r="AU210" s="1595"/>
      <c r="AV210" s="1595"/>
      <c r="AW210" s="1595"/>
      <c r="AX210" s="1594"/>
      <c r="AY210" s="1595"/>
      <c r="AZ210" s="1595"/>
      <c r="BA210" s="1595"/>
      <c r="BB210" s="1595"/>
      <c r="BC210" s="1594"/>
      <c r="BD210" s="1595"/>
      <c r="BE210" s="1595"/>
      <c r="BF210" s="1595"/>
      <c r="BG210" s="1595"/>
      <c r="BH210" s="1594"/>
      <c r="BI210" s="1595"/>
      <c r="BJ210" s="1595"/>
      <c r="BK210" s="1595"/>
      <c r="BL210" s="1595"/>
      <c r="BM210" s="1594"/>
      <c r="BN210" s="1595"/>
      <c r="BO210" s="1595"/>
      <c r="BP210" s="1595"/>
      <c r="BQ210" s="1595"/>
      <c r="BR210" s="1594"/>
      <c r="BS210" s="1595"/>
      <c r="BT210" s="1595"/>
      <c r="BU210" s="1595"/>
      <c r="BV210" s="1595"/>
      <c r="BW210" s="1594"/>
      <c r="BX210" s="1595"/>
      <c r="BY210" s="1595"/>
      <c r="BZ210" s="1595"/>
      <c r="CA210" s="1595"/>
      <c r="CB210" s="1594"/>
      <c r="CC210" s="1595"/>
      <c r="CD210" s="1595"/>
      <c r="CE210" s="1595"/>
      <c r="CF210" s="1595"/>
      <c r="CG210" s="817"/>
      <c r="CH210" s="225"/>
      <c r="CI210" s="225"/>
      <c r="CJ210" s="225"/>
      <c r="CK210" s="225"/>
      <c r="CL210" s="817"/>
      <c r="CM210" s="225"/>
      <c r="CN210" s="225"/>
      <c r="CO210" s="225"/>
      <c r="CP210" s="225"/>
      <c r="CQ210" s="817"/>
      <c r="CR210" s="225"/>
      <c r="CS210" s="225"/>
      <c r="CT210" s="225"/>
      <c r="CU210" s="225"/>
      <c r="CV210" s="817"/>
      <c r="CW210" s="225">
        <f t="shared" ref="CW210:DQ210" si="485">CW198/CR198-1</f>
        <v>4.0018832391712778E-3</v>
      </c>
      <c r="CX210" s="225">
        <f t="shared" si="485"/>
        <v>1.7268802544876172E-2</v>
      </c>
      <c r="CY210" s="225">
        <f t="shared" si="485"/>
        <v>2.8537735849056611E-2</v>
      </c>
      <c r="CZ210" s="225">
        <f t="shared" si="485"/>
        <v>2.0529959417522115E-2</v>
      </c>
      <c r="DA210" s="817">
        <f t="shared" si="485"/>
        <v>1.756645977280713E-2</v>
      </c>
      <c r="DB210" s="225">
        <f t="shared" si="485"/>
        <v>1.6881594372801789E-2</v>
      </c>
      <c r="DC210" s="225">
        <f t="shared" si="485"/>
        <v>-3.8641947732856785E-2</v>
      </c>
      <c r="DD210" s="225">
        <f t="shared" si="485"/>
        <v>-2.1325384086218757E-2</v>
      </c>
      <c r="DE210" s="225">
        <f t="shared" si="485"/>
        <v>7.7192982456140147E-3</v>
      </c>
      <c r="DF210" s="817">
        <f t="shared" si="485"/>
        <v>-9.2645874093681968E-3</v>
      </c>
      <c r="DG210" s="225">
        <f t="shared" si="485"/>
        <v>-2.0521097532856802E-2</v>
      </c>
      <c r="DH210" s="225">
        <f t="shared" si="485"/>
        <v>6.2732342007434383E-3</v>
      </c>
      <c r="DI210" s="225">
        <f t="shared" si="485"/>
        <v>1.054358013120904E-2</v>
      </c>
      <c r="DJ210" s="225">
        <f t="shared" si="485"/>
        <v>-2.7855153203342198E-3</v>
      </c>
      <c r="DK210" s="811">
        <f t="shared" si="485"/>
        <v>-1.6843817157460306E-3</v>
      </c>
      <c r="DL210" s="225">
        <f t="shared" si="485"/>
        <v>-9.4161958568738102E-3</v>
      </c>
      <c r="DM210" s="225">
        <f t="shared" si="485"/>
        <v>9.6975294389287647E-3</v>
      </c>
      <c r="DN210" s="225">
        <f t="shared" si="485"/>
        <v>-1.4375144910734994E-2</v>
      </c>
      <c r="DO210" s="225">
        <f t="shared" si="485"/>
        <v>-1.8854748603351901E-2</v>
      </c>
      <c r="DP210" s="811">
        <f t="shared" ref="DP210:DU210" si="486">DP198/DK198-1</f>
        <v>-8.2033977193390895E-3</v>
      </c>
      <c r="DQ210" s="225">
        <f t="shared" si="485"/>
        <v>3.3269961977186346E-2</v>
      </c>
      <c r="DR210" s="225">
        <f t="shared" si="486"/>
        <v>0.1100000000000001</v>
      </c>
      <c r="DS210" s="225">
        <f t="shared" si="486"/>
        <v>0.14999999999999991</v>
      </c>
      <c r="DT210" s="225">
        <f t="shared" si="486"/>
        <v>0.14000000000000012</v>
      </c>
      <c r="DU210" s="811">
        <f t="shared" si="486"/>
        <v>0.10845192702528306</v>
      </c>
      <c r="DV210" s="225">
        <f t="shared" ref="DV210" si="487">DV198/DQ198-1</f>
        <v>0.10615064162538523</v>
      </c>
      <c r="DW210" s="225">
        <f t="shared" ref="DW210" si="488">DW198/DR198-1</f>
        <v>2.9951532830618133E-2</v>
      </c>
      <c r="DX210" s="225">
        <f t="shared" ref="DX210" si="489">DX198/DS198-1</f>
        <v>-6.7669835853624294E-3</v>
      </c>
      <c r="DY210" s="225">
        <f t="shared" ref="DY210" si="490">DY198/DT198-1</f>
        <v>-1.3744497989731763E-2</v>
      </c>
      <c r="DZ210" s="811">
        <f t="shared" ref="DZ210" si="491">DZ198/DU198-1</f>
        <v>2.6873911905088921E-2</v>
      </c>
      <c r="EA210" s="225">
        <f t="shared" ref="EA210" si="492">EA198/DV198-1</f>
        <v>2.0000000000000018E-2</v>
      </c>
      <c r="EB210" s="225">
        <f t="shared" ref="EB210" si="493">EB198/DW198-1</f>
        <v>2.0000000000000018E-2</v>
      </c>
      <c r="EC210" s="225">
        <f t="shared" ref="EC210" si="494">EC198/DX198-1</f>
        <v>2.0000000000000018E-2</v>
      </c>
      <c r="ED210" s="225">
        <f t="shared" ref="ED210" si="495">ED198/DY198-1</f>
        <v>2.0000000000000018E-2</v>
      </c>
      <c r="EE210" s="811">
        <f t="shared" ref="EE210" si="496">EE198/DZ198-1</f>
        <v>2.0000000000000018E-2</v>
      </c>
      <c r="EF210" s="13"/>
      <c r="EG210" s="13"/>
      <c r="EH210" s="13"/>
      <c r="EI210" s="13"/>
      <c r="EJ210"/>
      <c r="EK210"/>
      <c r="EL210"/>
      <c r="EM210"/>
      <c r="EN210"/>
      <c r="EO210"/>
      <c r="EP210" s="13"/>
      <c r="EQ210" s="13"/>
      <c r="ER210" s="13"/>
      <c r="ES210" s="13"/>
      <c r="ET210" s="13"/>
      <c r="EU210" s="13"/>
      <c r="EV210" s="13"/>
      <c r="EW210" s="13"/>
      <c r="EX210" s="13"/>
      <c r="EY210" s="13"/>
      <c r="EZ210" s="13"/>
      <c r="FA210" s="13"/>
      <c r="FB210" s="13"/>
      <c r="FC210" s="13"/>
      <c r="FD210" s="13"/>
      <c r="FE210" s="13"/>
      <c r="FF210" s="13"/>
      <c r="FG210" s="13"/>
      <c r="FH210" s="13"/>
      <c r="FI210" s="13"/>
      <c r="FJ210" s="13"/>
      <c r="FK210" s="13"/>
      <c r="FL210" s="13"/>
      <c r="FM210" s="13"/>
      <c r="FN210" s="13"/>
      <c r="FO210" s="13"/>
      <c r="FP210" s="13"/>
      <c r="FQ210" s="13"/>
      <c r="FR210" s="13"/>
      <c r="FS210" s="13"/>
      <c r="FT210" s="13"/>
      <c r="FU210" s="13"/>
      <c r="FV210" s="13"/>
      <c r="FW210" s="13"/>
      <c r="FX210" s="13"/>
      <c r="FY210" s="13"/>
      <c r="FZ210" s="13"/>
      <c r="GA210" s="13"/>
      <c r="GB210" s="13"/>
      <c r="GC210" s="13"/>
      <c r="GD210" s="13"/>
      <c r="GE210" s="13"/>
      <c r="GF210" s="13"/>
      <c r="GG210" s="13"/>
      <c r="GH210" s="13"/>
      <c r="GI210" s="13"/>
      <c r="GJ210" s="13"/>
      <c r="GK210" s="13"/>
      <c r="GL210" s="13"/>
      <c r="GM210" s="13"/>
      <c r="GN210" s="13"/>
      <c r="GO210" s="13"/>
      <c r="GP210" s="13"/>
      <c r="GQ210" s="13"/>
      <c r="GR210" s="13"/>
      <c r="GS210" s="13"/>
      <c r="GT210" s="13"/>
      <c r="GU210" s="13"/>
      <c r="GV210" s="13"/>
      <c r="GW210" s="13"/>
      <c r="GX210" s="13"/>
      <c r="GY210" s="13"/>
      <c r="GZ210" s="13"/>
      <c r="HA210" s="13"/>
      <c r="HB210" s="13"/>
      <c r="HC210" s="13"/>
      <c r="HD210" s="13"/>
      <c r="HE210" s="13"/>
      <c r="HF210" s="13"/>
      <c r="HG210" s="13"/>
      <c r="HH210" s="13"/>
      <c r="HI210" s="13"/>
      <c r="HJ210" s="13"/>
      <c r="HK210" s="13"/>
      <c r="HL210" s="13"/>
      <c r="HM210" s="13"/>
      <c r="HN210" s="13"/>
      <c r="HO210" s="13"/>
      <c r="HP210" s="13"/>
      <c r="HQ210" s="13"/>
      <c r="HR210" s="13"/>
      <c r="HS210" s="13"/>
      <c r="HT210" s="13"/>
      <c r="HU210" s="13"/>
      <c r="HV210" s="13"/>
      <c r="HW210" s="13"/>
      <c r="HX210" s="13"/>
      <c r="HY210" s="13"/>
      <c r="HZ210" s="13"/>
      <c r="IA210" s="13"/>
      <c r="IB210" s="13"/>
      <c r="IC210" s="13"/>
      <c r="ID210" s="13"/>
    </row>
    <row r="211" spans="1:238" s="1592" customFormat="1" ht="12.75" customHeight="1">
      <c r="B211" s="551"/>
      <c r="C211" s="1593"/>
      <c r="D211" s="1593"/>
      <c r="E211" s="1594"/>
      <c r="F211" s="1594"/>
      <c r="G211" s="1594"/>
      <c r="H211" s="1594"/>
      <c r="I211" s="1594"/>
      <c r="J211" s="1594"/>
      <c r="K211" s="1595"/>
      <c r="L211" s="1595"/>
      <c r="M211" s="1595"/>
      <c r="N211" s="1595"/>
      <c r="O211" s="1594"/>
      <c r="P211" s="1595"/>
      <c r="Q211" s="1595"/>
      <c r="R211" s="1595"/>
      <c r="S211" s="1595"/>
      <c r="T211" s="1594"/>
      <c r="U211" s="1595"/>
      <c r="V211" s="1595"/>
      <c r="W211" s="1595"/>
      <c r="X211" s="1595"/>
      <c r="Y211" s="1594"/>
      <c r="Z211" s="1595"/>
      <c r="AA211" s="1595"/>
      <c r="AB211" s="1595"/>
      <c r="AC211" s="1595"/>
      <c r="AD211" s="1594"/>
      <c r="AE211" s="1595"/>
      <c r="AF211" s="1595"/>
      <c r="AG211" s="1595"/>
      <c r="AH211" s="1595"/>
      <c r="AI211" s="1594"/>
      <c r="AJ211" s="1595"/>
      <c r="AK211" s="1595"/>
      <c r="AL211" s="1595"/>
      <c r="AM211" s="1595"/>
      <c r="AN211" s="1594"/>
      <c r="AO211" s="1595"/>
      <c r="AP211" s="1595"/>
      <c r="AQ211" s="1595"/>
      <c r="AR211" s="1595"/>
      <c r="AS211" s="1594"/>
      <c r="AT211" s="1595"/>
      <c r="AU211" s="1595"/>
      <c r="AV211" s="1595"/>
      <c r="AW211" s="1595"/>
      <c r="AX211" s="1594"/>
      <c r="AY211" s="1595"/>
      <c r="AZ211" s="1595"/>
      <c r="BA211" s="1595"/>
      <c r="BB211" s="1595"/>
      <c r="BC211" s="1594"/>
      <c r="BD211" s="1595"/>
      <c r="BE211" s="1595"/>
      <c r="BF211" s="1595"/>
      <c r="BG211" s="1595"/>
      <c r="BH211" s="1594"/>
      <c r="BI211" s="1595"/>
      <c r="BJ211" s="1595"/>
      <c r="BK211" s="1595"/>
      <c r="BL211" s="1595"/>
      <c r="BM211" s="1594"/>
      <c r="BN211" s="1595"/>
      <c r="BO211" s="1595"/>
      <c r="BP211" s="1595"/>
      <c r="BQ211" s="1595"/>
      <c r="BR211" s="1594"/>
      <c r="BS211" s="1595"/>
      <c r="BT211" s="1595"/>
      <c r="BU211" s="1595"/>
      <c r="BV211" s="1595"/>
      <c r="BW211" s="1594"/>
      <c r="BX211" s="1595"/>
      <c r="BY211" s="1595"/>
      <c r="BZ211" s="1595"/>
      <c r="CA211" s="1595"/>
      <c r="CB211" s="1594"/>
      <c r="CC211" s="1595"/>
      <c r="CD211" s="1595"/>
      <c r="CE211" s="1595"/>
      <c r="CF211" s="1595"/>
      <c r="CG211" s="817"/>
      <c r="CH211" s="225"/>
      <c r="CI211" s="225"/>
      <c r="CJ211" s="225"/>
      <c r="CK211" s="225"/>
      <c r="CL211" s="817"/>
      <c r="CM211" s="225"/>
      <c r="CN211" s="225"/>
      <c r="CO211" s="225"/>
      <c r="CP211" s="225"/>
      <c r="CQ211" s="817"/>
      <c r="CR211" s="225"/>
      <c r="CS211" s="225"/>
      <c r="CT211" s="225"/>
      <c r="CU211" s="225"/>
      <c r="CV211" s="817"/>
      <c r="CW211" s="225"/>
      <c r="CX211" s="225"/>
      <c r="CY211" s="225"/>
      <c r="CZ211" s="225"/>
      <c r="DA211" s="817"/>
      <c r="DB211" s="225"/>
      <c r="DC211" s="225"/>
      <c r="DD211" s="225"/>
      <c r="DE211" s="225"/>
      <c r="DF211" s="817"/>
      <c r="DG211" s="225"/>
      <c r="DH211" s="225"/>
      <c r="DI211" s="225"/>
      <c r="DJ211" s="225"/>
      <c r="DK211" s="811">
        <f>DK209-DF209</f>
        <v>-7.521301651828155E-3</v>
      </c>
      <c r="DL211" s="225"/>
      <c r="DM211" s="225"/>
      <c r="DN211" s="225"/>
      <c r="DO211" s="225"/>
      <c r="DP211" s="811"/>
      <c r="DQ211" s="225"/>
      <c r="DR211" s="225"/>
      <c r="DS211" s="225"/>
      <c r="DT211" s="225"/>
      <c r="DU211" s="811"/>
      <c r="DV211" s="225"/>
      <c r="DW211" s="225"/>
      <c r="DX211" s="225"/>
      <c r="DY211" s="225"/>
      <c r="DZ211" s="811"/>
      <c r="EA211" s="225"/>
      <c r="EB211" s="225"/>
      <c r="EC211" s="225"/>
      <c r="ED211" s="225"/>
      <c r="EE211" s="811"/>
      <c r="EF211" s="13"/>
      <c r="EG211" s="13"/>
      <c r="EH211" s="13"/>
      <c r="EI211" s="13"/>
      <c r="EJ211"/>
      <c r="EK211"/>
      <c r="EL211"/>
      <c r="EM211"/>
      <c r="EN211"/>
      <c r="EO211"/>
      <c r="EP211" s="13"/>
      <c r="EQ211" s="13"/>
      <c r="ER211" s="13"/>
      <c r="ES211" s="13"/>
      <c r="ET211" s="13"/>
      <c r="EU211" s="13"/>
      <c r="EV211" s="13"/>
      <c r="EW211" s="13"/>
      <c r="EX211" s="13"/>
      <c r="EY211" s="13"/>
      <c r="EZ211" s="13"/>
      <c r="FA211" s="13"/>
      <c r="FB211" s="13"/>
      <c r="FC211" s="13"/>
      <c r="FD211" s="13"/>
      <c r="FE211" s="13"/>
      <c r="FF211" s="13"/>
      <c r="FG211" s="13"/>
      <c r="FH211" s="13"/>
      <c r="FI211" s="13"/>
      <c r="FJ211" s="13"/>
      <c r="FK211" s="13"/>
      <c r="FL211" s="13"/>
      <c r="FM211" s="13"/>
      <c r="FN211" s="13"/>
      <c r="FO211" s="13"/>
      <c r="FP211" s="13"/>
      <c r="FQ211" s="13"/>
      <c r="FR211" s="13"/>
      <c r="FS211" s="13"/>
      <c r="FT211" s="13"/>
      <c r="FU211" s="13"/>
      <c r="FV211" s="13"/>
      <c r="FW211" s="13"/>
      <c r="FX211" s="13"/>
      <c r="FY211" s="13"/>
      <c r="FZ211" s="13"/>
      <c r="GA211" s="13"/>
      <c r="GB211" s="13"/>
      <c r="GC211" s="13"/>
      <c r="GD211" s="13"/>
      <c r="GE211" s="13"/>
      <c r="GF211" s="13"/>
      <c r="GG211" s="13"/>
      <c r="GH211" s="13"/>
      <c r="GI211" s="13"/>
      <c r="GJ211" s="13"/>
      <c r="GK211" s="13"/>
      <c r="GL211" s="13"/>
      <c r="GM211" s="13"/>
      <c r="GN211" s="13"/>
      <c r="GO211" s="13"/>
      <c r="GP211" s="13"/>
      <c r="GQ211" s="13"/>
      <c r="GR211" s="13"/>
      <c r="GS211" s="13"/>
      <c r="GT211" s="13"/>
      <c r="GU211" s="13"/>
      <c r="GV211" s="13"/>
      <c r="GW211" s="13"/>
      <c r="GX211" s="13"/>
      <c r="GY211" s="13"/>
      <c r="GZ211" s="13"/>
      <c r="HA211" s="13"/>
      <c r="HB211" s="13"/>
      <c r="HC211" s="13"/>
      <c r="HD211" s="13"/>
      <c r="HE211" s="13"/>
      <c r="HF211" s="13"/>
      <c r="HG211" s="13"/>
      <c r="HH211" s="13"/>
      <c r="HI211" s="13"/>
      <c r="HJ211" s="13"/>
      <c r="HK211" s="13"/>
      <c r="HL211" s="13"/>
      <c r="HM211" s="13"/>
      <c r="HN211" s="13"/>
      <c r="HO211" s="13"/>
      <c r="HP211" s="13"/>
      <c r="HQ211" s="13"/>
      <c r="HR211" s="13"/>
      <c r="HS211" s="13"/>
      <c r="HT211" s="13"/>
      <c r="HU211" s="13"/>
      <c r="HV211" s="13"/>
      <c r="HW211" s="13"/>
      <c r="HX211" s="13"/>
      <c r="HY211" s="13"/>
      <c r="HZ211" s="13"/>
      <c r="IA211" s="13"/>
      <c r="IB211" s="13"/>
      <c r="IC211" s="13"/>
      <c r="ID211" s="13"/>
    </row>
    <row r="212" spans="1:238" s="1592" customFormat="1" ht="12.75" customHeight="1">
      <c r="B212" s="1581" t="s">
        <v>473</v>
      </c>
      <c r="C212" s="1593"/>
      <c r="D212" s="1593"/>
      <c r="E212" s="1594"/>
      <c r="F212" s="1594"/>
      <c r="G212" s="1594"/>
      <c r="H212" s="1594"/>
      <c r="I212" s="1594"/>
      <c r="J212" s="1594"/>
      <c r="K212" s="1595"/>
      <c r="L212" s="1595"/>
      <c r="M212" s="1595"/>
      <c r="N212" s="1595"/>
      <c r="O212" s="1594"/>
      <c r="P212" s="1595"/>
      <c r="Q212" s="1595"/>
      <c r="R212" s="1595"/>
      <c r="S212" s="1595"/>
      <c r="T212" s="1594"/>
      <c r="U212" s="1595"/>
      <c r="V212" s="1595"/>
      <c r="W212" s="1595"/>
      <c r="X212" s="1595"/>
      <c r="Y212" s="1594"/>
      <c r="Z212" s="1595"/>
      <c r="AA212" s="1595"/>
      <c r="AB212" s="1595"/>
      <c r="AC212" s="1595"/>
      <c r="AD212" s="1594"/>
      <c r="AE212" s="1595"/>
      <c r="AF212" s="1595"/>
      <c r="AG212" s="1595"/>
      <c r="AH212" s="1595"/>
      <c r="AI212" s="1594"/>
      <c r="AJ212" s="1595"/>
      <c r="AK212" s="1595"/>
      <c r="AL212" s="1595"/>
      <c r="AM212" s="1595"/>
      <c r="AN212" s="1594"/>
      <c r="AO212" s="1595"/>
      <c r="AP212" s="1595"/>
      <c r="AQ212" s="1595"/>
      <c r="AR212" s="1595"/>
      <c r="AS212" s="1594"/>
      <c r="AT212" s="1595"/>
      <c r="AU212" s="1595"/>
      <c r="AV212" s="1595"/>
      <c r="AW212" s="1595"/>
      <c r="AX212" s="1594"/>
      <c r="AY212" s="1595"/>
      <c r="AZ212" s="1595"/>
      <c r="BA212" s="1595"/>
      <c r="BB212" s="1595"/>
      <c r="BC212" s="1594"/>
      <c r="BD212" s="1595"/>
      <c r="BE212" s="1595"/>
      <c r="BF212" s="1595"/>
      <c r="BG212" s="1595"/>
      <c r="BH212" s="1594"/>
      <c r="BI212" s="1595"/>
      <c r="BJ212" s="1595"/>
      <c r="BK212" s="1595"/>
      <c r="BL212" s="1595"/>
      <c r="BM212" s="1594"/>
      <c r="BN212" s="1595"/>
      <c r="BO212" s="1595"/>
      <c r="BP212" s="1595"/>
      <c r="BQ212" s="1595"/>
      <c r="BR212" s="1594"/>
      <c r="BS212" s="1595"/>
      <c r="BT212" s="1595"/>
      <c r="BU212" s="1595"/>
      <c r="BV212" s="1595"/>
      <c r="BW212" s="1594"/>
      <c r="BX212" s="1595"/>
      <c r="BY212" s="1595"/>
      <c r="BZ212" s="1595"/>
      <c r="CA212" s="1595"/>
      <c r="CB212" s="1594"/>
      <c r="CC212" s="1595"/>
      <c r="CD212" s="1595"/>
      <c r="CE212" s="1595"/>
      <c r="CF212" s="1595"/>
      <c r="CG212" s="817"/>
      <c r="CH212" s="225"/>
      <c r="CI212" s="225"/>
      <c r="CJ212" s="225"/>
      <c r="CK212" s="225"/>
      <c r="CL212" s="817"/>
      <c r="CM212" s="225"/>
      <c r="CN212" s="225"/>
      <c r="CO212" s="225"/>
      <c r="CP212" s="225"/>
      <c r="CQ212" s="817"/>
      <c r="CR212" s="124">
        <f>CR200/CR188</f>
        <v>5.232155232155232E-2</v>
      </c>
      <c r="CS212" s="124">
        <f t="shared" ref="CS212:DF212" si="497">CS200/CS188</f>
        <v>6.8536493805974152E-2</v>
      </c>
      <c r="CT212" s="124">
        <f t="shared" si="497"/>
        <v>6.0175831376617701E-2</v>
      </c>
      <c r="CU212" s="124">
        <f t="shared" si="497"/>
        <v>5.5403823644166988E-2</v>
      </c>
      <c r="CV212" s="800">
        <f t="shared" si="497"/>
        <v>5.9265823836492794E-2</v>
      </c>
      <c r="CW212" s="124">
        <f>CW200/CW188</f>
        <v>5.183043264771673E-2</v>
      </c>
      <c r="CX212" s="124">
        <f t="shared" si="497"/>
        <v>6.2433052792654938E-2</v>
      </c>
      <c r="CY212" s="124">
        <f t="shared" si="497"/>
        <v>5.7728983042111229E-2</v>
      </c>
      <c r="CZ212" s="124">
        <f t="shared" si="497"/>
        <v>5.4625596893529936E-2</v>
      </c>
      <c r="DA212" s="800">
        <f t="shared" si="497"/>
        <v>5.6746779767514924E-2</v>
      </c>
      <c r="DB212" s="124">
        <f>DB200/DB188</f>
        <v>5.1702976373120588E-2</v>
      </c>
      <c r="DC212" s="124">
        <f t="shared" si="497"/>
        <v>7.1123147092360325E-2</v>
      </c>
      <c r="DD212" s="124">
        <f t="shared" si="497"/>
        <v>6.5018359853121169E-2</v>
      </c>
      <c r="DE212" s="124">
        <f>DE200/DE188</f>
        <v>5.2840026069083071E-2</v>
      </c>
      <c r="DF212" s="800">
        <f t="shared" si="497"/>
        <v>6.0389754736088125E-2</v>
      </c>
      <c r="DG212" s="124">
        <f t="shared" ref="DG212:DL212" si="498">DG200/DG188</f>
        <v>6.102110947471772E-2</v>
      </c>
      <c r="DH212" s="124">
        <f t="shared" si="498"/>
        <v>7.5906976744186047E-2</v>
      </c>
      <c r="DI212" s="124">
        <f t="shared" si="498"/>
        <v>6.5234835968845883E-2</v>
      </c>
      <c r="DJ212" s="124">
        <f t="shared" si="498"/>
        <v>5.3019713693546057E-2</v>
      </c>
      <c r="DK212" s="800">
        <f t="shared" si="498"/>
        <v>6.3924488675687938E-2</v>
      </c>
      <c r="DL212" s="124">
        <f t="shared" si="498"/>
        <v>6.2394113945495912E-2</v>
      </c>
      <c r="DM212" s="124">
        <f t="shared" ref="DM212:DN212" si="499">DM200/DM188</f>
        <v>7.1146969835885213E-2</v>
      </c>
      <c r="DN212" s="124">
        <f t="shared" si="499"/>
        <v>6.494140625E-2</v>
      </c>
      <c r="DO212" s="124">
        <f t="shared" ref="DO212:DQ212" si="500">DO200/DO188</f>
        <v>6.2911977041388276E-2</v>
      </c>
      <c r="DP212" s="800">
        <f t="shared" ref="DP212:DU212" si="501">DP200/DP188</f>
        <v>6.5370781883576548E-2</v>
      </c>
      <c r="DQ212" s="124">
        <f t="shared" si="500"/>
        <v>6.1746110039908521E-2</v>
      </c>
      <c r="DR212" s="124">
        <f t="shared" ca="1" si="501"/>
        <v>6.3550926584677384E-2</v>
      </c>
      <c r="DS212" s="124">
        <f t="shared" ca="1" si="501"/>
        <v>5.7931545984916066E-2</v>
      </c>
      <c r="DT212" s="124">
        <f t="shared" si="501"/>
        <v>5.3803221084865765E-2</v>
      </c>
      <c r="DU212" s="800">
        <f t="shared" ca="1" si="501"/>
        <v>5.9195022966404803E-2</v>
      </c>
      <c r="DV212" s="124">
        <f t="shared" ref="DV212:DZ212" si="502">DV200/DV188</f>
        <v>5.5222690496598038E-2</v>
      </c>
      <c r="DW212" s="124">
        <f t="shared" ca="1" si="502"/>
        <v>6.2793647151674903E-2</v>
      </c>
      <c r="DX212" s="124">
        <f t="shared" ca="1" si="502"/>
        <v>6.4021964593990052E-2</v>
      </c>
      <c r="DY212" s="124">
        <f t="shared" si="502"/>
        <v>6.1538616675223166E-2</v>
      </c>
      <c r="DZ212" s="800">
        <f t="shared" ca="1" si="502"/>
        <v>6.0964442452509066E-2</v>
      </c>
      <c r="EA212" s="124">
        <f t="shared" ref="EA212:EE212" si="503">EA200/EA188</f>
        <v>5.5896296550494412E-2</v>
      </c>
      <c r="EB212" s="124">
        <f t="shared" ca="1" si="503"/>
        <v>6.2430351441518282E-2</v>
      </c>
      <c r="EC212" s="124">
        <f t="shared" ca="1" si="503"/>
        <v>6.4234497006431385E-2</v>
      </c>
      <c r="ED212" s="124">
        <f t="shared" si="503"/>
        <v>6.1781407104025715E-2</v>
      </c>
      <c r="EE212" s="800">
        <f t="shared" ca="1" si="503"/>
        <v>6.114957378099882E-2</v>
      </c>
      <c r="EF212" s="13"/>
      <c r="EG212" s="13"/>
      <c r="EH212" s="13"/>
      <c r="EI212" s="13"/>
      <c r="EJ212"/>
      <c r="EK212"/>
      <c r="EL212"/>
      <c r="EM212"/>
      <c r="EN212"/>
      <c r="EO212"/>
      <c r="EP212" s="13"/>
      <c r="EQ212" s="13"/>
      <c r="ER212" s="13"/>
      <c r="ES212" s="13"/>
      <c r="ET212" s="13"/>
      <c r="EU212" s="13"/>
      <c r="EV212" s="13"/>
      <c r="EW212" s="13"/>
      <c r="EX212" s="13"/>
      <c r="EY212" s="13"/>
      <c r="EZ212" s="13"/>
      <c r="FA212" s="13"/>
      <c r="FB212" s="13"/>
      <c r="FC212" s="13"/>
      <c r="FD212" s="13"/>
      <c r="FE212" s="13"/>
      <c r="FF212" s="13"/>
      <c r="FG212" s="13"/>
      <c r="FH212" s="13"/>
      <c r="FI212" s="13"/>
      <c r="FJ212" s="13"/>
      <c r="FK212" s="13"/>
      <c r="FL212" s="13"/>
      <c r="FM212" s="13"/>
      <c r="FN212" s="13"/>
      <c r="FO212" s="13"/>
      <c r="FP212" s="13"/>
      <c r="FQ212" s="13"/>
      <c r="FR212" s="13"/>
      <c r="FS212" s="13"/>
      <c r="FT212" s="13"/>
      <c r="FU212" s="13"/>
      <c r="FV212" s="13"/>
      <c r="FW212" s="13"/>
      <c r="FX212" s="13"/>
      <c r="FY212" s="13"/>
      <c r="FZ212" s="13"/>
      <c r="GA212" s="13"/>
      <c r="GB212" s="13"/>
      <c r="GC212" s="13"/>
      <c r="GD212" s="13"/>
      <c r="GE212" s="13"/>
      <c r="GF212" s="13"/>
      <c r="GG212" s="13"/>
      <c r="GH212" s="13"/>
      <c r="GI212" s="13"/>
      <c r="GJ212" s="13"/>
      <c r="GK212" s="13"/>
      <c r="GL212" s="13"/>
      <c r="GM212" s="13"/>
      <c r="GN212" s="13"/>
      <c r="GO212" s="13"/>
      <c r="GP212" s="13"/>
      <c r="GQ212" s="13"/>
      <c r="GR212" s="13"/>
      <c r="GS212" s="13"/>
      <c r="GT212" s="13"/>
      <c r="GU212" s="13"/>
      <c r="GV212" s="13"/>
      <c r="GW212" s="13"/>
      <c r="GX212" s="13"/>
      <c r="GY212" s="13"/>
      <c r="GZ212" s="13"/>
      <c r="HA212" s="13"/>
      <c r="HB212" s="13"/>
      <c r="HC212" s="13"/>
      <c r="HD212" s="13"/>
      <c r="HE212" s="13"/>
      <c r="HF212" s="13"/>
      <c r="HG212" s="13"/>
      <c r="HH212" s="13"/>
      <c r="HI212" s="13"/>
      <c r="HJ212" s="13"/>
      <c r="HK212" s="13"/>
      <c r="HL212" s="13"/>
      <c r="HM212" s="13"/>
      <c r="HN212" s="13"/>
      <c r="HO212" s="13"/>
      <c r="HP212" s="13"/>
      <c r="HQ212" s="13"/>
      <c r="HR212" s="13"/>
      <c r="HS212" s="13"/>
      <c r="HT212" s="13"/>
      <c r="HU212" s="13"/>
      <c r="HV212" s="13"/>
      <c r="HW212" s="13"/>
      <c r="HX212" s="13"/>
      <c r="HY212" s="13"/>
      <c r="HZ212" s="13"/>
      <c r="IA212" s="13"/>
      <c r="IB212" s="13"/>
      <c r="IC212" s="13"/>
      <c r="ID212" s="13"/>
    </row>
    <row r="213" spans="1:238" s="1592" customFormat="1" ht="12.75" customHeight="1">
      <c r="B213" s="551" t="s">
        <v>469</v>
      </c>
      <c r="C213" s="1593"/>
      <c r="D213" s="1593"/>
      <c r="E213" s="1594"/>
      <c r="F213" s="1594"/>
      <c r="G213" s="1594"/>
      <c r="H213" s="1594"/>
      <c r="I213" s="1594"/>
      <c r="J213" s="1594"/>
      <c r="K213" s="1595"/>
      <c r="L213" s="1595"/>
      <c r="M213" s="1595"/>
      <c r="N213" s="1595"/>
      <c r="O213" s="1594"/>
      <c r="P213" s="1595"/>
      <c r="Q213" s="1595"/>
      <c r="R213" s="1595"/>
      <c r="S213" s="1595"/>
      <c r="T213" s="1594"/>
      <c r="U213" s="1595"/>
      <c r="V213" s="1595"/>
      <c r="W213" s="1595"/>
      <c r="X213" s="1595"/>
      <c r="Y213" s="1594"/>
      <c r="Z213" s="1595"/>
      <c r="AA213" s="1595"/>
      <c r="AB213" s="1595"/>
      <c r="AC213" s="1595"/>
      <c r="AD213" s="1594"/>
      <c r="AE213" s="1595"/>
      <c r="AF213" s="1595"/>
      <c r="AG213" s="1595"/>
      <c r="AH213" s="1595"/>
      <c r="AI213" s="1594"/>
      <c r="AJ213" s="1595"/>
      <c r="AK213" s="1595"/>
      <c r="AL213" s="1595"/>
      <c r="AM213" s="1595"/>
      <c r="AN213" s="1594"/>
      <c r="AO213" s="1595"/>
      <c r="AP213" s="1595"/>
      <c r="AQ213" s="1595"/>
      <c r="AR213" s="1595"/>
      <c r="AS213" s="1594"/>
      <c r="AT213" s="1595"/>
      <c r="AU213" s="1595"/>
      <c r="AV213" s="1595"/>
      <c r="AW213" s="1595"/>
      <c r="AX213" s="1594"/>
      <c r="AY213" s="1595"/>
      <c r="AZ213" s="1595"/>
      <c r="BA213" s="1595"/>
      <c r="BB213" s="1595"/>
      <c r="BC213" s="1594"/>
      <c r="BD213" s="1595"/>
      <c r="BE213" s="1595"/>
      <c r="BF213" s="1595"/>
      <c r="BG213" s="1595"/>
      <c r="BH213" s="1594"/>
      <c r="BI213" s="1595"/>
      <c r="BJ213" s="1595"/>
      <c r="BK213" s="1595"/>
      <c r="BL213" s="1595"/>
      <c r="BM213" s="1594"/>
      <c r="BN213" s="1595"/>
      <c r="BO213" s="1595"/>
      <c r="BP213" s="1595"/>
      <c r="BQ213" s="1595"/>
      <c r="BR213" s="1594"/>
      <c r="BS213" s="1595"/>
      <c r="BT213" s="1595"/>
      <c r="BU213" s="1595"/>
      <c r="BV213" s="1595"/>
      <c r="BW213" s="1594"/>
      <c r="BX213" s="1595"/>
      <c r="BY213" s="1595"/>
      <c r="BZ213" s="1595"/>
      <c r="CA213" s="1595"/>
      <c r="CB213" s="1594"/>
      <c r="CC213" s="1595"/>
      <c r="CD213" s="1595"/>
      <c r="CE213" s="1595"/>
      <c r="CF213" s="1595"/>
      <c r="CG213" s="817"/>
      <c r="CH213" s="225"/>
      <c r="CI213" s="225"/>
      <c r="CJ213" s="225"/>
      <c r="CK213" s="225"/>
      <c r="CL213" s="817"/>
      <c r="CM213" s="225"/>
      <c r="CN213" s="225"/>
      <c r="CO213" s="225"/>
      <c r="CP213" s="225"/>
      <c r="CQ213" s="817"/>
      <c r="CR213" s="225"/>
      <c r="CS213" s="225"/>
      <c r="CT213" s="225"/>
      <c r="CU213" s="225"/>
      <c r="CV213" s="817"/>
      <c r="CW213" s="225"/>
      <c r="CX213" s="225"/>
      <c r="CY213" s="225"/>
      <c r="CZ213" s="225"/>
      <c r="DA213" s="817"/>
      <c r="DB213" s="225"/>
      <c r="DC213" s="1664">
        <f t="shared" ref="DC213:DF213" si="504">DC201/DC190</f>
        <v>6.924321679900651E-2</v>
      </c>
      <c r="DD213" s="1664">
        <f t="shared" si="504"/>
        <v>6.0739711755513112E-2</v>
      </c>
      <c r="DE213" s="1664">
        <f>DE201/DE190</f>
        <v>5.083794965289952E-2</v>
      </c>
      <c r="DF213" s="1343">
        <f t="shared" si="504"/>
        <v>4.8712346777000114E-2</v>
      </c>
      <c r="DG213" s="1664">
        <f t="shared" ref="DG213:DL213" si="505">DG201/DG190</f>
        <v>5.9208486894223818E-2</v>
      </c>
      <c r="DH213" s="1664">
        <f t="shared" si="505"/>
        <v>7.023588656241718E-2</v>
      </c>
      <c r="DI213" s="1664">
        <f t="shared" si="505"/>
        <v>6.1495694623364294E-2</v>
      </c>
      <c r="DJ213" s="1664">
        <f t="shared" si="505"/>
        <v>5.4302276854309259E-2</v>
      </c>
      <c r="DK213" s="1669">
        <f t="shared" si="505"/>
        <v>6.1422569897146166E-2</v>
      </c>
      <c r="DL213" s="1664">
        <f t="shared" si="505"/>
        <v>6.0559278621802742E-2</v>
      </c>
      <c r="DM213" s="1664">
        <f t="shared" ref="DM213:DN213" si="506">DM201/DM190</f>
        <v>6.8464307546016442E-2</v>
      </c>
      <c r="DN213" s="1664">
        <f t="shared" si="506"/>
        <v>6.8198419549770906E-2</v>
      </c>
      <c r="DO213" s="1664">
        <f t="shared" ref="DO213:DQ213" si="507">DO201/DO190</f>
        <v>6.2489634813758334E-2</v>
      </c>
      <c r="DP213" s="1669">
        <f t="shared" ref="DP213:DU213" si="508">DP201/DP190</f>
        <v>6.4966924391358052E-2</v>
      </c>
      <c r="DQ213" s="1664">
        <f t="shared" si="507"/>
        <v>5.88484059856864E-2</v>
      </c>
      <c r="DR213" s="225">
        <f t="shared" ca="1" si="508"/>
        <v>6.2340024566184642E-2</v>
      </c>
      <c r="DS213" s="225">
        <f t="shared" ca="1" si="508"/>
        <v>5.7810857887781668E-2</v>
      </c>
      <c r="DT213" s="225">
        <f t="shared" si="508"/>
        <v>5.598836454352852E-2</v>
      </c>
      <c r="DU213" s="1669">
        <f t="shared" ca="1" si="508"/>
        <v>5.8748316948134816E-2</v>
      </c>
      <c r="DV213" s="225">
        <f t="shared" ref="DV213:DZ213" si="509">DV201/DV190</f>
        <v>5.4885295664448587E-2</v>
      </c>
      <c r="DW213" s="225">
        <f t="shared" ca="1" si="509"/>
        <v>6.2037967999880178E-2</v>
      </c>
      <c r="DX213" s="225">
        <f t="shared" ca="1" si="509"/>
        <v>6.2605997709537647E-2</v>
      </c>
      <c r="DY213" s="225">
        <f t="shared" si="509"/>
        <v>6.2209450119634642E-2</v>
      </c>
      <c r="DZ213" s="1669">
        <f t="shared" ca="1" si="509"/>
        <v>6.0471173186073181E-2</v>
      </c>
      <c r="EA213" s="225">
        <f t="shared" ref="EA213:EE213" si="510">EA201/EA190</f>
        <v>5.5337075100073171E-2</v>
      </c>
      <c r="EB213" s="225">
        <f t="shared" ca="1" si="510"/>
        <v>6.169688425163293E-2</v>
      </c>
      <c r="EC213" s="225">
        <f t="shared" ca="1" si="510"/>
        <v>6.2691156631580133E-2</v>
      </c>
      <c r="ED213" s="225">
        <f t="shared" si="510"/>
        <v>6.2364165121271901E-2</v>
      </c>
      <c r="EE213" s="1669">
        <f t="shared" ca="1" si="510"/>
        <v>6.0556303337265166E-2</v>
      </c>
      <c r="EF213" s="13"/>
      <c r="EG213" s="13"/>
      <c r="EH213" s="13"/>
      <c r="EI213" s="13"/>
      <c r="EJ213"/>
      <c r="EK213"/>
      <c r="EL213"/>
      <c r="EM213"/>
      <c r="EN213"/>
      <c r="EO213"/>
      <c r="EP213" s="13"/>
      <c r="EQ213" s="13"/>
      <c r="ER213" s="13"/>
      <c r="ES213" s="13"/>
      <c r="ET213" s="13"/>
      <c r="EU213" s="13"/>
      <c r="EV213" s="13"/>
      <c r="EW213" s="13"/>
      <c r="EX213" s="13"/>
      <c r="EY213" s="13"/>
      <c r="EZ213" s="13"/>
      <c r="FA213" s="13"/>
      <c r="FB213" s="13"/>
      <c r="FC213" s="13"/>
      <c r="FD213" s="13"/>
      <c r="FE213" s="13"/>
      <c r="FF213" s="13"/>
      <c r="FG213" s="13"/>
      <c r="FH213" s="13"/>
      <c r="FI213" s="13"/>
      <c r="FJ213" s="13"/>
      <c r="FK213" s="13"/>
      <c r="FL213" s="13"/>
      <c r="FM213" s="13"/>
      <c r="FN213" s="13"/>
      <c r="FO213" s="13"/>
      <c r="FP213" s="13"/>
      <c r="FQ213" s="13"/>
      <c r="FR213" s="13"/>
      <c r="FS213" s="13"/>
      <c r="FT213" s="13"/>
      <c r="FU213" s="13"/>
      <c r="FV213" s="13"/>
      <c r="FW213" s="13"/>
      <c r="FX213" s="13"/>
      <c r="FY213" s="13"/>
      <c r="FZ213" s="13"/>
      <c r="GA213" s="13"/>
      <c r="GB213" s="13"/>
      <c r="GC213" s="13"/>
      <c r="GD213" s="13"/>
      <c r="GE213" s="13"/>
      <c r="GF213" s="13"/>
      <c r="GG213" s="13"/>
      <c r="GH213" s="13"/>
      <c r="GI213" s="13"/>
      <c r="GJ213" s="13"/>
      <c r="GK213" s="13"/>
      <c r="GL213" s="13"/>
      <c r="GM213" s="13"/>
      <c r="GN213" s="13"/>
      <c r="GO213" s="13"/>
      <c r="GP213" s="13"/>
      <c r="GQ213" s="13"/>
      <c r="GR213" s="13"/>
      <c r="GS213" s="13"/>
      <c r="GT213" s="13"/>
      <c r="GU213" s="13"/>
      <c r="GV213" s="13"/>
      <c r="GW213" s="13"/>
      <c r="GX213" s="13"/>
      <c r="GY213" s="13"/>
      <c r="GZ213" s="13"/>
      <c r="HA213" s="13"/>
      <c r="HB213" s="13"/>
      <c r="HC213" s="13"/>
      <c r="HD213" s="13"/>
      <c r="HE213" s="13"/>
      <c r="HF213" s="13"/>
      <c r="HG213" s="13"/>
      <c r="HH213" s="13"/>
      <c r="HI213" s="13"/>
      <c r="HJ213" s="13"/>
      <c r="HK213" s="13"/>
      <c r="HL213" s="13"/>
      <c r="HM213" s="13"/>
      <c r="HN213" s="13"/>
      <c r="HO213" s="13"/>
      <c r="HP213" s="13"/>
      <c r="HQ213" s="13"/>
      <c r="HR213" s="13"/>
      <c r="HS213" s="13"/>
      <c r="HT213" s="13"/>
      <c r="HU213" s="13"/>
      <c r="HV213" s="13"/>
      <c r="HW213" s="13"/>
      <c r="HX213" s="13"/>
      <c r="HY213" s="13"/>
      <c r="HZ213" s="13"/>
      <c r="IA213" s="13"/>
      <c r="IB213" s="13"/>
      <c r="IC213" s="13"/>
      <c r="ID213" s="13"/>
    </row>
    <row r="214" spans="1:238" s="93" customFormat="1" ht="12.75" customHeight="1">
      <c r="B214" s="1581"/>
      <c r="C214" s="159"/>
      <c r="D214" s="159"/>
      <c r="E214" s="204"/>
      <c r="F214" s="204"/>
      <c r="G214" s="204"/>
      <c r="H214" s="204"/>
      <c r="I214" s="204"/>
      <c r="J214" s="204"/>
      <c r="K214" s="160"/>
      <c r="L214" s="160"/>
      <c r="M214" s="160"/>
      <c r="N214" s="160"/>
      <c r="O214" s="204"/>
      <c r="P214" s="160"/>
      <c r="Q214" s="160"/>
      <c r="R214" s="160"/>
      <c r="S214" s="160"/>
      <c r="T214" s="204"/>
      <c r="U214" s="160"/>
      <c r="V214" s="160"/>
      <c r="W214" s="160"/>
      <c r="X214" s="160"/>
      <c r="Y214" s="204"/>
      <c r="Z214" s="160"/>
      <c r="AA214" s="160"/>
      <c r="AB214" s="160"/>
      <c r="AC214" s="160"/>
      <c r="AD214" s="204"/>
      <c r="AE214" s="160"/>
      <c r="AF214" s="160"/>
      <c r="AG214" s="160"/>
      <c r="AH214" s="160"/>
      <c r="AI214" s="204"/>
      <c r="AJ214" s="160"/>
      <c r="AK214" s="160"/>
      <c r="AL214" s="160"/>
      <c r="AM214" s="160"/>
      <c r="AN214" s="204"/>
      <c r="AO214" s="160"/>
      <c r="AP214" s="160"/>
      <c r="AQ214" s="160"/>
      <c r="AR214" s="160"/>
      <c r="AS214" s="204"/>
      <c r="AT214" s="160"/>
      <c r="AU214" s="160"/>
      <c r="AV214" s="160"/>
      <c r="AW214" s="160"/>
      <c r="AX214" s="204"/>
      <c r="AY214" s="160"/>
      <c r="AZ214" s="160"/>
      <c r="BA214" s="160"/>
      <c r="BB214" s="160"/>
      <c r="BC214" s="204"/>
      <c r="BD214" s="160"/>
      <c r="BE214" s="160"/>
      <c r="BF214" s="160"/>
      <c r="BG214" s="160"/>
      <c r="BH214" s="204"/>
      <c r="BI214" s="160"/>
      <c r="BJ214" s="160"/>
      <c r="BK214" s="160"/>
      <c r="BL214" s="160"/>
      <c r="BM214" s="204"/>
      <c r="BN214" s="160"/>
      <c r="BO214" s="160"/>
      <c r="BP214" s="160"/>
      <c r="BQ214" s="160"/>
      <c r="BR214" s="204"/>
      <c r="BS214" s="160"/>
      <c r="BT214" s="160"/>
      <c r="BU214" s="160"/>
      <c r="BV214" s="160"/>
      <c r="BW214" s="204"/>
      <c r="BX214" s="160"/>
      <c r="BY214" s="160"/>
      <c r="BZ214" s="160"/>
      <c r="CA214" s="160"/>
      <c r="CB214" s="204"/>
      <c r="CC214" s="160"/>
      <c r="CD214" s="160"/>
      <c r="CE214" s="160"/>
      <c r="CF214" s="160"/>
      <c r="CG214" s="941"/>
      <c r="CH214" s="217"/>
      <c r="CI214" s="217"/>
      <c r="CJ214" s="217"/>
      <c r="CK214" s="217"/>
      <c r="CL214" s="941"/>
      <c r="CM214" s="217"/>
      <c r="CN214" s="217"/>
      <c r="CO214" s="217"/>
      <c r="CP214" s="217"/>
      <c r="CQ214" s="941"/>
      <c r="CR214" s="217"/>
      <c r="CS214" s="217"/>
      <c r="CT214" s="217"/>
      <c r="CU214" s="217"/>
      <c r="CV214" s="941"/>
      <c r="CW214" s="217"/>
      <c r="CX214" s="217"/>
      <c r="CY214" s="217"/>
      <c r="CZ214" s="217"/>
      <c r="DA214" s="941"/>
      <c r="DB214" s="217"/>
      <c r="DC214" s="217"/>
      <c r="DD214" s="217"/>
      <c r="DE214" s="217"/>
      <c r="DF214" s="941"/>
      <c r="DG214" s="217"/>
      <c r="DH214" s="217"/>
      <c r="DI214" s="217"/>
      <c r="DJ214" s="217"/>
      <c r="DK214" s="1398"/>
      <c r="DL214" s="217"/>
      <c r="DM214" s="217"/>
      <c r="DN214" s="217"/>
      <c r="DO214" s="217"/>
      <c r="DP214" s="1398"/>
      <c r="DQ214" s="217"/>
      <c r="DR214" s="217"/>
      <c r="DS214" s="217"/>
      <c r="DT214" s="217"/>
      <c r="DU214" s="1398"/>
      <c r="DV214" s="217"/>
      <c r="DW214" s="217"/>
      <c r="DX214" s="217"/>
      <c r="DY214" s="217"/>
      <c r="DZ214" s="1398"/>
      <c r="EA214" s="217"/>
      <c r="EB214" s="217"/>
      <c r="EC214" s="217"/>
      <c r="ED214" s="217"/>
      <c r="EE214" s="1398"/>
      <c r="EF214" s="1"/>
      <c r="EG214" s="1"/>
      <c r="EH214" s="1"/>
      <c r="EI214" s="1"/>
      <c r="EJ214"/>
      <c r="EK214"/>
      <c r="EL214"/>
      <c r="EM214"/>
      <c r="EN214"/>
      <c r="EO214"/>
      <c r="EP214" s="1"/>
      <c r="EQ214" s="1"/>
      <c r="ER214" s="1"/>
      <c r="ES214" s="1"/>
      <c r="ET214" s="1"/>
      <c r="EU214" s="1"/>
      <c r="EV214" s="1"/>
      <c r="EW214" s="1"/>
      <c r="EX214" s="1"/>
      <c r="EY214" s="1"/>
      <c r="EZ214" s="1"/>
      <c r="FA214" s="1"/>
      <c r="FB214" s="1"/>
      <c r="FC214" s="1"/>
      <c r="FD214" s="1"/>
      <c r="FE214" s="1"/>
      <c r="FF214" s="1"/>
      <c r="FG214" s="1"/>
      <c r="FH214" s="1"/>
      <c r="FI214" s="1"/>
      <c r="FJ214" s="1"/>
      <c r="FK214" s="1"/>
      <c r="FL214" s="1"/>
      <c r="FM214" s="1"/>
      <c r="FN214" s="1"/>
      <c r="FO214" s="1"/>
      <c r="FP214" s="1"/>
      <c r="FQ214" s="1"/>
      <c r="FR214" s="1"/>
      <c r="FS214" s="1"/>
      <c r="FT214" s="1"/>
      <c r="FU214" s="1"/>
      <c r="FV214" s="1"/>
      <c r="FW214" s="1"/>
      <c r="FX214" s="1"/>
      <c r="FY214" s="1"/>
      <c r="FZ214" s="1"/>
      <c r="GA214" s="1"/>
      <c r="GB214" s="1"/>
      <c r="GC214" s="1"/>
      <c r="GD214" s="1"/>
      <c r="GE214" s="1"/>
      <c r="GF214" s="1"/>
      <c r="GG214" s="1"/>
      <c r="GH214" s="1"/>
      <c r="GI214" s="1"/>
      <c r="GJ214" s="1"/>
      <c r="GK214" s="1"/>
      <c r="GL214" s="1"/>
      <c r="GM214" s="1"/>
      <c r="GN214" s="1"/>
      <c r="GO214" s="1"/>
      <c r="GP214" s="1"/>
      <c r="GQ214" s="1"/>
      <c r="GR214" s="1"/>
      <c r="GS214" s="1"/>
      <c r="GT214" s="1"/>
      <c r="GU214" s="1"/>
      <c r="GV214" s="1"/>
      <c r="GW214" s="1"/>
      <c r="GX214" s="1"/>
      <c r="GY214" s="1"/>
      <c r="GZ214" s="1"/>
      <c r="HA214" s="1"/>
      <c r="HB214" s="1"/>
      <c r="HC214" s="1"/>
      <c r="HD214" s="1"/>
      <c r="HE214" s="1"/>
      <c r="HF214" s="1"/>
      <c r="HG214" s="1"/>
      <c r="HH214" s="1"/>
      <c r="HI214" s="1"/>
      <c r="HJ214" s="1"/>
      <c r="HK214" s="1"/>
      <c r="HL214" s="1"/>
      <c r="HM214" s="1"/>
      <c r="HN214" s="1"/>
      <c r="HO214" s="1"/>
      <c r="HP214" s="1"/>
      <c r="HQ214" s="1"/>
      <c r="HR214" s="1"/>
      <c r="HS214" s="1"/>
      <c r="HT214" s="1"/>
      <c r="HU214" s="1"/>
      <c r="HV214" s="1"/>
      <c r="HW214" s="1"/>
      <c r="HX214" s="1"/>
      <c r="HY214" s="1"/>
      <c r="HZ214" s="1"/>
      <c r="IA214" s="1"/>
      <c r="IB214" s="1"/>
      <c r="IC214" s="1"/>
      <c r="ID214" s="1"/>
    </row>
    <row r="215" spans="1:238" s="93" customFormat="1" ht="12.75" customHeight="1">
      <c r="B215" s="564" t="s">
        <v>467</v>
      </c>
      <c r="C215" s="219"/>
      <c r="D215" s="219"/>
      <c r="E215" s="220"/>
      <c r="F215" s="220"/>
      <c r="G215" s="220">
        <f>G203-F203</f>
        <v>0</v>
      </c>
      <c r="H215" s="220">
        <f>H203-G203</f>
        <v>0</v>
      </c>
      <c r="I215" s="220">
        <f>I203-H203</f>
        <v>0</v>
      </c>
      <c r="J215" s="220">
        <f>J203-I203</f>
        <v>0</v>
      </c>
      <c r="K215" s="221"/>
      <c r="L215" s="222"/>
      <c r="M215" s="222"/>
      <c r="N215" s="223"/>
      <c r="O215" s="220">
        <f>O203-J203</f>
        <v>0</v>
      </c>
      <c r="P215" s="221"/>
      <c r="Q215" s="222"/>
      <c r="R215" s="222"/>
      <c r="S215" s="223"/>
      <c r="T215" s="220">
        <f>T203-O203</f>
        <v>0</v>
      </c>
      <c r="U215" s="221"/>
      <c r="V215" s="222"/>
      <c r="W215" s="222"/>
      <c r="X215" s="223"/>
      <c r="Y215" s="220">
        <f>Y203-T203</f>
        <v>0</v>
      </c>
      <c r="Z215" s="221"/>
      <c r="AA215" s="222"/>
      <c r="AB215" s="222"/>
      <c r="AC215" s="223"/>
      <c r="AD215" s="220">
        <f>AD203-Y203</f>
        <v>0</v>
      </c>
      <c r="AE215" s="221"/>
      <c r="AF215" s="222"/>
      <c r="AG215" s="222"/>
      <c r="AH215" s="223"/>
      <c r="AI215" s="220">
        <f>AI203-AD203</f>
        <v>0</v>
      </c>
      <c r="AJ215" s="221"/>
      <c r="AK215" s="222"/>
      <c r="AL215" s="222"/>
      <c r="AM215" s="223"/>
      <c r="AN215" s="220">
        <f>AN203-AI203</f>
        <v>0</v>
      </c>
      <c r="AO215" s="221"/>
      <c r="AP215" s="222"/>
      <c r="AQ215" s="222"/>
      <c r="AR215" s="223"/>
      <c r="AS215" s="220">
        <f>AS203-AN203</f>
        <v>0</v>
      </c>
      <c r="AT215" s="221"/>
      <c r="AU215" s="222"/>
      <c r="AV215" s="222"/>
      <c r="AW215" s="223"/>
      <c r="AX215" s="220">
        <f>AX203-AS203</f>
        <v>0</v>
      </c>
      <c r="AY215" s="221"/>
      <c r="AZ215" s="222"/>
      <c r="BA215" s="222"/>
      <c r="BB215" s="223"/>
      <c r="BC215" s="220">
        <f>BC203-AX203</f>
        <v>0</v>
      </c>
      <c r="BD215" s="221"/>
      <c r="BE215" s="222"/>
      <c r="BF215" s="222"/>
      <c r="BG215" s="223"/>
      <c r="BH215" s="220">
        <f>BH203-BC203</f>
        <v>0</v>
      </c>
      <c r="BI215" s="221"/>
      <c r="BJ215" s="222"/>
      <c r="BK215" s="222"/>
      <c r="BL215" s="223"/>
      <c r="BM215" s="220">
        <f>BM203-BH203</f>
        <v>0</v>
      </c>
      <c r="BN215" s="221"/>
      <c r="BO215" s="222"/>
      <c r="BP215" s="222"/>
      <c r="BQ215" s="223"/>
      <c r="BR215" s="220">
        <f>BR203-BM203</f>
        <v>0</v>
      </c>
      <c r="BS215" s="221"/>
      <c r="BT215" s="222"/>
      <c r="BU215" s="222"/>
      <c r="BV215" s="223"/>
      <c r="BW215" s="220">
        <f t="shared" ref="BW215:CF215" si="511">BW203-BR203</f>
        <v>0</v>
      </c>
      <c r="BX215" s="224">
        <f t="shared" si="511"/>
        <v>0</v>
      </c>
      <c r="BY215" s="225">
        <f t="shared" si="511"/>
        <v>0</v>
      </c>
      <c r="BZ215" s="225">
        <f t="shared" si="511"/>
        <v>0</v>
      </c>
      <c r="CA215" s="226">
        <f t="shared" si="511"/>
        <v>0</v>
      </c>
      <c r="CB215" s="225">
        <f t="shared" si="511"/>
        <v>0</v>
      </c>
      <c r="CC215" s="224">
        <f t="shared" si="511"/>
        <v>0</v>
      </c>
      <c r="CD215" s="225">
        <f t="shared" si="511"/>
        <v>0</v>
      </c>
      <c r="CE215" s="225">
        <f t="shared" si="511"/>
        <v>0</v>
      </c>
      <c r="CF215" s="225">
        <f t="shared" si="511"/>
        <v>0</v>
      </c>
      <c r="CG215" s="811"/>
      <c r="CH215" s="225"/>
      <c r="CI215" s="225"/>
      <c r="CJ215" s="225"/>
      <c r="CK215" s="225"/>
      <c r="CL215" s="811"/>
      <c r="CM215" s="227">
        <f t="shared" ref="CM215:DQ215" si="512">CM205-CH205</f>
        <v>-3.9525045437021622E-3</v>
      </c>
      <c r="CN215" s="227">
        <f t="shared" si="512"/>
        <v>2.019938507039909E-3</v>
      </c>
      <c r="CO215" s="227">
        <f t="shared" si="512"/>
        <v>2.5543999498199854E-3</v>
      </c>
      <c r="CP215" s="227">
        <f t="shared" si="512"/>
        <v>5.4593929046415357E-3</v>
      </c>
      <c r="CQ215" s="811">
        <f t="shared" si="512"/>
        <v>1.521766504110067E-3</v>
      </c>
      <c r="CR215" s="227">
        <f t="shared" si="512"/>
        <v>1.4061708091558878E-2</v>
      </c>
      <c r="CS215" s="227">
        <f t="shared" si="512"/>
        <v>1.1753697498516569E-2</v>
      </c>
      <c r="CT215" s="227">
        <f t="shared" si="512"/>
        <v>5.8783968529609876E-3</v>
      </c>
      <c r="CU215" s="227">
        <f t="shared" si="512"/>
        <v>-2.0358288416505443E-3</v>
      </c>
      <c r="CV215" s="811">
        <f t="shared" si="512"/>
        <v>7.4586215489757524E-3</v>
      </c>
      <c r="CW215" s="227">
        <f t="shared" si="512"/>
        <v>-1.3122001582910547E-2</v>
      </c>
      <c r="CX215" s="227">
        <f t="shared" si="512"/>
        <v>-1.3759846199310977E-2</v>
      </c>
      <c r="CY215" s="227">
        <f t="shared" si="512"/>
        <v>-9.1941351667895743E-3</v>
      </c>
      <c r="CZ215" s="227">
        <f t="shared" si="512"/>
        <v>-9.9387503078846029E-3</v>
      </c>
      <c r="DA215" s="811">
        <f t="shared" si="512"/>
        <v>-1.1516205544293279E-2</v>
      </c>
      <c r="DB215" s="227">
        <f t="shared" si="512"/>
        <v>-1.1022767729088001E-2</v>
      </c>
      <c r="DC215" s="227">
        <f t="shared" si="512"/>
        <v>-1.5185031219492606E-2</v>
      </c>
      <c r="DD215" s="227">
        <f t="shared" si="512"/>
        <v>-8.5332425860772387E-3</v>
      </c>
      <c r="DE215" s="227">
        <f t="shared" si="512"/>
        <v>-1.0140263101953373E-2</v>
      </c>
      <c r="DF215" s="811">
        <f t="shared" ca="1" si="512"/>
        <v>-1.1217773215768667E-2</v>
      </c>
      <c r="DG215" s="227">
        <f t="shared" si="512"/>
        <v>-3.9359453666543143E-3</v>
      </c>
      <c r="DH215" s="227">
        <f t="shared" si="512"/>
        <v>1.74070341986865E-3</v>
      </c>
      <c r="DI215" s="227">
        <f t="shared" si="512"/>
        <v>-5.1556882612203703E-3</v>
      </c>
      <c r="DJ215" s="227">
        <f t="shared" si="512"/>
        <v>-8.7265571980429946E-3</v>
      </c>
      <c r="DK215" s="1387">
        <f t="shared" ca="1" si="512"/>
        <v>-3.9865677122283283E-3</v>
      </c>
      <c r="DL215" s="227">
        <f t="shared" si="512"/>
        <v>-3.4805039438949859E-3</v>
      </c>
      <c r="DM215" s="227">
        <f t="shared" si="512"/>
        <v>-5.7342777520730248E-3</v>
      </c>
      <c r="DN215" s="227">
        <f t="shared" si="512"/>
        <v>-1.5182365142306919E-2</v>
      </c>
      <c r="DO215" s="227">
        <f t="shared" si="512"/>
        <v>-8.1688411400402394E-3</v>
      </c>
      <c r="DP215" s="1387">
        <f t="shared" ref="DP215:DU215" ca="1" si="513">DP205-DK205</f>
        <v>-8.3914970182311643E-3</v>
      </c>
      <c r="DQ215" s="227">
        <f t="shared" si="512"/>
        <v>-9.3676335031115943E-3</v>
      </c>
      <c r="DR215" s="227">
        <f t="shared" ca="1" si="513"/>
        <v>-1.8359322496952712E-2</v>
      </c>
      <c r="DS215" s="227">
        <f t="shared" ca="1" si="513"/>
        <v>-6.8513808942710919E-3</v>
      </c>
      <c r="DT215" s="227">
        <f t="shared" si="513"/>
        <v>-7.1100400197766644E-3</v>
      </c>
      <c r="DU215" s="1387">
        <f t="shared" ca="1" si="513"/>
        <v>-1.0440716841235209E-2</v>
      </c>
      <c r="DV215" s="227">
        <f t="shared" ref="DV215" si="514">DV205-DQ205</f>
        <v>-7.9363607338978348E-3</v>
      </c>
      <c r="DW215" s="227">
        <f t="shared" ref="DW215" ca="1" si="515">DW205-DR205</f>
        <v>4.6407101856743571E-4</v>
      </c>
      <c r="DX215" s="227">
        <f t="shared" ref="DX215" ca="1" si="516">DX205-DS205</f>
        <v>2.4551103457103318E-3</v>
      </c>
      <c r="DY215" s="227">
        <f t="shared" ref="DY215" si="517">DY205-DT205</f>
        <v>2.8193465758457603E-3</v>
      </c>
      <c r="DZ215" s="1387">
        <f t="shared" ref="DZ215" ca="1" si="518">DZ205-DU205</f>
        <v>-3.2366734452196622E-4</v>
      </c>
      <c r="EA215" s="227">
        <f t="shared" ref="EA215" si="519">EA205-DV205</f>
        <v>1.4067304650320078E-3</v>
      </c>
      <c r="EB215" s="227">
        <f t="shared" ref="EB215" ca="1" si="520">EB205-DW205</f>
        <v>5.4774552897879358E-4</v>
      </c>
      <c r="EC215" s="227">
        <f t="shared" ref="EC215" ca="1" si="521">EC205-DX205</f>
        <v>8.1925717960543154E-4</v>
      </c>
      <c r="ED215" s="227">
        <f t="shared" ref="ED215" si="522">ED205-DY205</f>
        <v>6.2639905727754353E-4</v>
      </c>
      <c r="EE215" s="1387">
        <f t="shared" ref="EE215" ca="1" si="523">EE205-DZ205</f>
        <v>8.4231993632757907E-4</v>
      </c>
      <c r="EF215" s="1"/>
      <c r="EG215" s="1"/>
      <c r="EH215" s="1"/>
      <c r="EI215" s="1"/>
      <c r="EJ215"/>
      <c r="EK215"/>
      <c r="EL215"/>
      <c r="EM215"/>
      <c r="EN215"/>
      <c r="EO215"/>
      <c r="EP215" s="1"/>
      <c r="EQ215" s="1"/>
      <c r="ER215" s="1"/>
      <c r="ES215" s="1"/>
      <c r="ET215" s="1"/>
      <c r="EU215" s="1"/>
      <c r="EV215" s="1"/>
      <c r="EW215" s="1"/>
      <c r="EX215" s="1"/>
      <c r="EY215" s="1"/>
      <c r="EZ215" s="1"/>
      <c r="FA215" s="1"/>
      <c r="FB215" s="1"/>
      <c r="FC215" s="1"/>
      <c r="FD215" s="1"/>
      <c r="FE215" s="1"/>
      <c r="FF215" s="1"/>
      <c r="FG215" s="1"/>
      <c r="FH215" s="1"/>
      <c r="FI215" s="1"/>
      <c r="FJ215" s="1"/>
      <c r="FK215" s="1"/>
      <c r="FL215" s="1"/>
      <c r="FM215" s="1"/>
      <c r="FN215" s="1"/>
      <c r="FO215" s="1"/>
      <c r="FP215" s="1"/>
      <c r="FQ215" s="1"/>
      <c r="FR215" s="1"/>
      <c r="FS215" s="1"/>
      <c r="FT215" s="1"/>
      <c r="FU215" s="1"/>
      <c r="FV215" s="1"/>
      <c r="FW215" s="1"/>
      <c r="FX215" s="1"/>
      <c r="FY215" s="1"/>
      <c r="FZ215" s="1"/>
      <c r="GA215" s="1"/>
      <c r="GB215" s="1"/>
      <c r="GC215" s="1"/>
      <c r="GD215" s="1"/>
      <c r="GE215" s="1"/>
      <c r="GF215" s="1"/>
      <c r="GG215" s="1"/>
      <c r="GH215" s="1"/>
      <c r="GI215" s="1"/>
      <c r="GJ215" s="1"/>
      <c r="GK215" s="1"/>
      <c r="GL215" s="1"/>
      <c r="GM215" s="1"/>
      <c r="GN215" s="1"/>
      <c r="GO215" s="1"/>
      <c r="GP215" s="1"/>
      <c r="GQ215" s="1"/>
      <c r="GR215" s="1"/>
      <c r="GS215" s="1"/>
      <c r="GT215" s="1"/>
      <c r="GU215" s="1"/>
      <c r="GV215" s="1"/>
      <c r="GW215" s="1"/>
      <c r="GX215" s="1"/>
      <c r="GY215" s="1"/>
      <c r="GZ215" s="1"/>
      <c r="HA215" s="1"/>
      <c r="HB215" s="1"/>
      <c r="HC215" s="1"/>
      <c r="HD215" s="1"/>
      <c r="HE215" s="1"/>
      <c r="HF215" s="1"/>
      <c r="HG215" s="1"/>
      <c r="HH215" s="1"/>
      <c r="HI215" s="1"/>
      <c r="HJ215" s="1"/>
      <c r="HK215" s="1"/>
      <c r="HL215" s="1"/>
      <c r="HM215" s="1"/>
      <c r="HN215" s="1"/>
      <c r="HO215" s="1"/>
      <c r="HP215" s="1"/>
      <c r="HQ215" s="1"/>
      <c r="HR215" s="1"/>
      <c r="HS215" s="1"/>
      <c r="HT215" s="1"/>
      <c r="HU215" s="1"/>
      <c r="HV215" s="1"/>
      <c r="HW215" s="1"/>
      <c r="HX215" s="1"/>
      <c r="HY215" s="1"/>
      <c r="HZ215" s="1"/>
      <c r="IA215" s="1"/>
      <c r="IB215" s="1"/>
      <c r="IC215" s="1"/>
      <c r="ID215" s="1"/>
    </row>
    <row r="216" spans="1:238" s="93" customFormat="1" ht="12.75" customHeight="1">
      <c r="B216" s="564" t="s">
        <v>468</v>
      </c>
      <c r="C216" s="219"/>
      <c r="D216" s="219"/>
      <c r="E216" s="220"/>
      <c r="F216" s="220"/>
      <c r="G216" s="220"/>
      <c r="H216" s="220"/>
      <c r="I216" s="220"/>
      <c r="J216" s="220"/>
      <c r="K216" s="221"/>
      <c r="L216" s="222"/>
      <c r="M216" s="222"/>
      <c r="N216" s="223"/>
      <c r="O216" s="220"/>
      <c r="P216" s="221"/>
      <c r="Q216" s="222"/>
      <c r="R216" s="222"/>
      <c r="S216" s="223"/>
      <c r="T216" s="220"/>
      <c r="U216" s="221"/>
      <c r="V216" s="222"/>
      <c r="W216" s="222"/>
      <c r="X216" s="223"/>
      <c r="Y216" s="220"/>
      <c r="Z216" s="221"/>
      <c r="AA216" s="222"/>
      <c r="AB216" s="222"/>
      <c r="AC216" s="223"/>
      <c r="AD216" s="220"/>
      <c r="AE216" s="221"/>
      <c r="AF216" s="222"/>
      <c r="AG216" s="222"/>
      <c r="AH216" s="223"/>
      <c r="AI216" s="220"/>
      <c r="AJ216" s="221"/>
      <c r="AK216" s="222"/>
      <c r="AL216" s="222"/>
      <c r="AM216" s="223"/>
      <c r="AN216" s="220"/>
      <c r="AO216" s="221"/>
      <c r="AP216" s="222"/>
      <c r="AQ216" s="222"/>
      <c r="AR216" s="223"/>
      <c r="AS216" s="220"/>
      <c r="AT216" s="221"/>
      <c r="AU216" s="222"/>
      <c r="AV216" s="222"/>
      <c r="AW216" s="223"/>
      <c r="AX216" s="220"/>
      <c r="AY216" s="221"/>
      <c r="AZ216" s="222"/>
      <c r="BA216" s="222"/>
      <c r="BB216" s="223"/>
      <c r="BC216" s="220"/>
      <c r="BD216" s="221"/>
      <c r="BE216" s="222"/>
      <c r="BF216" s="222"/>
      <c r="BG216" s="223"/>
      <c r="BH216" s="220"/>
      <c r="BI216" s="221"/>
      <c r="BJ216" s="222"/>
      <c r="BK216" s="222"/>
      <c r="BL216" s="223"/>
      <c r="BM216" s="220"/>
      <c r="BN216" s="221"/>
      <c r="BO216" s="222"/>
      <c r="BP216" s="222"/>
      <c r="BQ216" s="223"/>
      <c r="BR216" s="220"/>
      <c r="BS216" s="221"/>
      <c r="BT216" s="222"/>
      <c r="BU216" s="222"/>
      <c r="BV216" s="223"/>
      <c r="BW216" s="220"/>
      <c r="BX216" s="224"/>
      <c r="BY216" s="225"/>
      <c r="BZ216" s="225"/>
      <c r="CA216" s="226"/>
      <c r="CB216" s="225"/>
      <c r="CC216" s="224"/>
      <c r="CD216" s="225"/>
      <c r="CE216" s="225"/>
      <c r="CF216" s="225"/>
      <c r="CG216" s="811"/>
      <c r="CH216" s="227">
        <f>CH205-CF205</f>
        <v>0.28753459409594095</v>
      </c>
      <c r="CI216" s="227">
        <f>CI205-CH205</f>
        <v>3.2447811067398136E-3</v>
      </c>
      <c r="CJ216" s="227">
        <f>CJ205-CI205</f>
        <v>-7.5068260763403449E-3</v>
      </c>
      <c r="CK216" s="227">
        <f>CK205-CJ205</f>
        <v>2.1952529552536348E-3</v>
      </c>
      <c r="CL216" s="811"/>
      <c r="CM216" s="227">
        <f>CM205-CK205</f>
        <v>-1.8857125293552657E-3</v>
      </c>
      <c r="CN216" s="227">
        <f>CN205-CM205</f>
        <v>9.2172241574818847E-3</v>
      </c>
      <c r="CO216" s="227">
        <f>CO205-CN205</f>
        <v>-6.9723646335602685E-3</v>
      </c>
      <c r="CP216" s="227">
        <f>CP205-CO205</f>
        <v>5.1002459100751851E-3</v>
      </c>
      <c r="CQ216" s="811"/>
      <c r="CR216" s="227">
        <f>CR205-CP205</f>
        <v>6.7166026575620763E-3</v>
      </c>
      <c r="CS216" s="227">
        <f>CS205-CR205</f>
        <v>6.9092135644395758E-3</v>
      </c>
      <c r="CT216" s="227">
        <f>CT205-CS205</f>
        <v>-1.284766527911585E-2</v>
      </c>
      <c r="CU216" s="227">
        <f>CU205-CT205</f>
        <v>-2.8139797845363468E-3</v>
      </c>
      <c r="CV216" s="811"/>
      <c r="CW216" s="227">
        <f>CW205-CU205</f>
        <v>-4.3695700836979268E-3</v>
      </c>
      <c r="CX216" s="227">
        <f>CX205-CW205</f>
        <v>6.2713689480391466E-3</v>
      </c>
      <c r="CY216" s="227">
        <f>CY205-CX205</f>
        <v>-8.2819542465944473E-3</v>
      </c>
      <c r="CZ216" s="227">
        <f>CZ205-CY205</f>
        <v>-3.5585949256313754E-3</v>
      </c>
      <c r="DA216" s="811"/>
      <c r="DB216" s="227">
        <f>DB205-CZ205</f>
        <v>-5.4535875049013249E-3</v>
      </c>
      <c r="DC216" s="227">
        <f>DC205-DB205</f>
        <v>2.1091054576345414E-3</v>
      </c>
      <c r="DD216" s="227">
        <f>DD205-DC205</f>
        <v>-1.6301656131790798E-3</v>
      </c>
      <c r="DE216" s="227">
        <f>DE205-DD205</f>
        <v>-5.1656154415075095E-3</v>
      </c>
      <c r="DF216" s="811"/>
      <c r="DG216" s="227">
        <f ca="1">DG205-DF205</f>
        <v>-3.4504769429738458E-3</v>
      </c>
      <c r="DH216" s="227">
        <f>DH205-DG205</f>
        <v>7.7857542441575056E-3</v>
      </c>
      <c r="DI216" s="227">
        <f>DI205-DH205</f>
        <v>-8.5265572942681001E-3</v>
      </c>
      <c r="DJ216" s="227">
        <f>DJ205-DI205</f>
        <v>-8.7364843783301338E-3</v>
      </c>
      <c r="DK216" s="1387"/>
      <c r="DL216" s="227">
        <f ca="1">DL205-DK205</f>
        <v>-2.9444131746405033E-3</v>
      </c>
      <c r="DM216" s="227">
        <f>DM205-DL205</f>
        <v>5.5319804359794666E-3</v>
      </c>
      <c r="DN216" s="227">
        <f>DN205-DM205</f>
        <v>-1.7974644684501995E-2</v>
      </c>
      <c r="DO216" s="227">
        <f>DO205-DN205</f>
        <v>-1.7229603760634538E-3</v>
      </c>
      <c r="DP216" s="1387"/>
      <c r="DQ216" s="227">
        <f>DQ205-DP205</f>
        <v>-3.9205496595209333E-3</v>
      </c>
      <c r="DR216" s="227">
        <f ca="1">DR205-DQ205</f>
        <v>-3.4597085578616515E-3</v>
      </c>
      <c r="DS216" s="227">
        <f ca="1">DS205-DR205</f>
        <v>-6.4667030818203741E-3</v>
      </c>
      <c r="DT216" s="227">
        <f ca="1">DT205-DS205</f>
        <v>-1.9816195015690263E-3</v>
      </c>
      <c r="DU216" s="1387"/>
      <c r="DV216" s="227">
        <f ca="1">DV205-DU205</f>
        <v>-1.4161935521835589E-3</v>
      </c>
      <c r="DW216" s="227">
        <f ca="1">DW205-DV205</f>
        <v>4.940723194603619E-3</v>
      </c>
      <c r="DX216" s="227">
        <f ca="1">DX205-DW205</f>
        <v>-4.475663754677478E-3</v>
      </c>
      <c r="DY216" s="227">
        <f ca="1">DY205-DX205</f>
        <v>-1.6173832714335978E-3</v>
      </c>
      <c r="DZ216" s="1387"/>
      <c r="EA216" s="227">
        <f ca="1">EA205-DZ205</f>
        <v>3.1420425737041513E-4</v>
      </c>
      <c r="EB216" s="227">
        <f ca="1">EB205-EA205</f>
        <v>4.0817382585504047E-3</v>
      </c>
      <c r="EC216" s="227">
        <f ca="1">EC205-EB205</f>
        <v>-4.2041521040508401E-3</v>
      </c>
      <c r="ED216" s="227">
        <f ca="1">ED205-EC205</f>
        <v>-1.8102413937614859E-3</v>
      </c>
      <c r="EE216" s="1387"/>
      <c r="EF216" s="1"/>
      <c r="EG216" s="1"/>
      <c r="EH216" s="1"/>
      <c r="EI216" s="1"/>
      <c r="EJ216"/>
      <c r="EK216"/>
      <c r="EL216"/>
      <c r="EM216"/>
      <c r="EN216"/>
      <c r="EO216"/>
      <c r="EP216" s="1"/>
      <c r="EQ216" s="1"/>
      <c r="ER216" s="1"/>
      <c r="ES216" s="1"/>
      <c r="ET216" s="1"/>
      <c r="EU216" s="1"/>
      <c r="EV216" s="1"/>
      <c r="EW216" s="1"/>
      <c r="EX216" s="1"/>
      <c r="EY216" s="1"/>
      <c r="EZ216" s="1"/>
      <c r="FA216" s="1"/>
      <c r="FB216" s="1"/>
      <c r="FC216" s="1"/>
      <c r="FD216" s="1"/>
      <c r="FE216" s="1"/>
      <c r="FF216" s="1"/>
      <c r="FG216" s="1"/>
      <c r="FH216" s="1"/>
      <c r="FI216" s="1"/>
      <c r="FJ216" s="1"/>
      <c r="FK216" s="1"/>
      <c r="FL216" s="1"/>
      <c r="FM216" s="1"/>
      <c r="FN216" s="1"/>
      <c r="FO216" s="1"/>
      <c r="FP216" s="1"/>
      <c r="FQ216" s="1"/>
      <c r="FR216" s="1"/>
      <c r="FS216" s="1"/>
      <c r="FT216" s="1"/>
      <c r="FU216" s="1"/>
      <c r="FV216" s="1"/>
      <c r="FW216" s="1"/>
      <c r="FX216" s="1"/>
      <c r="FY216" s="1"/>
      <c r="FZ216" s="1"/>
      <c r="GA216" s="1"/>
      <c r="GB216" s="1"/>
      <c r="GC216" s="1"/>
      <c r="GD216" s="1"/>
      <c r="GE216" s="1"/>
      <c r="GF216" s="1"/>
      <c r="GG216" s="1"/>
      <c r="GH216" s="1"/>
      <c r="GI216" s="1"/>
      <c r="GJ216" s="1"/>
      <c r="GK216" s="1"/>
      <c r="GL216" s="1"/>
      <c r="GM216" s="1"/>
      <c r="GN216" s="1"/>
      <c r="GO216" s="1"/>
      <c r="GP216" s="1"/>
      <c r="GQ216" s="1"/>
      <c r="GR216" s="1"/>
      <c r="GS216" s="1"/>
      <c r="GT216" s="1"/>
      <c r="GU216" s="1"/>
      <c r="GV216" s="1"/>
      <c r="GW216" s="1"/>
      <c r="GX216" s="1"/>
      <c r="GY216" s="1"/>
      <c r="GZ216" s="1"/>
      <c r="HA216" s="1"/>
      <c r="HB216" s="1"/>
      <c r="HC216" s="1"/>
      <c r="HD216" s="1"/>
      <c r="HE216" s="1"/>
      <c r="HF216" s="1"/>
      <c r="HG216" s="1"/>
      <c r="HH216" s="1"/>
      <c r="HI216" s="1"/>
      <c r="HJ216" s="1"/>
      <c r="HK216" s="1"/>
      <c r="HL216" s="1"/>
      <c r="HM216" s="1"/>
      <c r="HN216" s="1"/>
      <c r="HO216" s="1"/>
      <c r="HP216" s="1"/>
      <c r="HQ216" s="1"/>
      <c r="HR216" s="1"/>
      <c r="HS216" s="1"/>
      <c r="HT216" s="1"/>
      <c r="HU216" s="1"/>
      <c r="HV216" s="1"/>
      <c r="HW216" s="1"/>
      <c r="HX216" s="1"/>
      <c r="HY216" s="1"/>
      <c r="HZ216" s="1"/>
      <c r="IA216" s="1"/>
      <c r="IB216" s="1"/>
      <c r="IC216" s="1"/>
      <c r="ID216" s="1"/>
    </row>
    <row r="217" spans="1:238" s="130" customFormat="1" ht="12.75" customHeight="1">
      <c r="B217" s="547"/>
      <c r="E217" s="131"/>
      <c r="F217" s="131"/>
      <c r="G217" s="131"/>
      <c r="H217" s="131"/>
      <c r="I217" s="131"/>
      <c r="J217" s="131"/>
      <c r="K217" s="127"/>
      <c r="L217" s="127"/>
      <c r="M217" s="127"/>
      <c r="N217" s="127"/>
      <c r="O217" s="131"/>
      <c r="P217" s="127"/>
      <c r="Q217" s="127"/>
      <c r="R217" s="127"/>
      <c r="S217" s="127"/>
      <c r="T217" s="131"/>
      <c r="U217" s="127"/>
      <c r="V217" s="127"/>
      <c r="W217" s="127"/>
      <c r="X217" s="127"/>
      <c r="Y217" s="131"/>
      <c r="Z217" s="127"/>
      <c r="AA217" s="127"/>
      <c r="AB217" s="127"/>
      <c r="AC217" s="127"/>
      <c r="AD217" s="131"/>
      <c r="AE217" s="127"/>
      <c r="AF217" s="127"/>
      <c r="AG217" s="127"/>
      <c r="AH217" s="127"/>
      <c r="AI217" s="131"/>
      <c r="AJ217" s="127"/>
      <c r="AK217" s="127"/>
      <c r="AL217" s="127"/>
      <c r="AM217" s="127"/>
      <c r="AN217" s="131"/>
      <c r="AO217" s="127"/>
      <c r="AP217" s="127"/>
      <c r="AQ217" s="127"/>
      <c r="AR217" s="127"/>
      <c r="AS217" s="131"/>
      <c r="AT217" s="127"/>
      <c r="AU217" s="127"/>
      <c r="AV217" s="127"/>
      <c r="AW217" s="127"/>
      <c r="AX217" s="131"/>
      <c r="AY217" s="127"/>
      <c r="AZ217" s="127"/>
      <c r="BA217" s="127"/>
      <c r="BB217" s="127"/>
      <c r="BC217" s="131"/>
      <c r="BD217" s="127"/>
      <c r="BE217" s="127"/>
      <c r="BF217" s="127"/>
      <c r="BG217" s="127"/>
      <c r="BH217" s="131"/>
      <c r="BI217" s="127"/>
      <c r="BJ217" s="127"/>
      <c r="BK217" s="127"/>
      <c r="BL217" s="127"/>
      <c r="BM217" s="131"/>
      <c r="BN217" s="127"/>
      <c r="BO217" s="127"/>
      <c r="BP217" s="127"/>
      <c r="BQ217" s="127"/>
      <c r="BR217" s="131"/>
      <c r="BS217" s="127"/>
      <c r="BT217" s="127"/>
      <c r="BU217" s="127"/>
      <c r="BV217" s="127"/>
      <c r="BW217" s="131"/>
      <c r="BX217" s="127"/>
      <c r="BY217" s="127"/>
      <c r="BZ217" s="127"/>
      <c r="CA217" s="127"/>
      <c r="CB217" s="131"/>
      <c r="CC217" s="127"/>
      <c r="CD217" s="127"/>
      <c r="CE217" s="127"/>
      <c r="CF217" s="127"/>
      <c r="CG217" s="613"/>
      <c r="CH217" s="127"/>
      <c r="CI217" s="127"/>
      <c r="CJ217" s="127"/>
      <c r="CK217" s="127"/>
      <c r="CL217" s="613"/>
      <c r="CM217" s="127"/>
      <c r="CN217" s="127"/>
      <c r="CO217" s="127"/>
      <c r="CP217" s="127"/>
      <c r="CQ217" s="831"/>
      <c r="CR217" s="127"/>
      <c r="CS217" s="127"/>
      <c r="CT217" s="127"/>
      <c r="CU217" s="127"/>
      <c r="CV217" s="831"/>
      <c r="CW217" s="127"/>
      <c r="CX217" s="127"/>
      <c r="CY217" s="127"/>
      <c r="CZ217" s="127"/>
      <c r="DA217" s="831"/>
      <c r="DB217" s="127"/>
      <c r="DC217" s="127"/>
      <c r="DD217" s="127"/>
      <c r="DE217" s="127"/>
      <c r="DF217" s="831"/>
      <c r="DG217" s="127"/>
      <c r="DH217" s="127"/>
      <c r="DI217" s="127"/>
      <c r="DJ217" s="127"/>
      <c r="DK217" s="1371"/>
      <c r="DL217" s="127"/>
      <c r="DM217" s="127"/>
      <c r="DN217" s="127"/>
      <c r="DO217" s="127"/>
      <c r="DP217" s="1371"/>
      <c r="DQ217" s="127"/>
      <c r="DR217" s="2398"/>
      <c r="DS217" s="129"/>
      <c r="DT217" s="129"/>
      <c r="DU217" s="1371"/>
      <c r="DV217" s="129"/>
      <c r="DW217" s="129"/>
      <c r="DX217" s="129"/>
      <c r="DY217" s="129"/>
      <c r="DZ217" s="1371"/>
      <c r="EA217" s="129"/>
      <c r="EB217" s="129"/>
      <c r="EC217" s="129"/>
      <c r="ED217" s="129"/>
      <c r="EE217" s="1371"/>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row>
    <row r="218" spans="1:238" s="277" customFormat="1" ht="12.75" customHeight="1">
      <c r="B218" s="572" t="s">
        <v>170</v>
      </c>
      <c r="D218" s="277">
        <v>9.5000000000000001E-2</v>
      </c>
      <c r="E218" s="277">
        <v>8.8999999999999996E-2</v>
      </c>
      <c r="F218" s="277">
        <v>7.5999999999999998E-2</v>
      </c>
      <c r="G218" s="277">
        <v>7.4999999999999997E-2</v>
      </c>
      <c r="H218" s="277">
        <v>6.3E-2</v>
      </c>
      <c r="I218" s="277">
        <v>5.5E-2</v>
      </c>
      <c r="J218" s="277">
        <v>7.1999999999999995E-2</v>
      </c>
      <c r="K218" s="598">
        <v>7.3999999999999996E-2</v>
      </c>
      <c r="L218" s="278">
        <v>8.6999999999999994E-2</v>
      </c>
      <c r="M218" s="278">
        <v>9.2999999999999999E-2</v>
      </c>
      <c r="N218" s="599">
        <v>8.7999999999999995E-2</v>
      </c>
      <c r="O218" s="614">
        <v>8.5000000000000006E-2</v>
      </c>
      <c r="P218" s="278">
        <v>0.08</v>
      </c>
      <c r="Q218" s="278">
        <v>0.08</v>
      </c>
      <c r="R218" s="278">
        <v>8.5999999999999993E-2</v>
      </c>
      <c r="S218" s="278">
        <v>7.9000000000000001E-2</v>
      </c>
      <c r="T218" s="277">
        <v>8.1000000000000003E-2</v>
      </c>
      <c r="U218" s="278">
        <v>9.0999999999999998E-2</v>
      </c>
      <c r="V218" s="278">
        <v>8.4000000000000005E-2</v>
      </c>
      <c r="W218" s="278">
        <v>8.900000000000001E-2</v>
      </c>
      <c r="X218" s="278">
        <v>0.11199999999999999</v>
      </c>
      <c r="Y218" s="277">
        <v>9.4E-2</v>
      </c>
      <c r="Z218" s="278">
        <v>0.10400000000000001</v>
      </c>
      <c r="AA218" s="278">
        <v>9.4E-2</v>
      </c>
      <c r="AB218" s="278">
        <v>0.12300000000000001</v>
      </c>
      <c r="AC218" s="278">
        <v>0.13</v>
      </c>
      <c r="AD218" s="277">
        <v>0.112</v>
      </c>
      <c r="AE218" s="278">
        <v>0.13500000000000001</v>
      </c>
      <c r="AF218" s="278">
        <v>0.122</v>
      </c>
      <c r="AG218" s="278">
        <v>0.106</v>
      </c>
      <c r="AH218" s="278">
        <v>0.108</v>
      </c>
      <c r="AI218" s="277">
        <v>0.11774999999999999</v>
      </c>
      <c r="AJ218" s="278">
        <v>0.108</v>
      </c>
      <c r="AK218" s="278">
        <v>8.6999999999999994E-2</v>
      </c>
      <c r="AL218" s="278">
        <v>0.113</v>
      </c>
      <c r="AM218" s="278">
        <v>0.112</v>
      </c>
      <c r="AN218" s="277">
        <v>0.105</v>
      </c>
      <c r="AO218" s="278">
        <v>0.107</v>
      </c>
      <c r="AP218" s="278">
        <v>0.10199999999999999</v>
      </c>
      <c r="AQ218" s="278">
        <v>0.115</v>
      </c>
      <c r="AR218" s="278">
        <v>0.115</v>
      </c>
      <c r="AS218" s="277">
        <v>0.10975</v>
      </c>
      <c r="AT218" s="278">
        <v>8.5999999999999993E-2</v>
      </c>
      <c r="AU218" s="278">
        <v>7.6999999999999999E-2</v>
      </c>
      <c r="AV218" s="278">
        <v>8.2000000000000003E-2</v>
      </c>
      <c r="AW218" s="278">
        <v>9.8000000000000004E-2</v>
      </c>
      <c r="AX218" s="277">
        <v>8.5749999999999993E-2</v>
      </c>
      <c r="AY218" s="278">
        <v>0.11899999999999999</v>
      </c>
      <c r="AZ218" s="278">
        <v>0.115</v>
      </c>
      <c r="BA218" s="278">
        <v>0.104</v>
      </c>
      <c r="BB218" s="278">
        <v>9.7000000000000003E-2</v>
      </c>
      <c r="BC218" s="277">
        <v>0.10875</v>
      </c>
      <c r="BD218" s="278">
        <v>9.4E-2</v>
      </c>
      <c r="BE218" s="278">
        <v>7.6999999999999999E-2</v>
      </c>
      <c r="BF218" s="278">
        <v>8.6999999999999994E-2</v>
      </c>
      <c r="BG218" s="278">
        <v>7.0000000000000007E-2</v>
      </c>
      <c r="BH218" s="277">
        <v>8.2000000000000003E-2</v>
      </c>
      <c r="BI218" s="278">
        <v>7.1999999999999995E-2</v>
      </c>
      <c r="BJ218" s="278">
        <v>6.5000000000000002E-2</v>
      </c>
      <c r="BK218" s="278">
        <v>7.5999999999999998E-2</v>
      </c>
      <c r="BL218" s="278">
        <v>9.7000000000000003E-2</v>
      </c>
      <c r="BM218" s="277">
        <v>7.7499999999999999E-2</v>
      </c>
      <c r="BN218" s="278">
        <v>9.7000000000000003E-2</v>
      </c>
      <c r="BO218" s="278">
        <v>8.8999999999999996E-2</v>
      </c>
      <c r="BP218" s="278">
        <v>7.8E-2</v>
      </c>
      <c r="BQ218" s="278">
        <v>6.2302206138217617E-2</v>
      </c>
      <c r="BR218" s="277">
        <v>8.2281588228480376E-2</v>
      </c>
      <c r="BS218" s="278">
        <v>5.4278199999999999E-2</v>
      </c>
      <c r="BT218" s="278">
        <v>4.9280000000000004E-2</v>
      </c>
      <c r="BU218" s="278">
        <v>3.3555000000000001E-2</v>
      </c>
      <c r="BV218" s="278">
        <v>2.5898999999999998E-2</v>
      </c>
      <c r="BW218" s="277">
        <v>0.04</v>
      </c>
      <c r="BX218" s="278">
        <v>1.7500000000000002E-2</v>
      </c>
      <c r="BY218" s="278">
        <v>1.3830000000000002E-2</v>
      </c>
      <c r="BZ218" s="278">
        <v>2.8023999999999997E-2</v>
      </c>
      <c r="CA218" s="278">
        <v>2.5235E-2</v>
      </c>
      <c r="CB218" s="277">
        <v>0.02</v>
      </c>
      <c r="CC218" s="278">
        <v>4.9000000000000002E-2</v>
      </c>
      <c r="CD218" s="278">
        <v>-2E-3</v>
      </c>
      <c r="CE218" s="278">
        <v>7.1939999999999999E-3</v>
      </c>
      <c r="CF218" s="278">
        <v>1.4977000000000001E-2</v>
      </c>
      <c r="CG218" s="614">
        <v>1.6E-2</v>
      </c>
      <c r="CH218" s="278">
        <v>7.6319999999999999E-3</v>
      </c>
      <c r="CI218" s="278">
        <v>4.1000000000000002E-2</v>
      </c>
      <c r="CJ218" s="278">
        <v>4.0302000000000004E-2</v>
      </c>
      <c r="CK218" s="278">
        <v>4.3999999999999997E-2</v>
      </c>
      <c r="CL218" s="614">
        <f>(CH218*Model!CC9+CI218*Model!CD9+CJ218*Model!CE9+CK218*Model!CF9)/SUM(Model!CC9:CF9)</f>
        <v>3.3473615336695343E-2</v>
      </c>
      <c r="CM218" s="278">
        <f>CM219*CM222+CM220*CM223</f>
        <v>2.5309999999999999E-2</v>
      </c>
      <c r="CN218" s="278">
        <f>CN219*CN222+CN220*CN223</f>
        <v>-1.5479999999999999E-2</v>
      </c>
      <c r="CO218" s="278">
        <f>CO219*CO222+CO220*CO223</f>
        <v>-6.5610000000000002E-2</v>
      </c>
      <c r="CP218" s="278">
        <f>CP219*CP222+CP220*CP223</f>
        <v>-8.6140000000000008E-2</v>
      </c>
      <c r="CQ218" s="614">
        <f>(CM218*Model!CH9+CN218*Model!CI9+CO218*Model!CJ9+CP218*Model!CK9)/SUM(Model!CH9:CK9)</f>
        <v>-3.602506109387122E-2</v>
      </c>
      <c r="CR218" s="278">
        <f>CR219*CR222+CR220*CR223</f>
        <v>-7.9334000000000002E-2</v>
      </c>
      <c r="CS218" s="278">
        <f>CS219*CS222+CS220*CS223</f>
        <v>-2.6610999999999996E-2</v>
      </c>
      <c r="CT218" s="278">
        <f>CT219*CT222+CT220*CT223</f>
        <v>1.4096000000000001E-2</v>
      </c>
      <c r="CU218" s="278">
        <f>CU219*CU222+CU220*CU223</f>
        <v>4.6672000000000005E-2</v>
      </c>
      <c r="CV218" s="614">
        <f>(CR218*Model!CM9+CS218*Model!CN9+CT218*Model!CO9+CU218*Model!CP9)/SUM(Model!CM9:CP9)</f>
        <v>-1.2420615512403501E-2</v>
      </c>
      <c r="CW218" s="278">
        <f t="shared" ref="CW218:DF218" si="524">CW219*CW222+CW220*CW223</f>
        <v>5.4350000000000002E-2</v>
      </c>
      <c r="CX218" s="278">
        <f t="shared" si="524"/>
        <v>4.3636000000000001E-2</v>
      </c>
      <c r="CY218" s="278">
        <f t="shared" si="524"/>
        <v>4.8404000000000003E-2</v>
      </c>
      <c r="CZ218" s="278">
        <f t="shared" si="524"/>
        <v>5.8333000000000003E-2</v>
      </c>
      <c r="DA218" s="614">
        <f t="shared" si="524"/>
        <v>5.1039374662197434E-2</v>
      </c>
      <c r="DB218" s="278">
        <f t="shared" si="524"/>
        <v>6.0424000000000005E-2</v>
      </c>
      <c r="DC218" s="278">
        <f t="shared" si="524"/>
        <v>7.1368000000000001E-2</v>
      </c>
      <c r="DD218" s="278">
        <f t="shared" si="524"/>
        <v>6.5575000000000008E-2</v>
      </c>
      <c r="DE218" s="278">
        <f>DE219*DE222+DE220*DE223</f>
        <v>6.7456000000000002E-2</v>
      </c>
      <c r="DF218" s="614">
        <f t="shared" si="524"/>
        <v>6.6363119076406046E-2</v>
      </c>
      <c r="DG218" s="2130">
        <v>5.8000000000000003E-2</v>
      </c>
      <c r="DH218" s="2130">
        <v>2.1999999999999999E-2</v>
      </c>
      <c r="DI218" s="2130">
        <v>3.9E-2</v>
      </c>
      <c r="DJ218" s="2130">
        <v>3.2000000000000001E-2</v>
      </c>
      <c r="DK218" s="1404">
        <f t="shared" ref="DK218:DP218" si="525">DK219*DK222+DK220*DK223</f>
        <v>3.6842759275180707E-2</v>
      </c>
      <c r="DL218" s="2130">
        <v>1.0999999999999999E-2</v>
      </c>
      <c r="DM218" s="2130">
        <v>2.4E-2</v>
      </c>
      <c r="DN218" s="2130">
        <v>3.6999999999999998E-2</v>
      </c>
      <c r="DO218" s="2130">
        <v>3.1E-2</v>
      </c>
      <c r="DP218" s="1404">
        <f t="shared" si="525"/>
        <v>2.7804048379209363E-2</v>
      </c>
      <c r="DQ218" s="2130">
        <v>4.7E-2</v>
      </c>
      <c r="DR218" s="278">
        <f t="shared" ref="DR218:DZ218" ca="1" si="526">DR219*DR222+DR220*DR223</f>
        <v>1.7491821821581925E-2</v>
      </c>
      <c r="DS218" s="278">
        <f t="shared" ca="1" si="526"/>
        <v>-6.1297282001846736E-3</v>
      </c>
      <c r="DT218" s="278">
        <f t="shared" si="526"/>
        <v>1.907042404489764E-2</v>
      </c>
      <c r="DU218" s="1404">
        <f t="shared" ca="1" si="526"/>
        <v>1.9570953757806021E-2</v>
      </c>
      <c r="DV218" s="278">
        <f t="shared" si="526"/>
        <v>1.1543788373612647E-2</v>
      </c>
      <c r="DW218" s="278">
        <f t="shared" ca="1" si="526"/>
        <v>1.4289142988335096E-2</v>
      </c>
      <c r="DX218" s="278">
        <f t="shared" ca="1" si="526"/>
        <v>5.9776471274769439E-3</v>
      </c>
      <c r="DY218" s="278">
        <f t="shared" si="526"/>
        <v>3.1406413282780848E-2</v>
      </c>
      <c r="DZ218" s="1404">
        <f t="shared" ca="1" si="526"/>
        <v>1.5863117050903496E-2</v>
      </c>
      <c r="EA218" s="278">
        <f t="shared" ref="EA218:EE218" si="527">EA219*EA222+EA220*EA223</f>
        <v>2.5659200942492938E-2</v>
      </c>
      <c r="EB218" s="278">
        <f t="shared" ca="1" si="527"/>
        <v>1.6754272295386567E-2</v>
      </c>
      <c r="EC218" s="278">
        <f t="shared" ca="1" si="527"/>
        <v>7.9784429407444169E-3</v>
      </c>
      <c r="ED218" s="278">
        <f t="shared" si="527"/>
        <v>3.3441673279952393E-2</v>
      </c>
      <c r="EE218" s="1404">
        <f t="shared" ca="1" si="527"/>
        <v>2.0857433042094437E-2</v>
      </c>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row>
    <row r="219" spans="1:238" s="64" customFormat="1">
      <c r="A219" s="277"/>
      <c r="B219" s="561" t="s">
        <v>171</v>
      </c>
      <c r="C219" s="162"/>
      <c r="H219" s="279"/>
      <c r="I219" s="124">
        <v>0.121</v>
      </c>
      <c r="J219" s="124">
        <v>0.13800000000000001</v>
      </c>
      <c r="K219" s="600"/>
      <c r="L219" s="280"/>
      <c r="M219" s="280"/>
      <c r="N219" s="601"/>
      <c r="O219" s="615">
        <v>0.13</v>
      </c>
      <c r="P219" s="280">
        <v>0.115</v>
      </c>
      <c r="Q219" s="280">
        <v>0.122</v>
      </c>
      <c r="R219" s="280">
        <v>0.14000000000000001</v>
      </c>
      <c r="S219" s="280">
        <v>0.14399999999999999</v>
      </c>
      <c r="T219" s="124">
        <v>0.13025</v>
      </c>
      <c r="U219" s="280">
        <v>0.14299999999999999</v>
      </c>
      <c r="V219" s="280">
        <v>0.14199999999999999</v>
      </c>
      <c r="W219" s="280">
        <v>0.152</v>
      </c>
      <c r="X219" s="280">
        <v>0.188</v>
      </c>
      <c r="Y219" s="281">
        <v>0.156</v>
      </c>
      <c r="Z219" s="280">
        <v>0.189</v>
      </c>
      <c r="AA219" s="280">
        <v>0.184</v>
      </c>
      <c r="AB219" s="280">
        <v>0.20200000000000001</v>
      </c>
      <c r="AC219" s="280">
        <v>0.2</v>
      </c>
      <c r="AD219" s="124">
        <v>0.19400000000000001</v>
      </c>
      <c r="AE219" s="280">
        <v>0.20699999999999999</v>
      </c>
      <c r="AF219" s="280">
        <v>0.19</v>
      </c>
      <c r="AG219" s="280">
        <v>0.17299999999999999</v>
      </c>
      <c r="AH219" s="280">
        <v>0.17799999999999999</v>
      </c>
      <c r="AI219" s="124">
        <v>0.19</v>
      </c>
      <c r="AJ219" s="280">
        <v>0.17599999999999999</v>
      </c>
      <c r="AK219" s="280">
        <v>0.16800000000000001</v>
      </c>
      <c r="AL219" s="280">
        <v>0.184</v>
      </c>
      <c r="AM219" s="280">
        <v>0.17699999999999999</v>
      </c>
      <c r="AN219" s="124">
        <v>0.17599999999999999</v>
      </c>
      <c r="AO219" s="280">
        <v>0.17100000000000001</v>
      </c>
      <c r="AP219" s="280">
        <v>0.16400000000000001</v>
      </c>
      <c r="AQ219" s="280">
        <v>0.16700000000000001</v>
      </c>
      <c r="AR219" s="280">
        <v>0.14899999999999999</v>
      </c>
      <c r="AS219" s="122">
        <f>+AS74</f>
        <v>0.16275000000000001</v>
      </c>
      <c r="AT219" s="280">
        <v>0.14699999999999999</v>
      </c>
      <c r="AU219" s="280">
        <v>0.13300000000000001</v>
      </c>
      <c r="AV219" s="280">
        <v>0.115</v>
      </c>
      <c r="AW219" s="280">
        <v>0.13600000000000001</v>
      </c>
      <c r="AX219" s="122">
        <f>AVERAGE(AT219:AW219)</f>
        <v>0.13275000000000001</v>
      </c>
      <c r="AY219" s="280">
        <v>0.14699999999999999</v>
      </c>
      <c r="AZ219" s="280">
        <v>0.155</v>
      </c>
      <c r="BA219" s="280">
        <v>0.13400000000000001</v>
      </c>
      <c r="BB219" s="280">
        <v>0.125</v>
      </c>
      <c r="BC219" s="122">
        <f>AVERAGE(AY219:BB219)</f>
        <v>0.14024999999999999</v>
      </c>
      <c r="BD219" s="280">
        <v>0.113</v>
      </c>
      <c r="BE219" s="280">
        <v>0.10100000000000001</v>
      </c>
      <c r="BF219" s="280">
        <v>0.10199999999999999</v>
      </c>
      <c r="BG219" s="280">
        <v>7.6999999999999999E-2</v>
      </c>
      <c r="BH219" s="122">
        <f>AVERAGE(BD219:BG219)</f>
        <v>9.8250000000000004E-2</v>
      </c>
      <c r="BI219" s="280">
        <v>7.6999999999999999E-2</v>
      </c>
      <c r="BJ219" s="280">
        <v>7.3999999999999996E-2</v>
      </c>
      <c r="BK219" s="280">
        <v>9.2999999999999999E-2</v>
      </c>
      <c r="BL219" s="280">
        <v>0.123</v>
      </c>
      <c r="BM219" s="122">
        <f>AVERAGE(BI219:BL219)</f>
        <v>9.1749999999999998E-2</v>
      </c>
      <c r="BN219" s="280">
        <v>0.11899999999999999</v>
      </c>
      <c r="BO219" s="280">
        <v>0.109</v>
      </c>
      <c r="BP219" s="280">
        <v>0.09</v>
      </c>
      <c r="BQ219" s="280">
        <v>6.3E-2</v>
      </c>
      <c r="BR219" s="122">
        <f>BR74</f>
        <v>9.5249999999999987E-2</v>
      </c>
      <c r="BS219" s="280">
        <v>5.8599999999999999E-2</v>
      </c>
      <c r="BT219" s="280">
        <v>5.2999999999999999E-2</v>
      </c>
      <c r="BU219" s="280">
        <v>2.7E-2</v>
      </c>
      <c r="BV219" s="280">
        <v>0.02</v>
      </c>
      <c r="BW219" s="122">
        <f>BW74</f>
        <v>3.9E-2</v>
      </c>
      <c r="BX219" s="280">
        <v>2.5999999999999999E-2</v>
      </c>
      <c r="BY219" s="280">
        <v>2.9000000000000001E-2</v>
      </c>
      <c r="BZ219" s="280">
        <v>3.7999999999999999E-2</v>
      </c>
      <c r="CA219" s="280">
        <v>4.4999999999999998E-2</v>
      </c>
      <c r="CB219" s="122">
        <f>CB74</f>
        <v>3.4566784986823862E-2</v>
      </c>
      <c r="CC219" s="280">
        <v>6.0999999999999999E-2</v>
      </c>
      <c r="CD219" s="280">
        <v>5.8999999999999999E-3</v>
      </c>
      <c r="CE219" s="282">
        <v>1.0999999999999999E-2</v>
      </c>
      <c r="CF219" s="282">
        <v>1.6E-2</v>
      </c>
      <c r="CG219" s="800">
        <f>CG74</f>
        <v>2.2655136562159672E-2</v>
      </c>
      <c r="CH219" s="280">
        <v>8.9999999999999993E-3</v>
      </c>
      <c r="CI219" s="280">
        <v>3.9E-2</v>
      </c>
      <c r="CJ219" s="282">
        <v>4.1000000000000002E-2</v>
      </c>
      <c r="CK219" s="282">
        <f t="shared" ref="CK219:DF219" si="528">CK74</f>
        <v>4.3999999999999997E-2</v>
      </c>
      <c r="CL219" s="800">
        <f t="shared" si="528"/>
        <v>3.3383868177320863E-2</v>
      </c>
      <c r="CM219" s="280">
        <f t="shared" si="528"/>
        <v>2.5999999999999999E-2</v>
      </c>
      <c r="CN219" s="280">
        <f t="shared" si="528"/>
        <v>-3.9E-2</v>
      </c>
      <c r="CO219" s="282">
        <f t="shared" si="528"/>
        <v>-9.9000000000000005E-2</v>
      </c>
      <c r="CP219" s="282">
        <f t="shared" si="528"/>
        <v>-0.128</v>
      </c>
      <c r="CQ219" s="800">
        <f t="shared" si="528"/>
        <v>-4.6710068933001114E-2</v>
      </c>
      <c r="CR219" s="280">
        <f t="shared" si="528"/>
        <v>-0.113</v>
      </c>
      <c r="CS219" s="280">
        <f t="shared" si="528"/>
        <v>-2.7E-2</v>
      </c>
      <c r="CT219" s="282">
        <f t="shared" si="528"/>
        <v>0.02</v>
      </c>
      <c r="CU219" s="282">
        <f t="shared" si="528"/>
        <v>6.4000000000000001E-2</v>
      </c>
      <c r="CV219" s="800">
        <f t="shared" si="528"/>
        <v>-1.6169970205103135E-2</v>
      </c>
      <c r="CW219" s="280">
        <f t="shared" si="528"/>
        <v>7.1999999999999995E-2</v>
      </c>
      <c r="CX219" s="280">
        <f t="shared" si="528"/>
        <v>5.8000000000000003E-2</v>
      </c>
      <c r="CY219" s="282">
        <f t="shared" si="528"/>
        <v>6.3E-2</v>
      </c>
      <c r="CZ219" s="282">
        <f t="shared" si="528"/>
        <v>8.2000000000000003E-2</v>
      </c>
      <c r="DA219" s="800">
        <f t="shared" si="528"/>
        <v>6.8725459867810867E-2</v>
      </c>
      <c r="DB219" s="280">
        <f t="shared" si="528"/>
        <v>8.3000000000000004E-2</v>
      </c>
      <c r="DC219" s="280">
        <f t="shared" si="528"/>
        <v>9.7000000000000003E-2</v>
      </c>
      <c r="DD219" s="280">
        <f t="shared" si="528"/>
        <v>9.0999999999999998E-2</v>
      </c>
      <c r="DE219" s="280">
        <f>DE74</f>
        <v>0.1</v>
      </c>
      <c r="DF219" s="800">
        <f t="shared" si="528"/>
        <v>9.2854146194171205E-2</v>
      </c>
      <c r="DG219" s="280">
        <f t="shared" ref="DG219:DL219" si="529">DG74</f>
        <v>9.2999999999999999E-2</v>
      </c>
      <c r="DH219" s="280">
        <f t="shared" si="529"/>
        <v>2.1999999999999999E-2</v>
      </c>
      <c r="DI219" s="280">
        <f t="shared" si="529"/>
        <v>0.06</v>
      </c>
      <c r="DJ219" s="280">
        <f t="shared" si="529"/>
        <v>0.05</v>
      </c>
      <c r="DK219" s="1405">
        <f t="shared" si="529"/>
        <v>5.5949787962660924E-2</v>
      </c>
      <c r="DL219" s="280">
        <f t="shared" si="529"/>
        <v>0.02</v>
      </c>
      <c r="DM219" s="280">
        <f t="shared" ref="DM219:DN219" si="530">DM74</f>
        <v>4.2000000000000003E-2</v>
      </c>
      <c r="DN219" s="280">
        <f t="shared" si="530"/>
        <v>5.8000000000000003E-2</v>
      </c>
      <c r="DO219" s="280">
        <f t="shared" ref="DO219:DQ219" si="531">DO74</f>
        <v>5.6000000000000001E-2</v>
      </c>
      <c r="DP219" s="1405">
        <f t="shared" ref="DP219:DU219" si="532">DP74</f>
        <v>4.4165354623359798E-2</v>
      </c>
      <c r="DQ219" s="280">
        <f t="shared" si="531"/>
        <v>7.3999999999999996E-2</v>
      </c>
      <c r="DR219" s="282">
        <f t="shared" si="532"/>
        <v>2.9108978292639254E-2</v>
      </c>
      <c r="DS219" s="282">
        <f t="shared" si="532"/>
        <v>-4.5810509971397906E-3</v>
      </c>
      <c r="DT219" s="282">
        <f t="shared" si="532"/>
        <v>2.9972537048190473E-2</v>
      </c>
      <c r="DU219" s="1405">
        <f t="shared" si="532"/>
        <v>3.1158249500242263E-2</v>
      </c>
      <c r="DV219" s="282">
        <f t="shared" ref="DV219:DZ219" si="533">DV74</f>
        <v>1.8507827401141874E-2</v>
      </c>
      <c r="DW219" s="282">
        <f t="shared" ca="1" si="533"/>
        <v>2.4017120405588788E-2</v>
      </c>
      <c r="DX219" s="282">
        <f t="shared" ca="1" si="533"/>
        <v>1.2115192381281226E-2</v>
      </c>
      <c r="DY219" s="282">
        <f t="shared" si="533"/>
        <v>4.6285430256365112E-2</v>
      </c>
      <c r="DZ219" s="1405">
        <f t="shared" ca="1" si="533"/>
        <v>2.5350044193463317E-2</v>
      </c>
      <c r="EA219" s="282">
        <f t="shared" ref="EA219:EE219" si="534">EA74</f>
        <v>3.6683420895950558E-2</v>
      </c>
      <c r="EB219" s="282">
        <f t="shared" ca="1" si="534"/>
        <v>2.7031420614511914E-2</v>
      </c>
      <c r="EC219" s="282">
        <f t="shared" ca="1" si="534"/>
        <v>1.4605839746983262E-2</v>
      </c>
      <c r="ED219" s="282">
        <f t="shared" si="534"/>
        <v>4.8439605780938644E-2</v>
      </c>
      <c r="EE219" s="1405">
        <f t="shared" ca="1" si="534"/>
        <v>3.1713000969238792E-2</v>
      </c>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row>
    <row r="220" spans="1:238" s="64" customFormat="1">
      <c r="A220" s="277"/>
      <c r="B220" s="561" t="s">
        <v>172</v>
      </c>
      <c r="C220" s="162"/>
      <c r="H220" s="279"/>
      <c r="I220" s="124">
        <v>8.9999999999999993E-3</v>
      </c>
      <c r="J220" s="124">
        <v>2.1999999999999999E-2</v>
      </c>
      <c r="K220" s="600"/>
      <c r="L220" s="280"/>
      <c r="M220" s="280"/>
      <c r="N220" s="601"/>
      <c r="O220" s="615">
        <v>4.8000000000000001E-2</v>
      </c>
      <c r="P220" s="280">
        <v>4.9000000000000002E-2</v>
      </c>
      <c r="Q220" s="280">
        <v>5.0999999999999997E-2</v>
      </c>
      <c r="R220" s="280">
        <v>3.7999999999999999E-2</v>
      </c>
      <c r="S220" s="280">
        <v>1.6E-2</v>
      </c>
      <c r="T220" s="124">
        <v>3.85E-2</v>
      </c>
      <c r="U220" s="280">
        <v>0.04</v>
      </c>
      <c r="V220" s="280">
        <v>3.56E-2</v>
      </c>
      <c r="W220" s="280">
        <v>2.7699999999999999E-2</v>
      </c>
      <c r="X220" s="280">
        <v>3.49E-2</v>
      </c>
      <c r="Y220" s="281">
        <v>3.27E-2</v>
      </c>
      <c r="Z220" s="280">
        <v>0.02</v>
      </c>
      <c r="AA220" s="280">
        <v>2.1999999999999999E-2</v>
      </c>
      <c r="AB220" s="280">
        <v>3.5999999999999997E-2</v>
      </c>
      <c r="AC220" s="280">
        <v>0.05</v>
      </c>
      <c r="AD220" s="124">
        <v>2.7E-2</v>
      </c>
      <c r="AE220" s="280">
        <v>4.5999999999999999E-2</v>
      </c>
      <c r="AF220" s="280">
        <v>3.7999999999999999E-2</v>
      </c>
      <c r="AG220" s="280">
        <v>2.9000000000000001E-2</v>
      </c>
      <c r="AH220" s="280">
        <v>2.9000000000000001E-2</v>
      </c>
      <c r="AI220" s="281">
        <v>3.5499999999999997E-2</v>
      </c>
      <c r="AJ220" s="280">
        <v>2.9000000000000001E-2</v>
      </c>
      <c r="AK220" s="280">
        <v>6.0000000000000001E-3</v>
      </c>
      <c r="AL220" s="280">
        <v>2.3E-2</v>
      </c>
      <c r="AM220" s="280">
        <v>0.03</v>
      </c>
      <c r="AN220" s="124">
        <v>2.1999999999999999E-2</v>
      </c>
      <c r="AO220" s="280">
        <v>2.5000000000000001E-2</v>
      </c>
      <c r="AP220" s="280">
        <v>3.2000000000000001E-2</v>
      </c>
      <c r="AQ220" s="280">
        <v>4.2999999999999997E-2</v>
      </c>
      <c r="AR220" s="280">
        <v>4.2999999999999997E-2</v>
      </c>
      <c r="AS220" s="122">
        <f>AVERAGE(AO220:AR220)</f>
        <v>3.5750000000000004E-2</v>
      </c>
      <c r="AT220" s="280">
        <v>0</v>
      </c>
      <c r="AU220" s="280">
        <v>8.0000000000000002E-3</v>
      </c>
      <c r="AV220" s="280">
        <v>3.2000000000000001E-2</v>
      </c>
      <c r="AW220" s="280">
        <v>4.1000000000000002E-2</v>
      </c>
      <c r="AX220" s="122">
        <f>AVERAGE(AT220:AW220)</f>
        <v>2.0250000000000001E-2</v>
      </c>
      <c r="AY220" s="280">
        <v>7.4999999999999997E-2</v>
      </c>
      <c r="AZ220" s="280">
        <v>6.2E-2</v>
      </c>
      <c r="BA220" s="280">
        <v>5.6000000000000001E-2</v>
      </c>
      <c r="BB220" s="280">
        <v>5.0999999999999997E-2</v>
      </c>
      <c r="BC220" s="122">
        <f>AVERAGE(AY220:BB220)</f>
        <v>6.0999999999999999E-2</v>
      </c>
      <c r="BD220" s="280">
        <v>6.0999999999999999E-2</v>
      </c>
      <c r="BE220" s="280">
        <v>4.1000000000000002E-2</v>
      </c>
      <c r="BF220" s="280">
        <v>6.0999999999999999E-2</v>
      </c>
      <c r="BG220" s="280">
        <v>5.8000000000000003E-2</v>
      </c>
      <c r="BH220" s="122">
        <f>AVERAGE(BD220:BG220)</f>
        <v>5.525E-2</v>
      </c>
      <c r="BI220" s="280">
        <v>6.4000000000000001E-2</v>
      </c>
      <c r="BJ220" s="280">
        <v>0.05</v>
      </c>
      <c r="BK220" s="280">
        <v>4.5999999999999999E-2</v>
      </c>
      <c r="BL220" s="280">
        <v>5.1999999999999998E-2</v>
      </c>
      <c r="BM220" s="122">
        <f>AVERAGE(BI220:BL220)</f>
        <v>5.2999999999999999E-2</v>
      </c>
      <c r="BN220" s="280">
        <v>5.8000000000000003E-2</v>
      </c>
      <c r="BO220" s="280">
        <v>5.7000000000000002E-2</v>
      </c>
      <c r="BP220" s="280">
        <v>5.6000000000000001E-2</v>
      </c>
      <c r="BQ220" s="280">
        <v>6.0999999999999999E-2</v>
      </c>
      <c r="BR220" s="122">
        <f>BR171</f>
        <v>5.8000000000000003E-2</v>
      </c>
      <c r="BS220" s="280">
        <v>4.5999999999999999E-2</v>
      </c>
      <c r="BT220" s="280">
        <v>4.2999999999999997E-2</v>
      </c>
      <c r="BU220" s="280">
        <v>4.5999999999999999E-2</v>
      </c>
      <c r="BV220" s="280">
        <v>3.6999999999999998E-2</v>
      </c>
      <c r="BW220" s="122">
        <f>BW171</f>
        <v>4.3000000000000003E-2</v>
      </c>
      <c r="BX220" s="280">
        <v>1E-3</v>
      </c>
      <c r="BY220" s="280">
        <v>-1.2E-2</v>
      </c>
      <c r="BZ220" s="280">
        <v>8.9999999999999993E-3</v>
      </c>
      <c r="CA220" s="280">
        <v>-1.4E-2</v>
      </c>
      <c r="CB220" s="122">
        <f>CB171</f>
        <v>-4.0000000000000001E-3</v>
      </c>
      <c r="CC220" s="280">
        <v>2.7E-2</v>
      </c>
      <c r="CD220" s="280">
        <v>-1.6E-2</v>
      </c>
      <c r="CE220" s="280">
        <v>0</v>
      </c>
      <c r="CF220" s="280">
        <v>1.2999999999999999E-2</v>
      </c>
      <c r="CG220" s="800">
        <f>CG171</f>
        <v>4.9089530865487367E-3</v>
      </c>
      <c r="CH220" s="280">
        <v>4.0000000000000001E-3</v>
      </c>
      <c r="CI220" s="280">
        <v>4.2999999999999997E-2</v>
      </c>
      <c r="CJ220" s="280">
        <v>3.9E-2</v>
      </c>
      <c r="CK220" s="280">
        <f t="shared" ref="CK220:DF220" si="535">CK171</f>
        <v>4.5999999999999999E-2</v>
      </c>
      <c r="CL220" s="800">
        <f t="shared" si="535"/>
        <v>3.352973326058422E-2</v>
      </c>
      <c r="CM220" s="280">
        <f t="shared" si="535"/>
        <v>2.4E-2</v>
      </c>
      <c r="CN220" s="280">
        <f t="shared" si="535"/>
        <v>2.1000000000000001E-2</v>
      </c>
      <c r="CO220" s="280">
        <f t="shared" si="535"/>
        <v>-8.9999999999999993E-3</v>
      </c>
      <c r="CP220" s="280">
        <f t="shared" si="535"/>
        <v>-1.2999999999999999E-2</v>
      </c>
      <c r="CQ220" s="800">
        <f t="shared" si="535"/>
        <v>5.8539466912501332E-3</v>
      </c>
      <c r="CR220" s="280">
        <f t="shared" si="535"/>
        <v>-0.02</v>
      </c>
      <c r="CS220" s="280">
        <f t="shared" si="535"/>
        <v>-2.5999999999999999E-2</v>
      </c>
      <c r="CT220" s="280">
        <f t="shared" si="535"/>
        <v>4.0000000000000001E-3</v>
      </c>
      <c r="CU220" s="280">
        <f t="shared" si="535"/>
        <v>1.6E-2</v>
      </c>
      <c r="CV220" s="800">
        <f t="shared" si="535"/>
        <v>-7.1882673594601655E-3</v>
      </c>
      <c r="CW220" s="280">
        <f t="shared" si="535"/>
        <v>2.1999999999999999E-2</v>
      </c>
      <c r="CX220" s="280">
        <f t="shared" si="535"/>
        <v>0.02</v>
      </c>
      <c r="CY220" s="280">
        <f t="shared" si="535"/>
        <v>2.1999999999999999E-2</v>
      </c>
      <c r="CZ220" s="280">
        <f t="shared" si="535"/>
        <v>1.2999999999999999E-2</v>
      </c>
      <c r="DA220" s="800">
        <f t="shared" si="535"/>
        <v>1.9279229622152526E-2</v>
      </c>
      <c r="DB220" s="280">
        <f t="shared" si="535"/>
        <v>1.4999999999999999E-2</v>
      </c>
      <c r="DC220" s="280">
        <f t="shared" si="535"/>
        <v>2.5000000000000001E-2</v>
      </c>
      <c r="DD220" s="280">
        <f t="shared" si="535"/>
        <v>1.6E-2</v>
      </c>
      <c r="DE220" s="280">
        <f>DE171</f>
        <v>4.0000000000000001E-3</v>
      </c>
      <c r="DF220" s="800">
        <f t="shared" si="535"/>
        <v>1.5333463267307943E-2</v>
      </c>
      <c r="DG220" s="280">
        <f t="shared" ref="DG220:DL220" si="536">DG171</f>
        <v>-6.0000000000000001E-3</v>
      </c>
      <c r="DH220" s="280">
        <f t="shared" si="536"/>
        <v>-3.0000000000000001E-3</v>
      </c>
      <c r="DI220" s="280">
        <f t="shared" si="536"/>
        <v>1E-3</v>
      </c>
      <c r="DJ220" s="280">
        <f t="shared" si="536"/>
        <v>-3.0000000000000001E-3</v>
      </c>
      <c r="DK220" s="1406">
        <f t="shared" si="536"/>
        <v>-2.7029207776308618E-3</v>
      </c>
      <c r="DL220" s="280">
        <f t="shared" si="536"/>
        <v>-5.0000000000000001E-3</v>
      </c>
      <c r="DM220" s="280">
        <f t="shared" ref="DM220:DN220" si="537">DM171</f>
        <v>-8.0000000000000002E-3</v>
      </c>
      <c r="DN220" s="280">
        <f t="shared" si="537"/>
        <v>-4.0000000000000001E-3</v>
      </c>
      <c r="DO220" s="280">
        <f t="shared" ref="DO220:DQ220" si="538">DO171</f>
        <v>-2.1000000000000001E-2</v>
      </c>
      <c r="DP220" s="1406">
        <f t="shared" ref="DP220:DU220" si="539">DP171</f>
        <v>-9.3433948234053019E-3</v>
      </c>
      <c r="DQ220" s="280">
        <f t="shared" si="538"/>
        <v>-8.9999999999999993E-3</v>
      </c>
      <c r="DR220" s="280">
        <f t="shared" si="539"/>
        <v>-0.01</v>
      </c>
      <c r="DS220" s="280">
        <f t="shared" si="539"/>
        <v>-0.01</v>
      </c>
      <c r="DT220" s="280">
        <f t="shared" si="539"/>
        <v>-0.01</v>
      </c>
      <c r="DU220" s="1406">
        <f t="shared" si="539"/>
        <v>-9.7608609996138497E-3</v>
      </c>
      <c r="DV220" s="280">
        <f t="shared" ref="DV220:DZ220" si="540">DV171</f>
        <v>-0.01</v>
      </c>
      <c r="DW220" s="280">
        <f t="shared" si="540"/>
        <v>-0.01</v>
      </c>
      <c r="DX220" s="280">
        <f t="shared" si="540"/>
        <v>-0.01</v>
      </c>
      <c r="DY220" s="280">
        <f t="shared" si="540"/>
        <v>-0.01</v>
      </c>
      <c r="DZ220" s="1406">
        <f t="shared" si="540"/>
        <v>-1.0000000000000004E-2</v>
      </c>
      <c r="EA220" s="280">
        <f t="shared" ref="EA220:EE220" si="541">EA171</f>
        <v>-0.01</v>
      </c>
      <c r="EB220" s="280">
        <f t="shared" si="541"/>
        <v>-0.01</v>
      </c>
      <c r="EC220" s="280">
        <f t="shared" si="541"/>
        <v>-0.01</v>
      </c>
      <c r="ED220" s="280">
        <f t="shared" si="541"/>
        <v>-0.01</v>
      </c>
      <c r="EE220" s="1406">
        <f t="shared" si="541"/>
        <v>-0.01</v>
      </c>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row>
    <row r="221" spans="1:238" s="270" customFormat="1" ht="4.5" customHeight="1" thickBot="1">
      <c r="A221" s="277"/>
      <c r="B221" s="538"/>
      <c r="C221" s="64"/>
      <c r="D221" s="64"/>
      <c r="E221" s="64"/>
      <c r="F221" s="64"/>
      <c r="G221" s="64"/>
      <c r="H221" s="64"/>
      <c r="I221" s="64"/>
      <c r="J221" s="64"/>
      <c r="K221" s="1134"/>
      <c r="L221" s="1135"/>
      <c r="M221" s="1135"/>
      <c r="N221" s="736"/>
      <c r="O221" s="619"/>
      <c r="P221" s="1135"/>
      <c r="Q221" s="1135"/>
      <c r="R221" s="1135"/>
      <c r="S221" s="73"/>
      <c r="T221" s="64"/>
      <c r="U221" s="1135"/>
      <c r="V221" s="1135"/>
      <c r="W221" s="1135"/>
      <c r="X221" s="73"/>
      <c r="Y221" s="64"/>
      <c r="Z221" s="1135"/>
      <c r="AA221" s="1135"/>
      <c r="AB221" s="1135"/>
      <c r="AC221" s="73"/>
      <c r="AD221" s="64"/>
      <c r="AE221" s="1135"/>
      <c r="AF221" s="1135"/>
      <c r="AG221" s="1135"/>
      <c r="AH221" s="73"/>
      <c r="AI221" s="64"/>
      <c r="AJ221" s="1135"/>
      <c r="AK221" s="1135"/>
      <c r="AL221" s="1135"/>
      <c r="AM221" s="73"/>
      <c r="AN221" s="64"/>
      <c r="AO221" s="1135"/>
      <c r="AP221" s="1135"/>
      <c r="AQ221" s="1135"/>
      <c r="AR221" s="73"/>
      <c r="AS221" s="64"/>
      <c r="AT221" s="1135"/>
      <c r="AU221" s="1135"/>
      <c r="AV221" s="1135"/>
      <c r="AW221" s="73"/>
      <c r="AX221" s="64"/>
      <c r="AY221" s="1135"/>
      <c r="AZ221" s="1135"/>
      <c r="BA221" s="1135"/>
      <c r="BB221" s="73"/>
      <c r="BC221" s="64"/>
      <c r="BD221" s="1135"/>
      <c r="BE221" s="1135"/>
      <c r="BF221" s="1135"/>
      <c r="BG221" s="73"/>
      <c r="BH221" s="64"/>
      <c r="BI221" s="1135"/>
      <c r="BJ221" s="1135"/>
      <c r="BK221" s="1135"/>
      <c r="BL221" s="73"/>
      <c r="BM221" s="64"/>
      <c r="BN221" s="1135"/>
      <c r="BO221" s="1135"/>
      <c r="BP221" s="1135"/>
      <c r="BQ221" s="73"/>
      <c r="BR221" s="64"/>
      <c r="BS221" s="1135"/>
      <c r="BT221" s="1135"/>
      <c r="BU221" s="1135"/>
      <c r="BV221" s="73"/>
      <c r="BW221" s="64"/>
      <c r="BX221" s="1135"/>
      <c r="BY221" s="1135"/>
      <c r="BZ221" s="1135"/>
      <c r="CA221" s="73"/>
      <c r="CB221" s="64"/>
      <c r="CC221" s="73"/>
      <c r="CD221" s="73"/>
      <c r="CE221" s="73"/>
      <c r="CF221" s="73"/>
      <c r="CG221" s="619"/>
      <c r="CH221" s="73"/>
      <c r="CI221" s="73"/>
      <c r="CJ221" s="76"/>
      <c r="CK221" s="76"/>
      <c r="CL221" s="619"/>
      <c r="CM221" s="73"/>
      <c r="CN221" s="73"/>
      <c r="CO221" s="76"/>
      <c r="CP221" s="76"/>
      <c r="CQ221" s="619"/>
      <c r="CR221" s="76"/>
      <c r="CS221" s="76"/>
      <c r="CT221" s="76"/>
      <c r="CU221" s="76"/>
      <c r="CV221" s="619"/>
      <c r="CW221" s="76"/>
      <c r="CX221" s="76"/>
      <c r="CY221" s="76"/>
      <c r="CZ221" s="76"/>
      <c r="DA221" s="619"/>
      <c r="DB221" s="76"/>
      <c r="DC221" s="76"/>
      <c r="DD221" s="76"/>
      <c r="DE221" s="76"/>
      <c r="DF221" s="619"/>
      <c r="DG221" s="76"/>
      <c r="DH221" s="76"/>
      <c r="DI221" s="76"/>
      <c r="DJ221" s="76"/>
      <c r="DK221" s="807"/>
      <c r="DL221" s="76"/>
      <c r="DM221" s="76"/>
      <c r="DN221" s="76"/>
      <c r="DO221" s="76"/>
      <c r="DP221" s="807"/>
      <c r="DQ221" s="76"/>
      <c r="DR221" s="76"/>
      <c r="DS221" s="76"/>
      <c r="DT221" s="76"/>
      <c r="DU221" s="807"/>
      <c r="DV221" s="76"/>
      <c r="DW221" s="76"/>
      <c r="DX221" s="76"/>
      <c r="DY221" s="76"/>
      <c r="DZ221" s="807"/>
      <c r="EA221" s="76"/>
      <c r="EB221" s="76"/>
      <c r="EC221" s="76"/>
      <c r="ED221" s="76"/>
      <c r="EE221" s="807"/>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row>
    <row r="222" spans="1:238" s="202" customFormat="1" ht="10.5" customHeight="1">
      <c r="A222" s="277"/>
      <c r="B222" s="1138" t="s">
        <v>563</v>
      </c>
      <c r="C222" s="1139"/>
      <c r="D222" s="1140"/>
      <c r="E222" s="1140"/>
      <c r="F222" s="1140">
        <v>0.36699999999999999</v>
      </c>
      <c r="G222" s="1140">
        <v>0.376</v>
      </c>
      <c r="H222" s="1140">
        <v>0.38200000000000001</v>
      </c>
      <c r="I222" s="1140">
        <v>0.40799999999999997</v>
      </c>
      <c r="J222" s="1140">
        <v>0.434</v>
      </c>
      <c r="K222" s="1141"/>
      <c r="L222" s="1142"/>
      <c r="M222" s="1142"/>
      <c r="N222" s="1143"/>
      <c r="O222" s="1144">
        <v>0.45200000000000001</v>
      </c>
      <c r="P222" s="1142">
        <v>0.47</v>
      </c>
      <c r="Q222" s="1142">
        <v>0.43</v>
      </c>
      <c r="R222" s="1142">
        <v>0.41</v>
      </c>
      <c r="S222" s="1145">
        <v>0.49299999999999999</v>
      </c>
      <c r="T222" s="1140">
        <v>0.44962067632451125</v>
      </c>
      <c r="U222" s="1146">
        <v>0.495</v>
      </c>
      <c r="V222" s="1142">
        <v>0.43900000000000006</v>
      </c>
      <c r="W222" s="1142">
        <v>0.50900000000000001</v>
      </c>
      <c r="X222" s="1145">
        <v>0.504</v>
      </c>
      <c r="Y222" s="1140">
        <v>0.48583755951696533</v>
      </c>
      <c r="Z222" s="1146">
        <v>0.52600000000000002</v>
      </c>
      <c r="AA222" s="1142">
        <v>0.48699999999999999</v>
      </c>
      <c r="AB222" s="1142">
        <v>0.54</v>
      </c>
      <c r="AC222" s="1145">
        <v>0.54500000000000004</v>
      </c>
      <c r="AD222" s="1140">
        <v>0.52418881314886656</v>
      </c>
      <c r="AE222" s="1146">
        <v>0.55300000000000005</v>
      </c>
      <c r="AF222" s="1142">
        <v>0.51600000000000001</v>
      </c>
      <c r="AG222" s="1142">
        <v>0.56999999999999995</v>
      </c>
      <c r="AH222" s="1145">
        <v>0.57399999999999995</v>
      </c>
      <c r="AI222" s="1140">
        <v>0.5528665953062446</v>
      </c>
      <c r="AJ222" s="1146">
        <v>0.57499999999999996</v>
      </c>
      <c r="AK222" s="1142">
        <v>0.54</v>
      </c>
      <c r="AL222" s="1142">
        <v>0.59</v>
      </c>
      <c r="AM222" s="1145">
        <v>0.59399999999999997</v>
      </c>
      <c r="AN222" s="1140">
        <v>0.57454580676603173</v>
      </c>
      <c r="AO222" s="1146">
        <v>0.59799999999999998</v>
      </c>
      <c r="AP222" s="1142">
        <v>0.56399999999999995</v>
      </c>
      <c r="AQ222" s="1142">
        <v>0.61199999999999999</v>
      </c>
      <c r="AR222" s="1145">
        <v>0.62231282738794524</v>
      </c>
      <c r="AS222" s="1140">
        <v>0.59886719825948098</v>
      </c>
      <c r="AT222" s="1146">
        <v>0.63099974615559329</v>
      </c>
      <c r="AU222" s="1142">
        <v>0.59209999999999996</v>
      </c>
      <c r="AV222" s="1142">
        <v>0.63</v>
      </c>
      <c r="AW222" s="1145">
        <v>0.63600000000000001</v>
      </c>
      <c r="AX222" s="1140">
        <v>0.62190455155143465</v>
      </c>
      <c r="AY222" s="1146">
        <v>0.64</v>
      </c>
      <c r="AZ222" s="1142">
        <v>0.59</v>
      </c>
      <c r="BA222" s="1142">
        <v>0.64037166570966231</v>
      </c>
      <c r="BB222" s="1145">
        <v>0.64707691981287196</v>
      </c>
      <c r="BC222" s="1140">
        <v>0.62883342842365153</v>
      </c>
      <c r="BD222" s="1146">
        <v>0.65</v>
      </c>
      <c r="BE222" s="1142">
        <v>0.61199999999999999</v>
      </c>
      <c r="BF222" s="1142">
        <v>0.65</v>
      </c>
      <c r="BG222" s="1145">
        <v>0.64100000000000001</v>
      </c>
      <c r="BH222" s="1140">
        <v>0.63786870403017903</v>
      </c>
      <c r="BI222" s="1146">
        <v>0.65086447212946308</v>
      </c>
      <c r="BJ222" s="1142">
        <v>0.6228600877750905</v>
      </c>
      <c r="BK222" s="1142">
        <v>0.65689881891057222</v>
      </c>
      <c r="BL222" s="1145">
        <v>0.65160963974218777</v>
      </c>
      <c r="BM222" s="1140">
        <v>0.64542074129746563</v>
      </c>
      <c r="BN222" s="1146">
        <v>0.66035705909773157</v>
      </c>
      <c r="BO222" s="1142">
        <v>0.64781912107956696</v>
      </c>
      <c r="BP222" s="1142">
        <v>0.65913076761821443</v>
      </c>
      <c r="BQ222" s="1145">
        <v>0.65110306910880811</v>
      </c>
      <c r="BR222" s="1147">
        <v>0.65448487424274293</v>
      </c>
      <c r="BS222" s="1146">
        <v>0.66100000000000003</v>
      </c>
      <c r="BT222" s="1142">
        <v>0.628</v>
      </c>
      <c r="BU222" s="1142">
        <v>0.65500000000000003</v>
      </c>
      <c r="BV222" s="1145">
        <v>0.65300000000000002</v>
      </c>
      <c r="BW222" s="1147">
        <v>0.64889077197493661</v>
      </c>
      <c r="BX222" s="1146">
        <v>0.66</v>
      </c>
      <c r="BY222" s="1142">
        <v>0.63</v>
      </c>
      <c r="BZ222" s="1142">
        <v>0.65600000000000003</v>
      </c>
      <c r="CA222" s="1145">
        <v>0.66500000000000004</v>
      </c>
      <c r="CB222" s="1147">
        <f>(CB66+CB181)/Model!CB9</f>
        <v>0.65241217336385882</v>
      </c>
      <c r="CC222" s="1148">
        <v>0.66200000000000003</v>
      </c>
      <c r="CD222" s="1149">
        <v>0.63300000000000001</v>
      </c>
      <c r="CE222" s="1149">
        <v>0.65400000000000003</v>
      </c>
      <c r="CF222" s="1149">
        <v>0.65900000000000003</v>
      </c>
      <c r="CG222" s="1150">
        <f>(CG66+CG181)/Model!CG9</f>
        <v>0.651901735390092</v>
      </c>
      <c r="CH222" s="1149">
        <v>0.65800000000000003</v>
      </c>
      <c r="CI222" s="1149">
        <v>0.626</v>
      </c>
      <c r="CJ222" s="1149">
        <v>0.65100000000000002</v>
      </c>
      <c r="CK222" s="1149">
        <v>0.65400000000000003</v>
      </c>
      <c r="CL222" s="1150">
        <f>(CL66+CL181)/Model!CL9</f>
        <v>0.64702071096087788</v>
      </c>
      <c r="CM222" s="1149">
        <v>0.65500000000000003</v>
      </c>
      <c r="CN222" s="1149">
        <v>0.60799999999999998</v>
      </c>
      <c r="CO222" s="1149">
        <v>0.629</v>
      </c>
      <c r="CP222" s="1151">
        <v>0.63600000000000001</v>
      </c>
      <c r="CQ222" s="1144">
        <f>(CQ66+CQ181)/Model!CQ9</f>
        <v>0.6317909203858556</v>
      </c>
      <c r="CR222" s="1151">
        <v>0.63800000000000001</v>
      </c>
      <c r="CS222" s="1149">
        <v>0.61099999999999999</v>
      </c>
      <c r="CT222" s="1149">
        <v>0.63100000000000001</v>
      </c>
      <c r="CU222" s="1149">
        <v>0.63900000000000001</v>
      </c>
      <c r="CV222" s="1144">
        <f>(CV66+CV181)/Model!CV9</f>
        <v>0.62950173781796526</v>
      </c>
      <c r="CW222" s="1149">
        <v>0.64700000000000002</v>
      </c>
      <c r="CX222" s="1149">
        <v>0.622</v>
      </c>
      <c r="CY222" s="1149">
        <v>0.64400000000000002</v>
      </c>
      <c r="CZ222" s="1149">
        <v>0.65700000000000003</v>
      </c>
      <c r="DA222" s="1144">
        <f>(DA66+DA181)/Model!DA9</f>
        <v>0.64231681327887735</v>
      </c>
      <c r="DB222" s="1149">
        <v>0.66800000000000004</v>
      </c>
      <c r="DC222" s="1729">
        <v>0.64400000000000002</v>
      </c>
      <c r="DD222" s="1729">
        <v>0.66100000000000003</v>
      </c>
      <c r="DE222" s="1729">
        <v>0.66100000000000003</v>
      </c>
      <c r="DF222" s="1144">
        <f t="shared" ref="DF222" si="542">(DF66+DF181)/DF188</f>
        <v>0.6582714945538074</v>
      </c>
      <c r="DG222" s="1729">
        <v>0.68400000000000005</v>
      </c>
      <c r="DH222" s="1729">
        <v>0.65</v>
      </c>
      <c r="DI222" s="1729">
        <v>0.67400000000000004</v>
      </c>
      <c r="DJ222" s="1729">
        <v>0.69</v>
      </c>
      <c r="DK222" s="1407">
        <f>(DK66+DK181)/DK188</f>
        <v>0.67423450514307537</v>
      </c>
      <c r="DL222" s="1729">
        <v>0.69099999999999995</v>
      </c>
      <c r="DM222" s="1729">
        <v>0.66500000000000004</v>
      </c>
      <c r="DN222" s="1729">
        <v>0.69899999999999995</v>
      </c>
      <c r="DO222" s="1729">
        <v>0.72099999999999997</v>
      </c>
      <c r="DP222" s="1407">
        <f t="shared" ref="DP222:DU222" si="543">(DP66+DP181)/DP188</f>
        <v>0.69423119745252115</v>
      </c>
      <c r="DQ222" s="1729">
        <v>0.72399999999999998</v>
      </c>
      <c r="DR222" s="1142">
        <f ca="1">(DR66+DR181)/DR188</f>
        <v>0.70295423255166434</v>
      </c>
      <c r="DS222" s="1142">
        <f t="shared" ca="1" si="543"/>
        <v>0.71421078105229152</v>
      </c>
      <c r="DT222" s="1142">
        <f t="shared" si="543"/>
        <v>0.72725991872496465</v>
      </c>
      <c r="DU222" s="1407">
        <f t="shared" ca="1" si="543"/>
        <v>0.71682434928596539</v>
      </c>
      <c r="DV222" s="1142">
        <f t="shared" ref="DV222:DZ222" si="544">(DV66+DV181)/DV188</f>
        <v>0.75571484527613342</v>
      </c>
      <c r="DW222" s="1142">
        <f t="shared" ca="1" si="544"/>
        <v>0.71402701635922572</v>
      </c>
      <c r="DX222" s="1142">
        <f t="shared" ca="1" si="544"/>
        <v>0.72247380226277247</v>
      </c>
      <c r="DY222" s="1142">
        <f t="shared" si="544"/>
        <v>0.73565064874134711</v>
      </c>
      <c r="DZ222" s="1407">
        <f t="shared" ca="1" si="544"/>
        <v>0.73162898777042895</v>
      </c>
      <c r="EA222" s="1142">
        <f t="shared" ref="EA222:EE222" si="545">(EA66+EA181)/EA188</f>
        <v>0.76385149712938261</v>
      </c>
      <c r="EB222" s="1142">
        <f t="shared" ca="1" si="545"/>
        <v>0.7224749105331939</v>
      </c>
      <c r="EC222" s="1142">
        <f t="shared" ca="1" si="545"/>
        <v>0.73065756444864349</v>
      </c>
      <c r="ED222" s="1142">
        <f t="shared" si="545"/>
        <v>0.74336013563804437</v>
      </c>
      <c r="EE222" s="1407">
        <f t="shared" ca="1" si="545"/>
        <v>0.73975576738893034</v>
      </c>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row>
    <row r="223" spans="1:238" s="285" customFormat="1" ht="10.5" customHeight="1" thickBot="1">
      <c r="A223" s="277"/>
      <c r="B223" s="1152" t="s">
        <v>134</v>
      </c>
      <c r="C223" s="1153"/>
      <c r="D223" s="1154"/>
      <c r="E223" s="1154"/>
      <c r="F223" s="1154">
        <v>0.63300000000000001</v>
      </c>
      <c r="G223" s="1154">
        <v>0.624</v>
      </c>
      <c r="H223" s="1154">
        <v>0.61799999999999999</v>
      </c>
      <c r="I223" s="1154">
        <v>0.59200000000000008</v>
      </c>
      <c r="J223" s="1154">
        <v>0.56600000000000006</v>
      </c>
      <c r="K223" s="1155"/>
      <c r="L223" s="1136"/>
      <c r="M223" s="1136"/>
      <c r="N223" s="1156"/>
      <c r="O223" s="1157">
        <v>0.54800000000000004</v>
      </c>
      <c r="P223" s="1136">
        <f>1-P222</f>
        <v>0.53</v>
      </c>
      <c r="Q223" s="1136">
        <f>1-Q222</f>
        <v>0.57000000000000006</v>
      </c>
      <c r="R223" s="1136">
        <f>1-R222</f>
        <v>0.59000000000000008</v>
      </c>
      <c r="S223" s="1158">
        <f>1-S222</f>
        <v>0.50700000000000001</v>
      </c>
      <c r="T223" s="1154">
        <v>0.55037932367548881</v>
      </c>
      <c r="U223" s="1159">
        <f>1-U222</f>
        <v>0.505</v>
      </c>
      <c r="V223" s="1136">
        <f>1-V222</f>
        <v>0.56099999999999994</v>
      </c>
      <c r="W223" s="1136">
        <f>1-W222</f>
        <v>0.49099999999999999</v>
      </c>
      <c r="X223" s="1158">
        <f>1-X222</f>
        <v>0.496</v>
      </c>
      <c r="Y223" s="1154">
        <v>0.51416244048303472</v>
      </c>
      <c r="Z223" s="1159">
        <f>1-Z222</f>
        <v>0.47399999999999998</v>
      </c>
      <c r="AA223" s="1136">
        <f>1-AA222</f>
        <v>0.51300000000000001</v>
      </c>
      <c r="AB223" s="1136">
        <f>1-AB222</f>
        <v>0.45999999999999996</v>
      </c>
      <c r="AC223" s="1158">
        <f>1-AC222</f>
        <v>0.45499999999999996</v>
      </c>
      <c r="AD223" s="1154">
        <v>0.47581118685113344</v>
      </c>
      <c r="AE223" s="1159">
        <f>1-AE222</f>
        <v>0.44699999999999995</v>
      </c>
      <c r="AF223" s="1136">
        <f>1-AF222</f>
        <v>0.48399999999999999</v>
      </c>
      <c r="AG223" s="1136">
        <f>1-AG222</f>
        <v>0.43000000000000005</v>
      </c>
      <c r="AH223" s="1158">
        <f>1-AH222</f>
        <v>0.42600000000000005</v>
      </c>
      <c r="AI223" s="1154">
        <v>0.4471334046937554</v>
      </c>
      <c r="AJ223" s="1159">
        <f>1-AJ222</f>
        <v>0.42500000000000004</v>
      </c>
      <c r="AK223" s="1136">
        <f>1-AK222</f>
        <v>0.45999999999999996</v>
      </c>
      <c r="AL223" s="1136">
        <f>1-AL222</f>
        <v>0.41000000000000003</v>
      </c>
      <c r="AM223" s="1158">
        <f>1-AM222</f>
        <v>0.40600000000000003</v>
      </c>
      <c r="AN223" s="1154">
        <v>0.42545419323396827</v>
      </c>
      <c r="AO223" s="1159">
        <f>1-AO222</f>
        <v>0.40200000000000002</v>
      </c>
      <c r="AP223" s="1136">
        <f>1-AP222</f>
        <v>0.43600000000000005</v>
      </c>
      <c r="AQ223" s="1136">
        <f>1-AQ222</f>
        <v>0.38800000000000001</v>
      </c>
      <c r="AR223" s="1158">
        <f>1-AR222</f>
        <v>0.37768717261205476</v>
      </c>
      <c r="AS223" s="1154">
        <v>0.40113280174051902</v>
      </c>
      <c r="AT223" s="1159">
        <f>1-AT222</f>
        <v>0.36900025384440671</v>
      </c>
      <c r="AU223" s="1136">
        <f>1-AU222</f>
        <v>0.40790000000000004</v>
      </c>
      <c r="AV223" s="1136">
        <f>1-AV222</f>
        <v>0.37</v>
      </c>
      <c r="AW223" s="1158">
        <f>1-AW222</f>
        <v>0.36399999999999999</v>
      </c>
      <c r="AX223" s="1154">
        <v>0.37809544844856535</v>
      </c>
      <c r="AY223" s="1159">
        <f>1-AY222</f>
        <v>0.36</v>
      </c>
      <c r="AZ223" s="1136">
        <f>1-AZ222</f>
        <v>0.41000000000000003</v>
      </c>
      <c r="BA223" s="1136">
        <f>1-BA222</f>
        <v>0.35962833429033769</v>
      </c>
      <c r="BB223" s="1158">
        <f>1-BB222</f>
        <v>0.35292308018712804</v>
      </c>
      <c r="BC223" s="1154">
        <v>0.37116657157634847</v>
      </c>
      <c r="BD223" s="1159">
        <f>1-BD222</f>
        <v>0.35</v>
      </c>
      <c r="BE223" s="1136">
        <f>1-BE222</f>
        <v>0.38800000000000001</v>
      </c>
      <c r="BF223" s="1136">
        <f>1-BF222</f>
        <v>0.35</v>
      </c>
      <c r="BG223" s="1158">
        <f>1-BG222</f>
        <v>0.35899999999999999</v>
      </c>
      <c r="BH223" s="1154">
        <v>0.36213129596982097</v>
      </c>
      <c r="BI223" s="1159">
        <f>1-BI222</f>
        <v>0.34913552787053692</v>
      </c>
      <c r="BJ223" s="1136">
        <f>1-BJ222</f>
        <v>0.3771399122249095</v>
      </c>
      <c r="BK223" s="1136">
        <f>1-BK222</f>
        <v>0.34310118108942778</v>
      </c>
      <c r="BL223" s="1158">
        <f>1-BL222</f>
        <v>0.34839036025781223</v>
      </c>
      <c r="BM223" s="1154">
        <v>0.35457925870253437</v>
      </c>
      <c r="BN223" s="1159">
        <f>1-BN222</f>
        <v>0.33964294090226843</v>
      </c>
      <c r="BO223" s="1136">
        <f>1-BO222</f>
        <v>0.35218087892043304</v>
      </c>
      <c r="BP223" s="1136">
        <f>1-BP222</f>
        <v>0.34086923238178557</v>
      </c>
      <c r="BQ223" s="1158">
        <f>1-BQ222</f>
        <v>0.34889693089119189</v>
      </c>
      <c r="BR223" s="1154">
        <v>0.34551512575725707</v>
      </c>
      <c r="BS223" s="1159">
        <f>1-BS222</f>
        <v>0.33899999999999997</v>
      </c>
      <c r="BT223" s="1136">
        <f>1-BT222</f>
        <v>0.372</v>
      </c>
      <c r="BU223" s="1136">
        <f>1-BU222</f>
        <v>0.34499999999999997</v>
      </c>
      <c r="BV223" s="1158">
        <f>1-BV222</f>
        <v>0.34699999999999998</v>
      </c>
      <c r="BW223" s="1154">
        <v>0.35110922802506339</v>
      </c>
      <c r="BX223" s="1159">
        <f t="shared" ref="BX223:DF223" si="546">1-BX222</f>
        <v>0.33999999999999997</v>
      </c>
      <c r="BY223" s="1136">
        <f t="shared" si="546"/>
        <v>0.37</v>
      </c>
      <c r="BZ223" s="1136">
        <f t="shared" si="546"/>
        <v>0.34399999999999997</v>
      </c>
      <c r="CA223" s="1158">
        <f t="shared" si="546"/>
        <v>0.33499999999999996</v>
      </c>
      <c r="CB223" s="1154">
        <f t="shared" si="546"/>
        <v>0.34758782663614118</v>
      </c>
      <c r="CC223" s="1159">
        <f t="shared" si="546"/>
        <v>0.33799999999999997</v>
      </c>
      <c r="CD223" s="1136">
        <f t="shared" si="546"/>
        <v>0.36699999999999999</v>
      </c>
      <c r="CE223" s="1136">
        <f t="shared" si="546"/>
        <v>0.34599999999999997</v>
      </c>
      <c r="CF223" s="1136">
        <f t="shared" si="546"/>
        <v>0.34099999999999997</v>
      </c>
      <c r="CG223" s="1157">
        <f t="shared" si="546"/>
        <v>0.348098264609908</v>
      </c>
      <c r="CH223" s="1136">
        <f t="shared" si="546"/>
        <v>0.34199999999999997</v>
      </c>
      <c r="CI223" s="1136">
        <f t="shared" si="546"/>
        <v>0.374</v>
      </c>
      <c r="CJ223" s="1137">
        <f t="shared" si="546"/>
        <v>0.34899999999999998</v>
      </c>
      <c r="CK223" s="1137">
        <f t="shared" si="546"/>
        <v>0.34599999999999997</v>
      </c>
      <c r="CL223" s="1157">
        <f t="shared" si="546"/>
        <v>0.35297928903912212</v>
      </c>
      <c r="CM223" s="1136">
        <f t="shared" si="546"/>
        <v>0.34499999999999997</v>
      </c>
      <c r="CN223" s="1136">
        <f t="shared" si="546"/>
        <v>0.39200000000000002</v>
      </c>
      <c r="CO223" s="1137">
        <f t="shared" si="546"/>
        <v>0.371</v>
      </c>
      <c r="CP223" s="1137">
        <f t="shared" si="546"/>
        <v>0.36399999999999999</v>
      </c>
      <c r="CQ223" s="1157">
        <f t="shared" si="546"/>
        <v>0.3682090796141444</v>
      </c>
      <c r="CR223" s="1136">
        <f t="shared" si="546"/>
        <v>0.36199999999999999</v>
      </c>
      <c r="CS223" s="1136">
        <f t="shared" si="546"/>
        <v>0.38900000000000001</v>
      </c>
      <c r="CT223" s="1137">
        <f t="shared" si="546"/>
        <v>0.36899999999999999</v>
      </c>
      <c r="CU223" s="1137">
        <f t="shared" si="546"/>
        <v>0.36099999999999999</v>
      </c>
      <c r="CV223" s="1157">
        <f t="shared" si="546"/>
        <v>0.37049826218203474</v>
      </c>
      <c r="CW223" s="1136">
        <f t="shared" si="546"/>
        <v>0.35299999999999998</v>
      </c>
      <c r="CX223" s="1136">
        <f t="shared" si="546"/>
        <v>0.378</v>
      </c>
      <c r="CY223" s="1137">
        <f t="shared" si="546"/>
        <v>0.35599999999999998</v>
      </c>
      <c r="CZ223" s="1137">
        <f t="shared" si="546"/>
        <v>0.34299999999999997</v>
      </c>
      <c r="DA223" s="1157">
        <f t="shared" si="546"/>
        <v>0.35768318672112265</v>
      </c>
      <c r="DB223" s="1136">
        <f t="shared" si="546"/>
        <v>0.33199999999999996</v>
      </c>
      <c r="DC223" s="1136">
        <f t="shared" si="546"/>
        <v>0.35599999999999998</v>
      </c>
      <c r="DD223" s="1136">
        <f t="shared" si="546"/>
        <v>0.33899999999999997</v>
      </c>
      <c r="DE223" s="1136">
        <f>1-DE222</f>
        <v>0.33899999999999997</v>
      </c>
      <c r="DF223" s="1157">
        <f t="shared" si="546"/>
        <v>0.3417285054461926</v>
      </c>
      <c r="DG223" s="1136">
        <f t="shared" ref="DG223:DL223" si="547">1-DG222</f>
        <v>0.31599999999999995</v>
      </c>
      <c r="DH223" s="1136">
        <f t="shared" si="547"/>
        <v>0.35</v>
      </c>
      <c r="DI223" s="1136">
        <f t="shared" si="547"/>
        <v>0.32599999999999996</v>
      </c>
      <c r="DJ223" s="1136">
        <f t="shared" si="547"/>
        <v>0.31000000000000005</v>
      </c>
      <c r="DK223" s="1408">
        <f t="shared" si="547"/>
        <v>0.32576549485692463</v>
      </c>
      <c r="DL223" s="1136">
        <f t="shared" si="547"/>
        <v>0.30900000000000005</v>
      </c>
      <c r="DM223" s="1136">
        <f t="shared" ref="DM223:DN223" si="548">1-DM222</f>
        <v>0.33499999999999996</v>
      </c>
      <c r="DN223" s="1136">
        <f t="shared" si="548"/>
        <v>0.30100000000000005</v>
      </c>
      <c r="DO223" s="1136">
        <f t="shared" ref="DO223:DQ223" si="549">1-DO222</f>
        <v>0.27900000000000003</v>
      </c>
      <c r="DP223" s="1408">
        <f t="shared" ref="DP223:DU223" si="550">1-DP222</f>
        <v>0.30576880254747885</v>
      </c>
      <c r="DQ223" s="1136">
        <f t="shared" si="549"/>
        <v>0.27600000000000002</v>
      </c>
      <c r="DR223" s="1137">
        <f t="shared" ca="1" si="550"/>
        <v>0.29704576744833566</v>
      </c>
      <c r="DS223" s="1137">
        <f t="shared" ca="1" si="550"/>
        <v>0.28578921894770848</v>
      </c>
      <c r="DT223" s="1137">
        <f t="shared" si="550"/>
        <v>0.27274008127503535</v>
      </c>
      <c r="DU223" s="1408">
        <f t="shared" ca="1" si="550"/>
        <v>0.28317565071403461</v>
      </c>
      <c r="DV223" s="1137">
        <f t="shared" ref="DV223:DZ223" si="551">1-DV222</f>
        <v>0.24428515472386658</v>
      </c>
      <c r="DW223" s="1137">
        <f t="shared" ca="1" si="551"/>
        <v>0.28597298364077428</v>
      </c>
      <c r="DX223" s="1137">
        <f t="shared" ca="1" si="551"/>
        <v>0.27752619773722753</v>
      </c>
      <c r="DY223" s="1137">
        <f t="shared" si="551"/>
        <v>0.26434935125865289</v>
      </c>
      <c r="DZ223" s="1408">
        <f t="shared" ca="1" si="551"/>
        <v>0.26837101222957105</v>
      </c>
      <c r="EA223" s="1137">
        <f t="shared" ref="EA223:EE223" si="552">1-EA222</f>
        <v>0.23614850287061739</v>
      </c>
      <c r="EB223" s="1137">
        <f t="shared" ca="1" si="552"/>
        <v>0.2775250894668061</v>
      </c>
      <c r="EC223" s="1137">
        <f t="shared" ca="1" si="552"/>
        <v>0.26934243555135651</v>
      </c>
      <c r="ED223" s="1137">
        <f t="shared" si="552"/>
        <v>0.25663986436195563</v>
      </c>
      <c r="EE223" s="1408">
        <f t="shared" ca="1" si="552"/>
        <v>0.26024423261106966</v>
      </c>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row>
    <row r="224" spans="1:238">
      <c r="A224" s="277"/>
      <c r="CG224" s="1237"/>
      <c r="CL224" s="1237"/>
      <c r="CQ224" s="1237"/>
      <c r="CV224" s="1237"/>
      <c r="CW224" s="1689"/>
      <c r="CX224" s="1689"/>
      <c r="CY224" s="1689"/>
      <c r="CZ224" s="1689"/>
      <c r="DA224" s="1689"/>
      <c r="DB224" s="1689"/>
      <c r="DC224" s="1689"/>
      <c r="DD224" s="1689"/>
      <c r="DE224" s="1689"/>
      <c r="DF224" s="1689"/>
      <c r="DG224" s="1689"/>
      <c r="DH224" s="1689"/>
      <c r="DI224" s="1689"/>
      <c r="DJ224" s="1689"/>
      <c r="DK224" s="1689"/>
      <c r="DL224" s="1689"/>
      <c r="DM224" s="1689"/>
      <c r="DN224" s="1689"/>
      <c r="DO224" s="1689"/>
      <c r="DP224" s="1689"/>
      <c r="DQ224" s="1689"/>
      <c r="DR224" s="1689"/>
      <c r="DS224" s="1689"/>
      <c r="DT224" s="1689"/>
      <c r="DU224" s="1689"/>
      <c r="DV224" s="1689"/>
      <c r="DW224" s="1689"/>
      <c r="DX224" s="1689"/>
      <c r="DY224" s="1689"/>
      <c r="DZ224" s="1689"/>
      <c r="EA224" s="1689"/>
      <c r="EB224" s="1689"/>
      <c r="EC224" s="1689"/>
      <c r="ED224" s="1689"/>
      <c r="EE224" s="1689"/>
    </row>
    <row r="225" spans="101:135">
      <c r="CW225" s="1689"/>
      <c r="CX225" s="1689"/>
      <c r="CY225" s="1689"/>
      <c r="CZ225" s="1689"/>
      <c r="DA225" s="1689"/>
      <c r="DB225" s="1689"/>
      <c r="DC225" s="1689"/>
      <c r="DD225" s="1689"/>
      <c r="DE225" s="1689"/>
      <c r="DF225" s="1730"/>
      <c r="DG225" s="1689"/>
      <c r="DH225" s="1689"/>
      <c r="DI225" s="1689"/>
      <c r="DJ225" s="1689"/>
      <c r="DK225" s="1730"/>
      <c r="DL225" s="1730"/>
      <c r="DM225" s="1730"/>
      <c r="DN225" s="1730"/>
      <c r="DO225" s="1730"/>
      <c r="DP225" s="1730"/>
      <c r="DQ225" s="1730"/>
      <c r="DR225" s="1730"/>
      <c r="DS225" s="1730"/>
      <c r="DT225" s="1730"/>
      <c r="DU225" s="1730"/>
      <c r="DV225" s="1730"/>
      <c r="DW225" s="1730"/>
      <c r="DX225" s="1730"/>
      <c r="DY225" s="1730"/>
      <c r="DZ225" s="1730"/>
      <c r="EA225" s="1730"/>
      <c r="EB225" s="1730"/>
      <c r="EC225" s="1730"/>
      <c r="ED225" s="1730"/>
      <c r="EE225" s="1730"/>
    </row>
    <row r="226" spans="101:135">
      <c r="CW226" s="1689"/>
      <c r="CX226" s="1689"/>
      <c r="CY226" s="1689"/>
      <c r="CZ226" s="1689"/>
      <c r="DA226" s="1689"/>
      <c r="DB226" s="1689"/>
      <c r="DC226" s="1689"/>
      <c r="DD226" s="1689"/>
      <c r="DE226" s="1689"/>
      <c r="DG226" s="1689"/>
      <c r="DH226" s="1689"/>
      <c r="DI226" s="1689"/>
      <c r="DJ226" s="1689"/>
      <c r="DK226" s="1689"/>
      <c r="DL226" s="1689"/>
      <c r="DM226" s="1689"/>
      <c r="DN226" s="1730"/>
      <c r="DO226" s="1689"/>
      <c r="DP226" s="1689"/>
      <c r="DQ226" s="1689"/>
      <c r="DR226" s="1689"/>
      <c r="DS226" s="1689"/>
      <c r="DT226" s="1689"/>
      <c r="DU226" s="1689"/>
      <c r="DV226" s="1689"/>
      <c r="DW226" s="1689"/>
      <c r="DX226" s="1689"/>
      <c r="DY226" s="1689"/>
      <c r="DZ226" s="1689"/>
      <c r="EA226" s="1689"/>
      <c r="EB226" s="1689"/>
      <c r="EC226" s="1689"/>
      <c r="ED226" s="1689"/>
      <c r="EE226" s="1689"/>
    </row>
    <row r="227" spans="101:135">
      <c r="DG227"/>
      <c r="DV227"/>
      <c r="DW227"/>
      <c r="DX227"/>
      <c r="DY227"/>
      <c r="DZ227"/>
      <c r="EA227"/>
      <c r="EB227"/>
      <c r="EC227"/>
      <c r="ED227"/>
      <c r="EE227"/>
    </row>
    <row r="229" spans="101:135" outlineLevel="1">
      <c r="DA229" s="1503" t="s">
        <v>2</v>
      </c>
      <c r="DB229" s="1503" t="s">
        <v>455</v>
      </c>
      <c r="DC229" s="1503" t="s">
        <v>3</v>
      </c>
    </row>
    <row r="230" spans="101:135" outlineLevel="1">
      <c r="CZ230" s="1268" t="s">
        <v>17</v>
      </c>
      <c r="DA230" s="1609">
        <v>0.67800000000000005</v>
      </c>
      <c r="DB230" s="1608">
        <v>6.48</v>
      </c>
      <c r="DC230" s="1502">
        <f>DA230*DB230</f>
        <v>4.3934400000000009</v>
      </c>
    </row>
    <row r="231" spans="101:135" outlineLevel="1">
      <c r="CZ231" s="1268" t="s">
        <v>18</v>
      </c>
      <c r="DA231" s="1609">
        <v>0.67300000000000004</v>
      </c>
      <c r="DB231" s="1608">
        <v>6.8</v>
      </c>
      <c r="DC231" s="1502">
        <f>DA231*DB231</f>
        <v>4.5764000000000005</v>
      </c>
    </row>
    <row r="232" spans="101:135" outlineLevel="1">
      <c r="CZ232" s="1268" t="s">
        <v>19</v>
      </c>
      <c r="DA232" s="1609">
        <v>0.65200000000000002</v>
      </c>
      <c r="DB232" s="1608">
        <v>6.36</v>
      </c>
      <c r="DC232" s="1502">
        <f>DA232*DB232</f>
        <v>4.1467200000000002</v>
      </c>
    </row>
    <row r="233" spans="101:135" outlineLevel="1">
      <c r="DA233" s="1205">
        <f>DC233/DB233</f>
        <v>0.66784928716904279</v>
      </c>
      <c r="DB233" s="1502">
        <f>SUM(DB230:DB232)</f>
        <v>19.64</v>
      </c>
      <c r="DC233" s="1502">
        <f>SUM(DC230:DC232)</f>
        <v>13.116560000000002</v>
      </c>
    </row>
    <row r="234" spans="101:135" outlineLevel="1">
      <c r="DB234" s="1608">
        <v>19.553999999999998</v>
      </c>
      <c r="DC234" s="1237">
        <f>DC233/(CW73/1000)-1</f>
        <v>0.10753359595356504</v>
      </c>
    </row>
    <row r="235" spans="101:135" outlineLevel="1">
      <c r="DB235" s="1237">
        <f>DB234/DB233</f>
        <v>0.99562118126272903</v>
      </c>
      <c r="DC235" s="1502">
        <f>DB235*DC233</f>
        <v>13.059124961303462</v>
      </c>
    </row>
    <row r="236" spans="101:135" outlineLevel="1">
      <c r="CX236" s="1573"/>
      <c r="CY236" s="1573"/>
      <c r="CZ236" s="1573"/>
      <c r="DA236" s="1573"/>
      <c r="DC236" s="1237">
        <f>DC233/(CW73/1000)-1</f>
        <v>0.10753359595356504</v>
      </c>
    </row>
    <row r="237" spans="101:135">
      <c r="CX237" s="1523"/>
      <c r="CY237" s="1524"/>
      <c r="CZ237" s="1280"/>
      <c r="DA237" s="1280"/>
      <c r="DN237" s="1607"/>
    </row>
    <row r="238" spans="101:135">
      <c r="CX238" s="1523"/>
      <c r="CY238" s="1524"/>
      <c r="CZ238" s="1280"/>
      <c r="DA238" s="1280"/>
      <c r="DC238" s="1237"/>
    </row>
    <row r="239" spans="101:135">
      <c r="CX239" s="1523"/>
      <c r="CY239" s="1524"/>
      <c r="CZ239" s="1280"/>
      <c r="DA239" s="1280"/>
      <c r="DC239" s="1237"/>
      <c r="DI239" s="1689"/>
      <c r="DJ239" s="1689"/>
      <c r="DK239" s="1689"/>
      <c r="DL239" s="1689"/>
      <c r="DM239" s="1689"/>
      <c r="DN239" s="1689"/>
    </row>
    <row r="240" spans="101:135">
      <c r="CX240" s="1280"/>
      <c r="CY240" s="1237"/>
      <c r="CZ240" s="1280"/>
      <c r="DA240" s="1280"/>
      <c r="DB240" s="1575"/>
      <c r="DN240" s="1689"/>
    </row>
    <row r="241" spans="101:107">
      <c r="CW241" s="4"/>
      <c r="CX241" s="1574"/>
      <c r="CY241" s="1237"/>
      <c r="CZ241" s="1237"/>
      <c r="DA241" s="1576"/>
    </row>
    <row r="243" spans="101:107">
      <c r="CX243" s="1573"/>
    </row>
    <row r="244" spans="101:107">
      <c r="CX244" s="1524"/>
      <c r="CY244" s="1237"/>
    </row>
    <row r="245" spans="101:107">
      <c r="CX245" s="1524"/>
    </row>
    <row r="246" spans="101:107">
      <c r="CX246" s="1524"/>
    </row>
    <row r="247" spans="101:107">
      <c r="CX247" s="1524"/>
    </row>
    <row r="251" spans="101:107">
      <c r="DB251" s="1459"/>
      <c r="DC251">
        <v>750</v>
      </c>
    </row>
    <row r="252" spans="101:107">
      <c r="DC252">
        <v>375</v>
      </c>
    </row>
    <row r="253" spans="101:107">
      <c r="DC253">
        <f>SUM(DC251:DC252)</f>
        <v>1125</v>
      </c>
    </row>
  </sheetData>
  <phoneticPr fontId="55" type="noConversion"/>
  <pageMargins left="0.75" right="0.75" top="1" bottom="1" header="0.5" footer="0.5"/>
  <pageSetup scale="60" orientation="landscape" r:id="rId1"/>
  <headerFooter alignWithMargins="0"/>
  <rowBreaks count="2" manualBreakCount="2">
    <brk id="94" min="1" max="109" man="1"/>
    <brk id="155" min="1" max="109"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rgb="FFFF0000"/>
  </sheetPr>
  <dimension ref="A1:ID86"/>
  <sheetViews>
    <sheetView showGridLines="0" zoomScaleNormal="100" zoomScaleSheetLayoutView="85" workbookViewId="0">
      <pane xSplit="3" ySplit="7" topLeftCell="DF39" activePane="bottomRight" state="frozen"/>
      <selection activeCell="DJ31" sqref="DJ31"/>
      <selection pane="topRight" activeCell="DJ31" sqref="DJ31"/>
      <selection pane="bottomLeft" activeCell="DJ31" sqref="DJ31"/>
      <selection pane="bottomRight" activeCell="DK1" sqref="DF1:DK1048576"/>
    </sheetView>
  </sheetViews>
  <sheetFormatPr defaultColWidth="9.83203125" defaultRowHeight="11.25" outlineLevelRow="1" outlineLevelCol="1"/>
  <cols>
    <col min="1" max="1" width="2.33203125" customWidth="1"/>
    <col min="2" max="2" width="38.33203125" customWidth="1"/>
    <col min="3" max="3" width="2.33203125" customWidth="1"/>
    <col min="4" max="84" width="9.33203125" hidden="1" customWidth="1" outlineLevel="1"/>
    <col min="85" max="85" width="9.33203125" hidden="1" customWidth="1" collapsed="1"/>
    <col min="86" max="89" width="9.33203125" hidden="1" customWidth="1" outlineLevel="1"/>
    <col min="90" max="90" width="9.33203125" hidden="1" customWidth="1" collapsed="1"/>
    <col min="91" max="94" width="9.33203125" hidden="1" customWidth="1" outlineLevel="1"/>
    <col min="95" max="95" width="9.33203125" hidden="1" customWidth="1" collapsed="1"/>
    <col min="96" max="99" width="9.33203125" hidden="1" customWidth="1" outlineLevel="1"/>
    <col min="100" max="100" width="9.33203125" hidden="1" customWidth="1" collapsed="1"/>
    <col min="101" max="104" width="9.33203125" hidden="1" customWidth="1" outlineLevel="1"/>
    <col min="105" max="105" width="9.33203125" hidden="1" customWidth="1" collapsed="1"/>
    <col min="106" max="109" width="9.33203125" hidden="1" customWidth="1" outlineLevel="1"/>
    <col min="110" max="110" width="9.33203125" hidden="1" customWidth="1" collapsed="1"/>
    <col min="111" max="114" width="9.33203125" hidden="1" customWidth="1" outlineLevel="1"/>
    <col min="115" max="115" width="9.33203125" hidden="1" customWidth="1" collapsed="1"/>
    <col min="116" max="119" width="9.33203125" customWidth="1" outlineLevel="1"/>
    <col min="120" max="120" width="9.33203125" customWidth="1"/>
    <col min="121" max="124" width="9.33203125" customWidth="1" outlineLevel="1"/>
    <col min="125" max="125" width="9.33203125" customWidth="1"/>
    <col min="126" max="129" width="9.33203125" style="2161" hidden="1" customWidth="1" outlineLevel="1"/>
    <col min="130" max="130" width="9.33203125" style="2161" customWidth="1" collapsed="1"/>
    <col min="131" max="134" width="9.33203125" style="2248" hidden="1" customWidth="1" outlineLevel="1"/>
    <col min="135" max="135" width="9.33203125" style="2248" customWidth="1" collapsed="1"/>
    <col min="136" max="136" width="9.83203125" style="2248"/>
  </cols>
  <sheetData>
    <row r="1" spans="1:238">
      <c r="CY1" s="1237"/>
      <c r="CZ1" s="1237"/>
      <c r="DB1" s="1616"/>
      <c r="DC1" s="1616"/>
      <c r="DD1" s="1616"/>
      <c r="DE1" s="1616"/>
    </row>
    <row r="2" spans="1:238">
      <c r="CV2" s="63">
        <f>Model!CV46</f>
        <v>3.121121765911012</v>
      </c>
      <c r="CW2" s="63">
        <f>Model!CW46</f>
        <v>0.71554862194487778</v>
      </c>
      <c r="CX2" s="63">
        <f>Model!CX46</f>
        <v>0.91314724499325528</v>
      </c>
      <c r="CY2" s="63">
        <f>Model!CY46</f>
        <v>0.91256717651922292</v>
      </c>
      <c r="CZ2" s="63">
        <f>Model!CZ46</f>
        <v>0.73767951234631679</v>
      </c>
      <c r="DA2" s="63">
        <f>Model!DA46</f>
        <v>3.2789425558036727</v>
      </c>
      <c r="DB2" s="63">
        <f>Model!DB46</f>
        <v>0.78347280334728031</v>
      </c>
      <c r="DC2" s="63">
        <f>Model!DC46</f>
        <v>1.1794823172466107</v>
      </c>
      <c r="DD2" s="63">
        <f>Model!DD46</f>
        <v>1.0186865021770681</v>
      </c>
      <c r="DE2" s="63">
        <f>Model!DE46</f>
        <v>0.87891156462585029</v>
      </c>
      <c r="DF2" s="63">
        <f>Model!DF46</f>
        <v>3.8760793244140808</v>
      </c>
      <c r="DG2" s="63">
        <f>Model!DG46</f>
        <v>1.0304023302384855</v>
      </c>
      <c r="DH2" s="63">
        <f>Model!DH46</f>
        <v>1.3074237412715912</v>
      </c>
      <c r="DI2" s="63">
        <f>Model!DI46</f>
        <v>1.1836059547877229</v>
      </c>
      <c r="DJ2" s="63">
        <f>Model!DJ46</f>
        <v>1.0707070707070707</v>
      </c>
      <c r="DK2" s="63">
        <f>Model!DK46</f>
        <v>4.5921390970048703</v>
      </c>
      <c r="DL2" s="63">
        <f>Model!DL46</f>
        <v>1.1035560047780943</v>
      </c>
      <c r="DM2" s="63">
        <f>Model!DM46</f>
        <v>1.3597420543528327</v>
      </c>
      <c r="DN2" s="63">
        <f>Model!DN46</f>
        <v>1.3310548679105858</v>
      </c>
      <c r="DO2" s="63">
        <f>Model!DO46</f>
        <v>1.3072203869749881</v>
      </c>
      <c r="DP2" s="63">
        <f>Model!DP46</f>
        <v>5.1015733140165009</v>
      </c>
      <c r="DQ2" s="63">
        <f>Model!DQ46</f>
        <v>1.2807833053110473</v>
      </c>
      <c r="DR2" s="63">
        <f ca="1">Model!DR46</f>
        <v>1.5408670389247578</v>
      </c>
      <c r="DS2" s="63">
        <f ca="1">Model!DS46</f>
        <v>1.5124919489037392</v>
      </c>
      <c r="DT2" s="63">
        <f ca="1">Model!DT46</f>
        <v>1.4347913768735403</v>
      </c>
      <c r="DU2" s="63">
        <f ca="1">Model!DU46</f>
        <v>5.7689336700130847</v>
      </c>
      <c r="DV2" s="63">
        <f ca="1">Model!DV46</f>
        <v>1.416392701727091</v>
      </c>
      <c r="DW2" s="63">
        <f ca="1">Model!DW46</f>
        <v>1.6947711794590334</v>
      </c>
      <c r="DX2" s="63">
        <f ca="1">Model!DX46</f>
        <v>1.7356817259382828</v>
      </c>
      <c r="DY2" s="63">
        <f ca="1">Model!DY46</f>
        <v>1.7151326288981761</v>
      </c>
      <c r="DZ2" s="63">
        <f ca="1">Model!DZ46</f>
        <v>6.5619782360225836</v>
      </c>
      <c r="EA2" s="63">
        <f ca="1">Model!EA46</f>
        <v>1.5380194203814843</v>
      </c>
      <c r="EB2" s="63">
        <f ca="1">Model!EB46</f>
        <v>1.8091210111551781</v>
      </c>
      <c r="EC2" s="63">
        <f ca="1">Model!EC46</f>
        <v>1.8693406433696269</v>
      </c>
      <c r="ED2" s="63">
        <f ca="1">Model!ED46</f>
        <v>1.8527149195848873</v>
      </c>
      <c r="EE2" s="63">
        <f ca="1">Model!EE46</f>
        <v>7.0691959944911762</v>
      </c>
    </row>
    <row r="3" spans="1:238" ht="12" thickBot="1">
      <c r="CT3" s="1"/>
      <c r="CV3" s="1658"/>
      <c r="CW3" s="1658"/>
      <c r="CX3" s="1658"/>
      <c r="CY3" s="1658"/>
      <c r="CZ3" s="1658"/>
      <c r="DA3" s="1658"/>
      <c r="DB3" s="1658"/>
      <c r="DC3" s="1658"/>
      <c r="DD3" s="1658"/>
      <c r="DE3" s="1658"/>
      <c r="DF3" s="1658"/>
      <c r="DG3" s="1658"/>
      <c r="DH3" s="1658"/>
      <c r="DI3" s="1658"/>
      <c r="DJ3" s="1658"/>
      <c r="DK3" s="1658"/>
      <c r="DL3" s="1658"/>
      <c r="DM3" s="1658"/>
      <c r="DN3" s="1658"/>
      <c r="DO3" s="1658"/>
      <c r="DP3" s="1658"/>
      <c r="DQ3" s="1658"/>
      <c r="DR3" s="1658"/>
      <c r="DS3" s="1658"/>
      <c r="DT3" s="1658"/>
      <c r="DU3" s="1658"/>
      <c r="DV3" s="1658"/>
      <c r="DW3" s="1658"/>
      <c r="DX3" s="1658"/>
      <c r="DY3" s="1658"/>
      <c r="DZ3" s="1658"/>
      <c r="EA3" s="1658"/>
      <c r="EB3" s="1658"/>
      <c r="EC3" s="1658"/>
      <c r="ED3" s="1658"/>
      <c r="EE3" s="1658"/>
    </row>
    <row r="4" spans="1:238" s="54" customFormat="1" ht="18.75">
      <c r="B4" s="508" t="s">
        <v>52</v>
      </c>
      <c r="C4" s="509"/>
      <c r="D4" s="509"/>
      <c r="E4" s="509"/>
      <c r="F4" s="509"/>
      <c r="G4" s="509"/>
      <c r="H4" s="509"/>
      <c r="I4" s="509"/>
      <c r="J4" s="509"/>
      <c r="K4" s="509"/>
      <c r="L4" s="509"/>
      <c r="M4" s="509"/>
      <c r="N4" s="509"/>
      <c r="O4" s="509"/>
      <c r="P4" s="509"/>
      <c r="Q4" s="509"/>
      <c r="R4" s="509"/>
      <c r="S4" s="509"/>
      <c r="T4" s="509"/>
      <c r="U4" s="509"/>
      <c r="V4" s="509"/>
      <c r="W4" s="509"/>
      <c r="X4" s="509"/>
      <c r="Y4" s="509"/>
      <c r="Z4" s="509"/>
      <c r="AA4" s="509"/>
      <c r="AB4" s="509"/>
      <c r="AC4" s="509"/>
      <c r="AD4" s="509"/>
      <c r="AE4" s="509"/>
      <c r="AF4" s="509"/>
      <c r="AG4" s="509"/>
      <c r="AH4" s="509"/>
      <c r="AI4" s="509"/>
      <c r="AJ4" s="509"/>
      <c r="AK4" s="509"/>
      <c r="AL4" s="509"/>
      <c r="AM4" s="509"/>
      <c r="AN4" s="509"/>
      <c r="AO4" s="509"/>
      <c r="AP4" s="509"/>
      <c r="AQ4" s="509"/>
      <c r="AR4" s="509"/>
      <c r="AS4" s="509"/>
      <c r="AT4" s="509"/>
      <c r="AU4" s="509"/>
      <c r="AV4" s="509"/>
      <c r="AW4" s="509"/>
      <c r="AX4" s="509"/>
      <c r="AY4" s="509"/>
      <c r="AZ4" s="509"/>
      <c r="BA4" s="509"/>
      <c r="BB4" s="509"/>
      <c r="BC4" s="509"/>
      <c r="BD4" s="509"/>
      <c r="BE4" s="509"/>
      <c r="BF4" s="509"/>
      <c r="BG4" s="509"/>
      <c r="BH4" s="509"/>
      <c r="BI4" s="509"/>
      <c r="BJ4" s="509"/>
      <c r="BK4" s="509"/>
      <c r="BL4" s="509"/>
      <c r="BM4" s="509"/>
      <c r="BN4" s="509"/>
      <c r="BO4" s="509"/>
      <c r="BP4" s="509"/>
      <c r="BQ4" s="509"/>
      <c r="BR4" s="509"/>
      <c r="BS4" s="509"/>
      <c r="BT4" s="509"/>
      <c r="BU4" s="509"/>
      <c r="BV4" s="509"/>
      <c r="BW4" s="509"/>
      <c r="BX4" s="509"/>
      <c r="BY4" s="509"/>
      <c r="BZ4" s="509"/>
      <c r="CA4" s="509"/>
      <c r="CB4" s="509"/>
      <c r="CC4" s="509"/>
      <c r="CD4" s="509"/>
      <c r="CE4" s="510"/>
      <c r="CF4" s="511"/>
      <c r="CG4" s="512"/>
      <c r="CH4" s="513"/>
      <c r="CI4" s="513"/>
      <c r="CJ4" s="513"/>
      <c r="CK4" s="513"/>
      <c r="CL4" s="514"/>
      <c r="CM4" s="514"/>
      <c r="CN4" s="514"/>
      <c r="CO4" s="514"/>
      <c r="CP4" s="514"/>
      <c r="CQ4" s="515"/>
      <c r="CR4" s="516"/>
      <c r="CS4" s="509"/>
      <c r="CT4" s="517"/>
      <c r="CU4" s="518"/>
      <c r="CV4" s="509"/>
      <c r="CW4" s="517"/>
      <c r="CX4" s="517"/>
      <c r="CY4" s="519"/>
      <c r="CZ4" s="517"/>
      <c r="DA4" s="509"/>
      <c r="DB4" s="517"/>
      <c r="DC4" s="517"/>
      <c r="DD4" s="517"/>
      <c r="DE4" s="517"/>
      <c r="DF4" s="509"/>
      <c r="DG4" s="509"/>
      <c r="DH4" s="509"/>
      <c r="DI4" s="509"/>
      <c r="DJ4" s="509"/>
      <c r="DK4" s="509"/>
      <c r="DL4" s="509"/>
      <c r="DM4" s="509"/>
      <c r="DN4" s="509"/>
      <c r="DO4" s="509"/>
      <c r="DP4" s="509"/>
      <c r="DQ4" s="509"/>
      <c r="DR4" s="509"/>
      <c r="DS4" s="509"/>
      <c r="DT4" s="509"/>
      <c r="DU4" s="509"/>
      <c r="DV4" s="509"/>
      <c r="DW4" s="509"/>
      <c r="DX4" s="509"/>
      <c r="DY4" s="509"/>
      <c r="DZ4" s="509"/>
      <c r="EA4" s="509"/>
      <c r="EB4" s="509"/>
      <c r="EC4" s="509"/>
      <c r="ED4" s="509"/>
      <c r="EE4" s="509"/>
      <c r="EF4" s="2248"/>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row>
    <row r="5" spans="1:238" s="54" customFormat="1" ht="12.75" customHeight="1" thickBot="1">
      <c r="B5" s="65" t="s">
        <v>439</v>
      </c>
      <c r="C5" s="66"/>
      <c r="D5" s="66"/>
      <c r="E5" s="66"/>
      <c r="F5" s="66"/>
      <c r="G5" s="66"/>
      <c r="H5" s="66"/>
      <c r="I5" s="66"/>
      <c r="J5" s="66"/>
      <c r="K5" s="66"/>
      <c r="L5" s="66"/>
      <c r="M5" s="66"/>
      <c r="N5" s="66"/>
      <c r="O5" s="66"/>
      <c r="P5" s="66"/>
      <c r="Q5" s="66"/>
      <c r="R5" s="66"/>
      <c r="S5" s="66"/>
      <c r="T5" s="66"/>
      <c r="U5" s="66"/>
      <c r="V5" s="66"/>
      <c r="W5" s="66"/>
      <c r="X5" s="66"/>
      <c r="Y5" s="66"/>
      <c r="Z5" s="66"/>
      <c r="AA5" s="66"/>
      <c r="AB5" s="66"/>
      <c r="AC5" s="66"/>
      <c r="AD5" s="66"/>
      <c r="AE5" s="66"/>
      <c r="AF5" s="66"/>
      <c r="AG5" s="66"/>
      <c r="AH5" s="66"/>
      <c r="AI5" s="66"/>
      <c r="AJ5" s="66"/>
      <c r="AK5" s="66"/>
      <c r="AL5" s="66"/>
      <c r="AM5" s="66"/>
      <c r="AN5" s="66"/>
      <c r="AO5" s="66"/>
      <c r="AP5" s="66"/>
      <c r="AQ5" s="66"/>
      <c r="AR5" s="66"/>
      <c r="AS5" s="66"/>
      <c r="AT5" s="66"/>
      <c r="AU5" s="66"/>
      <c r="AV5" s="66"/>
      <c r="AW5" s="66"/>
      <c r="AX5" s="66"/>
      <c r="AY5" s="66"/>
      <c r="AZ5" s="66"/>
      <c r="BA5" s="66"/>
      <c r="BB5" s="66"/>
      <c r="BC5" s="66"/>
      <c r="BD5" s="66"/>
      <c r="BE5" s="66"/>
      <c r="BF5" s="66"/>
      <c r="BG5" s="66"/>
      <c r="BH5" s="66"/>
      <c r="BI5" s="66"/>
      <c r="BJ5" s="66"/>
      <c r="BK5" s="66"/>
      <c r="BL5" s="66"/>
      <c r="BM5" s="66"/>
      <c r="BN5" s="66"/>
      <c r="BO5" s="66"/>
      <c r="BP5" s="66"/>
      <c r="BQ5" s="66"/>
      <c r="BR5" s="66"/>
      <c r="BS5" s="66"/>
      <c r="BT5" s="66"/>
      <c r="BU5" s="66"/>
      <c r="BV5" s="66"/>
      <c r="BW5" s="66"/>
      <c r="BX5" s="66"/>
      <c r="BY5" s="66"/>
      <c r="BZ5" s="66"/>
      <c r="CA5" s="66"/>
      <c r="CB5" s="66"/>
      <c r="CC5" s="66"/>
      <c r="CD5" s="66"/>
      <c r="CE5" s="66"/>
      <c r="CF5" s="66"/>
      <c r="CG5" s="66"/>
      <c r="CH5" s="66"/>
      <c r="CI5" s="66"/>
      <c r="CJ5" s="66"/>
      <c r="CK5" s="66"/>
      <c r="CL5" s="66"/>
      <c r="CM5" s="66"/>
      <c r="CN5" s="66"/>
      <c r="CO5" s="66"/>
      <c r="CP5" s="66"/>
      <c r="CQ5" s="66"/>
      <c r="CR5" s="66"/>
      <c r="CS5" s="66"/>
      <c r="CT5" s="66"/>
      <c r="CU5" s="66"/>
      <c r="CV5" s="66"/>
      <c r="CW5" s="67"/>
      <c r="CX5" s="67"/>
      <c r="CY5" s="67"/>
      <c r="CZ5" s="67"/>
      <c r="DA5" s="66"/>
      <c r="DB5" s="67"/>
      <c r="DC5" s="66"/>
      <c r="DD5" s="66"/>
      <c r="DE5" s="67"/>
      <c r="DF5" s="66"/>
      <c r="DG5" s="66"/>
      <c r="DH5" s="66"/>
      <c r="DI5" s="66"/>
      <c r="DJ5" s="66"/>
      <c r="DK5" s="66"/>
      <c r="DL5" s="66"/>
      <c r="DM5" s="66"/>
      <c r="DN5" s="66"/>
      <c r="DO5" s="66"/>
      <c r="DP5" s="66"/>
      <c r="DQ5" s="66"/>
      <c r="DR5" s="66"/>
      <c r="DS5" s="66"/>
      <c r="DT5" s="66"/>
      <c r="DU5" s="66"/>
      <c r="DV5" s="66"/>
      <c r="DW5" s="66"/>
      <c r="DX5" s="66"/>
      <c r="DY5" s="66"/>
      <c r="DZ5" s="66"/>
      <c r="EA5" s="66"/>
      <c r="EB5" s="66"/>
      <c r="EC5" s="66"/>
      <c r="ED5" s="66"/>
      <c r="EE5" s="66"/>
      <c r="EF5" s="2248"/>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row>
    <row r="6" spans="1:238" s="69" customFormat="1" ht="12.75" customHeight="1" thickBot="1">
      <c r="A6" s="68"/>
      <c r="B6" s="520" t="s">
        <v>440</v>
      </c>
      <c r="C6" s="521"/>
      <c r="D6" s="522"/>
      <c r="E6" s="522"/>
      <c r="F6" s="522"/>
      <c r="G6" s="522"/>
      <c r="H6" s="522"/>
      <c r="I6" s="522"/>
      <c r="J6" s="522"/>
      <c r="K6" s="527" t="s">
        <v>143</v>
      </c>
      <c r="L6" s="528"/>
      <c r="M6" s="528"/>
      <c r="N6" s="528"/>
      <c r="O6" s="529"/>
      <c r="P6" s="527" t="s">
        <v>143</v>
      </c>
      <c r="Q6" s="528"/>
      <c r="R6" s="528"/>
      <c r="S6" s="528"/>
      <c r="T6" s="529"/>
      <c r="U6" s="527" t="s">
        <v>143</v>
      </c>
      <c r="V6" s="528"/>
      <c r="W6" s="528"/>
      <c r="X6" s="528"/>
      <c r="Y6" s="529"/>
      <c r="Z6" s="527" t="s">
        <v>143</v>
      </c>
      <c r="AA6" s="528"/>
      <c r="AB6" s="528"/>
      <c r="AC6" s="528"/>
      <c r="AD6" s="529"/>
      <c r="AE6" s="527" t="s">
        <v>143</v>
      </c>
      <c r="AF6" s="528"/>
      <c r="AG6" s="528"/>
      <c r="AH6" s="528"/>
      <c r="AI6" s="529"/>
      <c r="AJ6" s="527" t="s">
        <v>143</v>
      </c>
      <c r="AK6" s="528"/>
      <c r="AL6" s="528"/>
      <c r="AM6" s="528"/>
      <c r="AN6" s="529"/>
      <c r="AO6" s="527" t="s">
        <v>143</v>
      </c>
      <c r="AP6" s="528"/>
      <c r="AQ6" s="528"/>
      <c r="AR6" s="528"/>
      <c r="AS6" s="529"/>
      <c r="AT6" s="527" t="s">
        <v>143</v>
      </c>
      <c r="AU6" s="528"/>
      <c r="AV6" s="528"/>
      <c r="AW6" s="528"/>
      <c r="AX6" s="529"/>
      <c r="AY6" s="527" t="s">
        <v>143</v>
      </c>
      <c r="AZ6" s="528"/>
      <c r="BA6" s="528"/>
      <c r="BB6" s="528"/>
      <c r="BC6" s="529"/>
      <c r="BD6" s="527" t="s">
        <v>143</v>
      </c>
      <c r="BE6" s="528"/>
      <c r="BF6" s="528"/>
      <c r="BG6" s="528"/>
      <c r="BH6" s="529"/>
      <c r="BI6" s="527" t="s">
        <v>143</v>
      </c>
      <c r="BJ6" s="528"/>
      <c r="BK6" s="528"/>
      <c r="BL6" s="528"/>
      <c r="BM6" s="529"/>
      <c r="BN6" s="527" t="s">
        <v>143</v>
      </c>
      <c r="BO6" s="528"/>
      <c r="BP6" s="528"/>
      <c r="BQ6" s="528"/>
      <c r="BR6" s="529"/>
      <c r="BS6" s="527" t="s">
        <v>143</v>
      </c>
      <c r="BT6" s="528"/>
      <c r="BU6" s="528"/>
      <c r="BV6" s="528"/>
      <c r="BW6" s="529"/>
      <c r="BX6" s="527" t="s">
        <v>143</v>
      </c>
      <c r="BY6" s="528"/>
      <c r="BZ6" s="528"/>
      <c r="CA6" s="528"/>
      <c r="CB6" s="529"/>
      <c r="CC6" s="527" t="s">
        <v>143</v>
      </c>
      <c r="CD6" s="528"/>
      <c r="CE6" s="528"/>
      <c r="CF6" s="528"/>
      <c r="CG6" s="529"/>
      <c r="CH6" s="528" t="s">
        <v>143</v>
      </c>
      <c r="CI6" s="528"/>
      <c r="CJ6" s="528"/>
      <c r="CK6" s="528"/>
      <c r="CL6" s="529"/>
      <c r="CM6" s="528" t="s">
        <v>143</v>
      </c>
      <c r="CN6" s="528"/>
      <c r="CO6" s="528"/>
      <c r="CP6" s="528"/>
      <c r="CQ6" s="529"/>
      <c r="CR6" s="528" t="s">
        <v>143</v>
      </c>
      <c r="CS6" s="528"/>
      <c r="CT6" s="528"/>
      <c r="CU6" s="528"/>
      <c r="CV6" s="529"/>
      <c r="CW6" s="528" t="s">
        <v>143</v>
      </c>
      <c r="CX6" s="528"/>
      <c r="CY6" s="528"/>
      <c r="CZ6" s="528"/>
      <c r="DA6" s="529"/>
      <c r="DB6" s="528" t="s">
        <v>143</v>
      </c>
      <c r="DC6" s="528"/>
      <c r="DD6" s="528"/>
      <c r="DE6" s="528"/>
      <c r="DF6" s="529"/>
      <c r="DG6" s="528" t="s">
        <v>143</v>
      </c>
      <c r="DH6" s="528"/>
      <c r="DI6" s="528"/>
      <c r="DJ6" s="528"/>
      <c r="DK6" s="529"/>
      <c r="DL6" s="528" t="s">
        <v>143</v>
      </c>
      <c r="DM6" s="528"/>
      <c r="DN6" s="528"/>
      <c r="DO6" s="528"/>
      <c r="DP6" s="529"/>
      <c r="DQ6" s="528" t="s">
        <v>143</v>
      </c>
      <c r="DR6" s="528"/>
      <c r="DS6" s="528"/>
      <c r="DT6" s="528"/>
      <c r="DU6" s="529"/>
      <c r="DV6" s="528" t="s">
        <v>143</v>
      </c>
      <c r="DW6" s="528"/>
      <c r="DX6" s="528"/>
      <c r="DY6" s="528"/>
      <c r="DZ6" s="529"/>
      <c r="EA6" s="528" t="s">
        <v>143</v>
      </c>
      <c r="EB6" s="528"/>
      <c r="EC6" s="528"/>
      <c r="ED6" s="528"/>
      <c r="EE6" s="529"/>
      <c r="EF6" s="2248"/>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row>
    <row r="7" spans="1:238" s="69" customFormat="1" ht="12.75" customHeight="1" thickBot="1">
      <c r="A7" s="68"/>
      <c r="B7" s="523" t="s">
        <v>406</v>
      </c>
      <c r="C7" s="524"/>
      <c r="D7" s="525">
        <v>1989</v>
      </c>
      <c r="E7" s="525">
        <f t="shared" ref="E7:J7" si="0">D7+1</f>
        <v>1990</v>
      </c>
      <c r="F7" s="525">
        <f t="shared" si="0"/>
        <v>1991</v>
      </c>
      <c r="G7" s="525">
        <f t="shared" si="0"/>
        <v>1992</v>
      </c>
      <c r="H7" s="525">
        <f t="shared" si="0"/>
        <v>1993</v>
      </c>
      <c r="I7" s="525">
        <f t="shared" si="0"/>
        <v>1994</v>
      </c>
      <c r="J7" s="526">
        <f t="shared" si="0"/>
        <v>1995</v>
      </c>
      <c r="K7" s="531" t="s">
        <v>144</v>
      </c>
      <c r="L7" s="532" t="s">
        <v>145</v>
      </c>
      <c r="M7" s="532" t="s">
        <v>146</v>
      </c>
      <c r="N7" s="533" t="s">
        <v>147</v>
      </c>
      <c r="O7" s="534">
        <f>J7+1</f>
        <v>1996</v>
      </c>
      <c r="P7" s="531" t="s">
        <v>144</v>
      </c>
      <c r="Q7" s="532" t="s">
        <v>145</v>
      </c>
      <c r="R7" s="532" t="s">
        <v>146</v>
      </c>
      <c r="S7" s="533" t="s">
        <v>147</v>
      </c>
      <c r="T7" s="534">
        <f>O7+1</f>
        <v>1997</v>
      </c>
      <c r="U7" s="531" t="s">
        <v>144</v>
      </c>
      <c r="V7" s="532" t="s">
        <v>145</v>
      </c>
      <c r="W7" s="532" t="s">
        <v>146</v>
      </c>
      <c r="X7" s="533" t="s">
        <v>147</v>
      </c>
      <c r="Y7" s="534">
        <f>T7+1</f>
        <v>1998</v>
      </c>
      <c r="Z7" s="531" t="s">
        <v>144</v>
      </c>
      <c r="AA7" s="532" t="s">
        <v>145</v>
      </c>
      <c r="AB7" s="532" t="s">
        <v>146</v>
      </c>
      <c r="AC7" s="533" t="s">
        <v>147</v>
      </c>
      <c r="AD7" s="534">
        <f>Y7+1</f>
        <v>1999</v>
      </c>
      <c r="AE7" s="531" t="s">
        <v>144</v>
      </c>
      <c r="AF7" s="532" t="s">
        <v>145</v>
      </c>
      <c r="AG7" s="532" t="s">
        <v>146</v>
      </c>
      <c r="AH7" s="533" t="s">
        <v>147</v>
      </c>
      <c r="AI7" s="534">
        <f>AD7+1</f>
        <v>2000</v>
      </c>
      <c r="AJ7" s="531" t="s">
        <v>144</v>
      </c>
      <c r="AK7" s="532" t="s">
        <v>145</v>
      </c>
      <c r="AL7" s="532" t="s">
        <v>146</v>
      </c>
      <c r="AM7" s="533" t="s">
        <v>147</v>
      </c>
      <c r="AN7" s="534">
        <f>AI7+1</f>
        <v>2001</v>
      </c>
      <c r="AO7" s="531" t="s">
        <v>144</v>
      </c>
      <c r="AP7" s="532" t="s">
        <v>145</v>
      </c>
      <c r="AQ7" s="532" t="s">
        <v>146</v>
      </c>
      <c r="AR7" s="533" t="s">
        <v>147</v>
      </c>
      <c r="AS7" s="534">
        <f>AN7+1</f>
        <v>2002</v>
      </c>
      <c r="AT7" s="531" t="s">
        <v>144</v>
      </c>
      <c r="AU7" s="532" t="s">
        <v>145</v>
      </c>
      <c r="AV7" s="532" t="s">
        <v>146</v>
      </c>
      <c r="AW7" s="533" t="s">
        <v>147</v>
      </c>
      <c r="AX7" s="534">
        <f>AS7+1</f>
        <v>2003</v>
      </c>
      <c r="AY7" s="531" t="s">
        <v>144</v>
      </c>
      <c r="AZ7" s="532" t="s">
        <v>145</v>
      </c>
      <c r="BA7" s="532" t="s">
        <v>146</v>
      </c>
      <c r="BB7" s="533" t="s">
        <v>147</v>
      </c>
      <c r="BC7" s="534">
        <f>AX7+1</f>
        <v>2004</v>
      </c>
      <c r="BD7" s="531" t="s">
        <v>144</v>
      </c>
      <c r="BE7" s="532" t="s">
        <v>145</v>
      </c>
      <c r="BF7" s="532" t="s">
        <v>146</v>
      </c>
      <c r="BG7" s="533" t="s">
        <v>147</v>
      </c>
      <c r="BH7" s="534">
        <f>BC7+1</f>
        <v>2005</v>
      </c>
      <c r="BI7" s="531" t="s">
        <v>144</v>
      </c>
      <c r="BJ7" s="532" t="s">
        <v>145</v>
      </c>
      <c r="BK7" s="532" t="s">
        <v>146</v>
      </c>
      <c r="BL7" s="533" t="s">
        <v>147</v>
      </c>
      <c r="BM7" s="534">
        <f>BH7+1</f>
        <v>2006</v>
      </c>
      <c r="BN7" s="531" t="s">
        <v>144</v>
      </c>
      <c r="BO7" s="532" t="s">
        <v>145</v>
      </c>
      <c r="BP7" s="532" t="s">
        <v>146</v>
      </c>
      <c r="BQ7" s="533" t="s">
        <v>147</v>
      </c>
      <c r="BR7" s="534">
        <f>BM7+1</f>
        <v>2007</v>
      </c>
      <c r="BS7" s="531" t="s">
        <v>144</v>
      </c>
      <c r="BT7" s="532" t="s">
        <v>145</v>
      </c>
      <c r="BU7" s="532" t="s">
        <v>146</v>
      </c>
      <c r="BV7" s="533" t="s">
        <v>147</v>
      </c>
      <c r="BW7" s="534">
        <f>BR7+1</f>
        <v>2008</v>
      </c>
      <c r="BX7" s="531" t="s">
        <v>144</v>
      </c>
      <c r="BY7" s="532" t="s">
        <v>145</v>
      </c>
      <c r="BZ7" s="532" t="s">
        <v>146</v>
      </c>
      <c r="CA7" s="533" t="s">
        <v>147</v>
      </c>
      <c r="CB7" s="534">
        <f>BW7+1</f>
        <v>2009</v>
      </c>
      <c r="CC7" s="531" t="s">
        <v>144</v>
      </c>
      <c r="CD7" s="532" t="s">
        <v>145</v>
      </c>
      <c r="CE7" s="532" t="s">
        <v>146</v>
      </c>
      <c r="CF7" s="532" t="s">
        <v>147</v>
      </c>
      <c r="CG7" s="534">
        <f>CB7+1</f>
        <v>2010</v>
      </c>
      <c r="CH7" s="532" t="s">
        <v>144</v>
      </c>
      <c r="CI7" s="532" t="s">
        <v>145</v>
      </c>
      <c r="CJ7" s="532" t="s">
        <v>146</v>
      </c>
      <c r="CK7" s="532" t="s">
        <v>147</v>
      </c>
      <c r="CL7" s="534">
        <f>CG7+1</f>
        <v>2011</v>
      </c>
      <c r="CM7" s="532" t="s">
        <v>144</v>
      </c>
      <c r="CN7" s="532" t="s">
        <v>145</v>
      </c>
      <c r="CO7" s="532" t="s">
        <v>146</v>
      </c>
      <c r="CP7" s="532" t="s">
        <v>147</v>
      </c>
      <c r="CQ7" s="534">
        <f>CL7+1</f>
        <v>2012</v>
      </c>
      <c r="CR7" s="530" t="s">
        <v>144</v>
      </c>
      <c r="CS7" s="530" t="s">
        <v>145</v>
      </c>
      <c r="CT7" s="530" t="s">
        <v>146</v>
      </c>
      <c r="CU7" s="530" t="s">
        <v>147</v>
      </c>
      <c r="CV7" s="534">
        <f>CQ7+1</f>
        <v>2013</v>
      </c>
      <c r="CW7" s="530" t="s">
        <v>144</v>
      </c>
      <c r="CX7" s="530" t="s">
        <v>145</v>
      </c>
      <c r="CY7" s="530" t="s">
        <v>146</v>
      </c>
      <c r="CZ7" s="530" t="s">
        <v>147</v>
      </c>
      <c r="DA7" s="534">
        <f>CV7+1</f>
        <v>2014</v>
      </c>
      <c r="DB7" s="530" t="s">
        <v>144</v>
      </c>
      <c r="DC7" s="530" t="s">
        <v>145</v>
      </c>
      <c r="DD7" s="530" t="s">
        <v>146</v>
      </c>
      <c r="DE7" s="530" t="s">
        <v>147</v>
      </c>
      <c r="DF7" s="534">
        <f>DA7+1</f>
        <v>2015</v>
      </c>
      <c r="DG7" s="530" t="s">
        <v>144</v>
      </c>
      <c r="DH7" s="530" t="s">
        <v>145</v>
      </c>
      <c r="DI7" s="530" t="s">
        <v>146</v>
      </c>
      <c r="DJ7" s="530" t="s">
        <v>150</v>
      </c>
      <c r="DK7" s="682">
        <f>DF7+1</f>
        <v>2016</v>
      </c>
      <c r="DL7" s="530" t="s">
        <v>482</v>
      </c>
      <c r="DM7" s="530" t="s">
        <v>148</v>
      </c>
      <c r="DN7" s="530" t="s">
        <v>146</v>
      </c>
      <c r="DO7" s="530" t="s">
        <v>147</v>
      </c>
      <c r="DP7" s="534">
        <f>DK7+1</f>
        <v>2017</v>
      </c>
      <c r="DQ7" s="530" t="str">
        <f>'US Retail'!DQ7</f>
        <v>1QA</v>
      </c>
      <c r="DR7" s="530" t="s">
        <v>148</v>
      </c>
      <c r="DS7" s="530" t="s">
        <v>149</v>
      </c>
      <c r="DT7" s="530" t="s">
        <v>150</v>
      </c>
      <c r="DU7" s="682">
        <f>DP7+1</f>
        <v>2018</v>
      </c>
      <c r="DV7" s="530" t="s">
        <v>482</v>
      </c>
      <c r="DW7" s="530" t="s">
        <v>148</v>
      </c>
      <c r="DX7" s="530" t="s">
        <v>149</v>
      </c>
      <c r="DY7" s="530" t="s">
        <v>150</v>
      </c>
      <c r="DZ7" s="682">
        <f>DU7+1</f>
        <v>2019</v>
      </c>
      <c r="EA7" s="530" t="s">
        <v>482</v>
      </c>
      <c r="EB7" s="530" t="s">
        <v>148</v>
      </c>
      <c r="EC7" s="530" t="s">
        <v>149</v>
      </c>
      <c r="ED7" s="530" t="s">
        <v>150</v>
      </c>
      <c r="EE7" s="682">
        <f>DZ7+1</f>
        <v>2020</v>
      </c>
      <c r="EF7" s="2248"/>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row>
    <row r="8" spans="1:238" s="54" customFormat="1" ht="12.75" hidden="1" customHeight="1" outlineLevel="1">
      <c r="B8" s="1999"/>
      <c r="C8" s="477"/>
      <c r="D8" s="478"/>
      <c r="E8" s="478"/>
      <c r="F8" s="2000"/>
      <c r="G8" s="2000"/>
      <c r="H8" s="2000"/>
      <c r="I8" s="2000"/>
      <c r="J8" s="2001"/>
      <c r="K8" s="2002"/>
      <c r="L8" s="2003"/>
      <c r="M8" s="2003"/>
      <c r="N8" s="2004"/>
      <c r="O8" s="2001"/>
      <c r="P8" s="2002"/>
      <c r="Q8" s="2003"/>
      <c r="R8" s="2003"/>
      <c r="S8" s="2004"/>
      <c r="T8" s="2001"/>
      <c r="U8" s="2002"/>
      <c r="V8" s="2003"/>
      <c r="W8" s="2003"/>
      <c r="X8" s="2004"/>
      <c r="Y8" s="2001"/>
      <c r="Z8" s="2002"/>
      <c r="AA8" s="2003"/>
      <c r="AB8" s="2003"/>
      <c r="AC8" s="2004"/>
      <c r="AD8" s="2001"/>
      <c r="AE8" s="2002"/>
      <c r="AF8" s="2003"/>
      <c r="AG8" s="2003"/>
      <c r="AH8" s="2004"/>
      <c r="AI8" s="2005"/>
      <c r="AJ8" s="2002"/>
      <c r="AK8" s="2003"/>
      <c r="AL8" s="2003"/>
      <c r="AM8" s="2004"/>
      <c r="AN8" s="2005"/>
      <c r="AO8" s="2002"/>
      <c r="AP8" s="2003"/>
      <c r="AQ8" s="2003"/>
      <c r="AR8" s="2004"/>
      <c r="AS8" s="478"/>
      <c r="AT8" s="2002"/>
      <c r="AU8" s="2003"/>
      <c r="AV8" s="2003"/>
      <c r="AW8" s="2004"/>
      <c r="AX8" s="478"/>
      <c r="AY8" s="2002"/>
      <c r="AZ8" s="2003"/>
      <c r="BA8" s="2003"/>
      <c r="BB8" s="2004"/>
      <c r="BC8" s="478"/>
      <c r="BD8" s="2002"/>
      <c r="BE8" s="2003"/>
      <c r="BF8" s="2003"/>
      <c r="BG8" s="2004"/>
      <c r="BH8" s="478"/>
      <c r="BI8" s="2002"/>
      <c r="BJ8" s="2003"/>
      <c r="BK8" s="2003"/>
      <c r="BL8" s="2004"/>
      <c r="BM8" s="478"/>
      <c r="BN8" s="2002"/>
      <c r="BO8" s="2003"/>
      <c r="BP8" s="2003"/>
      <c r="BQ8" s="2004"/>
      <c r="BR8" s="478"/>
      <c r="BS8" s="2002">
        <v>39416</v>
      </c>
      <c r="BT8" s="2003">
        <v>39507</v>
      </c>
      <c r="BU8" s="2003">
        <v>39599</v>
      </c>
      <c r="BV8" s="2004">
        <v>39691</v>
      </c>
      <c r="BW8" s="478"/>
      <c r="BX8" s="2002">
        <v>39782</v>
      </c>
      <c r="BY8" s="2003">
        <v>39872</v>
      </c>
      <c r="BZ8" s="2003">
        <v>39964</v>
      </c>
      <c r="CA8" s="2004">
        <v>40056</v>
      </c>
      <c r="CB8" s="478"/>
      <c r="CC8" s="2002">
        <v>40147</v>
      </c>
      <c r="CD8" s="2003">
        <v>40237</v>
      </c>
      <c r="CE8" s="2003">
        <v>40329</v>
      </c>
      <c r="CF8" s="2003">
        <v>40421</v>
      </c>
      <c r="CG8" s="1263"/>
      <c r="CH8" s="2003">
        <v>40512</v>
      </c>
      <c r="CI8" s="2003">
        <v>40602</v>
      </c>
      <c r="CJ8" s="2003">
        <v>40694</v>
      </c>
      <c r="CK8" s="2006">
        <v>40786</v>
      </c>
      <c r="CL8" s="2007">
        <f>CK8</f>
        <v>40786</v>
      </c>
      <c r="CM8" s="2003">
        <v>40877</v>
      </c>
      <c r="CN8" s="2003">
        <v>40968</v>
      </c>
      <c r="CO8" s="2003">
        <v>41060</v>
      </c>
      <c r="CP8" s="2003">
        <v>41152</v>
      </c>
      <c r="CQ8" s="2007">
        <f>CP8</f>
        <v>41152</v>
      </c>
      <c r="CR8" s="2003">
        <v>41243</v>
      </c>
      <c r="CS8" s="2003">
        <v>41333</v>
      </c>
      <c r="CT8" s="2003">
        <v>41425</v>
      </c>
      <c r="CU8" s="2003">
        <v>41517</v>
      </c>
      <c r="CV8" s="2007">
        <f>CU8</f>
        <v>41517</v>
      </c>
      <c r="CW8" s="2003">
        <f>EOMONTH(CU8,3)</f>
        <v>41608</v>
      </c>
      <c r="CX8" s="2003">
        <f>EOMONTH(CW8,3)</f>
        <v>41698</v>
      </c>
      <c r="CY8" s="2003">
        <f>EOMONTH(CX8,3)</f>
        <v>41790</v>
      </c>
      <c r="CZ8" s="2003">
        <f>EOMONTH(CY8,3)</f>
        <v>41882</v>
      </c>
      <c r="DA8" s="2007">
        <f>CZ8</f>
        <v>41882</v>
      </c>
      <c r="DB8" s="2003">
        <f>EOMONTH(CZ8,3)</f>
        <v>41973</v>
      </c>
      <c r="DC8" s="2003">
        <f>EOMONTH(DB8,3)</f>
        <v>42063</v>
      </c>
      <c r="DD8" s="2003">
        <f>EOMONTH(DC8,3)</f>
        <v>42155</v>
      </c>
      <c r="DE8" s="2003">
        <f>EOMONTH(DD8,3)</f>
        <v>42247</v>
      </c>
      <c r="DF8" s="2007">
        <f>DE8</f>
        <v>42247</v>
      </c>
      <c r="DG8" s="2007"/>
      <c r="DH8" s="2007"/>
      <c r="DI8" s="2007"/>
      <c r="DJ8" s="2007"/>
      <c r="DK8" s="2007">
        <f>EOMONTH(DF8,12)</f>
        <v>42613</v>
      </c>
      <c r="DL8" s="2007"/>
      <c r="DM8" s="2007"/>
      <c r="DN8" s="2007"/>
      <c r="DO8" s="2007"/>
      <c r="DP8" s="2007">
        <f>EOMONTH(DK8,12)</f>
        <v>42978</v>
      </c>
      <c r="DQ8" s="2007"/>
      <c r="DR8" s="2007"/>
      <c r="DS8" s="2007"/>
      <c r="DT8" s="2007"/>
      <c r="DU8" s="2007">
        <f>EOMONTH(DP8,12)</f>
        <v>43343</v>
      </c>
      <c r="DV8" s="2007"/>
      <c r="DW8" s="2007"/>
      <c r="DX8" s="2007"/>
      <c r="DY8" s="2007"/>
      <c r="DZ8" s="2007">
        <f>EOMONTH(DU8,12)</f>
        <v>43708</v>
      </c>
      <c r="EA8" s="2007"/>
      <c r="EB8" s="2007"/>
      <c r="EC8" s="2007"/>
      <c r="ED8" s="2007"/>
      <c r="EE8" s="2007">
        <f>EOMONTH(DZ8,12)</f>
        <v>44074</v>
      </c>
      <c r="EF8" s="224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row>
    <row r="9" spans="1:238" s="54" customFormat="1" ht="5.25" customHeight="1" collapsed="1">
      <c r="B9" s="676"/>
      <c r="C9" s="477"/>
      <c r="D9" s="477"/>
      <c r="E9" s="477"/>
      <c r="F9" s="477"/>
      <c r="G9" s="477"/>
      <c r="H9" s="595"/>
      <c r="I9" s="477"/>
      <c r="J9" s="477"/>
      <c r="K9" s="2008"/>
      <c r="L9" s="478"/>
      <c r="M9" s="478"/>
      <c r="N9" s="2009"/>
      <c r="O9" s="477"/>
      <c r="P9" s="2008"/>
      <c r="Q9" s="478"/>
      <c r="R9" s="478"/>
      <c r="S9" s="2009"/>
      <c r="T9" s="477"/>
      <c r="U9" s="2008"/>
      <c r="V9" s="478"/>
      <c r="W9" s="478"/>
      <c r="X9" s="2009"/>
      <c r="Y9" s="477"/>
      <c r="Z9" s="2008"/>
      <c r="AA9" s="478"/>
      <c r="AB9" s="478"/>
      <c r="AC9" s="2009"/>
      <c r="AD9" s="477"/>
      <c r="AE9" s="2008"/>
      <c r="AF9" s="478"/>
      <c r="AG9" s="478"/>
      <c r="AH9" s="2009"/>
      <c r="AI9" s="477"/>
      <c r="AJ9" s="2008"/>
      <c r="AK9" s="478"/>
      <c r="AL9" s="478"/>
      <c r="AM9" s="2009"/>
      <c r="AN9" s="477"/>
      <c r="AO9" s="2008"/>
      <c r="AP9" s="478"/>
      <c r="AQ9" s="478"/>
      <c r="AR9" s="2009"/>
      <c r="AS9" s="477"/>
      <c r="AT9" s="2008"/>
      <c r="AU9" s="478"/>
      <c r="AV9" s="478"/>
      <c r="AW9" s="2009"/>
      <c r="AX9" s="477"/>
      <c r="AY9" s="2008"/>
      <c r="AZ9" s="478"/>
      <c r="BA9" s="478"/>
      <c r="BB9" s="2009"/>
      <c r="BC9" s="477"/>
      <c r="BD9" s="2008"/>
      <c r="BE9" s="478"/>
      <c r="BF9" s="478"/>
      <c r="BG9" s="2009"/>
      <c r="BH9" s="477"/>
      <c r="BI9" s="2008"/>
      <c r="BJ9" s="478"/>
      <c r="BK9" s="478"/>
      <c r="BL9" s="2009"/>
      <c r="BM9" s="477"/>
      <c r="BN9" s="2008"/>
      <c r="BO9" s="478"/>
      <c r="BP9" s="478"/>
      <c r="BQ9" s="2009"/>
      <c r="BR9" s="477"/>
      <c r="BS9" s="2008"/>
      <c r="BT9" s="478"/>
      <c r="BU9" s="478"/>
      <c r="BV9" s="2009"/>
      <c r="BW9" s="477"/>
      <c r="BX9" s="2008"/>
      <c r="BY9" s="478"/>
      <c r="BZ9" s="478"/>
      <c r="CA9" s="2009"/>
      <c r="CB9" s="477"/>
      <c r="CC9" s="2008"/>
      <c r="CD9" s="478"/>
      <c r="CE9" s="478"/>
      <c r="CF9" s="478"/>
      <c r="CG9" s="844"/>
      <c r="CH9" s="478"/>
      <c r="CI9" s="478"/>
      <c r="CJ9" s="478"/>
      <c r="CK9" s="478"/>
      <c r="CL9" s="844"/>
      <c r="CM9" s="478"/>
      <c r="CN9" s="478"/>
      <c r="CO9" s="478"/>
      <c r="CP9" s="478"/>
      <c r="CQ9" s="844"/>
      <c r="CR9" s="478"/>
      <c r="CS9" s="478"/>
      <c r="CT9" s="478"/>
      <c r="CU9" s="478"/>
      <c r="CV9" s="844"/>
      <c r="CW9" s="478"/>
      <c r="CX9" s="478"/>
      <c r="CY9" s="478"/>
      <c r="CZ9" s="478"/>
      <c r="DA9" s="844"/>
      <c r="DB9" s="478"/>
      <c r="DC9" s="478"/>
      <c r="DD9" s="478"/>
      <c r="DE9" s="478"/>
      <c r="DF9" s="844"/>
      <c r="DG9" s="477"/>
      <c r="DH9" s="477"/>
      <c r="DI9" s="477"/>
      <c r="DJ9" s="664"/>
      <c r="DK9" s="844"/>
      <c r="DL9" s="676"/>
      <c r="DM9" s="477"/>
      <c r="DN9" s="477"/>
      <c r="DO9" s="664"/>
      <c r="DP9" s="844"/>
      <c r="DQ9" s="676"/>
      <c r="DR9" s="477"/>
      <c r="DS9" s="477"/>
      <c r="DT9" s="664"/>
      <c r="DU9" s="844"/>
      <c r="DV9" s="676"/>
      <c r="DW9" s="477"/>
      <c r="DX9" s="477"/>
      <c r="DY9" s="664"/>
      <c r="DZ9" s="844"/>
      <c r="EA9" s="676"/>
      <c r="EB9" s="477"/>
      <c r="EC9" s="477"/>
      <c r="ED9" s="664"/>
      <c r="EE9" s="844"/>
      <c r="EF9" s="2248"/>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row>
    <row r="10" spans="1:238" s="68" customFormat="1" ht="12.75" customHeight="1">
      <c r="B10" s="540" t="s">
        <v>515</v>
      </c>
      <c r="C10" s="83"/>
      <c r="D10" s="83"/>
      <c r="E10" s="83"/>
      <c r="F10" s="83"/>
      <c r="G10" s="83"/>
      <c r="H10" s="84"/>
      <c r="I10" s="83"/>
      <c r="J10" s="83"/>
      <c r="K10" s="85"/>
      <c r="L10" s="86"/>
      <c r="M10" s="86"/>
      <c r="N10" s="87"/>
      <c r="O10" s="83"/>
      <c r="P10" s="85"/>
      <c r="Q10" s="86"/>
      <c r="R10" s="86"/>
      <c r="S10" s="87"/>
      <c r="T10" s="83"/>
      <c r="U10" s="85"/>
      <c r="V10" s="86"/>
      <c r="W10" s="86"/>
      <c r="X10" s="87"/>
      <c r="Y10" s="83"/>
      <c r="Z10" s="85"/>
      <c r="AA10" s="86"/>
      <c r="AB10" s="86"/>
      <c r="AC10" s="87"/>
      <c r="AD10" s="83"/>
      <c r="AE10" s="85"/>
      <c r="AF10" s="86"/>
      <c r="AG10" s="86"/>
      <c r="AH10" s="87"/>
      <c r="AI10" s="83"/>
      <c r="AJ10" s="85"/>
      <c r="AK10" s="86"/>
      <c r="AL10" s="86"/>
      <c r="AM10" s="87"/>
      <c r="AN10" s="83"/>
      <c r="AO10" s="85"/>
      <c r="AP10" s="86"/>
      <c r="AQ10" s="86"/>
      <c r="AR10" s="87"/>
      <c r="AS10" s="83"/>
      <c r="AT10" s="85"/>
      <c r="AU10" s="86"/>
      <c r="AV10" s="86"/>
      <c r="AW10" s="87"/>
      <c r="AX10" s="83"/>
      <c r="AY10" s="85"/>
      <c r="AZ10" s="86"/>
      <c r="BA10" s="86"/>
      <c r="BB10" s="87"/>
      <c r="BC10" s="83"/>
      <c r="BD10" s="85"/>
      <c r="BE10" s="86"/>
      <c r="BF10" s="86"/>
      <c r="BG10" s="87"/>
      <c r="BH10" s="83"/>
      <c r="BI10" s="85"/>
      <c r="BJ10" s="86"/>
      <c r="BK10" s="86"/>
      <c r="BL10" s="87"/>
      <c r="BM10" s="83"/>
      <c r="BN10" s="85"/>
      <c r="BO10" s="86"/>
      <c r="BP10" s="86"/>
      <c r="BQ10" s="87"/>
      <c r="BR10" s="83"/>
      <c r="BS10" s="85"/>
      <c r="BT10" s="86"/>
      <c r="BU10" s="86"/>
      <c r="BV10" s="87"/>
      <c r="BW10" s="83"/>
      <c r="BX10" s="85"/>
      <c r="BY10" s="86"/>
      <c r="BZ10" s="86"/>
      <c r="CA10" s="87"/>
      <c r="CB10" s="83"/>
      <c r="CC10" s="85"/>
      <c r="CD10" s="86"/>
      <c r="CE10" s="86"/>
      <c r="CF10" s="86"/>
      <c r="CG10" s="795"/>
      <c r="CH10" s="86"/>
      <c r="CI10" s="86"/>
      <c r="CJ10" s="86"/>
      <c r="CK10" s="86"/>
      <c r="CL10" s="795"/>
      <c r="CM10" s="86"/>
      <c r="CN10" s="86"/>
      <c r="CO10" s="86"/>
      <c r="CP10" s="86"/>
      <c r="CQ10" s="795"/>
      <c r="CR10" s="86"/>
      <c r="CS10" s="86"/>
      <c r="CT10" s="86"/>
      <c r="CU10" s="86"/>
      <c r="CV10" s="795"/>
      <c r="CW10" s="86"/>
      <c r="CX10" s="86"/>
      <c r="CY10" s="86"/>
      <c r="CZ10" s="86"/>
      <c r="DA10" s="795"/>
      <c r="DB10" s="86"/>
      <c r="DC10" s="86"/>
      <c r="DD10" s="86"/>
      <c r="DE10" s="86"/>
      <c r="DF10" s="795"/>
      <c r="DG10" s="83"/>
      <c r="DH10" s="83"/>
      <c r="DI10" s="83"/>
      <c r="DJ10" s="83"/>
      <c r="DK10" s="1409"/>
      <c r="DL10" s="86"/>
      <c r="DM10" s="86"/>
      <c r="DN10" s="86"/>
      <c r="DO10" s="1746"/>
      <c r="DP10" s="1409"/>
      <c r="DQ10" s="86"/>
      <c r="DR10" s="86"/>
      <c r="DS10" s="86"/>
      <c r="DT10" s="1746"/>
      <c r="DU10" s="1409"/>
      <c r="DV10" s="86"/>
      <c r="DW10" s="86"/>
      <c r="DX10" s="86"/>
      <c r="DY10" s="1746"/>
      <c r="DZ10" s="1409"/>
      <c r="EA10" s="86"/>
      <c r="EB10" s="86"/>
      <c r="EC10" s="86"/>
      <c r="ED10" s="1746"/>
      <c r="EE10" s="1409"/>
      <c r="EF10" s="2248"/>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row>
    <row r="11" spans="1:238" s="69" customFormat="1" ht="12.75" customHeight="1">
      <c r="B11" s="1958" t="s">
        <v>526</v>
      </c>
      <c r="C11" s="70"/>
      <c r="D11" s="70"/>
      <c r="E11" s="70"/>
      <c r="F11" s="70"/>
      <c r="G11" s="70"/>
      <c r="H11" s="89"/>
      <c r="I11" s="70"/>
      <c r="J11" s="70"/>
      <c r="K11" s="90"/>
      <c r="L11" s="71"/>
      <c r="M11" s="71"/>
      <c r="N11" s="91"/>
      <c r="O11" s="70"/>
      <c r="P11" s="90"/>
      <c r="Q11" s="71"/>
      <c r="R11" s="71"/>
      <c r="S11" s="91"/>
      <c r="T11" s="70"/>
      <c r="U11" s="90"/>
      <c r="V11" s="71"/>
      <c r="W11" s="71"/>
      <c r="X11" s="91"/>
      <c r="Y11" s="70"/>
      <c r="Z11" s="90"/>
      <c r="AA11" s="71"/>
      <c r="AB11" s="71"/>
      <c r="AC11" s="91"/>
      <c r="AD11" s="70"/>
      <c r="AE11" s="90"/>
      <c r="AF11" s="71"/>
      <c r="AG11" s="71"/>
      <c r="AH11" s="91"/>
      <c r="AI11" s="70"/>
      <c r="AJ11" s="90"/>
      <c r="AK11" s="71"/>
      <c r="AL11" s="71"/>
      <c r="AM11" s="91"/>
      <c r="AN11" s="70"/>
      <c r="AO11" s="90"/>
      <c r="AP11" s="71"/>
      <c r="AQ11" s="71"/>
      <c r="AR11" s="91"/>
      <c r="AS11" s="70"/>
      <c r="AT11" s="90"/>
      <c r="AU11" s="71"/>
      <c r="AV11" s="71"/>
      <c r="AW11" s="91"/>
      <c r="AX11" s="70"/>
      <c r="AY11" s="90"/>
      <c r="AZ11" s="71"/>
      <c r="BA11" s="71"/>
      <c r="BB11" s="91"/>
      <c r="BC11" s="70"/>
      <c r="BD11" s="90"/>
      <c r="BE11" s="71"/>
      <c r="BF11" s="71"/>
      <c r="BG11" s="91"/>
      <c r="BH11" s="70"/>
      <c r="BI11" s="90"/>
      <c r="BJ11" s="71"/>
      <c r="BK11" s="71"/>
      <c r="BL11" s="91"/>
      <c r="BM11" s="70"/>
      <c r="BN11" s="90"/>
      <c r="BO11" s="71"/>
      <c r="BP11" s="71"/>
      <c r="BQ11" s="91"/>
      <c r="BR11" s="70"/>
      <c r="BS11" s="90"/>
      <c r="BT11" s="71"/>
      <c r="BU11" s="71"/>
      <c r="BV11" s="91"/>
      <c r="BW11" s="70"/>
      <c r="BX11" s="90"/>
      <c r="BY11" s="71"/>
      <c r="BZ11" s="71"/>
      <c r="CA11" s="91"/>
      <c r="CB11" s="70"/>
      <c r="CC11" s="90"/>
      <c r="CD11" s="71"/>
      <c r="CE11" s="71"/>
      <c r="CF11" s="71"/>
      <c r="CG11" s="796"/>
      <c r="CH11" s="71"/>
      <c r="CI11" s="71"/>
      <c r="CJ11" s="71"/>
      <c r="CK11" s="71"/>
      <c r="CL11" s="796"/>
      <c r="CM11" s="71"/>
      <c r="CN11" s="71"/>
      <c r="CO11" s="71"/>
      <c r="CP11" s="71"/>
      <c r="CQ11" s="796"/>
      <c r="CR11" s="71"/>
      <c r="CS11" s="71"/>
      <c r="CT11" s="71"/>
      <c r="CU11" s="71"/>
      <c r="CV11" s="796"/>
      <c r="CW11" s="71"/>
      <c r="CX11" s="71"/>
      <c r="CY11" s="71"/>
      <c r="CZ11" s="71"/>
      <c r="DA11" s="796"/>
      <c r="DB11" s="71"/>
      <c r="DC11" s="1549">
        <f t="shared" ref="DC11:DE12" si="1">DC$13*DC39</f>
        <v>746.29</v>
      </c>
      <c r="DD11" s="1549">
        <f t="shared" si="1"/>
        <v>1260.0900000000001</v>
      </c>
      <c r="DE11" s="1549">
        <f t="shared" si="1"/>
        <v>1329.51</v>
      </c>
      <c r="DF11" s="1961">
        <f>SUM(DB11:DE11)</f>
        <v>3335.8900000000003</v>
      </c>
      <c r="DG11" s="1549">
        <f t="shared" ref="DG11:DH11" si="2">DG$13*DG39</f>
        <v>1349.01</v>
      </c>
      <c r="DH11" s="1549">
        <f t="shared" si="2"/>
        <v>1414.53</v>
      </c>
      <c r="DI11" s="1549">
        <f t="shared" ref="DI11" si="3">DI$13*DI39</f>
        <v>1158.8399999999999</v>
      </c>
      <c r="DJ11" s="1549">
        <f t="shared" ref="DJ11:DL11" si="4">DJ$13*DJ39</f>
        <v>1100.75</v>
      </c>
      <c r="DK11" s="1962">
        <f>SUM(DG11:DJ11)</f>
        <v>5023.13</v>
      </c>
      <c r="DL11" s="1549">
        <f t="shared" si="4"/>
        <v>1095.94</v>
      </c>
      <c r="DM11" s="1549">
        <f t="shared" ref="DM11:DN11" si="5">DM$13*DM39</f>
        <v>995.42099999999982</v>
      </c>
      <c r="DN11" s="1549">
        <f t="shared" si="5"/>
        <v>901.68899999999985</v>
      </c>
      <c r="DO11" s="1549">
        <f t="shared" ref="DO11:DQ11" si="6">DO$13*DO39</f>
        <v>944.06099999999981</v>
      </c>
      <c r="DP11" s="1962">
        <f>SUM(DL11:DO11)</f>
        <v>3937.1109999999994</v>
      </c>
      <c r="DQ11" s="1549">
        <f t="shared" si="6"/>
        <v>989.6429999999998</v>
      </c>
      <c r="DR11" s="1549">
        <f t="shared" ref="DR11:DT12" si="7">DR$13*DR39</f>
        <v>1117.737981384045</v>
      </c>
      <c r="DS11" s="1549">
        <f t="shared" si="7"/>
        <v>997.85900474429752</v>
      </c>
      <c r="DT11" s="1554">
        <f t="shared" si="7"/>
        <v>1015.4106457032046</v>
      </c>
      <c r="DU11" s="1962">
        <f>SUM(DQ11:DT11)</f>
        <v>4120.6506318315469</v>
      </c>
      <c r="DV11" s="1549">
        <f t="shared" ref="DV11:DY11" si="8">DV$13*DV39</f>
        <v>1026.0370005856141</v>
      </c>
      <c r="DW11" s="1549">
        <f t="shared" si="8"/>
        <v>1159.0753419837058</v>
      </c>
      <c r="DX11" s="1549">
        <f t="shared" si="8"/>
        <v>1034.7510846997341</v>
      </c>
      <c r="DY11" s="1554">
        <f t="shared" si="8"/>
        <v>1052.9396742977758</v>
      </c>
      <c r="DZ11" s="1962">
        <f>SUM(DV11:DY11)</f>
        <v>4272.8031015668303</v>
      </c>
      <c r="EA11" s="1549">
        <f t="shared" ref="EA11:ED11" si="9">EA$13*EA39</f>
        <v>1063.9467319225969</v>
      </c>
      <c r="EB11" s="1549">
        <f t="shared" si="9"/>
        <v>1201.8869800361006</v>
      </c>
      <c r="EC11" s="1549">
        <f t="shared" si="9"/>
        <v>1072.9586163482268</v>
      </c>
      <c r="ED11" s="1554">
        <f t="shared" si="9"/>
        <v>1091.8065750268884</v>
      </c>
      <c r="EE11" s="1962">
        <f>SUM(EA11:ED11)</f>
        <v>4430.5989033338128</v>
      </c>
      <c r="EF11" s="1957"/>
      <c r="EG11" s="1957"/>
      <c r="EH11" s="1957"/>
      <c r="EI11" s="1957"/>
      <c r="EJ11"/>
      <c r="EK11"/>
      <c r="EL11"/>
      <c r="EM11"/>
      <c r="EN11"/>
      <c r="EO11"/>
      <c r="EP11" s="1957"/>
      <c r="EQ11" s="1957"/>
      <c r="ER11" s="1957"/>
      <c r="ES11" s="1957"/>
      <c r="ET11" s="1957"/>
      <c r="EU11" s="1957"/>
      <c r="EV11" s="1957"/>
      <c r="EW11" s="1957"/>
      <c r="EX11" s="1957"/>
      <c r="EY11" s="1957"/>
      <c r="EZ11" s="1957"/>
      <c r="FA11" s="1957"/>
      <c r="FB11" s="1957"/>
      <c r="FC11" s="1957"/>
      <c r="FD11" s="1957"/>
      <c r="FE11" s="1957"/>
      <c r="FF11" s="1957"/>
      <c r="FG11" s="1957"/>
      <c r="FH11" s="1957"/>
      <c r="FI11" s="1957"/>
      <c r="FJ11" s="1957"/>
      <c r="FK11" s="1957"/>
      <c r="FL11" s="1957"/>
      <c r="FM11" s="1957"/>
      <c r="FN11" s="1957"/>
      <c r="FO11" s="1957"/>
      <c r="FP11" s="1957"/>
      <c r="FQ11" s="1957"/>
      <c r="FR11" s="1957"/>
      <c r="FS11" s="1957"/>
      <c r="FT11" s="1957"/>
      <c r="FU11" s="1957"/>
      <c r="FV11" s="1957"/>
      <c r="FW11" s="1957"/>
      <c r="FX11" s="1957"/>
      <c r="FY11" s="1957"/>
      <c r="FZ11" s="1957"/>
      <c r="GA11" s="1957"/>
      <c r="GB11" s="1957"/>
      <c r="GC11" s="1957"/>
      <c r="GD11" s="1957"/>
      <c r="GE11" s="1957"/>
      <c r="GF11" s="1957"/>
      <c r="GG11" s="1957"/>
      <c r="GH11" s="1957"/>
      <c r="GI11" s="1957"/>
      <c r="GJ11" s="1957"/>
      <c r="GK11" s="1957"/>
      <c r="GL11" s="1957"/>
      <c r="GM11" s="1957"/>
      <c r="GN11" s="1957"/>
      <c r="GO11" s="1957"/>
      <c r="GP11" s="1957"/>
      <c r="GQ11" s="1957"/>
      <c r="GR11" s="1957"/>
      <c r="GS11" s="1957"/>
      <c r="GT11" s="1957"/>
      <c r="GU11" s="1957"/>
      <c r="GV11" s="1957"/>
      <c r="GW11" s="1957"/>
      <c r="GX11" s="1957"/>
      <c r="GY11" s="1957"/>
      <c r="GZ11" s="1957"/>
      <c r="HA11" s="1957"/>
      <c r="HB11" s="1957"/>
      <c r="HC11" s="1957"/>
      <c r="HD11" s="1957"/>
      <c r="HE11" s="1957"/>
      <c r="HF11" s="1957"/>
      <c r="HG11" s="1957"/>
      <c r="HH11" s="1957"/>
      <c r="HI11" s="1957"/>
      <c r="HJ11" s="1957"/>
      <c r="HK11" s="1957"/>
      <c r="HL11" s="1957"/>
      <c r="HM11" s="1957"/>
      <c r="HN11" s="1957"/>
      <c r="HO11" s="1957"/>
      <c r="HP11" s="1957"/>
      <c r="HQ11" s="1957"/>
      <c r="HR11" s="1957"/>
      <c r="HS11" s="1957"/>
      <c r="HT11" s="1957"/>
      <c r="HU11" s="1957"/>
      <c r="HV11" s="1957"/>
      <c r="HW11" s="1957"/>
      <c r="HX11" s="1957"/>
      <c r="HY11" s="1957"/>
      <c r="HZ11" s="1957"/>
      <c r="IA11" s="1957"/>
      <c r="IB11" s="1957"/>
      <c r="IC11" s="1957"/>
      <c r="ID11" s="1957"/>
    </row>
    <row r="12" spans="1:238" s="69" customFormat="1" ht="12.75" customHeight="1">
      <c r="B12" s="1964" t="s">
        <v>527</v>
      </c>
      <c r="C12" s="2015"/>
      <c r="D12" s="2015"/>
      <c r="E12" s="2015"/>
      <c r="F12" s="2015"/>
      <c r="G12" s="2015"/>
      <c r="H12" s="2016"/>
      <c r="I12" s="2015"/>
      <c r="J12" s="2015"/>
      <c r="K12" s="2017"/>
      <c r="L12" s="2018"/>
      <c r="M12" s="2018"/>
      <c r="N12" s="2019"/>
      <c r="O12" s="2015"/>
      <c r="P12" s="2017"/>
      <c r="Q12" s="2018"/>
      <c r="R12" s="2018"/>
      <c r="S12" s="2019"/>
      <c r="T12" s="2015"/>
      <c r="U12" s="2017"/>
      <c r="V12" s="2018"/>
      <c r="W12" s="2018"/>
      <c r="X12" s="2019"/>
      <c r="Y12" s="2015"/>
      <c r="Z12" s="2017"/>
      <c r="AA12" s="2018"/>
      <c r="AB12" s="2018"/>
      <c r="AC12" s="2019"/>
      <c r="AD12" s="2015"/>
      <c r="AE12" s="2017"/>
      <c r="AF12" s="2018"/>
      <c r="AG12" s="2018"/>
      <c r="AH12" s="2019"/>
      <c r="AI12" s="2015"/>
      <c r="AJ12" s="2017"/>
      <c r="AK12" s="2018"/>
      <c r="AL12" s="2018"/>
      <c r="AM12" s="2019"/>
      <c r="AN12" s="2015"/>
      <c r="AO12" s="2017"/>
      <c r="AP12" s="2018"/>
      <c r="AQ12" s="2018"/>
      <c r="AR12" s="2019"/>
      <c r="AS12" s="2015"/>
      <c r="AT12" s="2017"/>
      <c r="AU12" s="2018"/>
      <c r="AV12" s="2018"/>
      <c r="AW12" s="2019"/>
      <c r="AX12" s="2015"/>
      <c r="AY12" s="2017"/>
      <c r="AZ12" s="2018"/>
      <c r="BA12" s="2018"/>
      <c r="BB12" s="2019"/>
      <c r="BC12" s="2015"/>
      <c r="BD12" s="2017"/>
      <c r="BE12" s="2018"/>
      <c r="BF12" s="2018"/>
      <c r="BG12" s="2019"/>
      <c r="BH12" s="2015"/>
      <c r="BI12" s="2017"/>
      <c r="BJ12" s="2018"/>
      <c r="BK12" s="2018"/>
      <c r="BL12" s="2019"/>
      <c r="BM12" s="2015"/>
      <c r="BN12" s="2017"/>
      <c r="BO12" s="2018"/>
      <c r="BP12" s="2018"/>
      <c r="BQ12" s="2019"/>
      <c r="BR12" s="2015"/>
      <c r="BS12" s="2017"/>
      <c r="BT12" s="2018"/>
      <c r="BU12" s="2018"/>
      <c r="BV12" s="2019"/>
      <c r="BW12" s="2015"/>
      <c r="BX12" s="2017"/>
      <c r="BY12" s="2018"/>
      <c r="BZ12" s="2018"/>
      <c r="CA12" s="2019"/>
      <c r="CB12" s="2015"/>
      <c r="CC12" s="2017"/>
      <c r="CD12" s="2018"/>
      <c r="CE12" s="2018"/>
      <c r="CF12" s="2018"/>
      <c r="CG12" s="2020"/>
      <c r="CH12" s="2018"/>
      <c r="CI12" s="2018"/>
      <c r="CJ12" s="2018"/>
      <c r="CK12" s="2018"/>
      <c r="CL12" s="2020"/>
      <c r="CM12" s="2018"/>
      <c r="CN12" s="2018"/>
      <c r="CO12" s="2018"/>
      <c r="CP12" s="2018"/>
      <c r="CQ12" s="2020"/>
      <c r="CR12" s="2018"/>
      <c r="CS12" s="2018"/>
      <c r="CT12" s="2018"/>
      <c r="CU12" s="2018"/>
      <c r="CV12" s="2020"/>
      <c r="CW12" s="2018"/>
      <c r="CX12" s="2018"/>
      <c r="CY12" s="2018"/>
      <c r="CZ12" s="2018"/>
      <c r="DA12" s="2020"/>
      <c r="DB12" s="2018"/>
      <c r="DC12" s="1537">
        <f t="shared" si="1"/>
        <v>1270.71</v>
      </c>
      <c r="DD12" s="1537">
        <f t="shared" si="1"/>
        <v>1970.9099999999999</v>
      </c>
      <c r="DE12" s="1537">
        <f t="shared" si="1"/>
        <v>2079.4899999999998</v>
      </c>
      <c r="DF12" s="1967">
        <f>SUM(DB12:DE12)</f>
        <v>5321.11</v>
      </c>
      <c r="DG12" s="1537">
        <f t="shared" ref="DG12:DH12" si="10">DG$13*DG40</f>
        <v>2109.9899999999998</v>
      </c>
      <c r="DH12" s="1537">
        <f t="shared" si="10"/>
        <v>2212.4699999999998</v>
      </c>
      <c r="DI12" s="1537">
        <f t="shared" ref="DI12" si="11">DI$13*DI40</f>
        <v>1973.16</v>
      </c>
      <c r="DJ12" s="1537">
        <f t="shared" ref="DJ12:DL12" si="12">DJ$13*DJ40</f>
        <v>1874.25</v>
      </c>
      <c r="DK12" s="1968">
        <f>SUM(DG12:DJ12)</f>
        <v>8169.869999999999</v>
      </c>
      <c r="DL12" s="1537">
        <f t="shared" si="12"/>
        <v>1866.06</v>
      </c>
      <c r="DM12" s="1537">
        <f t="shared" ref="DM12:DN12" si="13">DM$13*DM40</f>
        <v>2105.5790000000002</v>
      </c>
      <c r="DN12" s="1537">
        <f t="shared" si="13"/>
        <v>1907.3110000000001</v>
      </c>
      <c r="DO12" s="1537">
        <f t="shared" ref="DO12:DQ12" si="14">DO$13*DO40</f>
        <v>1996.9390000000001</v>
      </c>
      <c r="DP12" s="1968">
        <f>SUM(DL12:DO12)</f>
        <v>7875.889000000001</v>
      </c>
      <c r="DQ12" s="1537">
        <f t="shared" si="14"/>
        <v>2093.357</v>
      </c>
      <c r="DR12" s="1537">
        <f t="shared" si="7"/>
        <v>2364.3118048590864</v>
      </c>
      <c r="DS12" s="1537">
        <f t="shared" si="7"/>
        <v>2110.7360256117699</v>
      </c>
      <c r="DT12" s="1555">
        <f t="shared" si="7"/>
        <v>2147.8623938706419</v>
      </c>
      <c r="DU12" s="1968">
        <f>SUM(DQ12:DT12)</f>
        <v>8716.2672243414981</v>
      </c>
      <c r="DV12" s="1537">
        <f t="shared" ref="DV12:DY12" si="15">DV$13*DV40</f>
        <v>2170.3399482792279</v>
      </c>
      <c r="DW12" s="1537">
        <f t="shared" si="15"/>
        <v>2451.7512685574343</v>
      </c>
      <c r="DX12" s="1537">
        <f t="shared" si="15"/>
        <v>2188.7725436483474</v>
      </c>
      <c r="DY12" s="1555">
        <f t="shared" si="15"/>
        <v>2227.2462269414018</v>
      </c>
      <c r="DZ12" s="1968">
        <f>SUM(DV12:DY12)</f>
        <v>9038.109987426411</v>
      </c>
      <c r="EA12" s="1537">
        <f t="shared" ref="EA12:ED12" si="16">EA$13*EA40</f>
        <v>2250.5290684593256</v>
      </c>
      <c r="EB12" s="1537">
        <f t="shared" si="16"/>
        <v>2542.3092194533097</v>
      </c>
      <c r="EC12" s="1537">
        <f t="shared" si="16"/>
        <v>2269.5915903440687</v>
      </c>
      <c r="ED12" s="1555">
        <f t="shared" si="16"/>
        <v>2309.4600138419232</v>
      </c>
      <c r="EE12" s="1968">
        <f>SUM(EA12:ED12)</f>
        <v>9371.8898920986267</v>
      </c>
      <c r="EF12" s="1957"/>
      <c r="EG12" s="1957"/>
      <c r="EH12" s="1957"/>
      <c r="EI12" s="1957"/>
      <c r="EJ12"/>
      <c r="EK12"/>
      <c r="EL12"/>
      <c r="EM12"/>
      <c r="EN12"/>
      <c r="EO12"/>
      <c r="EP12" s="1957"/>
      <c r="EQ12" s="1957"/>
      <c r="ER12" s="1957"/>
      <c r="ES12" s="1957"/>
      <c r="ET12" s="1957"/>
      <c r="EU12" s="1957"/>
      <c r="EV12" s="1957"/>
      <c r="EW12" s="1957"/>
      <c r="EX12" s="1957"/>
      <c r="EY12" s="1957"/>
      <c r="EZ12" s="1957"/>
      <c r="FA12" s="1957"/>
      <c r="FB12" s="1957"/>
      <c r="FC12" s="1957"/>
      <c r="FD12" s="1957"/>
      <c r="FE12" s="1957"/>
      <c r="FF12" s="1957"/>
      <c r="FG12" s="1957"/>
      <c r="FH12" s="1957"/>
      <c r="FI12" s="1957"/>
      <c r="FJ12" s="1957"/>
      <c r="FK12" s="1957"/>
      <c r="FL12" s="1957"/>
      <c r="FM12" s="1957"/>
      <c r="FN12" s="1957"/>
      <c r="FO12" s="1957"/>
      <c r="FP12" s="1957"/>
      <c r="FQ12" s="1957"/>
      <c r="FR12" s="1957"/>
      <c r="FS12" s="1957"/>
      <c r="FT12" s="1957"/>
      <c r="FU12" s="1957"/>
      <c r="FV12" s="1957"/>
      <c r="FW12" s="1957"/>
      <c r="FX12" s="1957"/>
      <c r="FY12" s="1957"/>
      <c r="FZ12" s="1957"/>
      <c r="GA12" s="1957"/>
      <c r="GB12" s="1957"/>
      <c r="GC12" s="1957"/>
      <c r="GD12" s="1957"/>
      <c r="GE12" s="1957"/>
      <c r="GF12" s="1957"/>
      <c r="GG12" s="1957"/>
      <c r="GH12" s="1957"/>
      <c r="GI12" s="1957"/>
      <c r="GJ12" s="1957"/>
      <c r="GK12" s="1957"/>
      <c r="GL12" s="1957"/>
      <c r="GM12" s="1957"/>
      <c r="GN12" s="1957"/>
      <c r="GO12" s="1957"/>
      <c r="GP12" s="1957"/>
      <c r="GQ12" s="1957"/>
      <c r="GR12" s="1957"/>
      <c r="GS12" s="1957"/>
      <c r="GT12" s="1957"/>
      <c r="GU12" s="1957"/>
      <c r="GV12" s="1957"/>
      <c r="GW12" s="1957"/>
      <c r="GX12" s="1957"/>
      <c r="GY12" s="1957"/>
      <c r="GZ12" s="1957"/>
      <c r="HA12" s="1957"/>
      <c r="HB12" s="1957"/>
      <c r="HC12" s="1957"/>
      <c r="HD12" s="1957"/>
      <c r="HE12" s="1957"/>
      <c r="HF12" s="1957"/>
      <c r="HG12" s="1957"/>
      <c r="HH12" s="1957"/>
      <c r="HI12" s="1957"/>
      <c r="HJ12" s="1957"/>
      <c r="HK12" s="1957"/>
      <c r="HL12" s="1957"/>
      <c r="HM12" s="1957"/>
      <c r="HN12" s="1957"/>
      <c r="HO12" s="1957"/>
      <c r="HP12" s="1957"/>
      <c r="HQ12" s="1957"/>
      <c r="HR12" s="1957"/>
      <c r="HS12" s="1957"/>
      <c r="HT12" s="1957"/>
      <c r="HU12" s="1957"/>
      <c r="HV12" s="1957"/>
      <c r="HW12" s="1957"/>
      <c r="HX12" s="1957"/>
      <c r="HY12" s="1957"/>
      <c r="HZ12" s="1957"/>
      <c r="IA12" s="1957"/>
      <c r="IB12" s="1957"/>
      <c r="IC12" s="1957"/>
      <c r="ID12" s="1957"/>
    </row>
    <row r="13" spans="1:238" s="69" customFormat="1" ht="12.75" customHeight="1">
      <c r="B13" s="541" t="s">
        <v>455</v>
      </c>
      <c r="C13" s="70"/>
      <c r="D13" s="70"/>
      <c r="E13" s="70"/>
      <c r="F13" s="70"/>
      <c r="G13" s="70"/>
      <c r="H13" s="89"/>
      <c r="I13" s="70"/>
      <c r="J13" s="70"/>
      <c r="K13" s="90"/>
      <c r="L13" s="71"/>
      <c r="M13" s="71"/>
      <c r="N13" s="91"/>
      <c r="O13" s="70"/>
      <c r="P13" s="90"/>
      <c r="Q13" s="71"/>
      <c r="R13" s="71"/>
      <c r="S13" s="91"/>
      <c r="T13" s="70"/>
      <c r="U13" s="90"/>
      <c r="V13" s="71"/>
      <c r="W13" s="71"/>
      <c r="X13" s="91"/>
      <c r="Y13" s="70"/>
      <c r="Z13" s="90"/>
      <c r="AA13" s="71"/>
      <c r="AB13" s="71"/>
      <c r="AC13" s="91"/>
      <c r="AD13" s="70"/>
      <c r="AE13" s="90"/>
      <c r="AF13" s="71"/>
      <c r="AG13" s="71"/>
      <c r="AH13" s="91"/>
      <c r="AI13" s="70"/>
      <c r="AJ13" s="90"/>
      <c r="AK13" s="71"/>
      <c r="AL13" s="71"/>
      <c r="AM13" s="91"/>
      <c r="AN13" s="70"/>
      <c r="AO13" s="90"/>
      <c r="AP13" s="71"/>
      <c r="AQ13" s="71"/>
      <c r="AR13" s="91"/>
      <c r="AS13" s="70"/>
      <c r="AT13" s="90"/>
      <c r="AU13" s="71"/>
      <c r="AV13" s="71"/>
      <c r="AW13" s="91"/>
      <c r="AX13" s="70"/>
      <c r="AY13" s="90"/>
      <c r="AZ13" s="71"/>
      <c r="BA13" s="71"/>
      <c r="BB13" s="91"/>
      <c r="BC13" s="70"/>
      <c r="BD13" s="90"/>
      <c r="BE13" s="71"/>
      <c r="BF13" s="71"/>
      <c r="BG13" s="91"/>
      <c r="BH13" s="70"/>
      <c r="BI13" s="90"/>
      <c r="BJ13" s="71"/>
      <c r="BK13" s="71"/>
      <c r="BL13" s="91"/>
      <c r="BM13" s="70"/>
      <c r="BN13" s="90"/>
      <c r="BO13" s="71"/>
      <c r="BP13" s="71"/>
      <c r="BQ13" s="91"/>
      <c r="BR13" s="70"/>
      <c r="BS13" s="90"/>
      <c r="BT13" s="71"/>
      <c r="BU13" s="71"/>
      <c r="BV13" s="91"/>
      <c r="BW13" s="70"/>
      <c r="BX13" s="90"/>
      <c r="BY13" s="71"/>
      <c r="BZ13" s="71"/>
      <c r="CA13" s="91"/>
      <c r="CB13" s="70"/>
      <c r="CC13" s="90"/>
      <c r="CD13" s="71"/>
      <c r="CE13" s="71"/>
      <c r="CF13" s="71"/>
      <c r="CG13" s="796"/>
      <c r="CH13" s="71"/>
      <c r="CI13" s="71"/>
      <c r="CJ13" s="71"/>
      <c r="CK13" s="71"/>
      <c r="CL13" s="796"/>
      <c r="CM13" s="71"/>
      <c r="CN13" s="71"/>
      <c r="CO13" s="71"/>
      <c r="CP13" s="71"/>
      <c r="CQ13" s="796"/>
      <c r="CR13" s="71"/>
      <c r="CS13" s="71"/>
      <c r="CT13" s="71"/>
      <c r="CU13" s="71"/>
      <c r="CV13" s="796"/>
      <c r="CW13" s="71"/>
      <c r="CX13" s="71"/>
      <c r="CY13" s="71"/>
      <c r="CZ13" s="71"/>
      <c r="DA13" s="796"/>
      <c r="DB13" s="71"/>
      <c r="DC13" s="2021">
        <f>2047-30</f>
        <v>2017</v>
      </c>
      <c r="DD13" s="2021">
        <f>3268-37</f>
        <v>3231</v>
      </c>
      <c r="DE13" s="2021">
        <f>3466-(124-37-30)</f>
        <v>3409</v>
      </c>
      <c r="DF13" s="796">
        <f>SUM(DB13:DE13)</f>
        <v>8657</v>
      </c>
      <c r="DG13" s="2021">
        <f>3531-72</f>
        <v>3459</v>
      </c>
      <c r="DH13" s="2021">
        <f>3689-62</f>
        <v>3627</v>
      </c>
      <c r="DI13" s="2021">
        <f>3194-62</f>
        <v>3132</v>
      </c>
      <c r="DJ13" s="2021">
        <f>3037-62</f>
        <v>2975</v>
      </c>
      <c r="DK13" s="796">
        <f>SUM(DG13:DJ13)</f>
        <v>13193</v>
      </c>
      <c r="DL13" s="2021">
        <f>2962</f>
        <v>2962</v>
      </c>
      <c r="DM13" s="2021">
        <v>3101</v>
      </c>
      <c r="DN13" s="2021">
        <v>2809</v>
      </c>
      <c r="DO13" s="2021">
        <v>2941</v>
      </c>
      <c r="DP13" s="1410">
        <f>SUM(DL13:DO13)</f>
        <v>11813</v>
      </c>
      <c r="DQ13" s="2021">
        <v>3083</v>
      </c>
      <c r="DR13" s="71">
        <f>AVERAGE(DR30,DR32)*DR35</f>
        <v>3482.0497862431312</v>
      </c>
      <c r="DS13" s="71">
        <f>AVERAGE(DS30,DS32)*DS35</f>
        <v>3108.5950303560676</v>
      </c>
      <c r="DT13" s="1748">
        <f>AVERAGE(DT30,DT32)*DT35</f>
        <v>3163.2730395738467</v>
      </c>
      <c r="DU13" s="1410">
        <f>SUM(DQ13:DT13)</f>
        <v>12836.917856173046</v>
      </c>
      <c r="DV13" s="71">
        <f>AVERAGE(DV30,DV32)*DV35</f>
        <v>3196.3769488648418</v>
      </c>
      <c r="DW13" s="71">
        <f>AVERAGE(DW30,DW32)*DW35</f>
        <v>3610.8266105411399</v>
      </c>
      <c r="DX13" s="71">
        <f>AVERAGE(DX30,DX32)*DX35</f>
        <v>3223.5236283480817</v>
      </c>
      <c r="DY13" s="1748">
        <f>AVERAGE(DY30,DY32)*DY35</f>
        <v>3280.1859012391774</v>
      </c>
      <c r="DZ13" s="1410">
        <f>SUM(DV13:DY13)</f>
        <v>13310.91308899324</v>
      </c>
      <c r="EA13" s="71">
        <f>AVERAGE(EA30,EA32)*EA35</f>
        <v>3314.4758003819225</v>
      </c>
      <c r="EB13" s="71">
        <f>AVERAGE(EB30,EB32)*EB35</f>
        <v>3744.1961994894104</v>
      </c>
      <c r="EC13" s="71">
        <f>AVERAGE(EC30,EC32)*EC35</f>
        <v>3342.5502066922954</v>
      </c>
      <c r="ED13" s="1748">
        <f>AVERAGE(ED30,ED32)*ED35</f>
        <v>3401.2665888688116</v>
      </c>
      <c r="EE13" s="1410">
        <f>SUM(EA13:ED13)</f>
        <v>13802.488795432439</v>
      </c>
      <c r="EF13" s="18"/>
      <c r="EG13" s="18"/>
      <c r="EH13" s="18"/>
      <c r="EI13" s="18"/>
      <c r="EJ13"/>
      <c r="EK13"/>
      <c r="EL13"/>
      <c r="EM13"/>
      <c r="EN13"/>
      <c r="EO13"/>
      <c r="EP13" s="18"/>
      <c r="EQ13" s="18"/>
      <c r="ER13" s="18"/>
      <c r="ES13" s="18"/>
      <c r="ET13" s="18"/>
      <c r="EU13" s="18"/>
      <c r="EV13" s="18"/>
      <c r="EW13" s="18"/>
      <c r="EX13" s="18"/>
      <c r="EY13" s="18"/>
      <c r="EZ13" s="18"/>
      <c r="FA13" s="18"/>
      <c r="FB13" s="18"/>
      <c r="FC13" s="18"/>
      <c r="FD13" s="18"/>
      <c r="FE13" s="18"/>
      <c r="FF13" s="18"/>
      <c r="FG13" s="18"/>
      <c r="FH13" s="18"/>
      <c r="FI13" s="18"/>
      <c r="FJ13" s="18"/>
      <c r="FK13" s="18"/>
      <c r="FL13" s="18"/>
      <c r="FM13" s="18"/>
      <c r="FN13" s="18"/>
      <c r="FO13" s="18"/>
      <c r="FP13" s="18"/>
      <c r="FQ13" s="18"/>
      <c r="FR13" s="18"/>
      <c r="FS13" s="18"/>
      <c r="FT13" s="18"/>
      <c r="FU13" s="18"/>
      <c r="FV13" s="18"/>
      <c r="FW13" s="18"/>
      <c r="FX13" s="18"/>
      <c r="FY13" s="18"/>
      <c r="FZ13" s="18"/>
      <c r="GA13" s="18"/>
      <c r="GB13" s="18"/>
      <c r="GC13" s="18"/>
      <c r="GD13" s="18"/>
      <c r="GE13" s="18"/>
      <c r="GF13" s="18"/>
      <c r="GG13" s="18"/>
      <c r="GH13" s="18"/>
      <c r="GI13" s="18"/>
      <c r="GJ13" s="18"/>
      <c r="GK13" s="18"/>
      <c r="GL13" s="18"/>
      <c r="GM13" s="18"/>
      <c r="GN13" s="18"/>
      <c r="GO13" s="18"/>
      <c r="GP13" s="18"/>
      <c r="GQ13" s="18"/>
      <c r="GR13" s="18"/>
      <c r="GS13" s="18"/>
      <c r="GT13" s="18"/>
      <c r="GU13" s="18"/>
      <c r="GV13" s="18"/>
      <c r="GW13" s="18"/>
      <c r="GX13" s="18"/>
      <c r="GY13" s="18"/>
      <c r="GZ13" s="18"/>
      <c r="HA13" s="18"/>
      <c r="HB13" s="18"/>
      <c r="HC13" s="18"/>
      <c r="HD13" s="18"/>
      <c r="HE13" s="18"/>
      <c r="HF13" s="18"/>
      <c r="HG13" s="18"/>
      <c r="HH13" s="18"/>
      <c r="HI13" s="18"/>
      <c r="HJ13" s="18"/>
      <c r="HK13" s="18"/>
      <c r="HL13" s="18"/>
      <c r="HM13" s="18"/>
      <c r="HN13" s="18"/>
      <c r="HO13" s="18"/>
      <c r="HP13" s="18"/>
      <c r="HQ13" s="18"/>
      <c r="HR13" s="18"/>
      <c r="HS13" s="18"/>
      <c r="HT13" s="18"/>
      <c r="HU13" s="18"/>
      <c r="HV13" s="18"/>
      <c r="HW13" s="18"/>
      <c r="HX13" s="18"/>
      <c r="HY13" s="18"/>
      <c r="HZ13" s="18"/>
      <c r="IA13" s="18"/>
      <c r="IB13" s="18"/>
      <c r="IC13" s="18"/>
      <c r="ID13" s="18"/>
    </row>
    <row r="14" spans="1:238" s="1959" customFormat="1" ht="12.75" customHeight="1">
      <c r="A14" s="1963"/>
      <c r="B14" s="1964" t="s">
        <v>288</v>
      </c>
      <c r="C14" s="1963"/>
      <c r="D14" s="1963"/>
      <c r="E14" s="1963"/>
      <c r="F14" s="1963"/>
      <c r="G14" s="1963"/>
      <c r="H14" s="1965"/>
      <c r="I14" s="1963"/>
      <c r="J14" s="1963"/>
      <c r="K14" s="1966"/>
      <c r="L14" s="1537"/>
      <c r="M14" s="1537"/>
      <c r="N14" s="1551"/>
      <c r="O14" s="1963"/>
      <c r="P14" s="1966"/>
      <c r="Q14" s="1537"/>
      <c r="R14" s="1537"/>
      <c r="S14" s="1551"/>
      <c r="T14" s="1963"/>
      <c r="U14" s="1966"/>
      <c r="V14" s="1537"/>
      <c r="W14" s="1537"/>
      <c r="X14" s="1551"/>
      <c r="Y14" s="1963"/>
      <c r="Z14" s="1966"/>
      <c r="AA14" s="1537"/>
      <c r="AB14" s="1537"/>
      <c r="AC14" s="1551"/>
      <c r="AD14" s="1963"/>
      <c r="AE14" s="1966"/>
      <c r="AF14" s="1537"/>
      <c r="AG14" s="1537"/>
      <c r="AH14" s="1551"/>
      <c r="AI14" s="1963"/>
      <c r="AJ14" s="1966"/>
      <c r="AK14" s="1537"/>
      <c r="AL14" s="1537"/>
      <c r="AM14" s="1551"/>
      <c r="AN14" s="1963"/>
      <c r="AO14" s="1966"/>
      <c r="AP14" s="1537"/>
      <c r="AQ14" s="1537"/>
      <c r="AR14" s="1551"/>
      <c r="AS14" s="1963"/>
      <c r="AT14" s="1966"/>
      <c r="AU14" s="1537"/>
      <c r="AV14" s="1537"/>
      <c r="AW14" s="1551"/>
      <c r="AX14" s="1963"/>
      <c r="AY14" s="1966"/>
      <c r="AZ14" s="1537"/>
      <c r="BA14" s="1537"/>
      <c r="BB14" s="1551"/>
      <c r="BC14" s="1963"/>
      <c r="BD14" s="1966"/>
      <c r="BE14" s="1537"/>
      <c r="BF14" s="1537"/>
      <c r="BG14" s="1551"/>
      <c r="BH14" s="1963"/>
      <c r="BI14" s="1966"/>
      <c r="BJ14" s="1537"/>
      <c r="BK14" s="1537"/>
      <c r="BL14" s="1551"/>
      <c r="BM14" s="1963"/>
      <c r="BN14" s="1966"/>
      <c r="BO14" s="1537"/>
      <c r="BP14" s="1537"/>
      <c r="BQ14" s="1551"/>
      <c r="BR14" s="1963"/>
      <c r="BS14" s="1966"/>
      <c r="BT14" s="1537"/>
      <c r="BU14" s="1537"/>
      <c r="BV14" s="1551"/>
      <c r="BW14" s="1963"/>
      <c r="BX14" s="1966"/>
      <c r="BY14" s="1537"/>
      <c r="BZ14" s="1537"/>
      <c r="CA14" s="1551"/>
      <c r="CB14" s="1963"/>
      <c r="CC14" s="1966"/>
      <c r="CD14" s="1537"/>
      <c r="CE14" s="1537"/>
      <c r="CF14" s="1537"/>
      <c r="CG14" s="1967"/>
      <c r="CH14" s="1537"/>
      <c r="CI14" s="1537"/>
      <c r="CJ14" s="1537"/>
      <c r="CK14" s="1537"/>
      <c r="CL14" s="1967"/>
      <c r="CM14" s="1537"/>
      <c r="CN14" s="1537"/>
      <c r="CO14" s="1537"/>
      <c r="CP14" s="1537"/>
      <c r="CQ14" s="1967"/>
      <c r="CR14" s="1537"/>
      <c r="CS14" s="1537"/>
      <c r="CT14" s="1537"/>
      <c r="CU14" s="1537"/>
      <c r="CV14" s="1967"/>
      <c r="CW14" s="1537"/>
      <c r="CX14" s="1537"/>
      <c r="CY14" s="1537"/>
      <c r="CZ14" s="1537"/>
      <c r="DA14" s="1967"/>
      <c r="DB14" s="1537"/>
      <c r="DC14" s="1537">
        <f>DC13-DC15</f>
        <v>1264</v>
      </c>
      <c r="DD14" s="1537">
        <f>DD13-DD15</f>
        <v>1838</v>
      </c>
      <c r="DE14" s="1537">
        <f>DE13-DE15</f>
        <v>1932</v>
      </c>
      <c r="DF14" s="1967">
        <f t="shared" ref="DF14:DP14" si="17">DF13-DF15</f>
        <v>5034</v>
      </c>
      <c r="DG14" s="1537">
        <f>DG13-DG15</f>
        <v>1954</v>
      </c>
      <c r="DH14" s="1537">
        <f>DH13-DH15</f>
        <v>2111</v>
      </c>
      <c r="DI14" s="1537">
        <f>DI13-DI15</f>
        <v>1770</v>
      </c>
      <c r="DJ14" s="1537">
        <f>DJ13-DJ15</f>
        <v>1702</v>
      </c>
      <c r="DK14" s="1967">
        <f t="shared" si="17"/>
        <v>7537</v>
      </c>
      <c r="DL14" s="1537">
        <f>DL13-DL15</f>
        <v>1787</v>
      </c>
      <c r="DM14" s="1537">
        <f>DM13-DM15</f>
        <v>1897</v>
      </c>
      <c r="DN14" s="1537">
        <f>DN13-DN15</f>
        <v>1661</v>
      </c>
      <c r="DO14" s="1537">
        <f>DO13-DO15</f>
        <v>1715</v>
      </c>
      <c r="DP14" s="1968">
        <f t="shared" si="17"/>
        <v>7060</v>
      </c>
      <c r="DQ14" s="1537">
        <f>DQ13-DQ15</f>
        <v>1859</v>
      </c>
      <c r="DR14" s="1537">
        <f t="shared" ref="DR14:DZ14" si="18">DR13-DR15</f>
        <v>2130.1026909071979</v>
      </c>
      <c r="DS14" s="1537">
        <f t="shared" si="18"/>
        <v>1838.1546263515229</v>
      </c>
      <c r="DT14" s="1555">
        <f t="shared" si="18"/>
        <v>1844.6151862866873</v>
      </c>
      <c r="DU14" s="1968">
        <f t="shared" si="18"/>
        <v>7671.8725035454081</v>
      </c>
      <c r="DV14" s="1537">
        <f t="shared" si="18"/>
        <v>1927.3644981964778</v>
      </c>
      <c r="DW14" s="1537">
        <f t="shared" si="18"/>
        <v>2208.8803870353249</v>
      </c>
      <c r="DX14" s="1537">
        <f t="shared" si="18"/>
        <v>1906.1134733663807</v>
      </c>
      <c r="DY14" s="1555">
        <f t="shared" si="18"/>
        <v>1912.7911664825533</v>
      </c>
      <c r="DZ14" s="1968">
        <f t="shared" si="18"/>
        <v>7955.1495250807366</v>
      </c>
      <c r="EA14" s="1537">
        <f t="shared" ref="EA14:EE14" si="19">EA13-EA15</f>
        <v>1998.5762286441757</v>
      </c>
      <c r="EB14" s="1537">
        <f t="shared" si="19"/>
        <v>2290.4676525093237</v>
      </c>
      <c r="EC14" s="1537">
        <f t="shared" si="19"/>
        <v>1976.4955120384132</v>
      </c>
      <c r="ED14" s="1555">
        <f t="shared" si="19"/>
        <v>1983.3975518225134</v>
      </c>
      <c r="EE14" s="1968">
        <f t="shared" si="19"/>
        <v>8248.9369450144241</v>
      </c>
      <c r="EF14" s="33"/>
      <c r="EG14" s="1549"/>
      <c r="EH14" s="33"/>
      <c r="EI14" s="33"/>
      <c r="EJ14"/>
      <c r="EK14"/>
      <c r="EL14"/>
      <c r="EM14"/>
      <c r="EN14"/>
      <c r="EO14"/>
      <c r="EP14" s="33"/>
      <c r="EQ14" s="33"/>
      <c r="ER14" s="33"/>
      <c r="ES14" s="33"/>
      <c r="ET14" s="33"/>
      <c r="EU14" s="33"/>
      <c r="EV14" s="33"/>
      <c r="EW14" s="33"/>
      <c r="EX14" s="33"/>
      <c r="EY14" s="33"/>
      <c r="EZ14" s="33"/>
      <c r="FA14" s="33"/>
      <c r="FB14" s="33"/>
      <c r="FC14" s="33"/>
      <c r="FD14" s="33"/>
      <c r="FE14" s="33"/>
      <c r="FF14" s="33"/>
      <c r="FG14" s="33"/>
      <c r="FH14" s="33"/>
      <c r="FI14" s="33"/>
      <c r="FJ14" s="33"/>
      <c r="FK14" s="33"/>
      <c r="FL14" s="33"/>
      <c r="FM14" s="33"/>
      <c r="FN14" s="33"/>
      <c r="FO14" s="33"/>
      <c r="FP14" s="33"/>
      <c r="FQ14" s="33"/>
      <c r="FR14" s="33"/>
      <c r="FS14" s="33"/>
      <c r="FT14" s="33"/>
      <c r="FU14" s="33"/>
      <c r="FV14" s="33"/>
      <c r="FW14" s="33"/>
      <c r="FX14" s="33"/>
      <c r="FY14" s="33"/>
      <c r="FZ14" s="33"/>
      <c r="GA14" s="33"/>
      <c r="GB14" s="33"/>
      <c r="GC14" s="33"/>
      <c r="GD14" s="33"/>
      <c r="GE14" s="33"/>
      <c r="GF14" s="33"/>
      <c r="GG14" s="33"/>
      <c r="GH14" s="33"/>
      <c r="GI14" s="33"/>
      <c r="GJ14" s="33"/>
      <c r="GK14" s="33"/>
      <c r="GL14" s="33"/>
      <c r="GM14" s="33"/>
      <c r="GN14" s="33"/>
      <c r="GO14" s="33"/>
      <c r="GP14" s="33"/>
      <c r="GQ14" s="33"/>
      <c r="GR14" s="33"/>
      <c r="GS14" s="33"/>
      <c r="GT14" s="33"/>
      <c r="GU14" s="33"/>
      <c r="GV14" s="33"/>
      <c r="GW14" s="33"/>
      <c r="GX14" s="33"/>
      <c r="GY14" s="33"/>
      <c r="GZ14" s="33"/>
      <c r="HA14" s="33"/>
      <c r="HB14" s="33"/>
      <c r="HC14" s="33"/>
      <c r="HD14" s="33"/>
      <c r="HE14" s="33"/>
      <c r="HF14" s="33"/>
      <c r="HG14" s="33"/>
      <c r="HH14" s="33"/>
      <c r="HI14" s="33"/>
      <c r="HJ14" s="33"/>
      <c r="HK14" s="33"/>
      <c r="HL14" s="33"/>
      <c r="HM14" s="33"/>
      <c r="HN14" s="33"/>
      <c r="HO14" s="33"/>
      <c r="HP14" s="33"/>
      <c r="HQ14" s="33"/>
      <c r="HR14" s="33"/>
      <c r="HS14" s="33"/>
      <c r="HT14" s="33"/>
      <c r="HU14" s="33"/>
      <c r="HV14" s="33"/>
      <c r="HW14" s="33"/>
      <c r="HX14" s="33"/>
      <c r="HY14" s="33"/>
      <c r="HZ14" s="33"/>
      <c r="IA14" s="33"/>
      <c r="IB14" s="33"/>
      <c r="IC14" s="33"/>
      <c r="ID14" s="33"/>
    </row>
    <row r="15" spans="1:238" s="1959" customFormat="1" ht="12.75" customHeight="1" outlineLevel="1">
      <c r="B15" s="541" t="s">
        <v>232</v>
      </c>
      <c r="C15" s="70"/>
      <c r="D15" s="70"/>
      <c r="E15" s="70"/>
      <c r="F15" s="70"/>
      <c r="G15" s="70"/>
      <c r="H15" s="89"/>
      <c r="I15" s="70"/>
      <c r="J15" s="70"/>
      <c r="K15" s="90"/>
      <c r="L15" s="71"/>
      <c r="M15" s="71"/>
      <c r="N15" s="91"/>
      <c r="O15" s="70"/>
      <c r="P15" s="90"/>
      <c r="Q15" s="71"/>
      <c r="R15" s="71"/>
      <c r="S15" s="91"/>
      <c r="T15" s="70"/>
      <c r="U15" s="90"/>
      <c r="V15" s="71"/>
      <c r="W15" s="71"/>
      <c r="X15" s="91"/>
      <c r="Y15" s="70"/>
      <c r="Z15" s="90"/>
      <c r="AA15" s="71"/>
      <c r="AB15" s="71"/>
      <c r="AC15" s="91"/>
      <c r="AD15" s="70"/>
      <c r="AE15" s="90"/>
      <c r="AF15" s="71"/>
      <c r="AG15" s="71"/>
      <c r="AH15" s="91"/>
      <c r="AI15" s="70"/>
      <c r="AJ15" s="90"/>
      <c r="AK15" s="71"/>
      <c r="AL15" s="71"/>
      <c r="AM15" s="91"/>
      <c r="AN15" s="70"/>
      <c r="AO15" s="90"/>
      <c r="AP15" s="71"/>
      <c r="AQ15" s="71"/>
      <c r="AR15" s="91"/>
      <c r="AS15" s="70"/>
      <c r="AT15" s="90"/>
      <c r="AU15" s="71"/>
      <c r="AV15" s="71"/>
      <c r="AW15" s="91"/>
      <c r="AX15" s="70"/>
      <c r="AY15" s="90"/>
      <c r="AZ15" s="71"/>
      <c r="BA15" s="71"/>
      <c r="BB15" s="91"/>
      <c r="BC15" s="70"/>
      <c r="BD15" s="90"/>
      <c r="BE15" s="71"/>
      <c r="BF15" s="71"/>
      <c r="BG15" s="91"/>
      <c r="BH15" s="70"/>
      <c r="BI15" s="90"/>
      <c r="BJ15" s="71"/>
      <c r="BK15" s="71"/>
      <c r="BL15" s="91"/>
      <c r="BM15" s="70"/>
      <c r="BN15" s="90"/>
      <c r="BO15" s="71"/>
      <c r="BP15" s="71"/>
      <c r="BQ15" s="91"/>
      <c r="BR15" s="70"/>
      <c r="BS15" s="90"/>
      <c r="BT15" s="71"/>
      <c r="BU15" s="71"/>
      <c r="BV15" s="91"/>
      <c r="BW15" s="70"/>
      <c r="BX15" s="90"/>
      <c r="BY15" s="71"/>
      <c r="BZ15" s="71"/>
      <c r="CA15" s="91"/>
      <c r="CB15" s="70"/>
      <c r="CC15" s="90"/>
      <c r="CD15" s="71"/>
      <c r="CE15" s="71"/>
      <c r="CF15" s="71"/>
      <c r="CG15" s="796"/>
      <c r="CH15" s="71"/>
      <c r="CI15" s="71"/>
      <c r="CJ15" s="71"/>
      <c r="CK15" s="71"/>
      <c r="CL15" s="796"/>
      <c r="CM15" s="71"/>
      <c r="CN15" s="71"/>
      <c r="CO15" s="71"/>
      <c r="CP15" s="71"/>
      <c r="CQ15" s="796"/>
      <c r="CR15" s="71"/>
      <c r="CS15" s="71"/>
      <c r="CT15" s="71"/>
      <c r="CU15" s="71"/>
      <c r="CV15" s="796"/>
      <c r="CW15" s="71"/>
      <c r="CX15" s="71"/>
      <c r="CY15" s="71"/>
      <c r="CZ15" s="71"/>
      <c r="DA15" s="796"/>
      <c r="DB15" s="71"/>
      <c r="DC15" s="2021">
        <f>DC17-DC16</f>
        <v>753</v>
      </c>
      <c r="DD15" s="2021">
        <f>DD17-DD16</f>
        <v>1393</v>
      </c>
      <c r="DE15" s="2021">
        <v>1477</v>
      </c>
      <c r="DF15" s="796">
        <f>SUM(DB15:DE15)</f>
        <v>3623</v>
      </c>
      <c r="DG15" s="2021">
        <v>1505</v>
      </c>
      <c r="DH15" s="2021">
        <v>1516</v>
      </c>
      <c r="DI15" s="2021">
        <v>1362</v>
      </c>
      <c r="DJ15" s="2021">
        <v>1273</v>
      </c>
      <c r="DK15" s="796">
        <f>SUM(DG15:DJ15)</f>
        <v>5656</v>
      </c>
      <c r="DL15" s="2021">
        <v>1175</v>
      </c>
      <c r="DM15" s="2021">
        <v>1204</v>
      </c>
      <c r="DN15" s="2021">
        <v>1148</v>
      </c>
      <c r="DO15" s="2021">
        <v>1226</v>
      </c>
      <c r="DP15" s="1410">
        <f>SUM(DL15:DO15)</f>
        <v>4753</v>
      </c>
      <c r="DQ15" s="2021">
        <v>1224</v>
      </c>
      <c r="DR15" s="71">
        <f>DR13*DR57</f>
        <v>1351.9470953359335</v>
      </c>
      <c r="DS15" s="71">
        <f>DS13*DS57</f>
        <v>1270.4404040045447</v>
      </c>
      <c r="DT15" s="1748">
        <f>DT13*DT57</f>
        <v>1318.6578532871595</v>
      </c>
      <c r="DU15" s="1410">
        <f>SUM(DQ15:DT15)</f>
        <v>5165.0453526276378</v>
      </c>
      <c r="DV15" s="71">
        <f>DV13*DV57</f>
        <v>1269.012450668364</v>
      </c>
      <c r="DW15" s="71">
        <f>DW13*DW57</f>
        <v>1401.9462235058149</v>
      </c>
      <c r="DX15" s="71">
        <f>DX13*DX57</f>
        <v>1317.410154981701</v>
      </c>
      <c r="DY15" s="1748">
        <f>DY13*DY57</f>
        <v>1367.3947347566241</v>
      </c>
      <c r="DZ15" s="1410">
        <f>SUM(DV15:DY15)</f>
        <v>5355.7635639125037</v>
      </c>
      <c r="EA15" s="71">
        <f>EA13*EA57</f>
        <v>1315.8995717377468</v>
      </c>
      <c r="EB15" s="71">
        <f>EB13*EB57</f>
        <v>1453.728546980087</v>
      </c>
      <c r="EC15" s="71">
        <f>EC13*EC57</f>
        <v>1366.0546946538823</v>
      </c>
      <c r="ED15" s="1748">
        <f>ED13*ED57</f>
        <v>1417.8690370462982</v>
      </c>
      <c r="EE15" s="1410">
        <f>SUM(EA15:ED15)</f>
        <v>5553.5518504180145</v>
      </c>
      <c r="EF15" s="33"/>
      <c r="EG15" s="33"/>
      <c r="EH15" s="33"/>
      <c r="EI15" s="33"/>
      <c r="EJ15"/>
      <c r="EK15"/>
      <c r="EL15"/>
      <c r="EM15"/>
      <c r="EN15"/>
      <c r="EO15"/>
      <c r="EP15" s="33"/>
      <c r="EQ15" s="33"/>
      <c r="ER15" s="33"/>
      <c r="ES15" s="33"/>
      <c r="ET15" s="33"/>
      <c r="EU15" s="33"/>
      <c r="EV15" s="33"/>
      <c r="EW15" s="33"/>
      <c r="EX15" s="33"/>
      <c r="EY15" s="33"/>
      <c r="EZ15" s="33"/>
      <c r="FA15" s="33"/>
      <c r="FB15" s="33"/>
      <c r="FC15" s="33"/>
      <c r="FD15" s="33"/>
      <c r="FE15" s="33"/>
      <c r="FF15" s="33"/>
      <c r="FG15" s="33"/>
      <c r="FH15" s="33"/>
      <c r="FI15" s="33"/>
      <c r="FJ15" s="33"/>
      <c r="FK15" s="33"/>
      <c r="FL15" s="33"/>
      <c r="FM15" s="33"/>
      <c r="FN15" s="33"/>
      <c r="FO15" s="33"/>
      <c r="FP15" s="33"/>
      <c r="FQ15" s="33"/>
      <c r="FR15" s="33"/>
      <c r="FS15" s="33"/>
      <c r="FT15" s="33"/>
      <c r="FU15" s="33"/>
      <c r="FV15" s="33"/>
      <c r="FW15" s="33"/>
      <c r="FX15" s="33"/>
      <c r="FY15" s="33"/>
      <c r="FZ15" s="33"/>
      <c r="GA15" s="33"/>
      <c r="GB15" s="33"/>
      <c r="GC15" s="33"/>
      <c r="GD15" s="33"/>
      <c r="GE15" s="33"/>
      <c r="GF15" s="33"/>
      <c r="GG15" s="33"/>
      <c r="GH15" s="33"/>
      <c r="GI15" s="33"/>
      <c r="GJ15" s="33"/>
      <c r="GK15" s="33"/>
      <c r="GL15" s="33"/>
      <c r="GM15" s="33"/>
      <c r="GN15" s="33"/>
      <c r="GO15" s="33"/>
      <c r="GP15" s="33"/>
      <c r="GQ15" s="33"/>
      <c r="GR15" s="33"/>
      <c r="GS15" s="33"/>
      <c r="GT15" s="33"/>
      <c r="GU15" s="33"/>
      <c r="GV15" s="33"/>
      <c r="GW15" s="33"/>
      <c r="GX15" s="33"/>
      <c r="GY15" s="33"/>
      <c r="GZ15" s="33"/>
      <c r="HA15" s="33"/>
      <c r="HB15" s="33"/>
      <c r="HC15" s="33"/>
      <c r="HD15" s="33"/>
      <c r="HE15" s="33"/>
      <c r="HF15" s="33"/>
      <c r="HG15" s="33"/>
      <c r="HH15" s="33"/>
      <c r="HI15" s="33"/>
      <c r="HJ15" s="33"/>
      <c r="HK15" s="33"/>
      <c r="HL15" s="33"/>
      <c r="HM15" s="33"/>
      <c r="HN15" s="33"/>
      <c r="HO15" s="33"/>
      <c r="HP15" s="33"/>
      <c r="HQ15" s="33"/>
      <c r="HR15" s="33"/>
      <c r="HS15" s="33"/>
      <c r="HT15" s="33"/>
      <c r="HU15" s="33"/>
      <c r="HV15" s="33"/>
      <c r="HW15" s="33"/>
      <c r="HX15" s="33"/>
      <c r="HY15" s="33"/>
      <c r="HZ15" s="33"/>
      <c r="IA15" s="33"/>
      <c r="IB15" s="33"/>
      <c r="IC15" s="33"/>
      <c r="ID15" s="33"/>
    </row>
    <row r="16" spans="1:238" s="1959" customFormat="1" ht="12.75" customHeight="1" outlineLevel="1">
      <c r="B16" s="2031" t="s">
        <v>206</v>
      </c>
      <c r="C16" s="70"/>
      <c r="D16" s="70"/>
      <c r="E16" s="70"/>
      <c r="F16" s="70"/>
      <c r="G16" s="70"/>
      <c r="H16" s="89"/>
      <c r="I16" s="70"/>
      <c r="J16" s="70"/>
      <c r="K16" s="90"/>
      <c r="L16" s="71"/>
      <c r="M16" s="71"/>
      <c r="N16" s="91"/>
      <c r="O16" s="70"/>
      <c r="P16" s="90"/>
      <c r="Q16" s="71"/>
      <c r="R16" s="71"/>
      <c r="S16" s="91"/>
      <c r="T16" s="70"/>
      <c r="U16" s="90"/>
      <c r="V16" s="71"/>
      <c r="W16" s="71"/>
      <c r="X16" s="91"/>
      <c r="Y16" s="70"/>
      <c r="Z16" s="90"/>
      <c r="AA16" s="71"/>
      <c r="AB16" s="71"/>
      <c r="AC16" s="91"/>
      <c r="AD16" s="70"/>
      <c r="AE16" s="90"/>
      <c r="AF16" s="71"/>
      <c r="AG16" s="71"/>
      <c r="AH16" s="91"/>
      <c r="AI16" s="70"/>
      <c r="AJ16" s="90"/>
      <c r="AK16" s="71"/>
      <c r="AL16" s="71"/>
      <c r="AM16" s="91"/>
      <c r="AN16" s="70"/>
      <c r="AO16" s="90"/>
      <c r="AP16" s="71"/>
      <c r="AQ16" s="71"/>
      <c r="AR16" s="91"/>
      <c r="AS16" s="70"/>
      <c r="AT16" s="90"/>
      <c r="AU16" s="71"/>
      <c r="AV16" s="71"/>
      <c r="AW16" s="91"/>
      <c r="AX16" s="70"/>
      <c r="AY16" s="90"/>
      <c r="AZ16" s="71"/>
      <c r="BA16" s="71"/>
      <c r="BB16" s="91"/>
      <c r="BC16" s="70"/>
      <c r="BD16" s="90"/>
      <c r="BE16" s="71"/>
      <c r="BF16" s="71"/>
      <c r="BG16" s="91"/>
      <c r="BH16" s="70"/>
      <c r="BI16" s="90"/>
      <c r="BJ16" s="71"/>
      <c r="BK16" s="71"/>
      <c r="BL16" s="91"/>
      <c r="BM16" s="70"/>
      <c r="BN16" s="90"/>
      <c r="BO16" s="71"/>
      <c r="BP16" s="71"/>
      <c r="BQ16" s="91"/>
      <c r="BR16" s="70"/>
      <c r="BS16" s="90"/>
      <c r="BT16" s="71"/>
      <c r="BU16" s="71"/>
      <c r="BV16" s="91"/>
      <c r="BW16" s="70"/>
      <c r="BX16" s="90"/>
      <c r="BY16" s="71"/>
      <c r="BZ16" s="71"/>
      <c r="CA16" s="91"/>
      <c r="CB16" s="70"/>
      <c r="CC16" s="90"/>
      <c r="CD16" s="71"/>
      <c r="CE16" s="71"/>
      <c r="CF16" s="71"/>
      <c r="CG16" s="796"/>
      <c r="CH16" s="71"/>
      <c r="CI16" s="71"/>
      <c r="CJ16" s="71"/>
      <c r="CK16" s="71"/>
      <c r="CL16" s="796"/>
      <c r="CM16" s="71"/>
      <c r="CN16" s="71"/>
      <c r="CO16" s="71"/>
      <c r="CP16" s="71"/>
      <c r="CQ16" s="796"/>
      <c r="CR16" s="71"/>
      <c r="CS16" s="71"/>
      <c r="CT16" s="71"/>
      <c r="CU16" s="71"/>
      <c r="CV16" s="796"/>
      <c r="CW16" s="71"/>
      <c r="CX16" s="71"/>
      <c r="CY16" s="71"/>
      <c r="CZ16" s="71"/>
      <c r="DA16" s="796"/>
      <c r="DB16" s="71"/>
      <c r="DC16" s="2011"/>
      <c r="DD16" s="2011"/>
      <c r="DE16" s="2011"/>
      <c r="DF16" s="1961"/>
      <c r="DG16" s="2011"/>
      <c r="DH16" s="2011"/>
      <c r="DI16" s="2011"/>
      <c r="DJ16" s="2011"/>
      <c r="DK16" s="1961"/>
      <c r="DL16" s="2011"/>
      <c r="DM16" s="2011"/>
      <c r="DN16" s="2011"/>
      <c r="DO16" s="2011"/>
      <c r="DP16" s="1962"/>
      <c r="DQ16" s="2011"/>
      <c r="DR16" s="1549"/>
      <c r="DS16" s="1549"/>
      <c r="DT16" s="1554"/>
      <c r="DU16" s="1962"/>
      <c r="DV16" s="1549"/>
      <c r="DW16" s="1549"/>
      <c r="DX16" s="1549"/>
      <c r="DY16" s="1554"/>
      <c r="DZ16" s="1962"/>
      <c r="EA16" s="1549"/>
      <c r="EB16" s="1549"/>
      <c r="EC16" s="1549"/>
      <c r="ED16" s="1554"/>
      <c r="EE16" s="1962"/>
      <c r="EF16" s="33"/>
      <c r="EG16" s="33"/>
      <c r="EH16" s="33"/>
      <c r="EI16" s="33"/>
      <c r="EJ16"/>
      <c r="EK16"/>
      <c r="EL16"/>
      <c r="EM16"/>
      <c r="EN16"/>
      <c r="EO16"/>
      <c r="EP16" s="33"/>
      <c r="EQ16" s="33"/>
      <c r="ER16" s="33"/>
      <c r="ES16" s="33"/>
      <c r="ET16" s="33"/>
      <c r="EU16" s="33"/>
      <c r="EV16" s="33"/>
      <c r="EW16" s="33"/>
      <c r="EX16" s="33"/>
      <c r="EY16" s="33"/>
      <c r="EZ16" s="33"/>
      <c r="FA16" s="33"/>
      <c r="FB16" s="33"/>
      <c r="FC16" s="33"/>
      <c r="FD16" s="33"/>
      <c r="FE16" s="33"/>
      <c r="FF16" s="33"/>
      <c r="FG16" s="33"/>
      <c r="FH16" s="33"/>
      <c r="FI16" s="33"/>
      <c r="FJ16" s="33"/>
      <c r="FK16" s="33"/>
      <c r="FL16" s="33"/>
      <c r="FM16" s="33"/>
      <c r="FN16" s="33"/>
      <c r="FO16" s="33"/>
      <c r="FP16" s="33"/>
      <c r="FQ16" s="33"/>
      <c r="FR16" s="33"/>
      <c r="FS16" s="33"/>
      <c r="FT16" s="33"/>
      <c r="FU16" s="33"/>
      <c r="FV16" s="33"/>
      <c r="FW16" s="33"/>
      <c r="FX16" s="33"/>
      <c r="FY16" s="33"/>
      <c r="FZ16" s="33"/>
      <c r="GA16" s="33"/>
      <c r="GB16" s="33"/>
      <c r="GC16" s="33"/>
      <c r="GD16" s="33"/>
      <c r="GE16" s="33"/>
      <c r="GF16" s="33"/>
      <c r="GG16" s="33"/>
      <c r="GH16" s="33"/>
      <c r="GI16" s="33"/>
      <c r="GJ16" s="33"/>
      <c r="GK16" s="33"/>
      <c r="GL16" s="33"/>
      <c r="GM16" s="33"/>
      <c r="GN16" s="33"/>
      <c r="GO16" s="33"/>
      <c r="GP16" s="33"/>
      <c r="GQ16" s="33"/>
      <c r="GR16" s="33"/>
      <c r="GS16" s="33"/>
      <c r="GT16" s="33"/>
      <c r="GU16" s="33"/>
      <c r="GV16" s="33"/>
      <c r="GW16" s="33"/>
      <c r="GX16" s="33"/>
      <c r="GY16" s="33"/>
      <c r="GZ16" s="33"/>
      <c r="HA16" s="33"/>
      <c r="HB16" s="33"/>
      <c r="HC16" s="33"/>
      <c r="HD16" s="33"/>
      <c r="HE16" s="33"/>
      <c r="HF16" s="33"/>
      <c r="HG16" s="33"/>
      <c r="HH16" s="33"/>
      <c r="HI16" s="33"/>
      <c r="HJ16" s="33"/>
      <c r="HK16" s="33"/>
      <c r="HL16" s="33"/>
      <c r="HM16" s="33"/>
      <c r="HN16" s="33"/>
      <c r="HO16" s="33"/>
      <c r="HP16" s="33"/>
      <c r="HQ16" s="33"/>
      <c r="HR16" s="33"/>
      <c r="HS16" s="33"/>
      <c r="HT16" s="33"/>
      <c r="HU16" s="33"/>
      <c r="HV16" s="33"/>
      <c r="HW16" s="33"/>
      <c r="HX16" s="33"/>
      <c r="HY16" s="33"/>
      <c r="HZ16" s="33"/>
      <c r="IA16" s="33"/>
      <c r="IB16" s="33"/>
      <c r="IC16" s="33"/>
      <c r="ID16" s="33"/>
    </row>
    <row r="17" spans="2:238" s="1959" customFormat="1" ht="12.75" customHeight="1">
      <c r="B17" s="541" t="s">
        <v>232</v>
      </c>
      <c r="C17" s="70"/>
      <c r="D17" s="70"/>
      <c r="E17" s="70"/>
      <c r="F17" s="70"/>
      <c r="G17" s="70"/>
      <c r="H17" s="89"/>
      <c r="I17" s="70"/>
      <c r="J17" s="70"/>
      <c r="K17" s="90"/>
      <c r="L17" s="71"/>
      <c r="M17" s="71"/>
      <c r="N17" s="91"/>
      <c r="O17" s="70"/>
      <c r="P17" s="90"/>
      <c r="Q17" s="71"/>
      <c r="R17" s="71"/>
      <c r="S17" s="91"/>
      <c r="T17" s="70"/>
      <c r="U17" s="90"/>
      <c r="V17" s="71"/>
      <c r="W17" s="71"/>
      <c r="X17" s="91"/>
      <c r="Y17" s="70"/>
      <c r="Z17" s="90"/>
      <c r="AA17" s="71"/>
      <c r="AB17" s="71"/>
      <c r="AC17" s="91"/>
      <c r="AD17" s="70"/>
      <c r="AE17" s="90"/>
      <c r="AF17" s="71"/>
      <c r="AG17" s="71"/>
      <c r="AH17" s="91"/>
      <c r="AI17" s="70"/>
      <c r="AJ17" s="90"/>
      <c r="AK17" s="71"/>
      <c r="AL17" s="71"/>
      <c r="AM17" s="91"/>
      <c r="AN17" s="70"/>
      <c r="AO17" s="90"/>
      <c r="AP17" s="71"/>
      <c r="AQ17" s="71"/>
      <c r="AR17" s="91"/>
      <c r="AS17" s="70"/>
      <c r="AT17" s="90"/>
      <c r="AU17" s="71"/>
      <c r="AV17" s="71"/>
      <c r="AW17" s="91"/>
      <c r="AX17" s="70"/>
      <c r="AY17" s="90"/>
      <c r="AZ17" s="71"/>
      <c r="BA17" s="71"/>
      <c r="BB17" s="91"/>
      <c r="BC17" s="70"/>
      <c r="BD17" s="90"/>
      <c r="BE17" s="71"/>
      <c r="BF17" s="71"/>
      <c r="BG17" s="91"/>
      <c r="BH17" s="70"/>
      <c r="BI17" s="90"/>
      <c r="BJ17" s="71"/>
      <c r="BK17" s="71"/>
      <c r="BL17" s="91"/>
      <c r="BM17" s="70"/>
      <c r="BN17" s="90"/>
      <c r="BO17" s="71"/>
      <c r="BP17" s="71"/>
      <c r="BQ17" s="91"/>
      <c r="BR17" s="70"/>
      <c r="BS17" s="90"/>
      <c r="BT17" s="71"/>
      <c r="BU17" s="71"/>
      <c r="BV17" s="91"/>
      <c r="BW17" s="70"/>
      <c r="BX17" s="90"/>
      <c r="BY17" s="71"/>
      <c r="BZ17" s="71"/>
      <c r="CA17" s="91"/>
      <c r="CB17" s="70"/>
      <c r="CC17" s="90"/>
      <c r="CD17" s="71"/>
      <c r="CE17" s="71"/>
      <c r="CF17" s="71"/>
      <c r="CG17" s="796"/>
      <c r="CH17" s="71"/>
      <c r="CI17" s="71"/>
      <c r="CJ17" s="71"/>
      <c r="CK17" s="71"/>
      <c r="CL17" s="796"/>
      <c r="CM17" s="71"/>
      <c r="CN17" s="71"/>
      <c r="CO17" s="71"/>
      <c r="CP17" s="71"/>
      <c r="CQ17" s="796"/>
      <c r="CR17" s="71"/>
      <c r="CS17" s="71"/>
      <c r="CT17" s="71"/>
      <c r="CU17" s="71"/>
      <c r="CV17" s="796"/>
      <c r="CW17" s="71"/>
      <c r="CX17" s="71"/>
      <c r="CY17" s="71"/>
      <c r="CZ17" s="71"/>
      <c r="DA17" s="796"/>
      <c r="DB17" s="71"/>
      <c r="DC17" s="2021">
        <v>753</v>
      </c>
      <c r="DD17" s="2021">
        <v>1393</v>
      </c>
      <c r="DE17" s="2021">
        <v>1477</v>
      </c>
      <c r="DF17" s="796">
        <f t="shared" ref="DF17:DP17" si="20">DF15+DF16</f>
        <v>3623</v>
      </c>
      <c r="DG17" s="2021">
        <v>1505</v>
      </c>
      <c r="DH17" s="2021">
        <v>1516</v>
      </c>
      <c r="DI17" s="2021">
        <f>DI15</f>
        <v>1362</v>
      </c>
      <c r="DJ17" s="2021">
        <v>1273</v>
      </c>
      <c r="DK17" s="796">
        <f t="shared" si="20"/>
        <v>5656</v>
      </c>
      <c r="DL17" s="2021">
        <v>1175</v>
      </c>
      <c r="DM17" s="2021">
        <v>1204</v>
      </c>
      <c r="DN17" s="2021">
        <v>1148</v>
      </c>
      <c r="DO17" s="2021">
        <v>1226</v>
      </c>
      <c r="DP17" s="1410">
        <f t="shared" si="20"/>
        <v>4753</v>
      </c>
      <c r="DQ17" s="2021">
        <v>1224</v>
      </c>
      <c r="DR17" s="71">
        <f t="shared" ref="DR17:DZ17" si="21">DR15+DR16</f>
        <v>1351.9470953359335</v>
      </c>
      <c r="DS17" s="71">
        <f t="shared" si="21"/>
        <v>1270.4404040045447</v>
      </c>
      <c r="DT17" s="1748">
        <f t="shared" si="21"/>
        <v>1318.6578532871595</v>
      </c>
      <c r="DU17" s="1410">
        <f t="shared" si="21"/>
        <v>5165.0453526276378</v>
      </c>
      <c r="DV17" s="71">
        <f t="shared" si="21"/>
        <v>1269.012450668364</v>
      </c>
      <c r="DW17" s="71">
        <f t="shared" si="21"/>
        <v>1401.9462235058149</v>
      </c>
      <c r="DX17" s="71">
        <f t="shared" si="21"/>
        <v>1317.410154981701</v>
      </c>
      <c r="DY17" s="1748">
        <f t="shared" si="21"/>
        <v>1367.3947347566241</v>
      </c>
      <c r="DZ17" s="1410">
        <f t="shared" si="21"/>
        <v>5355.7635639125037</v>
      </c>
      <c r="EA17" s="71">
        <f t="shared" ref="EA17:EE17" si="22">EA15+EA16</f>
        <v>1315.8995717377468</v>
      </c>
      <c r="EB17" s="71">
        <f t="shared" si="22"/>
        <v>1453.728546980087</v>
      </c>
      <c r="EC17" s="71">
        <f t="shared" si="22"/>
        <v>1366.0546946538823</v>
      </c>
      <c r="ED17" s="1748">
        <f t="shared" si="22"/>
        <v>1417.8690370462982</v>
      </c>
      <c r="EE17" s="1410">
        <f t="shared" si="22"/>
        <v>5553.5518504180145</v>
      </c>
      <c r="EF17" s="33"/>
      <c r="EG17" s="33"/>
      <c r="EH17" s="33"/>
      <c r="EI17" s="33"/>
      <c r="EJ17"/>
      <c r="EK17"/>
      <c r="EL17"/>
      <c r="EM17"/>
      <c r="EN17"/>
      <c r="EO17"/>
      <c r="EP17" s="33"/>
      <c r="EQ17" s="33"/>
      <c r="ER17" s="33"/>
      <c r="ES17" s="33"/>
      <c r="ET17" s="33"/>
      <c r="EU17" s="33"/>
      <c r="EV17" s="33"/>
      <c r="EW17" s="33"/>
      <c r="EX17" s="33"/>
      <c r="EY17" s="33"/>
      <c r="EZ17" s="33"/>
      <c r="FA17" s="33"/>
      <c r="FB17" s="33"/>
      <c r="FC17" s="33"/>
      <c r="FD17" s="33"/>
      <c r="FE17" s="33"/>
      <c r="FF17" s="33"/>
      <c r="FG17" s="33"/>
      <c r="FH17" s="33"/>
      <c r="FI17" s="33"/>
      <c r="FJ17" s="33"/>
      <c r="FK17" s="33"/>
      <c r="FL17" s="33"/>
      <c r="FM17" s="33"/>
      <c r="FN17" s="33"/>
      <c r="FO17" s="33"/>
      <c r="FP17" s="33"/>
      <c r="FQ17" s="33"/>
      <c r="FR17" s="33"/>
      <c r="FS17" s="33"/>
      <c r="FT17" s="33"/>
      <c r="FU17" s="33"/>
      <c r="FV17" s="33"/>
      <c r="FW17" s="33"/>
      <c r="FX17" s="33"/>
      <c r="FY17" s="33"/>
      <c r="FZ17" s="33"/>
      <c r="GA17" s="33"/>
      <c r="GB17" s="33"/>
      <c r="GC17" s="33"/>
      <c r="GD17" s="33"/>
      <c r="GE17" s="33"/>
      <c r="GF17" s="33"/>
      <c r="GG17" s="33"/>
      <c r="GH17" s="33"/>
      <c r="GI17" s="33"/>
      <c r="GJ17" s="33"/>
      <c r="GK17" s="33"/>
      <c r="GL17" s="33"/>
      <c r="GM17" s="33"/>
      <c r="GN17" s="33"/>
      <c r="GO17" s="33"/>
      <c r="GP17" s="33"/>
      <c r="GQ17" s="33"/>
      <c r="GR17" s="33"/>
      <c r="GS17" s="33"/>
      <c r="GT17" s="33"/>
      <c r="GU17" s="33"/>
      <c r="GV17" s="33"/>
      <c r="GW17" s="33"/>
      <c r="GX17" s="33"/>
      <c r="GY17" s="33"/>
      <c r="GZ17" s="33"/>
      <c r="HA17" s="33"/>
      <c r="HB17" s="33"/>
      <c r="HC17" s="33"/>
      <c r="HD17" s="33"/>
      <c r="HE17" s="33"/>
      <c r="HF17" s="33"/>
      <c r="HG17" s="33"/>
      <c r="HH17" s="33"/>
      <c r="HI17" s="33"/>
      <c r="HJ17" s="33"/>
      <c r="HK17" s="33"/>
      <c r="HL17" s="33"/>
      <c r="HM17" s="33"/>
      <c r="HN17" s="33"/>
      <c r="HO17" s="33"/>
      <c r="HP17" s="33"/>
      <c r="HQ17" s="33"/>
      <c r="HR17" s="33"/>
      <c r="HS17" s="33"/>
      <c r="HT17" s="33"/>
      <c r="HU17" s="33"/>
      <c r="HV17" s="33"/>
      <c r="HW17" s="33"/>
      <c r="HX17" s="33"/>
      <c r="HY17" s="33"/>
      <c r="HZ17" s="33"/>
      <c r="IA17" s="33"/>
      <c r="IB17" s="33"/>
      <c r="IC17" s="33"/>
      <c r="ID17" s="33"/>
    </row>
    <row r="18" spans="2:238" s="1959" customFormat="1" ht="12.75" customHeight="1">
      <c r="B18" s="1958"/>
      <c r="C18" s="1570"/>
      <c r="D18" s="1570"/>
      <c r="E18" s="1570"/>
      <c r="F18" s="1570"/>
      <c r="G18" s="1570"/>
      <c r="H18" s="1577"/>
      <c r="I18" s="1570"/>
      <c r="J18" s="1570"/>
      <c r="K18" s="1960"/>
      <c r="L18" s="1549"/>
      <c r="M18" s="1549"/>
      <c r="N18" s="1550"/>
      <c r="O18" s="1570"/>
      <c r="P18" s="1960"/>
      <c r="Q18" s="1549"/>
      <c r="R18" s="1549"/>
      <c r="S18" s="1550"/>
      <c r="T18" s="1570"/>
      <c r="U18" s="1960"/>
      <c r="V18" s="1549"/>
      <c r="W18" s="1549"/>
      <c r="X18" s="1550"/>
      <c r="Y18" s="1570"/>
      <c r="Z18" s="1960"/>
      <c r="AA18" s="1549"/>
      <c r="AB18" s="1549"/>
      <c r="AC18" s="1550"/>
      <c r="AD18" s="1570"/>
      <c r="AE18" s="1960"/>
      <c r="AF18" s="1549"/>
      <c r="AG18" s="1549"/>
      <c r="AH18" s="1550"/>
      <c r="AI18" s="1570"/>
      <c r="AJ18" s="1960"/>
      <c r="AK18" s="1549"/>
      <c r="AL18" s="1549"/>
      <c r="AM18" s="1550"/>
      <c r="AN18" s="1570"/>
      <c r="AO18" s="1960"/>
      <c r="AP18" s="1549"/>
      <c r="AQ18" s="1549"/>
      <c r="AR18" s="1550"/>
      <c r="AS18" s="1570"/>
      <c r="AT18" s="1960"/>
      <c r="AU18" s="1549"/>
      <c r="AV18" s="1549"/>
      <c r="AW18" s="1550"/>
      <c r="AX18" s="1570"/>
      <c r="AY18" s="1960"/>
      <c r="AZ18" s="1549"/>
      <c r="BA18" s="1549"/>
      <c r="BB18" s="1550"/>
      <c r="BC18" s="1570"/>
      <c r="BD18" s="1960"/>
      <c r="BE18" s="1549"/>
      <c r="BF18" s="1549"/>
      <c r="BG18" s="1550"/>
      <c r="BH18" s="1570"/>
      <c r="BI18" s="1960"/>
      <c r="BJ18" s="1549"/>
      <c r="BK18" s="1549"/>
      <c r="BL18" s="1550"/>
      <c r="BM18" s="1570"/>
      <c r="BN18" s="1960"/>
      <c r="BO18" s="1549"/>
      <c r="BP18" s="1549"/>
      <c r="BQ18" s="1550"/>
      <c r="BR18" s="1570"/>
      <c r="BS18" s="1960"/>
      <c r="BT18" s="1549"/>
      <c r="BU18" s="1549"/>
      <c r="BV18" s="1550"/>
      <c r="BW18" s="1570"/>
      <c r="BX18" s="1960"/>
      <c r="BY18" s="1549"/>
      <c r="BZ18" s="1549"/>
      <c r="CA18" s="1550"/>
      <c r="CB18" s="1570"/>
      <c r="CC18" s="1960"/>
      <c r="CD18" s="1549"/>
      <c r="CE18" s="1549"/>
      <c r="CF18" s="1549"/>
      <c r="CG18" s="1961"/>
      <c r="CH18" s="1549"/>
      <c r="CI18" s="1549"/>
      <c r="CJ18" s="1549"/>
      <c r="CK18" s="1549"/>
      <c r="CL18" s="1961"/>
      <c r="CM18" s="1549"/>
      <c r="CN18" s="1549"/>
      <c r="CO18" s="1549"/>
      <c r="CP18" s="1549"/>
      <c r="CQ18" s="1961"/>
      <c r="CR18" s="1549"/>
      <c r="CS18" s="1549"/>
      <c r="CT18" s="1549"/>
      <c r="CU18" s="1549"/>
      <c r="CV18" s="1961"/>
      <c r="CW18" s="1549"/>
      <c r="CX18" s="1549"/>
      <c r="CY18" s="1549"/>
      <c r="CZ18" s="1549"/>
      <c r="DA18" s="1961"/>
      <c r="DB18" s="1549"/>
      <c r="DC18" s="2011"/>
      <c r="DD18" s="2011"/>
      <c r="DE18" s="2011"/>
      <c r="DF18" s="1961"/>
      <c r="DG18" s="2011"/>
      <c r="DH18" s="2011"/>
      <c r="DI18" s="2011"/>
      <c r="DJ18" s="2011"/>
      <c r="DK18" s="1961"/>
      <c r="DL18" s="2011"/>
      <c r="DM18" s="2011"/>
      <c r="DN18" s="2011"/>
      <c r="DO18" s="2011"/>
      <c r="DP18" s="1962"/>
      <c r="DQ18" s="2011"/>
      <c r="DR18" s="1549"/>
      <c r="DS18" s="1549"/>
      <c r="DT18" s="1554"/>
      <c r="DU18" s="1962"/>
      <c r="DV18" s="1549"/>
      <c r="DW18" s="1549"/>
      <c r="DX18" s="1549"/>
      <c r="DY18" s="1554"/>
      <c r="DZ18" s="1962"/>
      <c r="EA18" s="1549"/>
      <c r="EB18" s="1549"/>
      <c r="EC18" s="1549"/>
      <c r="ED18" s="1554"/>
      <c r="EE18" s="1962"/>
      <c r="EF18" s="33"/>
      <c r="EG18" s="33"/>
      <c r="EH18" s="33"/>
      <c r="EI18" s="33"/>
      <c r="EJ18"/>
      <c r="EK18"/>
      <c r="EL18"/>
      <c r="EM18"/>
      <c r="EN18"/>
      <c r="EO18"/>
      <c r="EP18" s="33"/>
      <c r="EQ18" s="33"/>
      <c r="ER18" s="33"/>
      <c r="ES18" s="33"/>
      <c r="ET18" s="33"/>
      <c r="EU18" s="33"/>
      <c r="EV18" s="33"/>
      <c r="EW18" s="33"/>
      <c r="EX18" s="33"/>
      <c r="EY18" s="33"/>
      <c r="EZ18" s="33"/>
      <c r="FA18" s="33"/>
      <c r="FB18" s="33"/>
      <c r="FC18" s="33"/>
      <c r="FD18" s="33"/>
      <c r="FE18" s="33"/>
      <c r="FF18" s="33"/>
      <c r="FG18" s="33"/>
      <c r="FH18" s="33"/>
      <c r="FI18" s="33"/>
      <c r="FJ18" s="33"/>
      <c r="FK18" s="33"/>
      <c r="FL18" s="33"/>
      <c r="FM18" s="33"/>
      <c r="FN18" s="33"/>
      <c r="FO18" s="33"/>
      <c r="FP18" s="33"/>
      <c r="FQ18" s="33"/>
      <c r="FR18" s="33"/>
      <c r="FS18" s="33"/>
      <c r="FT18" s="33"/>
      <c r="FU18" s="33"/>
      <c r="FV18" s="33"/>
      <c r="FW18" s="33"/>
      <c r="FX18" s="33"/>
      <c r="FY18" s="33"/>
      <c r="FZ18" s="33"/>
      <c r="GA18" s="33"/>
      <c r="GB18" s="33"/>
      <c r="GC18" s="33"/>
      <c r="GD18" s="33"/>
      <c r="GE18" s="33"/>
      <c r="GF18" s="33"/>
      <c r="GG18" s="33"/>
      <c r="GH18" s="33"/>
      <c r="GI18" s="33"/>
      <c r="GJ18" s="33"/>
      <c r="GK18" s="33"/>
      <c r="GL18" s="33"/>
      <c r="GM18" s="33"/>
      <c r="GN18" s="33"/>
      <c r="GO18" s="33"/>
      <c r="GP18" s="33"/>
      <c r="GQ18" s="33"/>
      <c r="GR18" s="33"/>
      <c r="GS18" s="33"/>
      <c r="GT18" s="33"/>
      <c r="GU18" s="33"/>
      <c r="GV18" s="33"/>
      <c r="GW18" s="33"/>
      <c r="GX18" s="33"/>
      <c r="GY18" s="33"/>
      <c r="GZ18" s="33"/>
      <c r="HA18" s="33"/>
      <c r="HB18" s="33"/>
      <c r="HC18" s="33"/>
      <c r="HD18" s="33"/>
      <c r="HE18" s="33"/>
      <c r="HF18" s="33"/>
      <c r="HG18" s="33"/>
      <c r="HH18" s="33"/>
      <c r="HI18" s="33"/>
      <c r="HJ18" s="33"/>
      <c r="HK18" s="33"/>
      <c r="HL18" s="33"/>
      <c r="HM18" s="33"/>
      <c r="HN18" s="33"/>
      <c r="HO18" s="33"/>
      <c r="HP18" s="33"/>
      <c r="HQ18" s="33"/>
      <c r="HR18" s="33"/>
      <c r="HS18" s="33"/>
      <c r="HT18" s="33"/>
      <c r="HU18" s="33"/>
      <c r="HV18" s="33"/>
      <c r="HW18" s="33"/>
      <c r="HX18" s="33"/>
      <c r="HY18" s="33"/>
      <c r="HZ18" s="33"/>
      <c r="IA18" s="33"/>
      <c r="IB18" s="33"/>
      <c r="IC18" s="33"/>
      <c r="ID18" s="33"/>
    </row>
    <row r="19" spans="2:238" s="1959" customFormat="1" ht="12.75" customHeight="1">
      <c r="B19" s="1958" t="s">
        <v>233</v>
      </c>
      <c r="C19" s="1570"/>
      <c r="D19" s="1570"/>
      <c r="E19" s="1570"/>
      <c r="F19" s="1570"/>
      <c r="G19" s="1570"/>
      <c r="H19" s="1577"/>
      <c r="I19" s="1570"/>
      <c r="J19" s="1570"/>
      <c r="K19" s="1960"/>
      <c r="L19" s="1549"/>
      <c r="M19" s="1549"/>
      <c r="N19" s="1550"/>
      <c r="O19" s="1570"/>
      <c r="P19" s="1960"/>
      <c r="Q19" s="1549"/>
      <c r="R19" s="1549"/>
      <c r="S19" s="1550"/>
      <c r="T19" s="1570"/>
      <c r="U19" s="1960"/>
      <c r="V19" s="1549"/>
      <c r="W19" s="1549"/>
      <c r="X19" s="1550"/>
      <c r="Y19" s="1570"/>
      <c r="Z19" s="1960"/>
      <c r="AA19" s="1549"/>
      <c r="AB19" s="1549"/>
      <c r="AC19" s="1550"/>
      <c r="AD19" s="1570"/>
      <c r="AE19" s="1960"/>
      <c r="AF19" s="1549"/>
      <c r="AG19" s="1549"/>
      <c r="AH19" s="1550"/>
      <c r="AI19" s="1570"/>
      <c r="AJ19" s="1960"/>
      <c r="AK19" s="1549"/>
      <c r="AL19" s="1549"/>
      <c r="AM19" s="1550"/>
      <c r="AN19" s="1570"/>
      <c r="AO19" s="1960"/>
      <c r="AP19" s="1549"/>
      <c r="AQ19" s="1549"/>
      <c r="AR19" s="1550"/>
      <c r="AS19" s="1570"/>
      <c r="AT19" s="1960"/>
      <c r="AU19" s="1549"/>
      <c r="AV19" s="1549"/>
      <c r="AW19" s="1550"/>
      <c r="AX19" s="1570"/>
      <c r="AY19" s="1960"/>
      <c r="AZ19" s="1549"/>
      <c r="BA19" s="1549"/>
      <c r="BB19" s="1550"/>
      <c r="BC19" s="1570"/>
      <c r="BD19" s="1960"/>
      <c r="BE19" s="1549"/>
      <c r="BF19" s="1549"/>
      <c r="BG19" s="1550"/>
      <c r="BH19" s="1570"/>
      <c r="BI19" s="1960"/>
      <c r="BJ19" s="1549"/>
      <c r="BK19" s="1549"/>
      <c r="BL19" s="1550"/>
      <c r="BM19" s="1570"/>
      <c r="BN19" s="1960"/>
      <c r="BO19" s="1549"/>
      <c r="BP19" s="1549"/>
      <c r="BQ19" s="1550"/>
      <c r="BR19" s="1570"/>
      <c r="BS19" s="1960"/>
      <c r="BT19" s="1549"/>
      <c r="BU19" s="1549"/>
      <c r="BV19" s="1550"/>
      <c r="BW19" s="1570"/>
      <c r="BX19" s="1960"/>
      <c r="BY19" s="1549"/>
      <c r="BZ19" s="1549"/>
      <c r="CA19" s="1550"/>
      <c r="CB19" s="1570"/>
      <c r="CC19" s="1960"/>
      <c r="CD19" s="1549"/>
      <c r="CE19" s="1549"/>
      <c r="CF19" s="1549"/>
      <c r="CG19" s="1961"/>
      <c r="CH19" s="1549"/>
      <c r="CI19" s="1549"/>
      <c r="CJ19" s="1549"/>
      <c r="CK19" s="1549"/>
      <c r="CL19" s="1961"/>
      <c r="CM19" s="1549"/>
      <c r="CN19" s="1549"/>
      <c r="CO19" s="1549"/>
      <c r="CP19" s="1549"/>
      <c r="CQ19" s="1961"/>
      <c r="CR19" s="1549"/>
      <c r="CS19" s="1549"/>
      <c r="CT19" s="1549"/>
      <c r="CU19" s="1549"/>
      <c r="CV19" s="1961"/>
      <c r="CW19" s="1549"/>
      <c r="CX19" s="1549"/>
      <c r="CY19" s="1549"/>
      <c r="CZ19" s="1549"/>
      <c r="DA19" s="1961"/>
      <c r="DB19" s="1549"/>
      <c r="DC19" s="2011">
        <v>745</v>
      </c>
      <c r="DD19" s="2011">
        <v>1188</v>
      </c>
      <c r="DE19" s="2011">
        <v>1235</v>
      </c>
      <c r="DF19" s="1961">
        <f>SUM(DB19:DE19)</f>
        <v>3168</v>
      </c>
      <c r="DG19" s="2011">
        <v>1203</v>
      </c>
      <c r="DH19" s="2011">
        <v>1181</v>
      </c>
      <c r="DI19" s="2011">
        <v>1139</v>
      </c>
      <c r="DJ19" s="2011">
        <v>1068</v>
      </c>
      <c r="DK19" s="1961">
        <f>SUM(DG19:DJ19)</f>
        <v>4591</v>
      </c>
      <c r="DL19" s="2011">
        <v>993</v>
      </c>
      <c r="DM19" s="2011">
        <v>1006</v>
      </c>
      <c r="DN19" s="2011">
        <v>1006</v>
      </c>
      <c r="DO19" s="2011">
        <v>1007</v>
      </c>
      <c r="DP19" s="1962">
        <f>SUM(DL19:DO19)</f>
        <v>4012</v>
      </c>
      <c r="DQ19" s="2011">
        <v>1040</v>
      </c>
      <c r="DR19" s="1549">
        <f>DR13*DR59</f>
        <v>1147.027174103931</v>
      </c>
      <c r="DS19" s="1549">
        <f>DS13*DS59</f>
        <v>1097.7523614584738</v>
      </c>
      <c r="DT19" s="1554">
        <f>DT13*DT59</f>
        <v>1067.2900444760048</v>
      </c>
      <c r="DU19" s="1962">
        <f>SUM(DQ19:DT19)</f>
        <v>4352.0695800384092</v>
      </c>
      <c r="DV19" s="1549">
        <f>DV13*DV59</f>
        <v>1078.2458731169106</v>
      </c>
      <c r="DW19" s="1549">
        <f>DW13*DW59</f>
        <v>1189.4477384072322</v>
      </c>
      <c r="DX19" s="1549">
        <f>DX13*DX59</f>
        <v>1138.3376221993669</v>
      </c>
      <c r="DY19" s="1554">
        <f>DY13*DY59</f>
        <v>1106.7365076063004</v>
      </c>
      <c r="DZ19" s="1962">
        <f>SUM(DV19:DY19)</f>
        <v>4512.7677413298106</v>
      </c>
      <c r="EA19" s="1549">
        <f>EA13*EA59</f>
        <v>1118.0846034373012</v>
      </c>
      <c r="EB19" s="1549">
        <f>EB13*EB59</f>
        <v>1233.3812121120382</v>
      </c>
      <c r="EC19" s="1549">
        <f>EC13*EC59</f>
        <v>1180.3700214594005</v>
      </c>
      <c r="ED19" s="1554">
        <f>ED13*ED59</f>
        <v>1147.5891974843855</v>
      </c>
      <c r="EE19" s="1962">
        <f>SUM(EA19:ED19)</f>
        <v>4679.4250344931252</v>
      </c>
      <c r="EF19" s="33"/>
      <c r="EG19" s="33"/>
      <c r="EH19" s="33"/>
      <c r="EI19" s="33"/>
      <c r="EJ19"/>
      <c r="EK19"/>
      <c r="EL19"/>
      <c r="EM19"/>
      <c r="EN19"/>
      <c r="EO19"/>
      <c r="EP19" s="33"/>
      <c r="EQ19" s="33"/>
      <c r="ER19" s="33"/>
      <c r="ES19" s="33"/>
      <c r="ET19" s="33"/>
      <c r="EU19" s="33"/>
      <c r="EV19" s="33"/>
      <c r="EW19" s="33"/>
      <c r="EX19" s="33"/>
      <c r="EY19" s="33"/>
      <c r="EZ19" s="33"/>
      <c r="FA19" s="33"/>
      <c r="FB19" s="33"/>
      <c r="FC19" s="33"/>
      <c r="FD19" s="33"/>
      <c r="FE19" s="33"/>
      <c r="FF19" s="33"/>
      <c r="FG19" s="33"/>
      <c r="FH19" s="33"/>
      <c r="FI19" s="33"/>
      <c r="FJ19" s="33"/>
      <c r="FK19" s="33"/>
      <c r="FL19" s="33"/>
      <c r="FM19" s="33"/>
      <c r="FN19" s="33"/>
      <c r="FO19" s="33"/>
      <c r="FP19" s="33"/>
      <c r="FQ19" s="33"/>
      <c r="FR19" s="33"/>
      <c r="FS19" s="33"/>
      <c r="FT19" s="33"/>
      <c r="FU19" s="33"/>
      <c r="FV19" s="33"/>
      <c r="FW19" s="33"/>
      <c r="FX19" s="33"/>
      <c r="FY19" s="33"/>
      <c r="FZ19" s="33"/>
      <c r="GA19" s="33"/>
      <c r="GB19" s="33"/>
      <c r="GC19" s="33"/>
      <c r="GD19" s="33"/>
      <c r="GE19" s="33"/>
      <c r="GF19" s="33"/>
      <c r="GG19" s="33"/>
      <c r="GH19" s="33"/>
      <c r="GI19" s="33"/>
      <c r="GJ19" s="33"/>
      <c r="GK19" s="33"/>
      <c r="GL19" s="33"/>
      <c r="GM19" s="33"/>
      <c r="GN19" s="33"/>
      <c r="GO19" s="33"/>
      <c r="GP19" s="33"/>
      <c r="GQ19" s="33"/>
      <c r="GR19" s="33"/>
      <c r="GS19" s="33"/>
      <c r="GT19" s="33"/>
      <c r="GU19" s="33"/>
      <c r="GV19" s="33"/>
      <c r="GW19" s="33"/>
      <c r="GX19" s="33"/>
      <c r="GY19" s="33"/>
      <c r="GZ19" s="33"/>
      <c r="HA19" s="33"/>
      <c r="HB19" s="33"/>
      <c r="HC19" s="33"/>
      <c r="HD19" s="33"/>
      <c r="HE19" s="33"/>
      <c r="HF19" s="33"/>
      <c r="HG19" s="33"/>
      <c r="HH19" s="33"/>
      <c r="HI19" s="33"/>
      <c r="HJ19" s="33"/>
      <c r="HK19" s="33"/>
      <c r="HL19" s="33"/>
      <c r="HM19" s="33"/>
      <c r="HN19" s="33"/>
      <c r="HO19" s="33"/>
      <c r="HP19" s="33"/>
      <c r="HQ19" s="33"/>
      <c r="HR19" s="33"/>
      <c r="HS19" s="33"/>
      <c r="HT19" s="33"/>
      <c r="HU19" s="33"/>
      <c r="HV19" s="33"/>
      <c r="HW19" s="33"/>
      <c r="HX19" s="33"/>
      <c r="HY19" s="33"/>
      <c r="HZ19" s="33"/>
      <c r="IA19" s="33"/>
      <c r="IB19" s="33"/>
      <c r="IC19" s="33"/>
      <c r="ID19" s="33"/>
    </row>
    <row r="20" spans="2:238" s="1959" customFormat="1" ht="12.75" customHeight="1">
      <c r="B20" s="1958"/>
      <c r="C20" s="1570"/>
      <c r="D20" s="1570"/>
      <c r="E20" s="1570"/>
      <c r="F20" s="1570"/>
      <c r="G20" s="1570"/>
      <c r="H20" s="1577"/>
      <c r="I20" s="1570"/>
      <c r="J20" s="1570"/>
      <c r="K20" s="1960"/>
      <c r="L20" s="1549"/>
      <c r="M20" s="1549"/>
      <c r="N20" s="1550"/>
      <c r="O20" s="1570"/>
      <c r="P20" s="1960"/>
      <c r="Q20" s="1549"/>
      <c r="R20" s="1549"/>
      <c r="S20" s="1550"/>
      <c r="T20" s="1570"/>
      <c r="U20" s="1960"/>
      <c r="V20" s="1549"/>
      <c r="W20" s="1549"/>
      <c r="X20" s="1550"/>
      <c r="Y20" s="1570"/>
      <c r="Z20" s="1960"/>
      <c r="AA20" s="1549"/>
      <c r="AB20" s="1549"/>
      <c r="AC20" s="1550"/>
      <c r="AD20" s="1570"/>
      <c r="AE20" s="1960"/>
      <c r="AF20" s="1549"/>
      <c r="AG20" s="1549"/>
      <c r="AH20" s="1550"/>
      <c r="AI20" s="1570"/>
      <c r="AJ20" s="1960"/>
      <c r="AK20" s="1549"/>
      <c r="AL20" s="1549"/>
      <c r="AM20" s="1550"/>
      <c r="AN20" s="1570"/>
      <c r="AO20" s="1960"/>
      <c r="AP20" s="1549"/>
      <c r="AQ20" s="1549"/>
      <c r="AR20" s="1550"/>
      <c r="AS20" s="1570"/>
      <c r="AT20" s="1960"/>
      <c r="AU20" s="1549"/>
      <c r="AV20" s="1549"/>
      <c r="AW20" s="1550"/>
      <c r="AX20" s="1570"/>
      <c r="AY20" s="1960"/>
      <c r="AZ20" s="1549"/>
      <c r="BA20" s="1549"/>
      <c r="BB20" s="1550"/>
      <c r="BC20" s="1570"/>
      <c r="BD20" s="1960"/>
      <c r="BE20" s="1549"/>
      <c r="BF20" s="1549"/>
      <c r="BG20" s="1550"/>
      <c r="BH20" s="1570"/>
      <c r="BI20" s="1960"/>
      <c r="BJ20" s="1549"/>
      <c r="BK20" s="1549"/>
      <c r="BL20" s="1550"/>
      <c r="BM20" s="1570"/>
      <c r="BN20" s="1960"/>
      <c r="BO20" s="1549"/>
      <c r="BP20" s="1549"/>
      <c r="BQ20" s="1550"/>
      <c r="BR20" s="1570"/>
      <c r="BS20" s="1960"/>
      <c r="BT20" s="1549"/>
      <c r="BU20" s="1549"/>
      <c r="BV20" s="1550"/>
      <c r="BW20" s="1570"/>
      <c r="BX20" s="1960"/>
      <c r="BY20" s="1549"/>
      <c r="BZ20" s="1549"/>
      <c r="CA20" s="1550"/>
      <c r="CB20" s="1570"/>
      <c r="CC20" s="1960"/>
      <c r="CD20" s="1549"/>
      <c r="CE20" s="1549"/>
      <c r="CF20" s="1549"/>
      <c r="CG20" s="1961"/>
      <c r="CH20" s="1549"/>
      <c r="CI20" s="1549"/>
      <c r="CJ20" s="1549"/>
      <c r="CK20" s="1549"/>
      <c r="CL20" s="1961"/>
      <c r="CM20" s="1549"/>
      <c r="CN20" s="1549"/>
      <c r="CO20" s="1549"/>
      <c r="CP20" s="1549"/>
      <c r="CQ20" s="1961"/>
      <c r="CR20" s="1549"/>
      <c r="CS20" s="1549"/>
      <c r="CT20" s="1549"/>
      <c r="CU20" s="1549"/>
      <c r="CV20" s="1961"/>
      <c r="CW20" s="1549"/>
      <c r="CX20" s="1549"/>
      <c r="CY20" s="1549"/>
      <c r="CZ20" s="1549"/>
      <c r="DA20" s="1961"/>
      <c r="DB20" s="1549"/>
      <c r="DC20" s="2011"/>
      <c r="DD20" s="2011"/>
      <c r="DE20" s="2011"/>
      <c r="DF20" s="1961"/>
      <c r="DG20" s="2011"/>
      <c r="DH20" s="2011"/>
      <c r="DI20" s="2011"/>
      <c r="DJ20" s="2011"/>
      <c r="DK20" s="1961"/>
      <c r="DL20" s="2011"/>
      <c r="DM20" s="2011"/>
      <c r="DN20" s="2011"/>
      <c r="DO20" s="2011"/>
      <c r="DP20" s="1962"/>
      <c r="DQ20" s="2011"/>
      <c r="DR20" s="1549"/>
      <c r="DS20" s="1549"/>
      <c r="DT20" s="1554"/>
      <c r="DU20" s="1962"/>
      <c r="DV20" s="1549"/>
      <c r="DW20" s="1549"/>
      <c r="DX20" s="1549"/>
      <c r="DY20" s="1554"/>
      <c r="DZ20" s="1962"/>
      <c r="EA20" s="1549"/>
      <c r="EB20" s="1549"/>
      <c r="EC20" s="1549"/>
      <c r="ED20" s="1554"/>
      <c r="EE20" s="1962"/>
      <c r="EF20" s="33"/>
      <c r="EG20" s="33"/>
      <c r="EH20" s="33"/>
      <c r="EI20" s="33"/>
      <c r="EJ20"/>
      <c r="EK20"/>
      <c r="EL20"/>
      <c r="EM20"/>
      <c r="EN20"/>
      <c r="EO20"/>
      <c r="EP20" s="33"/>
      <c r="EQ20" s="33"/>
      <c r="ER20" s="33"/>
      <c r="ES20" s="33"/>
      <c r="ET20" s="33"/>
      <c r="EU20" s="33"/>
      <c r="EV20" s="33"/>
      <c r="EW20" s="33"/>
      <c r="EX20" s="33"/>
      <c r="EY20" s="33"/>
      <c r="EZ20" s="33"/>
      <c r="FA20" s="33"/>
      <c r="FB20" s="33"/>
      <c r="FC20" s="33"/>
      <c r="FD20" s="33"/>
      <c r="FE20" s="33"/>
      <c r="FF20" s="33"/>
      <c r="FG20" s="33"/>
      <c r="FH20" s="33"/>
      <c r="FI20" s="33"/>
      <c r="FJ20" s="33"/>
      <c r="FK20" s="33"/>
      <c r="FL20" s="33"/>
      <c r="FM20" s="33"/>
      <c r="FN20" s="33"/>
      <c r="FO20" s="33"/>
      <c r="FP20" s="33"/>
      <c r="FQ20" s="33"/>
      <c r="FR20" s="33"/>
      <c r="FS20" s="33"/>
      <c r="FT20" s="33"/>
      <c r="FU20" s="33"/>
      <c r="FV20" s="33"/>
      <c r="FW20" s="33"/>
      <c r="FX20" s="33"/>
      <c r="FY20" s="33"/>
      <c r="FZ20" s="33"/>
      <c r="GA20" s="33"/>
      <c r="GB20" s="33"/>
      <c r="GC20" s="33"/>
      <c r="GD20" s="33"/>
      <c r="GE20" s="33"/>
      <c r="GF20" s="33"/>
      <c r="GG20" s="33"/>
      <c r="GH20" s="33"/>
      <c r="GI20" s="33"/>
      <c r="GJ20" s="33"/>
      <c r="GK20" s="33"/>
      <c r="GL20" s="33"/>
      <c r="GM20" s="33"/>
      <c r="GN20" s="33"/>
      <c r="GO20" s="33"/>
      <c r="GP20" s="33"/>
      <c r="GQ20" s="33"/>
      <c r="GR20" s="33"/>
      <c r="GS20" s="33"/>
      <c r="GT20" s="33"/>
      <c r="GU20" s="33"/>
      <c r="GV20" s="33"/>
      <c r="GW20" s="33"/>
      <c r="GX20" s="33"/>
      <c r="GY20" s="33"/>
      <c r="GZ20" s="33"/>
      <c r="HA20" s="33"/>
      <c r="HB20" s="33"/>
      <c r="HC20" s="33"/>
      <c r="HD20" s="33"/>
      <c r="HE20" s="33"/>
      <c r="HF20" s="33"/>
      <c r="HG20" s="33"/>
      <c r="HH20" s="33"/>
      <c r="HI20" s="33"/>
      <c r="HJ20" s="33"/>
      <c r="HK20" s="33"/>
      <c r="HL20" s="33"/>
      <c r="HM20" s="33"/>
      <c r="HN20" s="33"/>
      <c r="HO20" s="33"/>
      <c r="HP20" s="33"/>
      <c r="HQ20" s="33"/>
      <c r="HR20" s="33"/>
      <c r="HS20" s="33"/>
      <c r="HT20" s="33"/>
      <c r="HU20" s="33"/>
      <c r="HV20" s="33"/>
      <c r="HW20" s="33"/>
      <c r="HX20" s="33"/>
      <c r="HY20" s="33"/>
      <c r="HZ20" s="33"/>
      <c r="IA20" s="33"/>
      <c r="IB20" s="33"/>
      <c r="IC20" s="33"/>
      <c r="ID20" s="33"/>
    </row>
    <row r="21" spans="2:238" s="1959" customFormat="1" ht="12.75" customHeight="1">
      <c r="B21" s="1958" t="s">
        <v>234</v>
      </c>
      <c r="C21" s="1570"/>
      <c r="D21" s="1570"/>
      <c r="E21" s="1570"/>
      <c r="F21" s="1570"/>
      <c r="G21" s="1570"/>
      <c r="H21" s="1577"/>
      <c r="I21" s="1570"/>
      <c r="J21" s="1570"/>
      <c r="K21" s="1960"/>
      <c r="L21" s="1549"/>
      <c r="M21" s="1549"/>
      <c r="N21" s="1550"/>
      <c r="O21" s="1570"/>
      <c r="P21" s="1960"/>
      <c r="Q21" s="1549"/>
      <c r="R21" s="1549"/>
      <c r="S21" s="1550"/>
      <c r="T21" s="1570"/>
      <c r="U21" s="1960"/>
      <c r="V21" s="1549"/>
      <c r="W21" s="1549"/>
      <c r="X21" s="1550"/>
      <c r="Y21" s="1570"/>
      <c r="Z21" s="1960"/>
      <c r="AA21" s="1549"/>
      <c r="AB21" s="1549"/>
      <c r="AC21" s="1550"/>
      <c r="AD21" s="1570"/>
      <c r="AE21" s="1960"/>
      <c r="AF21" s="1549"/>
      <c r="AG21" s="1549"/>
      <c r="AH21" s="1550"/>
      <c r="AI21" s="1570"/>
      <c r="AJ21" s="1960"/>
      <c r="AK21" s="1549"/>
      <c r="AL21" s="1549"/>
      <c r="AM21" s="1550"/>
      <c r="AN21" s="1570"/>
      <c r="AO21" s="1960"/>
      <c r="AP21" s="1549"/>
      <c r="AQ21" s="1549"/>
      <c r="AR21" s="1550"/>
      <c r="AS21" s="1570"/>
      <c r="AT21" s="1960"/>
      <c r="AU21" s="1549"/>
      <c r="AV21" s="1549"/>
      <c r="AW21" s="1550"/>
      <c r="AX21" s="1570"/>
      <c r="AY21" s="1960"/>
      <c r="AZ21" s="1549"/>
      <c r="BA21" s="1549"/>
      <c r="BB21" s="1550"/>
      <c r="BC21" s="1570"/>
      <c r="BD21" s="1960"/>
      <c r="BE21" s="1549"/>
      <c r="BF21" s="1549"/>
      <c r="BG21" s="1550"/>
      <c r="BH21" s="1570"/>
      <c r="BI21" s="1960"/>
      <c r="BJ21" s="1549"/>
      <c r="BK21" s="1549"/>
      <c r="BL21" s="1550"/>
      <c r="BM21" s="1570"/>
      <c r="BN21" s="1960"/>
      <c r="BO21" s="1549"/>
      <c r="BP21" s="1549"/>
      <c r="BQ21" s="1550"/>
      <c r="BR21" s="1570"/>
      <c r="BS21" s="1960"/>
      <c r="BT21" s="1549"/>
      <c r="BU21" s="1549"/>
      <c r="BV21" s="1550"/>
      <c r="BW21" s="1570"/>
      <c r="BX21" s="1960"/>
      <c r="BY21" s="1549"/>
      <c r="BZ21" s="1549"/>
      <c r="CA21" s="1550"/>
      <c r="CB21" s="1570"/>
      <c r="CC21" s="1960"/>
      <c r="CD21" s="1549"/>
      <c r="CE21" s="1549"/>
      <c r="CF21" s="1549"/>
      <c r="CG21" s="1961"/>
      <c r="CH21" s="1549"/>
      <c r="CI21" s="1549"/>
      <c r="CJ21" s="1549"/>
      <c r="CK21" s="1549"/>
      <c r="CL21" s="1961"/>
      <c r="CM21" s="1549"/>
      <c r="CN21" s="1549"/>
      <c r="CO21" s="1549"/>
      <c r="CP21" s="1549"/>
      <c r="CQ21" s="1961"/>
      <c r="CR21" s="1549"/>
      <c r="CS21" s="1549"/>
      <c r="CT21" s="1549"/>
      <c r="CU21" s="1549"/>
      <c r="CV21" s="1961"/>
      <c r="CW21" s="1549"/>
      <c r="CX21" s="1549"/>
      <c r="CY21" s="1549"/>
      <c r="CZ21" s="1549"/>
      <c r="DA21" s="1961"/>
      <c r="DB21" s="1549"/>
      <c r="DC21" s="2011">
        <f>DC17-DC19</f>
        <v>8</v>
      </c>
      <c r="DD21" s="2011">
        <f t="shared" ref="DD21:DP21" si="23">DD17-DD19</f>
        <v>205</v>
      </c>
      <c r="DE21" s="2011">
        <v>196</v>
      </c>
      <c r="DF21" s="1961">
        <f t="shared" si="23"/>
        <v>455</v>
      </c>
      <c r="DG21" s="2011">
        <v>302</v>
      </c>
      <c r="DH21" s="2011">
        <v>299</v>
      </c>
      <c r="DI21" s="2011">
        <f>DI17-DI19</f>
        <v>223</v>
      </c>
      <c r="DJ21" s="2011">
        <f>DJ17-DJ19</f>
        <v>205</v>
      </c>
      <c r="DK21" s="1961">
        <f t="shared" si="23"/>
        <v>1065</v>
      </c>
      <c r="DL21" s="2011">
        <f>DL17-DL19</f>
        <v>182</v>
      </c>
      <c r="DM21" s="2011">
        <f>DM17-DM19</f>
        <v>198</v>
      </c>
      <c r="DN21" s="2011">
        <f>DN17-DN19</f>
        <v>142</v>
      </c>
      <c r="DO21" s="2011">
        <f>DO17-DO19</f>
        <v>219</v>
      </c>
      <c r="DP21" s="1962">
        <f t="shared" si="23"/>
        <v>741</v>
      </c>
      <c r="DQ21" s="1549">
        <f>DQ17-DQ19</f>
        <v>184</v>
      </c>
      <c r="DR21" s="1549">
        <f t="shared" ref="DR21:DZ21" si="24">DR17-DR19</f>
        <v>204.91992123200248</v>
      </c>
      <c r="DS21" s="1549">
        <f t="shared" si="24"/>
        <v>172.68804254607085</v>
      </c>
      <c r="DT21" s="1554">
        <f t="shared" si="24"/>
        <v>251.36780881115465</v>
      </c>
      <c r="DU21" s="1962">
        <f t="shared" si="24"/>
        <v>812.97577258922865</v>
      </c>
      <c r="DV21" s="1549">
        <f t="shared" si="24"/>
        <v>190.76657755145334</v>
      </c>
      <c r="DW21" s="1549">
        <f t="shared" si="24"/>
        <v>212.49848509858271</v>
      </c>
      <c r="DX21" s="1549">
        <f t="shared" si="24"/>
        <v>179.07253278233406</v>
      </c>
      <c r="DY21" s="1554">
        <f t="shared" si="24"/>
        <v>260.65822715032368</v>
      </c>
      <c r="DZ21" s="1962">
        <f t="shared" si="24"/>
        <v>842.99582258269311</v>
      </c>
      <c r="EA21" s="1549">
        <f t="shared" ref="EA21:EE21" si="25">EA17-EA19</f>
        <v>197.81496830044557</v>
      </c>
      <c r="EB21" s="1549">
        <f t="shared" si="25"/>
        <v>220.34733486804885</v>
      </c>
      <c r="EC21" s="1549">
        <f t="shared" si="25"/>
        <v>185.68467319448177</v>
      </c>
      <c r="ED21" s="1554">
        <f t="shared" si="25"/>
        <v>270.27983956191269</v>
      </c>
      <c r="EE21" s="1962">
        <f t="shared" si="25"/>
        <v>874.12681592488934</v>
      </c>
      <c r="EF21" s="33"/>
      <c r="EG21" s="33"/>
      <c r="EH21" s="33"/>
      <c r="EI21" s="33"/>
      <c r="EJ21"/>
      <c r="EK21"/>
      <c r="EL21"/>
      <c r="EM21"/>
      <c r="EN21"/>
      <c r="EO21"/>
      <c r="EP21" s="33"/>
      <c r="EQ21" s="33"/>
      <c r="ER21" s="33"/>
      <c r="ES21" s="33"/>
      <c r="ET21" s="33"/>
      <c r="EU21" s="33"/>
      <c r="EV21" s="33"/>
      <c r="EW21" s="33"/>
      <c r="EX21" s="33"/>
      <c r="EY21" s="33"/>
      <c r="EZ21" s="33"/>
      <c r="FA21" s="33"/>
      <c r="FB21" s="33"/>
      <c r="FC21" s="33"/>
      <c r="FD21" s="33"/>
      <c r="FE21" s="33"/>
      <c r="FF21" s="33"/>
      <c r="FG21" s="33"/>
      <c r="FH21" s="33"/>
      <c r="FI21" s="33"/>
      <c r="FJ21" s="33"/>
      <c r="FK21" s="33"/>
      <c r="FL21" s="33"/>
      <c r="FM21" s="33"/>
      <c r="FN21" s="33"/>
      <c r="FO21" s="33"/>
      <c r="FP21" s="33"/>
      <c r="FQ21" s="33"/>
      <c r="FR21" s="33"/>
      <c r="FS21" s="33"/>
      <c r="FT21" s="33"/>
      <c r="FU21" s="33"/>
      <c r="FV21" s="33"/>
      <c r="FW21" s="33"/>
      <c r="FX21" s="33"/>
      <c r="FY21" s="33"/>
      <c r="FZ21" s="33"/>
      <c r="GA21" s="33"/>
      <c r="GB21" s="33"/>
      <c r="GC21" s="33"/>
      <c r="GD21" s="33"/>
      <c r="GE21" s="33"/>
      <c r="GF21" s="33"/>
      <c r="GG21" s="33"/>
      <c r="GH21" s="33"/>
      <c r="GI21" s="33"/>
      <c r="GJ21" s="33"/>
      <c r="GK21" s="33"/>
      <c r="GL21" s="33"/>
      <c r="GM21" s="33"/>
      <c r="GN21" s="33"/>
      <c r="GO21" s="33"/>
      <c r="GP21" s="33"/>
      <c r="GQ21" s="33"/>
      <c r="GR21" s="33"/>
      <c r="GS21" s="33"/>
      <c r="GT21" s="33"/>
      <c r="GU21" s="33"/>
      <c r="GV21" s="33"/>
      <c r="GW21" s="33"/>
      <c r="GX21" s="33"/>
      <c r="GY21" s="33"/>
      <c r="GZ21" s="33"/>
      <c r="HA21" s="33"/>
      <c r="HB21" s="33"/>
      <c r="HC21" s="33"/>
      <c r="HD21" s="33"/>
      <c r="HE21" s="33"/>
      <c r="HF21" s="33"/>
      <c r="HG21" s="33"/>
      <c r="HH21" s="33"/>
      <c r="HI21" s="33"/>
      <c r="HJ21" s="33"/>
      <c r="HK21" s="33"/>
      <c r="HL21" s="33"/>
      <c r="HM21" s="33"/>
      <c r="HN21" s="33"/>
      <c r="HO21" s="33"/>
      <c r="HP21" s="33"/>
      <c r="HQ21" s="33"/>
      <c r="HR21" s="33"/>
      <c r="HS21" s="33"/>
      <c r="HT21" s="33"/>
      <c r="HU21" s="33"/>
      <c r="HV21" s="33"/>
      <c r="HW21" s="33"/>
      <c r="HX21" s="33"/>
      <c r="HY21" s="33"/>
      <c r="HZ21" s="33"/>
      <c r="IA21" s="33"/>
      <c r="IB21" s="33"/>
      <c r="IC21" s="33"/>
      <c r="ID21" s="33"/>
    </row>
    <row r="22" spans="2:238" s="1959" customFormat="1" ht="12.75" customHeight="1">
      <c r="B22" s="541" t="s">
        <v>536</v>
      </c>
      <c r="C22" s="1570"/>
      <c r="D22" s="1570"/>
      <c r="E22" s="1570"/>
      <c r="F22" s="1570"/>
      <c r="G22" s="1570"/>
      <c r="H22" s="1577"/>
      <c r="I22" s="1570"/>
      <c r="J22" s="1570"/>
      <c r="K22" s="1960"/>
      <c r="L22" s="1549"/>
      <c r="M22" s="1549"/>
      <c r="N22" s="1550"/>
      <c r="O22" s="1570"/>
      <c r="P22" s="1960"/>
      <c r="Q22" s="1549"/>
      <c r="R22" s="1549"/>
      <c r="S22" s="1550"/>
      <c r="T22" s="1570"/>
      <c r="U22" s="1960"/>
      <c r="V22" s="1549"/>
      <c r="W22" s="1549"/>
      <c r="X22" s="1550"/>
      <c r="Y22" s="1570"/>
      <c r="Z22" s="1960"/>
      <c r="AA22" s="1549"/>
      <c r="AB22" s="1549"/>
      <c r="AC22" s="1550"/>
      <c r="AD22" s="1570"/>
      <c r="AE22" s="1960"/>
      <c r="AF22" s="1549"/>
      <c r="AG22" s="1549"/>
      <c r="AH22" s="1550"/>
      <c r="AI22" s="1570"/>
      <c r="AJ22" s="1960"/>
      <c r="AK22" s="1549"/>
      <c r="AL22" s="1549"/>
      <c r="AM22" s="1550"/>
      <c r="AN22" s="1570"/>
      <c r="AO22" s="1960"/>
      <c r="AP22" s="1549"/>
      <c r="AQ22" s="1549"/>
      <c r="AR22" s="1550"/>
      <c r="AS22" s="1570"/>
      <c r="AT22" s="1960"/>
      <c r="AU22" s="1549"/>
      <c r="AV22" s="1549"/>
      <c r="AW22" s="1550"/>
      <c r="AX22" s="1570"/>
      <c r="AY22" s="1960"/>
      <c r="AZ22" s="1549"/>
      <c r="BA22" s="1549"/>
      <c r="BB22" s="1550"/>
      <c r="BC22" s="1570"/>
      <c r="BD22" s="1960"/>
      <c r="BE22" s="1549"/>
      <c r="BF22" s="1549"/>
      <c r="BG22" s="1550"/>
      <c r="BH22" s="1570"/>
      <c r="BI22" s="1960"/>
      <c r="BJ22" s="1549"/>
      <c r="BK22" s="1549"/>
      <c r="BL22" s="1550"/>
      <c r="BM22" s="1570"/>
      <c r="BN22" s="1960"/>
      <c r="BO22" s="1549"/>
      <c r="BP22" s="1549"/>
      <c r="BQ22" s="1550"/>
      <c r="BR22" s="1570"/>
      <c r="BS22" s="1960"/>
      <c r="BT22" s="1549"/>
      <c r="BU22" s="1549"/>
      <c r="BV22" s="1550"/>
      <c r="BW22" s="1570"/>
      <c r="BX22" s="1960"/>
      <c r="BY22" s="1549"/>
      <c r="BZ22" s="1549"/>
      <c r="CA22" s="1550"/>
      <c r="CB22" s="1570"/>
      <c r="CC22" s="1960"/>
      <c r="CD22" s="1549"/>
      <c r="CE22" s="1549"/>
      <c r="CF22" s="1549"/>
      <c r="CG22" s="1961"/>
      <c r="CH22" s="1549"/>
      <c r="CI22" s="1549"/>
      <c r="CJ22" s="1549"/>
      <c r="CK22" s="1549"/>
      <c r="CL22" s="1961"/>
      <c r="CM22" s="1549"/>
      <c r="CN22" s="1549"/>
      <c r="CO22" s="1549"/>
      <c r="CP22" s="1549"/>
      <c r="CQ22" s="1961"/>
      <c r="CR22" s="1549"/>
      <c r="CS22" s="1549"/>
      <c r="CT22" s="1549"/>
      <c r="CU22" s="1549"/>
      <c r="CV22" s="1961"/>
      <c r="CW22" s="1549"/>
      <c r="CX22" s="1549"/>
      <c r="CY22" s="1549"/>
      <c r="CZ22" s="1549"/>
      <c r="DA22" s="1961"/>
      <c r="DB22" s="1549"/>
      <c r="DC22" s="2012"/>
      <c r="DD22" s="2011"/>
      <c r="DE22" s="2011"/>
      <c r="DF22" s="1961"/>
      <c r="DG22" s="2011"/>
      <c r="DH22" s="2011"/>
      <c r="DI22" s="2011"/>
      <c r="DJ22" s="2011"/>
      <c r="DK22" s="1961"/>
      <c r="DL22" s="2011"/>
      <c r="DM22" s="2011"/>
      <c r="DN22" s="2011"/>
      <c r="DO22" s="2011"/>
      <c r="DP22" s="1962"/>
      <c r="DQ22" s="2011"/>
      <c r="DR22" s="2301"/>
      <c r="DS22" s="2301"/>
      <c r="DT22" s="2301"/>
      <c r="DU22" s="1962"/>
      <c r="DV22" s="1549"/>
      <c r="DW22" s="1549"/>
      <c r="DX22" s="1549"/>
      <c r="DY22" s="1554"/>
      <c r="DZ22" s="1962"/>
      <c r="EA22" s="1549"/>
      <c r="EB22" s="1549"/>
      <c r="EC22" s="1549"/>
      <c r="ED22" s="1554"/>
      <c r="EE22" s="1962"/>
      <c r="EF22" s="33"/>
      <c r="EG22" s="33"/>
      <c r="EH22" s="33"/>
      <c r="EI22" s="33"/>
      <c r="EJ22"/>
      <c r="EK22"/>
      <c r="EL22"/>
      <c r="EM22"/>
      <c r="EN22"/>
      <c r="EO22"/>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c r="FY22" s="33"/>
      <c r="FZ22" s="33"/>
      <c r="GA22" s="33"/>
      <c r="GB22" s="33"/>
      <c r="GC22" s="33"/>
      <c r="GD22" s="33"/>
      <c r="GE22" s="33"/>
      <c r="GF22" s="33"/>
      <c r="GG22" s="33"/>
      <c r="GH22" s="33"/>
      <c r="GI22" s="33"/>
      <c r="GJ22" s="33"/>
      <c r="GK22" s="33"/>
      <c r="GL22" s="33"/>
      <c r="GM22" s="33"/>
      <c r="GN22" s="33"/>
      <c r="GO22" s="33"/>
      <c r="GP22" s="33"/>
      <c r="GQ22" s="33"/>
      <c r="GR22" s="33"/>
      <c r="GS22" s="33"/>
      <c r="GT22" s="33"/>
      <c r="GU22" s="33"/>
      <c r="GV22" s="33"/>
      <c r="GW22" s="33"/>
      <c r="GX22" s="33"/>
      <c r="GY22" s="33"/>
      <c r="GZ22" s="33"/>
      <c r="HA22" s="33"/>
      <c r="HB22" s="33"/>
      <c r="HC22" s="33"/>
      <c r="HD22" s="33"/>
      <c r="HE22" s="33"/>
      <c r="HF22" s="33"/>
      <c r="HG22" s="33"/>
      <c r="HH22" s="33"/>
      <c r="HI22" s="33"/>
      <c r="HJ22" s="33"/>
      <c r="HK22" s="33"/>
      <c r="HL22" s="33"/>
      <c r="HM22" s="33"/>
      <c r="HN22" s="33"/>
      <c r="HO22" s="33"/>
      <c r="HP22" s="33"/>
      <c r="HQ22" s="33"/>
      <c r="HR22" s="33"/>
      <c r="HS22" s="33"/>
      <c r="HT22" s="33"/>
      <c r="HU22" s="33"/>
      <c r="HV22" s="33"/>
      <c r="HW22" s="33"/>
      <c r="HX22" s="33"/>
      <c r="HY22" s="33"/>
      <c r="HZ22" s="33"/>
      <c r="IA22" s="33"/>
      <c r="IB22" s="33"/>
      <c r="IC22" s="33"/>
      <c r="ID22" s="33"/>
    </row>
    <row r="23" spans="2:238" s="1959" customFormat="1" ht="12.75" customHeight="1">
      <c r="B23" s="2031" t="s">
        <v>535</v>
      </c>
      <c r="C23" s="1570"/>
      <c r="D23" s="1570"/>
      <c r="E23" s="1570"/>
      <c r="F23" s="1570"/>
      <c r="G23" s="1570"/>
      <c r="H23" s="1577"/>
      <c r="I23" s="1570"/>
      <c r="J23" s="1570"/>
      <c r="K23" s="1960"/>
      <c r="L23" s="1549"/>
      <c r="M23" s="1549"/>
      <c r="N23" s="1550"/>
      <c r="O23" s="1570"/>
      <c r="P23" s="1960"/>
      <c r="Q23" s="1549"/>
      <c r="R23" s="1549"/>
      <c r="S23" s="1550"/>
      <c r="T23" s="1570"/>
      <c r="U23" s="1960"/>
      <c r="V23" s="1549"/>
      <c r="W23" s="1549"/>
      <c r="X23" s="1550"/>
      <c r="Y23" s="1570"/>
      <c r="Z23" s="1960"/>
      <c r="AA23" s="1549"/>
      <c r="AB23" s="1549"/>
      <c r="AC23" s="1550"/>
      <c r="AD23" s="1570"/>
      <c r="AE23" s="1960"/>
      <c r="AF23" s="1549"/>
      <c r="AG23" s="1549"/>
      <c r="AH23" s="1550"/>
      <c r="AI23" s="1570"/>
      <c r="AJ23" s="1960"/>
      <c r="AK23" s="1549"/>
      <c r="AL23" s="1549"/>
      <c r="AM23" s="1550"/>
      <c r="AN23" s="1570"/>
      <c r="AO23" s="1960"/>
      <c r="AP23" s="1549"/>
      <c r="AQ23" s="1549"/>
      <c r="AR23" s="1550"/>
      <c r="AS23" s="1570"/>
      <c r="AT23" s="1960"/>
      <c r="AU23" s="1549"/>
      <c r="AV23" s="1549"/>
      <c r="AW23" s="1550"/>
      <c r="AX23" s="1570"/>
      <c r="AY23" s="1960"/>
      <c r="AZ23" s="1549"/>
      <c r="BA23" s="1549"/>
      <c r="BB23" s="1550"/>
      <c r="BC23" s="1570"/>
      <c r="BD23" s="1960"/>
      <c r="BE23" s="1549"/>
      <c r="BF23" s="1549"/>
      <c r="BG23" s="1550"/>
      <c r="BH23" s="1570"/>
      <c r="BI23" s="1960"/>
      <c r="BJ23" s="1549"/>
      <c r="BK23" s="1549"/>
      <c r="BL23" s="1550"/>
      <c r="BM23" s="1570"/>
      <c r="BN23" s="1960"/>
      <c r="BO23" s="1549"/>
      <c r="BP23" s="1549"/>
      <c r="BQ23" s="1550"/>
      <c r="BR23" s="1570"/>
      <c r="BS23" s="1960"/>
      <c r="BT23" s="1549"/>
      <c r="BU23" s="1549"/>
      <c r="BV23" s="1550"/>
      <c r="BW23" s="1570"/>
      <c r="BX23" s="1960"/>
      <c r="BY23" s="1549"/>
      <c r="BZ23" s="1549"/>
      <c r="CA23" s="1550"/>
      <c r="CB23" s="1570"/>
      <c r="CC23" s="1960"/>
      <c r="CD23" s="1549"/>
      <c r="CE23" s="1549"/>
      <c r="CF23" s="1549"/>
      <c r="CG23" s="1961"/>
      <c r="CH23" s="1549"/>
      <c r="CI23" s="1549"/>
      <c r="CJ23" s="1549"/>
      <c r="CK23" s="1549"/>
      <c r="CL23" s="1961"/>
      <c r="CM23" s="1549"/>
      <c r="CN23" s="1549"/>
      <c r="CO23" s="1549"/>
      <c r="CP23" s="1549"/>
      <c r="CQ23" s="1961"/>
      <c r="CR23" s="1549"/>
      <c r="CS23" s="1549"/>
      <c r="CT23" s="1549"/>
      <c r="CU23" s="1549"/>
      <c r="CV23" s="1961"/>
      <c r="CW23" s="1549"/>
      <c r="CX23" s="1549"/>
      <c r="CY23" s="1549"/>
      <c r="CZ23" s="1549"/>
      <c r="DA23" s="1961"/>
      <c r="DB23" s="1549"/>
      <c r="DC23" s="2011"/>
      <c r="DD23" s="2011">
        <v>9</v>
      </c>
      <c r="DE23" s="2011">
        <v>10</v>
      </c>
      <c r="DF23" s="1961">
        <f>SUM(DB23:DE23)</f>
        <v>19</v>
      </c>
      <c r="DG23" s="2011">
        <v>5</v>
      </c>
      <c r="DH23" s="2011">
        <v>3</v>
      </c>
      <c r="DI23" s="2011">
        <v>6</v>
      </c>
      <c r="DJ23" s="2011">
        <v>15</v>
      </c>
      <c r="DK23" s="1961">
        <f>SUM(DG23:DJ23)</f>
        <v>29</v>
      </c>
      <c r="DL23" s="2011">
        <v>25</v>
      </c>
      <c r="DM23" s="2011">
        <v>19</v>
      </c>
      <c r="DN23" s="2011">
        <v>26</v>
      </c>
      <c r="DO23" s="2011">
        <v>16</v>
      </c>
      <c r="DP23" s="1961">
        <f>SUM(DL23:DO23)</f>
        <v>86</v>
      </c>
      <c r="DQ23" s="1549">
        <v>26</v>
      </c>
      <c r="DR23" s="1549">
        <f t="shared" ref="DR23:DT24" si="26">DQ23</f>
        <v>26</v>
      </c>
      <c r="DS23" s="1549">
        <f t="shared" si="26"/>
        <v>26</v>
      </c>
      <c r="DT23" s="1549">
        <f t="shared" si="26"/>
        <v>26</v>
      </c>
      <c r="DU23" s="1961">
        <f>SUM(DQ23:DT23)</f>
        <v>104</v>
      </c>
      <c r="DV23" s="1549">
        <f>DT23</f>
        <v>26</v>
      </c>
      <c r="DW23" s="1549">
        <f t="shared" ref="DW23:DW24" si="27">DV23</f>
        <v>26</v>
      </c>
      <c r="DX23" s="1549">
        <f t="shared" ref="DX23:DX24" si="28">DW23</f>
        <v>26</v>
      </c>
      <c r="DY23" s="1549">
        <f t="shared" ref="DY23:DY24" si="29">DX23</f>
        <v>26</v>
      </c>
      <c r="DZ23" s="1961">
        <f>SUM(DV23:DY23)</f>
        <v>104</v>
      </c>
      <c r="EA23" s="1549">
        <f>DY23</f>
        <v>26</v>
      </c>
      <c r="EB23" s="1549">
        <f t="shared" ref="EB23:EB24" si="30">EA23</f>
        <v>26</v>
      </c>
      <c r="EC23" s="1549">
        <f t="shared" ref="EC23:EC24" si="31">EB23</f>
        <v>26</v>
      </c>
      <c r="ED23" s="1549">
        <f t="shared" ref="ED23:ED24" si="32">EC23</f>
        <v>26</v>
      </c>
      <c r="EE23" s="1961">
        <f>SUM(EA23:ED23)</f>
        <v>104</v>
      </c>
      <c r="EF23" s="33"/>
      <c r="EG23" s="33"/>
      <c r="EH23" s="33"/>
      <c r="EI23" s="33"/>
      <c r="EJ23"/>
      <c r="EK23"/>
      <c r="EL23"/>
      <c r="EM23"/>
      <c r="EN23"/>
      <c r="EO23"/>
      <c r="EP23" s="33"/>
      <c r="EQ23" s="33"/>
      <c r="ER23" s="33"/>
      <c r="ES23" s="33"/>
      <c r="ET23" s="33"/>
      <c r="EU23" s="33"/>
      <c r="EV23" s="33"/>
      <c r="EW23" s="33"/>
      <c r="EX23" s="33"/>
      <c r="EY23" s="33"/>
      <c r="EZ23" s="33"/>
      <c r="FA23" s="33"/>
      <c r="FB23" s="33"/>
      <c r="FC23" s="33"/>
      <c r="FD23" s="33"/>
      <c r="FE23" s="33"/>
      <c r="FF23" s="33"/>
      <c r="FG23" s="33"/>
      <c r="FH23" s="33"/>
      <c r="FI23" s="33"/>
      <c r="FJ23" s="33"/>
      <c r="FK23" s="33"/>
      <c r="FL23" s="33"/>
      <c r="FM23" s="33"/>
      <c r="FN23" s="33"/>
      <c r="FO23" s="33"/>
      <c r="FP23" s="33"/>
      <c r="FQ23" s="33"/>
      <c r="FR23" s="33"/>
      <c r="FS23" s="33"/>
      <c r="FT23" s="33"/>
      <c r="FU23" s="33"/>
      <c r="FV23" s="33"/>
      <c r="FW23" s="33"/>
      <c r="FX23" s="33"/>
      <c r="FY23" s="33"/>
      <c r="FZ23" s="33"/>
      <c r="GA23" s="33"/>
      <c r="GB23" s="33"/>
      <c r="GC23" s="33"/>
      <c r="GD23" s="33"/>
      <c r="GE23" s="33"/>
      <c r="GF23" s="33"/>
      <c r="GG23" s="33"/>
      <c r="GH23" s="33"/>
      <c r="GI23" s="33"/>
      <c r="GJ23" s="33"/>
      <c r="GK23" s="33"/>
      <c r="GL23" s="33"/>
      <c r="GM23" s="33"/>
      <c r="GN23" s="33"/>
      <c r="GO23" s="33"/>
      <c r="GP23" s="33"/>
      <c r="GQ23" s="33"/>
      <c r="GR23" s="33"/>
      <c r="GS23" s="33"/>
      <c r="GT23" s="33"/>
      <c r="GU23" s="33"/>
      <c r="GV23" s="33"/>
      <c r="GW23" s="33"/>
      <c r="GX23" s="33"/>
      <c r="GY23" s="33"/>
      <c r="GZ23" s="33"/>
      <c r="HA23" s="33"/>
      <c r="HB23" s="33"/>
      <c r="HC23" s="33"/>
      <c r="HD23" s="33"/>
      <c r="HE23" s="33"/>
      <c r="HF23" s="33"/>
      <c r="HG23" s="33"/>
      <c r="HH23" s="33"/>
      <c r="HI23" s="33"/>
      <c r="HJ23" s="33"/>
      <c r="HK23" s="33"/>
      <c r="HL23" s="33"/>
      <c r="HM23" s="33"/>
      <c r="HN23" s="33"/>
      <c r="HO23" s="33"/>
      <c r="HP23" s="33"/>
      <c r="HQ23" s="33"/>
      <c r="HR23" s="33"/>
      <c r="HS23" s="33"/>
      <c r="HT23" s="33"/>
      <c r="HU23" s="33"/>
      <c r="HV23" s="33"/>
      <c r="HW23" s="33"/>
      <c r="HX23" s="33"/>
      <c r="HY23" s="33"/>
      <c r="HZ23" s="33"/>
      <c r="IA23" s="33"/>
      <c r="IB23" s="33"/>
      <c r="IC23" s="33"/>
      <c r="ID23" s="33"/>
    </row>
    <row r="24" spans="2:238" s="1959" customFormat="1" ht="12.75" customHeight="1">
      <c r="B24" s="2031" t="s">
        <v>446</v>
      </c>
      <c r="C24" s="1570"/>
      <c r="D24" s="1570"/>
      <c r="E24" s="1570"/>
      <c r="F24" s="1570"/>
      <c r="G24" s="1570"/>
      <c r="H24" s="1577"/>
      <c r="I24" s="1570"/>
      <c r="J24" s="1570"/>
      <c r="K24" s="1960"/>
      <c r="L24" s="1549"/>
      <c r="M24" s="1549"/>
      <c r="N24" s="1550"/>
      <c r="O24" s="1570"/>
      <c r="P24" s="1960"/>
      <c r="Q24" s="1549"/>
      <c r="R24" s="1549"/>
      <c r="S24" s="1550"/>
      <c r="T24" s="1570"/>
      <c r="U24" s="1960"/>
      <c r="V24" s="1549"/>
      <c r="W24" s="1549"/>
      <c r="X24" s="1550"/>
      <c r="Y24" s="1570"/>
      <c r="Z24" s="1960"/>
      <c r="AA24" s="1549"/>
      <c r="AB24" s="1549"/>
      <c r="AC24" s="1550"/>
      <c r="AD24" s="1570"/>
      <c r="AE24" s="1960"/>
      <c r="AF24" s="1549"/>
      <c r="AG24" s="1549"/>
      <c r="AH24" s="1550"/>
      <c r="AI24" s="1570"/>
      <c r="AJ24" s="1960"/>
      <c r="AK24" s="1549"/>
      <c r="AL24" s="1549"/>
      <c r="AM24" s="1550"/>
      <c r="AN24" s="1570"/>
      <c r="AO24" s="1960"/>
      <c r="AP24" s="1549"/>
      <c r="AQ24" s="1549"/>
      <c r="AR24" s="1550"/>
      <c r="AS24" s="1570"/>
      <c r="AT24" s="1960"/>
      <c r="AU24" s="1549"/>
      <c r="AV24" s="1549"/>
      <c r="AW24" s="1550"/>
      <c r="AX24" s="1570"/>
      <c r="AY24" s="1960"/>
      <c r="AZ24" s="1549"/>
      <c r="BA24" s="1549"/>
      <c r="BB24" s="1550"/>
      <c r="BC24" s="1570"/>
      <c r="BD24" s="1960"/>
      <c r="BE24" s="1549"/>
      <c r="BF24" s="1549"/>
      <c r="BG24" s="1550"/>
      <c r="BH24" s="1570"/>
      <c r="BI24" s="1960"/>
      <c r="BJ24" s="1549"/>
      <c r="BK24" s="1549"/>
      <c r="BL24" s="1550"/>
      <c r="BM24" s="1570"/>
      <c r="BN24" s="1960"/>
      <c r="BO24" s="1549"/>
      <c r="BP24" s="1549"/>
      <c r="BQ24" s="1550"/>
      <c r="BR24" s="1570"/>
      <c r="BS24" s="1960"/>
      <c r="BT24" s="1549"/>
      <c r="BU24" s="1549"/>
      <c r="BV24" s="1550"/>
      <c r="BW24" s="1570"/>
      <c r="BX24" s="1960"/>
      <c r="BY24" s="1549"/>
      <c r="BZ24" s="1549"/>
      <c r="CA24" s="1550"/>
      <c r="CB24" s="1570"/>
      <c r="CC24" s="1960"/>
      <c r="CD24" s="1549"/>
      <c r="CE24" s="1549"/>
      <c r="CF24" s="1549"/>
      <c r="CG24" s="1961"/>
      <c r="CH24" s="1549"/>
      <c r="CI24" s="1549"/>
      <c r="CJ24" s="1549"/>
      <c r="CK24" s="1549"/>
      <c r="CL24" s="1961"/>
      <c r="CM24" s="1549"/>
      <c r="CN24" s="1549"/>
      <c r="CO24" s="1549"/>
      <c r="CP24" s="1549"/>
      <c r="CQ24" s="1961"/>
      <c r="CR24" s="1549"/>
      <c r="CS24" s="1549"/>
      <c r="CT24" s="1549"/>
      <c r="CU24" s="1549"/>
      <c r="CV24" s="1961"/>
      <c r="CW24" s="1549"/>
      <c r="CX24" s="1549"/>
      <c r="CY24" s="1549"/>
      <c r="CZ24" s="1549"/>
      <c r="DA24" s="1961"/>
      <c r="DB24" s="1549"/>
      <c r="DC24" s="2011">
        <v>117</v>
      </c>
      <c r="DD24" s="2011">
        <v>35</v>
      </c>
      <c r="DE24" s="2011">
        <v>36</v>
      </c>
      <c r="DF24" s="1961">
        <f>SUM(DB24:DE24)</f>
        <v>188</v>
      </c>
      <c r="DG24" s="2011">
        <v>8</v>
      </c>
      <c r="DH24" s="2011">
        <v>33</v>
      </c>
      <c r="DI24" s="2011">
        <v>29</v>
      </c>
      <c r="DJ24" s="2011">
        <v>27</v>
      </c>
      <c r="DK24" s="1961">
        <f>SUM(DG24:DJ24)</f>
        <v>97</v>
      </c>
      <c r="DL24" s="2011">
        <v>6</v>
      </c>
      <c r="DM24" s="2011">
        <v>25</v>
      </c>
      <c r="DN24" s="2011">
        <v>25</v>
      </c>
      <c r="DO24" s="2011">
        <v>26</v>
      </c>
      <c r="DP24" s="1961">
        <f>SUM(DL24:DO24)</f>
        <v>82</v>
      </c>
      <c r="DQ24" s="1549">
        <v>0</v>
      </c>
      <c r="DR24" s="1549">
        <f t="shared" si="26"/>
        <v>0</v>
      </c>
      <c r="DS24" s="1549">
        <f t="shared" si="26"/>
        <v>0</v>
      </c>
      <c r="DT24" s="1549">
        <f t="shared" si="26"/>
        <v>0</v>
      </c>
      <c r="DU24" s="1961">
        <f>SUM(DQ24:DT24)</f>
        <v>0</v>
      </c>
      <c r="DV24" s="1549">
        <f>DT24</f>
        <v>0</v>
      </c>
      <c r="DW24" s="1549">
        <f t="shared" si="27"/>
        <v>0</v>
      </c>
      <c r="DX24" s="1549">
        <f t="shared" si="28"/>
        <v>0</v>
      </c>
      <c r="DY24" s="1549">
        <f t="shared" si="29"/>
        <v>0</v>
      </c>
      <c r="DZ24" s="1961">
        <f>SUM(DV24:DY24)</f>
        <v>0</v>
      </c>
      <c r="EA24" s="1549">
        <f>DY24</f>
        <v>0</v>
      </c>
      <c r="EB24" s="1549">
        <f t="shared" si="30"/>
        <v>0</v>
      </c>
      <c r="EC24" s="1549">
        <f t="shared" si="31"/>
        <v>0</v>
      </c>
      <c r="ED24" s="1549">
        <f t="shared" si="32"/>
        <v>0</v>
      </c>
      <c r="EE24" s="1961">
        <f>SUM(EA24:ED24)</f>
        <v>0</v>
      </c>
      <c r="EF24" s="33"/>
      <c r="EG24" s="33"/>
      <c r="EH24" s="33"/>
      <c r="EI24" s="33"/>
      <c r="EJ24"/>
      <c r="EK24"/>
      <c r="EL24"/>
      <c r="EM24"/>
      <c r="EN24"/>
      <c r="EO24"/>
      <c r="EP24" s="33"/>
      <c r="EQ24" s="33"/>
      <c r="ER24" s="33"/>
      <c r="ES24" s="33"/>
      <c r="ET24" s="33"/>
      <c r="EU24" s="33"/>
      <c r="EV24" s="33"/>
      <c r="EW24" s="33"/>
      <c r="EX24" s="33"/>
      <c r="EY24" s="33"/>
      <c r="EZ24" s="33"/>
      <c r="FA24" s="33"/>
      <c r="FB24" s="33"/>
      <c r="FC24" s="33"/>
      <c r="FD24" s="33"/>
      <c r="FE24" s="33"/>
      <c r="FF24" s="33"/>
      <c r="FG24" s="33"/>
      <c r="FH24" s="33"/>
      <c r="FI24" s="33"/>
      <c r="FJ24" s="33"/>
      <c r="FK24" s="33"/>
      <c r="FL24" s="33"/>
      <c r="FM24" s="33"/>
      <c r="FN24" s="33"/>
      <c r="FO24" s="33"/>
      <c r="FP24" s="33"/>
      <c r="FQ24" s="33"/>
      <c r="FR24" s="33"/>
      <c r="FS24" s="33"/>
      <c r="FT24" s="33"/>
      <c r="FU24" s="33"/>
      <c r="FV24" s="33"/>
      <c r="FW24" s="33"/>
      <c r="FX24" s="33"/>
      <c r="FY24" s="33"/>
      <c r="FZ24" s="33"/>
      <c r="GA24" s="33"/>
      <c r="GB24" s="33"/>
      <c r="GC24" s="33"/>
      <c r="GD24" s="33"/>
      <c r="GE24" s="33"/>
      <c r="GF24" s="33"/>
      <c r="GG24" s="33"/>
      <c r="GH24" s="33"/>
      <c r="GI24" s="33"/>
      <c r="GJ24" s="33"/>
      <c r="GK24" s="33"/>
      <c r="GL24" s="33"/>
      <c r="GM24" s="33"/>
      <c r="GN24" s="33"/>
      <c r="GO24" s="33"/>
      <c r="GP24" s="33"/>
      <c r="GQ24" s="33"/>
      <c r="GR24" s="33"/>
      <c r="GS24" s="33"/>
      <c r="GT24" s="33"/>
      <c r="GU24" s="33"/>
      <c r="GV24" s="33"/>
      <c r="GW24" s="33"/>
      <c r="GX24" s="33"/>
      <c r="GY24" s="33"/>
      <c r="GZ24" s="33"/>
      <c r="HA24" s="33"/>
      <c r="HB24" s="33"/>
      <c r="HC24" s="33"/>
      <c r="HD24" s="33"/>
      <c r="HE24" s="33"/>
      <c r="HF24" s="33"/>
      <c r="HG24" s="33"/>
      <c r="HH24" s="33"/>
      <c r="HI24" s="33"/>
      <c r="HJ24" s="33"/>
      <c r="HK24" s="33"/>
      <c r="HL24" s="33"/>
      <c r="HM24" s="33"/>
      <c r="HN24" s="33"/>
      <c r="HO24" s="33"/>
      <c r="HP24" s="33"/>
      <c r="HQ24" s="33"/>
      <c r="HR24" s="33"/>
      <c r="HS24" s="33"/>
      <c r="HT24" s="33"/>
      <c r="HU24" s="33"/>
      <c r="HV24" s="33"/>
      <c r="HW24" s="33"/>
      <c r="HX24" s="33"/>
      <c r="HY24" s="33"/>
      <c r="HZ24" s="33"/>
      <c r="IA24" s="33"/>
      <c r="IB24" s="33"/>
      <c r="IC24" s="33"/>
      <c r="ID24" s="33"/>
    </row>
    <row r="25" spans="2:238" s="1959" customFormat="1" ht="12.75" customHeight="1">
      <c r="B25" s="1958"/>
      <c r="C25" s="1570"/>
      <c r="D25" s="1570"/>
      <c r="E25" s="1570"/>
      <c r="F25" s="1570"/>
      <c r="G25" s="1570"/>
      <c r="H25" s="1577"/>
      <c r="I25" s="1570"/>
      <c r="J25" s="1570"/>
      <c r="K25" s="1960"/>
      <c r="L25" s="1549"/>
      <c r="M25" s="1549"/>
      <c r="N25" s="1550"/>
      <c r="O25" s="1570"/>
      <c r="P25" s="1960"/>
      <c r="Q25" s="1549"/>
      <c r="R25" s="1549"/>
      <c r="S25" s="1550"/>
      <c r="T25" s="1570"/>
      <c r="U25" s="1960"/>
      <c r="V25" s="1549"/>
      <c r="W25" s="1549"/>
      <c r="X25" s="1550"/>
      <c r="Y25" s="1570"/>
      <c r="Z25" s="1960"/>
      <c r="AA25" s="1549"/>
      <c r="AB25" s="1549"/>
      <c r="AC25" s="1550"/>
      <c r="AD25" s="1570"/>
      <c r="AE25" s="1960"/>
      <c r="AF25" s="1549"/>
      <c r="AG25" s="1549"/>
      <c r="AH25" s="1550"/>
      <c r="AI25" s="1570"/>
      <c r="AJ25" s="1960"/>
      <c r="AK25" s="1549"/>
      <c r="AL25" s="1549"/>
      <c r="AM25" s="1550"/>
      <c r="AN25" s="1570"/>
      <c r="AO25" s="1960"/>
      <c r="AP25" s="1549"/>
      <c r="AQ25" s="1549"/>
      <c r="AR25" s="1550"/>
      <c r="AS25" s="1570"/>
      <c r="AT25" s="1960"/>
      <c r="AU25" s="1549"/>
      <c r="AV25" s="1549"/>
      <c r="AW25" s="1550"/>
      <c r="AX25" s="1570"/>
      <c r="AY25" s="1960"/>
      <c r="AZ25" s="1549"/>
      <c r="BA25" s="1549"/>
      <c r="BB25" s="1550"/>
      <c r="BC25" s="1570"/>
      <c r="BD25" s="1960"/>
      <c r="BE25" s="1549"/>
      <c r="BF25" s="1549"/>
      <c r="BG25" s="1550"/>
      <c r="BH25" s="1570"/>
      <c r="BI25" s="1960"/>
      <c r="BJ25" s="1549"/>
      <c r="BK25" s="1549"/>
      <c r="BL25" s="1550"/>
      <c r="BM25" s="1570"/>
      <c r="BN25" s="1960"/>
      <c r="BO25" s="1549"/>
      <c r="BP25" s="1549"/>
      <c r="BQ25" s="1550"/>
      <c r="BR25" s="1570"/>
      <c r="BS25" s="1960"/>
      <c r="BT25" s="1549"/>
      <c r="BU25" s="1549"/>
      <c r="BV25" s="1550"/>
      <c r="BW25" s="1570"/>
      <c r="BX25" s="1960"/>
      <c r="BY25" s="1549"/>
      <c r="BZ25" s="1549"/>
      <c r="CA25" s="1550"/>
      <c r="CB25" s="1570"/>
      <c r="CC25" s="1960"/>
      <c r="CD25" s="1549"/>
      <c r="CE25" s="1549"/>
      <c r="CF25" s="1549"/>
      <c r="CG25" s="1961"/>
      <c r="CH25" s="1549"/>
      <c r="CI25" s="1549"/>
      <c r="CJ25" s="1549"/>
      <c r="CK25" s="1549"/>
      <c r="CL25" s="1961"/>
      <c r="CM25" s="1549"/>
      <c r="CN25" s="1549"/>
      <c r="CO25" s="1549"/>
      <c r="CP25" s="1549"/>
      <c r="CQ25" s="1961"/>
      <c r="CR25" s="1549"/>
      <c r="CS25" s="1549"/>
      <c r="CT25" s="1549"/>
      <c r="CU25" s="1549"/>
      <c r="CV25" s="1961"/>
      <c r="CW25" s="1549"/>
      <c r="CX25" s="1549"/>
      <c r="CY25" s="1549"/>
      <c r="CZ25" s="1549"/>
      <c r="DA25" s="1961"/>
      <c r="DB25" s="1549"/>
      <c r="DC25" s="2011"/>
      <c r="DD25" s="2011"/>
      <c r="DE25" s="2011"/>
      <c r="DF25" s="1961"/>
      <c r="DG25" s="2011"/>
      <c r="DH25" s="2011"/>
      <c r="DI25" s="2011"/>
      <c r="DJ25" s="2011"/>
      <c r="DK25" s="1961"/>
      <c r="DL25" s="2011"/>
      <c r="DM25" s="2011"/>
      <c r="DN25" s="2011"/>
      <c r="DO25" s="2011"/>
      <c r="DP25" s="1962"/>
      <c r="DQ25" s="2011"/>
      <c r="DR25" s="1549"/>
      <c r="DS25" s="1549"/>
      <c r="DT25" s="1554"/>
      <c r="DU25" s="1962"/>
      <c r="DV25" s="1549"/>
      <c r="DW25" s="1549"/>
      <c r="DX25" s="1549"/>
      <c r="DY25" s="1554"/>
      <c r="DZ25" s="1962"/>
      <c r="EA25" s="1549"/>
      <c r="EB25" s="1549"/>
      <c r="EC25" s="1549"/>
      <c r="ED25" s="1554"/>
      <c r="EE25" s="1962"/>
      <c r="EF25" s="33"/>
      <c r="EG25" s="33"/>
      <c r="EH25" s="33"/>
      <c r="EI25" s="33"/>
      <c r="EJ25"/>
      <c r="EK25"/>
      <c r="EL25"/>
      <c r="EM25"/>
      <c r="EN25"/>
      <c r="EO25"/>
      <c r="EP25" s="33"/>
      <c r="EQ25" s="33"/>
      <c r="ER25" s="33"/>
      <c r="ES25" s="33"/>
      <c r="ET25" s="33"/>
      <c r="EU25" s="33"/>
      <c r="EV25" s="33"/>
      <c r="EW25" s="33"/>
      <c r="EX25" s="33"/>
      <c r="EY25" s="33"/>
      <c r="EZ25" s="33"/>
      <c r="FA25" s="33"/>
      <c r="FB25" s="33"/>
      <c r="FC25" s="33"/>
      <c r="FD25" s="33"/>
      <c r="FE25" s="33"/>
      <c r="FF25" s="33"/>
      <c r="FG25" s="33"/>
      <c r="FH25" s="33"/>
      <c r="FI25" s="33"/>
      <c r="FJ25" s="33"/>
      <c r="FK25" s="33"/>
      <c r="FL25" s="33"/>
      <c r="FM25" s="33"/>
      <c r="FN25" s="33"/>
      <c r="FO25" s="33"/>
      <c r="FP25" s="33"/>
      <c r="FQ25" s="33"/>
      <c r="FR25" s="33"/>
      <c r="FS25" s="33"/>
      <c r="FT25" s="33"/>
      <c r="FU25" s="33"/>
      <c r="FV25" s="33"/>
      <c r="FW25" s="33"/>
      <c r="FX25" s="33"/>
      <c r="FY25" s="33"/>
      <c r="FZ25" s="33"/>
      <c r="GA25" s="33"/>
      <c r="GB25" s="33"/>
      <c r="GC25" s="33"/>
      <c r="GD25" s="33"/>
      <c r="GE25" s="33"/>
      <c r="GF25" s="33"/>
      <c r="GG25" s="33"/>
      <c r="GH25" s="33"/>
      <c r="GI25" s="33"/>
      <c r="GJ25" s="33"/>
      <c r="GK25" s="33"/>
      <c r="GL25" s="33"/>
      <c r="GM25" s="33"/>
      <c r="GN25" s="33"/>
      <c r="GO25" s="33"/>
      <c r="GP25" s="33"/>
      <c r="GQ25" s="33"/>
      <c r="GR25" s="33"/>
      <c r="GS25" s="33"/>
      <c r="GT25" s="33"/>
      <c r="GU25" s="33"/>
      <c r="GV25" s="33"/>
      <c r="GW25" s="33"/>
      <c r="GX25" s="33"/>
      <c r="GY25" s="33"/>
      <c r="GZ25" s="33"/>
      <c r="HA25" s="33"/>
      <c r="HB25" s="33"/>
      <c r="HC25" s="33"/>
      <c r="HD25" s="33"/>
      <c r="HE25" s="33"/>
      <c r="HF25" s="33"/>
      <c r="HG25" s="33"/>
      <c r="HH25" s="33"/>
      <c r="HI25" s="33"/>
      <c r="HJ25" s="33"/>
      <c r="HK25" s="33"/>
      <c r="HL25" s="33"/>
      <c r="HM25" s="33"/>
      <c r="HN25" s="33"/>
      <c r="HO25" s="33"/>
      <c r="HP25" s="33"/>
      <c r="HQ25" s="33"/>
      <c r="HR25" s="33"/>
      <c r="HS25" s="33"/>
      <c r="HT25" s="33"/>
      <c r="HU25" s="33"/>
      <c r="HV25" s="33"/>
      <c r="HW25" s="33"/>
      <c r="HX25" s="33"/>
      <c r="HY25" s="33"/>
      <c r="HZ25" s="33"/>
      <c r="IA25" s="33"/>
      <c r="IB25" s="33"/>
      <c r="IC25" s="33"/>
      <c r="ID25" s="33"/>
    </row>
    <row r="26" spans="2:238" s="1959" customFormat="1" ht="12.75" customHeight="1">
      <c r="B26" s="541" t="s">
        <v>516</v>
      </c>
      <c r="C26" s="70"/>
      <c r="D26" s="70"/>
      <c r="E26" s="70"/>
      <c r="F26" s="70"/>
      <c r="G26" s="70"/>
      <c r="H26" s="89"/>
      <c r="I26" s="70"/>
      <c r="J26" s="70"/>
      <c r="K26" s="90"/>
      <c r="L26" s="71"/>
      <c r="M26" s="71"/>
      <c r="N26" s="91"/>
      <c r="O26" s="70"/>
      <c r="P26" s="90"/>
      <c r="Q26" s="71"/>
      <c r="R26" s="71"/>
      <c r="S26" s="91"/>
      <c r="T26" s="70"/>
      <c r="U26" s="90"/>
      <c r="V26" s="71"/>
      <c r="W26" s="71"/>
      <c r="X26" s="91"/>
      <c r="Y26" s="70"/>
      <c r="Z26" s="90"/>
      <c r="AA26" s="71"/>
      <c r="AB26" s="71"/>
      <c r="AC26" s="91"/>
      <c r="AD26" s="70"/>
      <c r="AE26" s="90"/>
      <c r="AF26" s="71"/>
      <c r="AG26" s="71"/>
      <c r="AH26" s="91"/>
      <c r="AI26" s="70"/>
      <c r="AJ26" s="90"/>
      <c r="AK26" s="71"/>
      <c r="AL26" s="71"/>
      <c r="AM26" s="91"/>
      <c r="AN26" s="70"/>
      <c r="AO26" s="90"/>
      <c r="AP26" s="71"/>
      <c r="AQ26" s="71"/>
      <c r="AR26" s="91"/>
      <c r="AS26" s="70"/>
      <c r="AT26" s="90"/>
      <c r="AU26" s="71"/>
      <c r="AV26" s="71"/>
      <c r="AW26" s="91"/>
      <c r="AX26" s="70"/>
      <c r="AY26" s="90"/>
      <c r="AZ26" s="71"/>
      <c r="BA26" s="71"/>
      <c r="BB26" s="91"/>
      <c r="BC26" s="70"/>
      <c r="BD26" s="90"/>
      <c r="BE26" s="71"/>
      <c r="BF26" s="71"/>
      <c r="BG26" s="91"/>
      <c r="BH26" s="70"/>
      <c r="BI26" s="90"/>
      <c r="BJ26" s="71"/>
      <c r="BK26" s="71"/>
      <c r="BL26" s="91"/>
      <c r="BM26" s="70"/>
      <c r="BN26" s="90"/>
      <c r="BO26" s="71"/>
      <c r="BP26" s="71"/>
      <c r="BQ26" s="91"/>
      <c r="BR26" s="70"/>
      <c r="BS26" s="90"/>
      <c r="BT26" s="71"/>
      <c r="BU26" s="71"/>
      <c r="BV26" s="91"/>
      <c r="BW26" s="70"/>
      <c r="BX26" s="90"/>
      <c r="BY26" s="71"/>
      <c r="BZ26" s="71"/>
      <c r="CA26" s="91"/>
      <c r="CB26" s="70"/>
      <c r="CC26" s="90"/>
      <c r="CD26" s="71"/>
      <c r="CE26" s="71"/>
      <c r="CF26" s="71"/>
      <c r="CG26" s="796"/>
      <c r="CH26" s="71"/>
      <c r="CI26" s="71"/>
      <c r="CJ26" s="71"/>
      <c r="CK26" s="71"/>
      <c r="CL26" s="796"/>
      <c r="CM26" s="71"/>
      <c r="CN26" s="71"/>
      <c r="CO26" s="71"/>
      <c r="CP26" s="71"/>
      <c r="CQ26" s="796"/>
      <c r="CR26" s="71"/>
      <c r="CS26" s="71"/>
      <c r="CT26" s="71"/>
      <c r="CU26" s="71"/>
      <c r="CV26" s="796"/>
      <c r="CW26" s="71"/>
      <c r="CX26" s="71"/>
      <c r="CY26" s="71"/>
      <c r="CZ26" s="71"/>
      <c r="DA26" s="796"/>
      <c r="DB26" s="71"/>
      <c r="DC26" s="71">
        <f>DC21+SUM(DC23:DC24)</f>
        <v>125</v>
      </c>
      <c r="DD26" s="71">
        <f>DD21+SUM(DD23:DD24)</f>
        <v>249</v>
      </c>
      <c r="DE26" s="71">
        <f>DE21+SUM(DE23:DE24)</f>
        <v>242</v>
      </c>
      <c r="DF26" s="796">
        <f>SUM(DB26:DE26)</f>
        <v>616</v>
      </c>
      <c r="DG26" s="71">
        <f>DG21+SUM(DG23:DG24)</f>
        <v>315</v>
      </c>
      <c r="DH26" s="71">
        <f>DH21+SUM(DH23:DH24)</f>
        <v>335</v>
      </c>
      <c r="DI26" s="71">
        <f>DI21+SUM(DI23:DI24)</f>
        <v>258</v>
      </c>
      <c r="DJ26" s="71">
        <f>DJ21+SUM(DJ23:DJ24)</f>
        <v>247</v>
      </c>
      <c r="DK26" s="796">
        <f>SUM(DG26:DJ26)</f>
        <v>1155</v>
      </c>
      <c r="DL26" s="71">
        <f>DL21+SUM(DL23:DL24)</f>
        <v>213</v>
      </c>
      <c r="DM26" s="71">
        <f>DM21+SUM(DM23:DM24)</f>
        <v>242</v>
      </c>
      <c r="DN26" s="71">
        <f>DN21+SUM(DN23:DN24)</f>
        <v>193</v>
      </c>
      <c r="DO26" s="71">
        <f>DO21+SUM(DO23:DO24)</f>
        <v>261</v>
      </c>
      <c r="DP26" s="1410">
        <f>SUM(DL26:DO26)</f>
        <v>909</v>
      </c>
      <c r="DQ26" s="71">
        <f>DQ21+SUM(DQ23:DQ24)</f>
        <v>210</v>
      </c>
      <c r="DR26" s="71">
        <f>DR21+SUM(DR23:DR24)</f>
        <v>230.91992123200248</v>
      </c>
      <c r="DS26" s="71">
        <f>DS21+SUM(DS23:DS24)</f>
        <v>198.68804254607085</v>
      </c>
      <c r="DT26" s="71">
        <f>DT21+SUM(DT23:DT24)</f>
        <v>277.36780881115465</v>
      </c>
      <c r="DU26" s="1410">
        <f>SUM(DQ26:DT26)</f>
        <v>916.97577258922797</v>
      </c>
      <c r="DV26" s="71">
        <f>DV21+SUM(DV23:DV24)</f>
        <v>216.76657755145334</v>
      </c>
      <c r="DW26" s="71">
        <f>DW21+SUM(DW23:DW24)</f>
        <v>238.49848509858271</v>
      </c>
      <c r="DX26" s="71">
        <f>DX21+SUM(DX23:DX24)</f>
        <v>205.07253278233406</v>
      </c>
      <c r="DY26" s="1748">
        <f>DY21+SUM(DY23:DY24)</f>
        <v>286.65822715032368</v>
      </c>
      <c r="DZ26" s="1410">
        <f>SUM(DV26:DY26)</f>
        <v>946.99582258269379</v>
      </c>
      <c r="EA26" s="71">
        <f>EA21+SUM(EA23:EA24)</f>
        <v>223.81496830044557</v>
      </c>
      <c r="EB26" s="71">
        <f>EB21+SUM(EB23:EB24)</f>
        <v>246.34733486804885</v>
      </c>
      <c r="EC26" s="71">
        <f>EC21+SUM(EC23:EC24)</f>
        <v>211.68467319448177</v>
      </c>
      <c r="ED26" s="1748">
        <f>ED21+SUM(ED23:ED24)</f>
        <v>296.27983956191269</v>
      </c>
      <c r="EE26" s="1410">
        <f>SUM(EA26:ED26)</f>
        <v>978.12681592488889</v>
      </c>
      <c r="EF26" s="33"/>
      <c r="EG26" s="2182"/>
      <c r="EH26" s="33"/>
      <c r="EI26" s="33"/>
      <c r="EJ26"/>
      <c r="EK26"/>
      <c r="EL26"/>
      <c r="EM26"/>
      <c r="EN26"/>
      <c r="EO26"/>
      <c r="EP26" s="33"/>
      <c r="EQ26" s="33"/>
      <c r="ER26" s="33"/>
      <c r="ES26" s="33"/>
      <c r="ET26" s="33"/>
      <c r="EU26" s="33"/>
      <c r="EV26" s="33"/>
      <c r="EW26" s="33"/>
      <c r="EX26" s="33"/>
      <c r="EY26" s="33"/>
      <c r="EZ26" s="33"/>
      <c r="FA26" s="33"/>
      <c r="FB26" s="33"/>
      <c r="FC26" s="33"/>
      <c r="FD26" s="33"/>
      <c r="FE26" s="33"/>
      <c r="FF26" s="33"/>
      <c r="FG26" s="33"/>
      <c r="FH26" s="33"/>
      <c r="FI26" s="33"/>
      <c r="FJ26" s="33"/>
      <c r="FK26" s="33"/>
      <c r="FL26" s="33"/>
      <c r="FM26" s="33"/>
      <c r="FN26" s="33"/>
      <c r="FO26" s="33"/>
      <c r="FP26" s="33"/>
      <c r="FQ26" s="33"/>
      <c r="FR26" s="33"/>
      <c r="FS26" s="33"/>
      <c r="FT26" s="33"/>
      <c r="FU26" s="33"/>
      <c r="FV26" s="33"/>
      <c r="FW26" s="33"/>
      <c r="FX26" s="33"/>
      <c r="FY26" s="33"/>
      <c r="FZ26" s="33"/>
      <c r="GA26" s="33"/>
      <c r="GB26" s="33"/>
      <c r="GC26" s="33"/>
      <c r="GD26" s="33"/>
      <c r="GE26" s="33"/>
      <c r="GF26" s="33"/>
      <c r="GG26" s="33"/>
      <c r="GH26" s="33"/>
      <c r="GI26" s="33"/>
      <c r="GJ26" s="33"/>
      <c r="GK26" s="33"/>
      <c r="GL26" s="33"/>
      <c r="GM26" s="33"/>
      <c r="GN26" s="33"/>
      <c r="GO26" s="33"/>
      <c r="GP26" s="33"/>
      <c r="GQ26" s="33"/>
      <c r="GR26" s="33"/>
      <c r="GS26" s="33"/>
      <c r="GT26" s="33"/>
      <c r="GU26" s="33"/>
      <c r="GV26" s="33"/>
      <c r="GW26" s="33"/>
      <c r="GX26" s="33"/>
      <c r="GY26" s="33"/>
      <c r="GZ26" s="33"/>
      <c r="HA26" s="33"/>
      <c r="HB26" s="33"/>
      <c r="HC26" s="33"/>
      <c r="HD26" s="33"/>
      <c r="HE26" s="33"/>
      <c r="HF26" s="33"/>
      <c r="HG26" s="33"/>
      <c r="HH26" s="33"/>
      <c r="HI26" s="33"/>
      <c r="HJ26" s="33"/>
      <c r="HK26" s="33"/>
      <c r="HL26" s="33"/>
      <c r="HM26" s="33"/>
      <c r="HN26" s="33"/>
      <c r="HO26" s="33"/>
      <c r="HP26" s="33"/>
      <c r="HQ26" s="33"/>
      <c r="HR26" s="33"/>
      <c r="HS26" s="33"/>
      <c r="HT26" s="33"/>
      <c r="HU26" s="33"/>
      <c r="HV26" s="33"/>
      <c r="HW26" s="33"/>
      <c r="HX26" s="33"/>
      <c r="HY26" s="33"/>
      <c r="HZ26" s="33"/>
      <c r="IA26" s="33"/>
      <c r="IB26" s="33"/>
      <c r="IC26" s="33"/>
      <c r="ID26" s="33"/>
    </row>
    <row r="27" spans="2:238" s="1959" customFormat="1" ht="12.75" customHeight="1">
      <c r="B27" s="541" t="s">
        <v>445</v>
      </c>
      <c r="C27" s="70"/>
      <c r="D27" s="70"/>
      <c r="E27" s="70"/>
      <c r="F27" s="70"/>
      <c r="G27" s="70"/>
      <c r="H27" s="89"/>
      <c r="I27" s="70"/>
      <c r="J27" s="70"/>
      <c r="K27" s="90"/>
      <c r="L27" s="71"/>
      <c r="M27" s="71"/>
      <c r="N27" s="91"/>
      <c r="O27" s="70"/>
      <c r="P27" s="90"/>
      <c r="Q27" s="71"/>
      <c r="R27" s="71"/>
      <c r="S27" s="91"/>
      <c r="T27" s="70"/>
      <c r="U27" s="90"/>
      <c r="V27" s="71"/>
      <c r="W27" s="71"/>
      <c r="X27" s="91"/>
      <c r="Y27" s="70"/>
      <c r="Z27" s="90"/>
      <c r="AA27" s="71"/>
      <c r="AB27" s="71"/>
      <c r="AC27" s="91"/>
      <c r="AD27" s="70"/>
      <c r="AE27" s="90"/>
      <c r="AF27" s="71"/>
      <c r="AG27" s="71"/>
      <c r="AH27" s="91"/>
      <c r="AI27" s="70"/>
      <c r="AJ27" s="90"/>
      <c r="AK27" s="71"/>
      <c r="AL27" s="71"/>
      <c r="AM27" s="91"/>
      <c r="AN27" s="70"/>
      <c r="AO27" s="90"/>
      <c r="AP27" s="71"/>
      <c r="AQ27" s="71"/>
      <c r="AR27" s="91"/>
      <c r="AS27" s="70"/>
      <c r="AT27" s="90"/>
      <c r="AU27" s="71"/>
      <c r="AV27" s="71"/>
      <c r="AW27" s="91"/>
      <c r="AX27" s="70"/>
      <c r="AY27" s="90"/>
      <c r="AZ27" s="71"/>
      <c r="BA27" s="71"/>
      <c r="BB27" s="91"/>
      <c r="BC27" s="70"/>
      <c r="BD27" s="90"/>
      <c r="BE27" s="71"/>
      <c r="BF27" s="71"/>
      <c r="BG27" s="91"/>
      <c r="BH27" s="70"/>
      <c r="BI27" s="90"/>
      <c r="BJ27" s="71"/>
      <c r="BK27" s="71"/>
      <c r="BL27" s="91"/>
      <c r="BM27" s="70"/>
      <c r="BN27" s="90"/>
      <c r="BO27" s="71"/>
      <c r="BP27" s="71"/>
      <c r="BQ27" s="91"/>
      <c r="BR27" s="70"/>
      <c r="BS27" s="90"/>
      <c r="BT27" s="71"/>
      <c r="BU27" s="71"/>
      <c r="BV27" s="91"/>
      <c r="BW27" s="70"/>
      <c r="BX27" s="90"/>
      <c r="BY27" s="71"/>
      <c r="BZ27" s="71"/>
      <c r="CA27" s="91"/>
      <c r="CB27" s="70"/>
      <c r="CC27" s="90"/>
      <c r="CD27" s="71"/>
      <c r="CE27" s="71"/>
      <c r="CF27" s="71"/>
      <c r="CG27" s="796"/>
      <c r="CH27" s="71"/>
      <c r="CI27" s="71"/>
      <c r="CJ27" s="71"/>
      <c r="CK27" s="71"/>
      <c r="CL27" s="796"/>
      <c r="CM27" s="71"/>
      <c r="CN27" s="71"/>
      <c r="CO27" s="71"/>
      <c r="CP27" s="71"/>
      <c r="CQ27" s="796"/>
      <c r="CR27" s="71"/>
      <c r="CS27" s="71"/>
      <c r="CT27" s="71"/>
      <c r="CU27" s="71"/>
      <c r="CV27" s="796"/>
      <c r="CW27" s="71"/>
      <c r="CX27" s="71"/>
      <c r="CY27" s="71"/>
      <c r="CZ27" s="71"/>
      <c r="DA27" s="796"/>
      <c r="DB27" s="71"/>
      <c r="DC27" s="71">
        <f>DC19-SUM(DC23:DC24)</f>
        <v>628</v>
      </c>
      <c r="DD27" s="71">
        <f t="shared" ref="DD27:DZ27" si="33">DD19-SUM(DD23:DD24)</f>
        <v>1144</v>
      </c>
      <c r="DE27" s="71">
        <f t="shared" si="33"/>
        <v>1189</v>
      </c>
      <c r="DF27" s="796">
        <f t="shared" si="33"/>
        <v>2961</v>
      </c>
      <c r="DG27" s="71">
        <f t="shared" si="33"/>
        <v>1190</v>
      </c>
      <c r="DH27" s="71">
        <f t="shared" si="33"/>
        <v>1145</v>
      </c>
      <c r="DI27" s="71">
        <f t="shared" si="33"/>
        <v>1104</v>
      </c>
      <c r="DJ27" s="71">
        <f t="shared" si="33"/>
        <v>1026</v>
      </c>
      <c r="DK27" s="796">
        <f t="shared" si="33"/>
        <v>4465</v>
      </c>
      <c r="DL27" s="71">
        <f t="shared" si="33"/>
        <v>962</v>
      </c>
      <c r="DM27" s="71">
        <f t="shared" si="33"/>
        <v>962</v>
      </c>
      <c r="DN27" s="71">
        <f t="shared" si="33"/>
        <v>955</v>
      </c>
      <c r="DO27" s="71">
        <f t="shared" ref="DO27:DQ27" si="34">DO19-SUM(DO23:DO24)</f>
        <v>965</v>
      </c>
      <c r="DP27" s="1410">
        <f t="shared" si="33"/>
        <v>3844</v>
      </c>
      <c r="DQ27" s="71">
        <f t="shared" si="34"/>
        <v>1014</v>
      </c>
      <c r="DR27" s="71">
        <f t="shared" si="33"/>
        <v>1121.027174103931</v>
      </c>
      <c r="DS27" s="71">
        <f t="shared" si="33"/>
        <v>1071.7523614584738</v>
      </c>
      <c r="DT27" s="71">
        <f t="shared" si="33"/>
        <v>1041.2900444760048</v>
      </c>
      <c r="DU27" s="1410">
        <f t="shared" si="33"/>
        <v>4248.0695800384092</v>
      </c>
      <c r="DV27" s="71">
        <f t="shared" si="33"/>
        <v>1052.2458731169106</v>
      </c>
      <c r="DW27" s="71">
        <f t="shared" si="33"/>
        <v>1163.4477384072322</v>
      </c>
      <c r="DX27" s="71">
        <f t="shared" si="33"/>
        <v>1112.3376221993669</v>
      </c>
      <c r="DY27" s="2246">
        <f t="shared" si="33"/>
        <v>1080.7365076063004</v>
      </c>
      <c r="DZ27" s="1410">
        <f t="shared" si="33"/>
        <v>4408.7677413298106</v>
      </c>
      <c r="EA27" s="71">
        <f t="shared" ref="EA27:EE27" si="35">EA19-SUM(EA23:EA24)</f>
        <v>1092.0846034373012</v>
      </c>
      <c r="EB27" s="71">
        <f t="shared" si="35"/>
        <v>1207.3812121120382</v>
      </c>
      <c r="EC27" s="71">
        <f t="shared" si="35"/>
        <v>1154.3700214594005</v>
      </c>
      <c r="ED27" s="2246">
        <f t="shared" si="35"/>
        <v>1121.5891974843855</v>
      </c>
      <c r="EE27" s="1410">
        <f t="shared" si="35"/>
        <v>4575.4250344931252</v>
      </c>
      <c r="EF27" s="33"/>
      <c r="EG27" s="2182"/>
      <c r="EH27" s="33"/>
      <c r="EI27" s="33"/>
      <c r="EJ27"/>
      <c r="EK27"/>
      <c r="EL27"/>
      <c r="EM27"/>
      <c r="EN27"/>
      <c r="EO27"/>
      <c r="EP27" s="33"/>
      <c r="EQ27" s="33"/>
      <c r="ER27" s="33"/>
      <c r="ES27" s="33"/>
      <c r="ET27" s="33"/>
      <c r="EU27" s="33"/>
      <c r="EV27" s="33"/>
      <c r="EW27" s="33"/>
      <c r="EX27" s="33"/>
      <c r="EY27" s="33"/>
      <c r="EZ27" s="33"/>
      <c r="FA27" s="33"/>
      <c r="FB27" s="33"/>
      <c r="FC27" s="33"/>
      <c r="FD27" s="33"/>
      <c r="FE27" s="33"/>
      <c r="FF27" s="33"/>
      <c r="FG27" s="33"/>
      <c r="FH27" s="33"/>
      <c r="FI27" s="33"/>
      <c r="FJ27" s="33"/>
      <c r="FK27" s="33"/>
      <c r="FL27" s="33"/>
      <c r="FM27" s="33"/>
      <c r="FN27" s="33"/>
      <c r="FO27" s="33"/>
      <c r="FP27" s="33"/>
      <c r="FQ27" s="33"/>
      <c r="FR27" s="33"/>
      <c r="FS27" s="33"/>
      <c r="FT27" s="33"/>
      <c r="FU27" s="33"/>
      <c r="FV27" s="33"/>
      <c r="FW27" s="33"/>
      <c r="FX27" s="33"/>
      <c r="FY27" s="33"/>
      <c r="FZ27" s="33"/>
      <c r="GA27" s="33"/>
      <c r="GB27" s="33"/>
      <c r="GC27" s="33"/>
      <c r="GD27" s="33"/>
      <c r="GE27" s="33"/>
      <c r="GF27" s="33"/>
      <c r="GG27" s="33"/>
      <c r="GH27" s="33"/>
      <c r="GI27" s="33"/>
      <c r="GJ27" s="33"/>
      <c r="GK27" s="33"/>
      <c r="GL27" s="33"/>
      <c r="GM27" s="33"/>
      <c r="GN27" s="33"/>
      <c r="GO27" s="33"/>
      <c r="GP27" s="33"/>
      <c r="GQ27" s="33"/>
      <c r="GR27" s="33"/>
      <c r="GS27" s="33"/>
      <c r="GT27" s="33"/>
      <c r="GU27" s="33"/>
      <c r="GV27" s="33"/>
      <c r="GW27" s="33"/>
      <c r="GX27" s="33"/>
      <c r="GY27" s="33"/>
      <c r="GZ27" s="33"/>
      <c r="HA27" s="33"/>
      <c r="HB27" s="33"/>
      <c r="HC27" s="33"/>
      <c r="HD27" s="33"/>
      <c r="HE27" s="33"/>
      <c r="HF27" s="33"/>
      <c r="HG27" s="33"/>
      <c r="HH27" s="33"/>
      <c r="HI27" s="33"/>
      <c r="HJ27" s="33"/>
      <c r="HK27" s="33"/>
      <c r="HL27" s="33"/>
      <c r="HM27" s="33"/>
      <c r="HN27" s="33"/>
      <c r="HO27" s="33"/>
      <c r="HP27" s="33"/>
      <c r="HQ27" s="33"/>
      <c r="HR27" s="33"/>
      <c r="HS27" s="33"/>
      <c r="HT27" s="33"/>
      <c r="HU27" s="33"/>
      <c r="HV27" s="33"/>
      <c r="HW27" s="33"/>
      <c r="HX27" s="33"/>
      <c r="HY27" s="33"/>
      <c r="HZ27" s="33"/>
      <c r="IA27" s="33"/>
      <c r="IB27" s="33"/>
      <c r="IC27" s="33"/>
      <c r="ID27" s="33"/>
    </row>
    <row r="28" spans="2:238" s="1959" customFormat="1" ht="12.75" customHeight="1">
      <c r="B28" s="1958"/>
      <c r="C28" s="1570"/>
      <c r="D28" s="1570"/>
      <c r="E28" s="1570"/>
      <c r="F28" s="1570"/>
      <c r="G28" s="1570"/>
      <c r="H28" s="1577"/>
      <c r="I28" s="1570"/>
      <c r="J28" s="1570"/>
      <c r="K28" s="1960"/>
      <c r="L28" s="1549"/>
      <c r="M28" s="1549"/>
      <c r="N28" s="1550"/>
      <c r="O28" s="1570"/>
      <c r="P28" s="1960"/>
      <c r="Q28" s="1549"/>
      <c r="R28" s="1549"/>
      <c r="S28" s="1550"/>
      <c r="T28" s="1570"/>
      <c r="U28" s="1960"/>
      <c r="V28" s="1549"/>
      <c r="W28" s="1549"/>
      <c r="X28" s="1550"/>
      <c r="Y28" s="1570"/>
      <c r="Z28" s="1960"/>
      <c r="AA28" s="1549"/>
      <c r="AB28" s="1549"/>
      <c r="AC28" s="1550"/>
      <c r="AD28" s="1570"/>
      <c r="AE28" s="1960"/>
      <c r="AF28" s="1549"/>
      <c r="AG28" s="1549"/>
      <c r="AH28" s="1550"/>
      <c r="AI28" s="1570"/>
      <c r="AJ28" s="1960"/>
      <c r="AK28" s="1549"/>
      <c r="AL28" s="1549"/>
      <c r="AM28" s="1550"/>
      <c r="AN28" s="1570"/>
      <c r="AO28" s="1960"/>
      <c r="AP28" s="1549"/>
      <c r="AQ28" s="1549"/>
      <c r="AR28" s="1550"/>
      <c r="AS28" s="1570"/>
      <c r="AT28" s="1960"/>
      <c r="AU28" s="1549"/>
      <c r="AV28" s="1549"/>
      <c r="AW28" s="1550"/>
      <c r="AX28" s="1570"/>
      <c r="AY28" s="1960"/>
      <c r="AZ28" s="1549"/>
      <c r="BA28" s="1549"/>
      <c r="BB28" s="1550"/>
      <c r="BC28" s="1570"/>
      <c r="BD28" s="1960"/>
      <c r="BE28" s="1549"/>
      <c r="BF28" s="1549"/>
      <c r="BG28" s="1550"/>
      <c r="BH28" s="1570"/>
      <c r="BI28" s="1960"/>
      <c r="BJ28" s="1549"/>
      <c r="BK28" s="1549"/>
      <c r="BL28" s="1550"/>
      <c r="BM28" s="1570"/>
      <c r="BN28" s="1960"/>
      <c r="BO28" s="1549"/>
      <c r="BP28" s="1549"/>
      <c r="BQ28" s="1550"/>
      <c r="BR28" s="1570"/>
      <c r="BS28" s="1960"/>
      <c r="BT28" s="1549"/>
      <c r="BU28" s="1549"/>
      <c r="BV28" s="1550"/>
      <c r="BW28" s="1570"/>
      <c r="BX28" s="1960"/>
      <c r="BY28" s="1549"/>
      <c r="BZ28" s="1549"/>
      <c r="CA28" s="1550"/>
      <c r="CB28" s="1570"/>
      <c r="CC28" s="1960"/>
      <c r="CD28" s="1549"/>
      <c r="CE28" s="1549"/>
      <c r="CF28" s="1549"/>
      <c r="CG28" s="1961"/>
      <c r="CH28" s="1549"/>
      <c r="CI28" s="1549"/>
      <c r="CJ28" s="1549"/>
      <c r="CK28" s="1549"/>
      <c r="CL28" s="1961"/>
      <c r="CM28" s="1549"/>
      <c r="CN28" s="1549"/>
      <c r="CO28" s="1549"/>
      <c r="CP28" s="1549"/>
      <c r="CQ28" s="1961"/>
      <c r="CR28" s="1549"/>
      <c r="CS28" s="1549"/>
      <c r="CT28" s="1549"/>
      <c r="CU28" s="1549"/>
      <c r="CV28" s="1961"/>
      <c r="CW28" s="1549"/>
      <c r="CX28" s="1549"/>
      <c r="CY28" s="1549"/>
      <c r="CZ28" s="1549"/>
      <c r="DA28" s="1961"/>
      <c r="DB28" s="1549"/>
      <c r="DC28" s="1549"/>
      <c r="DD28" s="1549"/>
      <c r="DE28" s="1549"/>
      <c r="DF28" s="1961"/>
      <c r="DG28" s="1549"/>
      <c r="DH28" s="1549"/>
      <c r="DI28" s="1549"/>
      <c r="DJ28" s="1549"/>
      <c r="DK28" s="1962"/>
      <c r="DL28" s="1549"/>
      <c r="DM28" s="1549"/>
      <c r="DN28" s="1549"/>
      <c r="DO28" s="1549"/>
      <c r="DP28" s="1962"/>
      <c r="DQ28" s="1549"/>
      <c r="DR28" s="2301"/>
      <c r="DS28" s="2301"/>
      <c r="DT28" s="2301"/>
      <c r="DU28" s="2300"/>
      <c r="DV28" s="1549"/>
      <c r="DW28" s="1549"/>
      <c r="DX28" s="1549"/>
      <c r="DY28" s="1554"/>
      <c r="DZ28" s="1962"/>
      <c r="EA28" s="1549"/>
      <c r="EB28" s="1549"/>
      <c r="EC28" s="1549"/>
      <c r="ED28" s="1554"/>
      <c r="EE28" s="1962"/>
      <c r="EF28" s="33"/>
      <c r="EG28" s="33"/>
      <c r="EH28" s="33"/>
      <c r="EI28" s="33"/>
      <c r="EJ28"/>
      <c r="EK28"/>
      <c r="EL28"/>
      <c r="EM28"/>
      <c r="EN28"/>
      <c r="EO28"/>
      <c r="EP28" s="33"/>
      <c r="EQ28" s="33"/>
      <c r="ER28" s="33"/>
      <c r="ES28" s="33"/>
      <c r="ET28" s="33"/>
      <c r="EU28" s="33"/>
      <c r="EV28" s="33"/>
      <c r="EW28" s="33"/>
      <c r="EX28" s="33"/>
      <c r="EY28" s="33"/>
      <c r="EZ28" s="33"/>
      <c r="FA28" s="33"/>
      <c r="FB28" s="33"/>
      <c r="FC28" s="33"/>
      <c r="FD28" s="33"/>
      <c r="FE28" s="33"/>
      <c r="FF28" s="33"/>
      <c r="FG28" s="33"/>
      <c r="FH28" s="33"/>
      <c r="FI28" s="33"/>
      <c r="FJ28" s="33"/>
      <c r="FK28" s="33"/>
      <c r="FL28" s="33"/>
      <c r="FM28" s="33"/>
      <c r="FN28" s="33"/>
      <c r="FO28" s="33"/>
      <c r="FP28" s="33"/>
      <c r="FQ28" s="33"/>
      <c r="FR28" s="33"/>
      <c r="FS28" s="33"/>
      <c r="FT28" s="33"/>
      <c r="FU28" s="33"/>
      <c r="FV28" s="33"/>
      <c r="FW28" s="33"/>
      <c r="FX28" s="33"/>
      <c r="FY28" s="33"/>
      <c r="FZ28" s="33"/>
      <c r="GA28" s="33"/>
      <c r="GB28" s="33"/>
      <c r="GC28" s="33"/>
      <c r="GD28" s="33"/>
      <c r="GE28" s="33"/>
      <c r="GF28" s="33"/>
      <c r="GG28" s="33"/>
      <c r="GH28" s="33"/>
      <c r="GI28" s="33"/>
      <c r="GJ28" s="33"/>
      <c r="GK28" s="33"/>
      <c r="GL28" s="33"/>
      <c r="GM28" s="33"/>
      <c r="GN28" s="33"/>
      <c r="GO28" s="33"/>
      <c r="GP28" s="33"/>
      <c r="GQ28" s="33"/>
      <c r="GR28" s="33"/>
      <c r="GS28" s="33"/>
      <c r="GT28" s="33"/>
      <c r="GU28" s="33"/>
      <c r="GV28" s="33"/>
      <c r="GW28" s="33"/>
      <c r="GX28" s="33"/>
      <c r="GY28" s="33"/>
      <c r="GZ28" s="33"/>
      <c r="HA28" s="33"/>
      <c r="HB28" s="33"/>
      <c r="HC28" s="33"/>
      <c r="HD28" s="33"/>
      <c r="HE28" s="33"/>
      <c r="HF28" s="33"/>
      <c r="HG28" s="33"/>
      <c r="HH28" s="33"/>
      <c r="HI28" s="33"/>
      <c r="HJ28" s="33"/>
      <c r="HK28" s="33"/>
      <c r="HL28" s="33"/>
      <c r="HM28" s="33"/>
      <c r="HN28" s="33"/>
      <c r="HO28" s="33"/>
      <c r="HP28" s="33"/>
      <c r="HQ28" s="33"/>
      <c r="HR28" s="33"/>
      <c r="HS28" s="33"/>
      <c r="HT28" s="33"/>
      <c r="HU28" s="33"/>
      <c r="HV28" s="33"/>
      <c r="HW28" s="33"/>
      <c r="HX28" s="33"/>
      <c r="HY28" s="33"/>
      <c r="HZ28" s="33"/>
      <c r="IA28" s="33"/>
      <c r="IB28" s="33"/>
      <c r="IC28" s="33"/>
      <c r="ID28" s="33"/>
    </row>
    <row r="29" spans="2:238" s="93" customFormat="1" ht="12.75" customHeight="1">
      <c r="B29" s="552" t="s">
        <v>155</v>
      </c>
      <c r="C29" s="151"/>
      <c r="D29" s="151"/>
      <c r="E29" s="152"/>
      <c r="F29" s="152"/>
      <c r="G29" s="152"/>
      <c r="H29" s="152"/>
      <c r="I29" s="152"/>
      <c r="J29" s="152"/>
      <c r="K29" s="153"/>
      <c r="L29" s="154"/>
      <c r="M29" s="154"/>
      <c r="N29" s="155"/>
      <c r="O29" s="152"/>
      <c r="P29" s="153"/>
      <c r="Q29" s="154"/>
      <c r="R29" s="154"/>
      <c r="S29" s="155"/>
      <c r="T29" s="152"/>
      <c r="U29" s="153"/>
      <c r="V29" s="154"/>
      <c r="W29" s="154"/>
      <c r="X29" s="155"/>
      <c r="Y29" s="152"/>
      <c r="Z29" s="153"/>
      <c r="AA29" s="154"/>
      <c r="AB29" s="154"/>
      <c r="AC29" s="155"/>
      <c r="AD29" s="152"/>
      <c r="AE29" s="153"/>
      <c r="AF29" s="154"/>
      <c r="AG29" s="154"/>
      <c r="AH29" s="155"/>
      <c r="AI29" s="152"/>
      <c r="AJ29" s="153"/>
      <c r="AK29" s="154"/>
      <c r="AL29" s="154"/>
      <c r="AM29" s="155"/>
      <c r="AN29" s="152"/>
      <c r="AO29" s="153"/>
      <c r="AP29" s="154"/>
      <c r="AQ29" s="154"/>
      <c r="AR29" s="155"/>
      <c r="AS29" s="152"/>
      <c r="AT29" s="153"/>
      <c r="AU29" s="154"/>
      <c r="AV29" s="154"/>
      <c r="AW29" s="155"/>
      <c r="AX29" s="152"/>
      <c r="AY29" s="153"/>
      <c r="AZ29" s="154"/>
      <c r="BA29" s="154"/>
      <c r="BB29" s="155"/>
      <c r="BC29" s="152"/>
      <c r="BD29" s="153"/>
      <c r="BE29" s="154"/>
      <c r="BF29" s="154"/>
      <c r="BG29" s="155"/>
      <c r="BH29" s="152"/>
      <c r="BI29" s="153"/>
      <c r="BJ29" s="154"/>
      <c r="BK29" s="154"/>
      <c r="BL29" s="155"/>
      <c r="BM29" s="152"/>
      <c r="BN29" s="153"/>
      <c r="BO29" s="154"/>
      <c r="BP29" s="154"/>
      <c r="BQ29" s="155"/>
      <c r="BR29" s="152"/>
      <c r="BS29" s="153"/>
      <c r="BT29" s="154"/>
      <c r="BU29" s="154"/>
      <c r="BV29" s="155"/>
      <c r="BW29" s="152"/>
      <c r="BX29" s="153"/>
      <c r="BY29" s="154"/>
      <c r="BZ29" s="154"/>
      <c r="CA29" s="155"/>
      <c r="CB29" s="152"/>
      <c r="CC29" s="153"/>
      <c r="CD29" s="154"/>
      <c r="CE29" s="154"/>
      <c r="CF29" s="154"/>
      <c r="CG29" s="804"/>
      <c r="CH29" s="154"/>
      <c r="CI29" s="156"/>
      <c r="CJ29" s="156"/>
      <c r="CK29" s="156"/>
      <c r="CL29" s="804"/>
      <c r="CM29" s="157"/>
      <c r="CN29" s="157"/>
      <c r="CO29" s="157"/>
      <c r="CP29" s="157"/>
      <c r="CQ29" s="834"/>
      <c r="CR29" s="157"/>
      <c r="CS29" s="158"/>
      <c r="CT29" s="158"/>
      <c r="CU29" s="158"/>
      <c r="CV29" s="834"/>
      <c r="CW29" s="157"/>
      <c r="CX29" s="158"/>
      <c r="CY29" s="158"/>
      <c r="CZ29" s="158"/>
      <c r="DA29" s="834"/>
      <c r="DB29" s="157"/>
      <c r="DC29" s="158"/>
      <c r="DD29" s="158"/>
      <c r="DE29" s="158"/>
      <c r="DF29" s="834"/>
      <c r="DG29" s="158"/>
      <c r="DH29" s="158"/>
      <c r="DI29" s="158"/>
      <c r="DJ29" s="158"/>
      <c r="DK29" s="1396"/>
      <c r="DL29" s="158"/>
      <c r="DM29" s="158"/>
      <c r="DN29" s="158"/>
      <c r="DO29" s="158"/>
      <c r="DP29" s="1396"/>
      <c r="DQ29" s="158"/>
      <c r="DR29" s="158"/>
      <c r="DS29" s="158"/>
      <c r="DT29" s="158"/>
      <c r="DU29" s="1396"/>
      <c r="DV29" s="158"/>
      <c r="DW29" s="158"/>
      <c r="DX29" s="158"/>
      <c r="DY29" s="1751"/>
      <c r="DZ29" s="1396"/>
      <c r="EA29" s="158"/>
      <c r="EB29" s="158"/>
      <c r="EC29" s="158"/>
      <c r="ED29" s="1751"/>
      <c r="EE29" s="1396"/>
      <c r="EF29" s="2248"/>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row>
    <row r="30" spans="2:238" s="94" customFormat="1" ht="12.75" customHeight="1">
      <c r="B30" s="1969" t="s">
        <v>520</v>
      </c>
      <c r="C30" s="95"/>
      <c r="D30" s="96"/>
      <c r="E30" s="96"/>
      <c r="F30" s="96"/>
      <c r="G30" s="96"/>
      <c r="H30" s="96"/>
      <c r="I30" s="96"/>
      <c r="J30" s="96"/>
      <c r="K30" s="97"/>
      <c r="L30" s="98"/>
      <c r="M30" s="98"/>
      <c r="N30" s="99"/>
      <c r="O30" s="95"/>
      <c r="P30" s="97"/>
      <c r="Q30" s="98"/>
      <c r="R30" s="98"/>
      <c r="S30" s="99"/>
      <c r="T30" s="95"/>
      <c r="U30" s="97"/>
      <c r="V30" s="98"/>
      <c r="W30" s="98"/>
      <c r="X30" s="99"/>
      <c r="Y30" s="95"/>
      <c r="Z30" s="97"/>
      <c r="AA30" s="98"/>
      <c r="AB30" s="98"/>
      <c r="AC30" s="99"/>
      <c r="AD30" s="95"/>
      <c r="AE30" s="97"/>
      <c r="AF30" s="98"/>
      <c r="AG30" s="98"/>
      <c r="AH30" s="99"/>
      <c r="AI30" s="95"/>
      <c r="AJ30" s="97"/>
      <c r="AK30" s="98"/>
      <c r="AL30" s="98"/>
      <c r="AM30" s="99"/>
      <c r="AN30" s="95"/>
      <c r="AO30" s="97"/>
      <c r="AP30" s="98"/>
      <c r="AQ30" s="98"/>
      <c r="AR30" s="99"/>
      <c r="AS30" s="95"/>
      <c r="AT30" s="97"/>
      <c r="AU30" s="98"/>
      <c r="AV30" s="98"/>
      <c r="AW30" s="99"/>
      <c r="AX30" s="95"/>
      <c r="AY30" s="97"/>
      <c r="AZ30" s="98"/>
      <c r="BA30" s="98"/>
      <c r="BB30" s="99"/>
      <c r="BC30" s="95"/>
      <c r="BD30" s="97"/>
      <c r="BE30" s="98"/>
      <c r="BF30" s="98"/>
      <c r="BG30" s="99"/>
      <c r="BH30" s="95"/>
      <c r="BI30" s="97"/>
      <c r="BJ30" s="98"/>
      <c r="BK30" s="98"/>
      <c r="BL30" s="99"/>
      <c r="BM30" s="95"/>
      <c r="BN30" s="97"/>
      <c r="BO30" s="98"/>
      <c r="BP30" s="98"/>
      <c r="BQ30" s="99"/>
      <c r="BR30" s="95"/>
      <c r="BS30" s="97"/>
      <c r="BT30" s="98"/>
      <c r="BU30" s="98"/>
      <c r="BV30" s="99"/>
      <c r="BW30" s="95"/>
      <c r="BX30" s="97"/>
      <c r="BY30" s="98"/>
      <c r="BZ30" s="98"/>
      <c r="CA30" s="99"/>
      <c r="CB30" s="95"/>
      <c r="CC30" s="97"/>
      <c r="CD30" s="100"/>
      <c r="CE30" s="100"/>
      <c r="CF30" s="100"/>
      <c r="CG30" s="797"/>
      <c r="CH30" s="100"/>
      <c r="CI30" s="100"/>
      <c r="CJ30" s="100"/>
      <c r="CK30" s="100"/>
      <c r="CL30" s="797"/>
      <c r="CM30" s="109"/>
      <c r="CN30" s="109"/>
      <c r="CO30" s="109"/>
      <c r="CP30" s="109"/>
      <c r="CQ30" s="797"/>
      <c r="CR30" s="1501"/>
      <c r="CS30" s="109"/>
      <c r="CT30" s="109"/>
      <c r="CU30" s="109"/>
      <c r="CV30" s="797"/>
      <c r="CW30" s="109"/>
      <c r="CX30" s="109"/>
      <c r="CY30" s="109"/>
      <c r="CZ30" s="109"/>
      <c r="DA30" s="797"/>
      <c r="DB30" s="109"/>
      <c r="DC30" s="1722"/>
      <c r="DD30" s="1722">
        <f>DC32</f>
        <v>4559</v>
      </c>
      <c r="DE30" s="1722">
        <f>DD32</f>
        <v>4565</v>
      </c>
      <c r="DF30" s="797">
        <f>DA30</f>
        <v>0</v>
      </c>
      <c r="DG30" s="1722">
        <f>DF32</f>
        <v>4565</v>
      </c>
      <c r="DH30" s="1722">
        <f>DG32</f>
        <v>4595</v>
      </c>
      <c r="DI30" s="1722">
        <f>DH32</f>
        <v>4595</v>
      </c>
      <c r="DJ30" s="1722">
        <f>DI32</f>
        <v>4595</v>
      </c>
      <c r="DK30" s="1411">
        <f>DF32</f>
        <v>4565</v>
      </c>
      <c r="DL30" s="1722">
        <f>DK32</f>
        <v>4673</v>
      </c>
      <c r="DM30" s="1722">
        <f>DL32</f>
        <v>4686</v>
      </c>
      <c r="DN30" s="1722">
        <f>DM32</f>
        <v>4701</v>
      </c>
      <c r="DO30" s="1722">
        <f>DN32</f>
        <v>4710</v>
      </c>
      <c r="DP30" s="1411">
        <f>DK32</f>
        <v>4673</v>
      </c>
      <c r="DQ30" s="1514">
        <f>DP32</f>
        <v>4710</v>
      </c>
      <c r="DR30" s="100">
        <f>DQ32</f>
        <v>4716</v>
      </c>
      <c r="DS30" s="100">
        <f>DR32</f>
        <v>4724</v>
      </c>
      <c r="DT30" s="100">
        <f>DS32</f>
        <v>4732</v>
      </c>
      <c r="DU30" s="1411">
        <f>DP32</f>
        <v>4710</v>
      </c>
      <c r="DV30" s="100">
        <f>DT32</f>
        <v>4740</v>
      </c>
      <c r="DW30" s="100">
        <f>DV32</f>
        <v>4748</v>
      </c>
      <c r="DX30" s="100">
        <f>DW32</f>
        <v>4756</v>
      </c>
      <c r="DY30" s="1749">
        <f>DX32</f>
        <v>4764</v>
      </c>
      <c r="DZ30" s="1411">
        <f>DU32</f>
        <v>4740</v>
      </c>
      <c r="EA30" s="100">
        <f>DY32</f>
        <v>4772</v>
      </c>
      <c r="EB30" s="100">
        <f>EA32</f>
        <v>4780</v>
      </c>
      <c r="EC30" s="100">
        <f>EB32</f>
        <v>4788</v>
      </c>
      <c r="ED30" s="1749">
        <f>EC32</f>
        <v>4796</v>
      </c>
      <c r="EE30" s="1411">
        <f>DZ32</f>
        <v>4772</v>
      </c>
      <c r="EF30" s="2248"/>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row>
    <row r="31" spans="2:238" s="94" customFormat="1" ht="12.75" customHeight="1">
      <c r="B31" s="1969" t="s">
        <v>547</v>
      </c>
      <c r="C31" s="95"/>
      <c r="D31" s="96"/>
      <c r="E31" s="96"/>
      <c r="F31" s="96"/>
      <c r="G31" s="96"/>
      <c r="H31" s="96"/>
      <c r="I31" s="96"/>
      <c r="J31" s="96"/>
      <c r="K31" s="97"/>
      <c r="L31" s="98"/>
      <c r="M31" s="98"/>
      <c r="N31" s="99"/>
      <c r="O31" s="95"/>
      <c r="P31" s="97"/>
      <c r="Q31" s="98"/>
      <c r="R31" s="98"/>
      <c r="S31" s="99"/>
      <c r="T31" s="95"/>
      <c r="U31" s="97"/>
      <c r="V31" s="98"/>
      <c r="W31" s="98"/>
      <c r="X31" s="99"/>
      <c r="Y31" s="95"/>
      <c r="Z31" s="97"/>
      <c r="AA31" s="98"/>
      <c r="AB31" s="98"/>
      <c r="AC31" s="99"/>
      <c r="AD31" s="95"/>
      <c r="AE31" s="97"/>
      <c r="AF31" s="98"/>
      <c r="AG31" s="98"/>
      <c r="AH31" s="99"/>
      <c r="AI31" s="95"/>
      <c r="AJ31" s="97"/>
      <c r="AK31" s="98"/>
      <c r="AL31" s="98"/>
      <c r="AM31" s="99"/>
      <c r="AN31" s="95"/>
      <c r="AO31" s="97"/>
      <c r="AP31" s="98"/>
      <c r="AQ31" s="98"/>
      <c r="AR31" s="99"/>
      <c r="AS31" s="95"/>
      <c r="AT31" s="97"/>
      <c r="AU31" s="98"/>
      <c r="AV31" s="98"/>
      <c r="AW31" s="99"/>
      <c r="AX31" s="95"/>
      <c r="AY31" s="97"/>
      <c r="AZ31" s="98"/>
      <c r="BA31" s="98"/>
      <c r="BB31" s="99"/>
      <c r="BC31" s="95"/>
      <c r="BD31" s="97"/>
      <c r="BE31" s="98"/>
      <c r="BF31" s="98"/>
      <c r="BG31" s="99"/>
      <c r="BH31" s="95"/>
      <c r="BI31" s="97"/>
      <c r="BJ31" s="98"/>
      <c r="BK31" s="98"/>
      <c r="BL31" s="99"/>
      <c r="BM31" s="95"/>
      <c r="BN31" s="97"/>
      <c r="BO31" s="98"/>
      <c r="BP31" s="98"/>
      <c r="BQ31" s="99"/>
      <c r="BR31" s="95"/>
      <c r="BS31" s="97"/>
      <c r="BT31" s="98"/>
      <c r="BU31" s="98"/>
      <c r="BV31" s="99"/>
      <c r="BW31" s="95"/>
      <c r="BX31" s="97"/>
      <c r="BY31" s="98"/>
      <c r="BZ31" s="98"/>
      <c r="CA31" s="99"/>
      <c r="CB31" s="95"/>
      <c r="CC31" s="97"/>
      <c r="CD31" s="100"/>
      <c r="CE31" s="100"/>
      <c r="CF31" s="100"/>
      <c r="CG31" s="797"/>
      <c r="CH31" s="100"/>
      <c r="CI31" s="100"/>
      <c r="CJ31" s="100"/>
      <c r="CK31" s="100"/>
      <c r="CL31" s="797"/>
      <c r="CM31" s="109"/>
      <c r="CN31" s="109"/>
      <c r="CO31" s="109"/>
      <c r="CP31" s="109"/>
      <c r="CQ31" s="797"/>
      <c r="CR31" s="1501"/>
      <c r="CS31" s="109"/>
      <c r="CT31" s="109"/>
      <c r="CU31" s="109"/>
      <c r="CV31" s="797"/>
      <c r="CW31" s="109"/>
      <c r="CX31" s="109"/>
      <c r="CY31" s="109"/>
      <c r="CZ31" s="109"/>
      <c r="DA31" s="797"/>
      <c r="DB31" s="109"/>
      <c r="DC31" s="1722"/>
      <c r="DD31" s="1722"/>
      <c r="DE31" s="1722"/>
      <c r="DF31" s="797"/>
      <c r="DG31" s="1722">
        <f>DG32-DG30</f>
        <v>30</v>
      </c>
      <c r="DH31" s="1722">
        <f>DH32-DH30</f>
        <v>0</v>
      </c>
      <c r="DI31" s="1722">
        <f>DI32-DI30</f>
        <v>0</v>
      </c>
      <c r="DJ31" s="1722">
        <f>DJ32-DJ30</f>
        <v>78</v>
      </c>
      <c r="DK31" s="1411">
        <f>SUM(DG31:DJ31)</f>
        <v>108</v>
      </c>
      <c r="DL31" s="1722">
        <f>DL32-DL30</f>
        <v>13</v>
      </c>
      <c r="DM31" s="1722">
        <f>DM32-DM30</f>
        <v>15</v>
      </c>
      <c r="DN31" s="1722">
        <f>DN32-DN30</f>
        <v>9</v>
      </c>
      <c r="DO31" s="1722">
        <f>DO32-DO30</f>
        <v>0</v>
      </c>
      <c r="DP31" s="1411">
        <f>SUM(DL31:DO31)</f>
        <v>37</v>
      </c>
      <c r="DQ31" s="1722">
        <f>DQ32-DQ30</f>
        <v>6</v>
      </c>
      <c r="DR31" s="100">
        <v>8</v>
      </c>
      <c r="DS31" s="100">
        <v>8</v>
      </c>
      <c r="DT31" s="1749">
        <v>8</v>
      </c>
      <c r="DU31" s="1411">
        <f>SUM(DQ31:DT31)</f>
        <v>30</v>
      </c>
      <c r="DV31" s="100">
        <v>8</v>
      </c>
      <c r="DW31" s="100">
        <v>8</v>
      </c>
      <c r="DX31" s="100">
        <v>8</v>
      </c>
      <c r="DY31" s="1749">
        <v>8</v>
      </c>
      <c r="DZ31" s="1411">
        <f>SUM(DV31:DY31)</f>
        <v>32</v>
      </c>
      <c r="EA31" s="100">
        <v>8</v>
      </c>
      <c r="EB31" s="100">
        <v>8</v>
      </c>
      <c r="EC31" s="100">
        <v>8</v>
      </c>
      <c r="ED31" s="1749">
        <v>8</v>
      </c>
      <c r="EE31" s="1411">
        <f>SUM(EA31:ED31)</f>
        <v>32</v>
      </c>
      <c r="EF31" s="2248"/>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row>
    <row r="32" spans="2:238" s="94" customFormat="1" ht="12.75" customHeight="1">
      <c r="B32" s="1969" t="s">
        <v>519</v>
      </c>
      <c r="C32" s="95"/>
      <c r="D32" s="96"/>
      <c r="E32" s="96"/>
      <c r="F32" s="96"/>
      <c r="G32" s="96"/>
      <c r="H32" s="96"/>
      <c r="I32" s="96"/>
      <c r="J32" s="96"/>
      <c r="K32" s="97"/>
      <c r="L32" s="98"/>
      <c r="M32" s="98"/>
      <c r="N32" s="99"/>
      <c r="O32" s="95"/>
      <c r="P32" s="97"/>
      <c r="Q32" s="98"/>
      <c r="R32" s="98"/>
      <c r="S32" s="99"/>
      <c r="T32" s="95"/>
      <c r="U32" s="97"/>
      <c r="V32" s="98"/>
      <c r="W32" s="98"/>
      <c r="X32" s="99"/>
      <c r="Y32" s="95"/>
      <c r="Z32" s="97"/>
      <c r="AA32" s="98"/>
      <c r="AB32" s="98"/>
      <c r="AC32" s="99"/>
      <c r="AD32" s="95"/>
      <c r="AE32" s="97"/>
      <c r="AF32" s="98"/>
      <c r="AG32" s="98"/>
      <c r="AH32" s="99"/>
      <c r="AI32" s="95"/>
      <c r="AJ32" s="97"/>
      <c r="AK32" s="98"/>
      <c r="AL32" s="98"/>
      <c r="AM32" s="99"/>
      <c r="AN32" s="95"/>
      <c r="AO32" s="97"/>
      <c r="AP32" s="98"/>
      <c r="AQ32" s="98"/>
      <c r="AR32" s="99"/>
      <c r="AS32" s="95"/>
      <c r="AT32" s="97"/>
      <c r="AU32" s="98"/>
      <c r="AV32" s="98"/>
      <c r="AW32" s="99"/>
      <c r="AX32" s="95"/>
      <c r="AY32" s="97"/>
      <c r="AZ32" s="98"/>
      <c r="BA32" s="98"/>
      <c r="BB32" s="99"/>
      <c r="BC32" s="95"/>
      <c r="BD32" s="97"/>
      <c r="BE32" s="98"/>
      <c r="BF32" s="98"/>
      <c r="BG32" s="99"/>
      <c r="BH32" s="95"/>
      <c r="BI32" s="97"/>
      <c r="BJ32" s="98"/>
      <c r="BK32" s="98"/>
      <c r="BL32" s="99"/>
      <c r="BM32" s="95"/>
      <c r="BN32" s="97"/>
      <c r="BO32" s="98"/>
      <c r="BP32" s="98"/>
      <c r="BQ32" s="99"/>
      <c r="BR32" s="95"/>
      <c r="BS32" s="97"/>
      <c r="BT32" s="98"/>
      <c r="BU32" s="98"/>
      <c r="BV32" s="99"/>
      <c r="BW32" s="95"/>
      <c r="BX32" s="97"/>
      <c r="BY32" s="98"/>
      <c r="BZ32" s="98"/>
      <c r="CA32" s="99"/>
      <c r="CB32" s="95"/>
      <c r="CC32" s="97"/>
      <c r="CD32" s="100"/>
      <c r="CE32" s="100"/>
      <c r="CF32" s="100"/>
      <c r="CG32" s="797"/>
      <c r="CH32" s="100"/>
      <c r="CI32" s="100"/>
      <c r="CJ32" s="100"/>
      <c r="CK32" s="100"/>
      <c r="CL32" s="797"/>
      <c r="CM32" s="109"/>
      <c r="CN32" s="109"/>
      <c r="CO32" s="109"/>
      <c r="CP32" s="109"/>
      <c r="CQ32" s="797"/>
      <c r="CR32" s="1501"/>
      <c r="CS32" s="109"/>
      <c r="CT32" s="109"/>
      <c r="CU32" s="109"/>
      <c r="CV32" s="797"/>
      <c r="CW32" s="109"/>
      <c r="CX32" s="109"/>
      <c r="CY32" s="109"/>
      <c r="CZ32" s="109"/>
      <c r="DA32" s="797"/>
      <c r="DB32" s="109"/>
      <c r="DC32" s="1722">
        <v>4559</v>
      </c>
      <c r="DD32" s="1722">
        <v>4565</v>
      </c>
      <c r="DE32" s="1722">
        <v>4565</v>
      </c>
      <c r="DF32" s="797">
        <f>DE32</f>
        <v>4565</v>
      </c>
      <c r="DG32" s="1722">
        <v>4595</v>
      </c>
      <c r="DH32" s="1722">
        <v>4595</v>
      </c>
      <c r="DI32" s="1722">
        <v>4595</v>
      </c>
      <c r="DJ32" s="1722">
        <v>4673</v>
      </c>
      <c r="DK32" s="1411">
        <f>DJ32</f>
        <v>4673</v>
      </c>
      <c r="DL32" s="1722">
        <v>4686</v>
      </c>
      <c r="DM32" s="1722">
        <v>4701</v>
      </c>
      <c r="DN32" s="1722">
        <v>4710</v>
      </c>
      <c r="DO32" s="1722">
        <v>4710</v>
      </c>
      <c r="DP32" s="1411">
        <f>DO32</f>
        <v>4710</v>
      </c>
      <c r="DQ32" s="2347">
        <v>4716</v>
      </c>
      <c r="DR32" s="100">
        <f>DR30+DR31</f>
        <v>4724</v>
      </c>
      <c r="DS32" s="100">
        <f>DS30+DS31</f>
        <v>4732</v>
      </c>
      <c r="DT32" s="1749">
        <f>DT30+DT31</f>
        <v>4740</v>
      </c>
      <c r="DU32" s="1411">
        <f>DT32</f>
        <v>4740</v>
      </c>
      <c r="DV32" s="100">
        <f>DV30+DV31</f>
        <v>4748</v>
      </c>
      <c r="DW32" s="100">
        <f>DW30+DW31</f>
        <v>4756</v>
      </c>
      <c r="DX32" s="100">
        <f>DX30+DX31</f>
        <v>4764</v>
      </c>
      <c r="DY32" s="1749">
        <f>DY30+DY31</f>
        <v>4772</v>
      </c>
      <c r="DZ32" s="1411">
        <f>DY32</f>
        <v>4772</v>
      </c>
      <c r="EA32" s="100">
        <f>EA30+EA31</f>
        <v>4780</v>
      </c>
      <c r="EB32" s="100">
        <f>EB30+EB31</f>
        <v>4788</v>
      </c>
      <c r="EC32" s="100">
        <f>EC30+EC31</f>
        <v>4796</v>
      </c>
      <c r="ED32" s="1749">
        <f>ED30+ED31</f>
        <v>4804</v>
      </c>
      <c r="EE32" s="1411">
        <f>ED32</f>
        <v>4804</v>
      </c>
      <c r="EF32" s="2248"/>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row>
    <row r="33" spans="2:238" s="101" customFormat="1" ht="12.75" customHeight="1">
      <c r="B33" s="544" t="s">
        <v>450</v>
      </c>
      <c r="C33" s="102"/>
      <c r="D33" s="103"/>
      <c r="E33" s="102"/>
      <c r="F33" s="102"/>
      <c r="G33" s="102"/>
      <c r="H33" s="102"/>
      <c r="I33" s="102"/>
      <c r="J33" s="102"/>
      <c r="K33" s="104"/>
      <c r="L33" s="103"/>
      <c r="M33" s="103"/>
      <c r="N33" s="105"/>
      <c r="O33" s="102"/>
      <c r="P33" s="104"/>
      <c r="Q33" s="103"/>
      <c r="R33" s="103"/>
      <c r="S33" s="105"/>
      <c r="T33" s="102"/>
      <c r="U33" s="104"/>
      <c r="V33" s="103"/>
      <c r="W33" s="103"/>
      <c r="X33" s="105"/>
      <c r="Y33" s="102"/>
      <c r="Z33" s="104"/>
      <c r="AA33" s="103"/>
      <c r="AB33" s="103"/>
      <c r="AC33" s="105"/>
      <c r="AD33" s="102"/>
      <c r="AE33" s="104"/>
      <c r="AF33" s="103"/>
      <c r="AG33" s="103"/>
      <c r="AH33" s="105"/>
      <c r="AI33" s="102"/>
      <c r="AJ33" s="104"/>
      <c r="AK33" s="103"/>
      <c r="AL33" s="103"/>
      <c r="AM33" s="105"/>
      <c r="AN33" s="102"/>
      <c r="AO33" s="104"/>
      <c r="AP33" s="103"/>
      <c r="AQ33" s="103"/>
      <c r="AR33" s="105"/>
      <c r="AS33" s="102"/>
      <c r="AT33" s="104"/>
      <c r="AU33" s="103"/>
      <c r="AV33" s="103"/>
      <c r="AW33" s="105"/>
      <c r="AX33" s="102"/>
      <c r="AY33" s="104"/>
      <c r="AZ33" s="103"/>
      <c r="BA33" s="103"/>
      <c r="BB33" s="105"/>
      <c r="BC33" s="102"/>
      <c r="BD33" s="104"/>
      <c r="BE33" s="103"/>
      <c r="BF33" s="103"/>
      <c r="BG33" s="105"/>
      <c r="BH33" s="102"/>
      <c r="BI33" s="104"/>
      <c r="BJ33" s="103"/>
      <c r="BK33" s="103"/>
      <c r="BL33" s="105"/>
      <c r="BM33" s="102"/>
      <c r="BN33" s="104"/>
      <c r="BO33" s="103"/>
      <c r="BP33" s="103"/>
      <c r="BQ33" s="105"/>
      <c r="BR33" s="102"/>
      <c r="BS33" s="104"/>
      <c r="BT33" s="103"/>
      <c r="BU33" s="103"/>
      <c r="BV33" s="105"/>
      <c r="BW33" s="102"/>
      <c r="BX33" s="104"/>
      <c r="BY33" s="103"/>
      <c r="BZ33" s="103"/>
      <c r="CA33" s="105"/>
      <c r="CB33" s="102"/>
      <c r="CC33" s="104"/>
      <c r="CD33" s="103"/>
      <c r="CE33" s="103"/>
      <c r="CF33" s="103"/>
      <c r="CG33" s="798"/>
      <c r="CH33" s="103"/>
      <c r="CI33" s="103"/>
      <c r="CJ33" s="103"/>
      <c r="CK33" s="103"/>
      <c r="CL33" s="798"/>
      <c r="CM33" s="103"/>
      <c r="CN33" s="103"/>
      <c r="CO33" s="103"/>
      <c r="CP33" s="103"/>
      <c r="CQ33" s="798"/>
      <c r="CR33" s="103"/>
      <c r="CS33" s="103"/>
      <c r="CT33" s="103"/>
      <c r="CU33" s="103"/>
      <c r="CV33" s="798"/>
      <c r="CW33" s="103"/>
      <c r="CX33" s="103"/>
      <c r="CY33" s="103"/>
      <c r="CZ33" s="103"/>
      <c r="DA33" s="798"/>
      <c r="DB33" s="103"/>
      <c r="DC33" s="103"/>
      <c r="DD33" s="103"/>
      <c r="DE33" s="103"/>
      <c r="DF33" s="798"/>
      <c r="DG33" s="103"/>
      <c r="DH33" s="103"/>
      <c r="DI33" s="103"/>
      <c r="DJ33" s="103"/>
      <c r="DK33" s="826"/>
      <c r="DL33" s="103"/>
      <c r="DM33" s="103"/>
      <c r="DN33" s="103"/>
      <c r="DO33" s="103"/>
      <c r="DP33" s="826"/>
      <c r="DQ33" s="103"/>
      <c r="DR33" s="103"/>
      <c r="DS33" s="103"/>
      <c r="DT33" s="1750"/>
      <c r="DU33" s="826"/>
      <c r="DV33" s="103"/>
      <c r="DW33" s="103"/>
      <c r="DX33" s="103"/>
      <c r="DY33" s="1750"/>
      <c r="DZ33" s="826"/>
      <c r="EA33" s="103"/>
      <c r="EB33" s="103"/>
      <c r="EC33" s="103"/>
      <c r="ED33" s="1750"/>
      <c r="EE33" s="826"/>
      <c r="EF33" s="2248"/>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row>
    <row r="34" spans="2:238" s="101" customFormat="1" ht="12.75" customHeight="1">
      <c r="B34" s="544"/>
      <c r="C34" s="102"/>
      <c r="D34" s="103"/>
      <c r="E34" s="103"/>
      <c r="F34" s="103"/>
      <c r="G34" s="103"/>
      <c r="H34" s="103"/>
      <c r="I34" s="103"/>
      <c r="J34" s="103"/>
      <c r="K34" s="104"/>
      <c r="L34" s="103"/>
      <c r="M34" s="103"/>
      <c r="N34" s="105"/>
      <c r="O34" s="102"/>
      <c r="P34" s="104"/>
      <c r="Q34" s="103"/>
      <c r="R34" s="103"/>
      <c r="S34" s="105"/>
      <c r="T34" s="102"/>
      <c r="U34" s="104"/>
      <c r="V34" s="103"/>
      <c r="W34" s="103"/>
      <c r="X34" s="105"/>
      <c r="Y34" s="102"/>
      <c r="Z34" s="104"/>
      <c r="AA34" s="103"/>
      <c r="AB34" s="103"/>
      <c r="AC34" s="105"/>
      <c r="AD34" s="102"/>
      <c r="AE34" s="104"/>
      <c r="AF34" s="103"/>
      <c r="AG34" s="103"/>
      <c r="AH34" s="105"/>
      <c r="AI34" s="102"/>
      <c r="AJ34" s="104"/>
      <c r="AK34" s="103"/>
      <c r="AL34" s="103"/>
      <c r="AM34" s="105"/>
      <c r="AN34" s="102"/>
      <c r="AO34" s="104"/>
      <c r="AP34" s="103"/>
      <c r="AQ34" s="103"/>
      <c r="AR34" s="105"/>
      <c r="AS34" s="102"/>
      <c r="AT34" s="104"/>
      <c r="AU34" s="103"/>
      <c r="AV34" s="103"/>
      <c r="AW34" s="105"/>
      <c r="AX34" s="102"/>
      <c r="AY34" s="104"/>
      <c r="AZ34" s="103"/>
      <c r="BA34" s="103"/>
      <c r="BB34" s="105"/>
      <c r="BC34" s="102"/>
      <c r="BD34" s="104"/>
      <c r="BE34" s="103"/>
      <c r="BF34" s="103"/>
      <c r="BG34" s="105"/>
      <c r="BH34" s="102"/>
      <c r="BI34" s="104"/>
      <c r="BJ34" s="103"/>
      <c r="BK34" s="103"/>
      <c r="BL34" s="105"/>
      <c r="BM34" s="102"/>
      <c r="BN34" s="104"/>
      <c r="BO34" s="103"/>
      <c r="BP34" s="103"/>
      <c r="BQ34" s="105"/>
      <c r="BR34" s="102"/>
      <c r="BS34" s="104"/>
      <c r="BT34" s="103"/>
      <c r="BU34" s="103"/>
      <c r="BV34" s="105"/>
      <c r="BW34" s="102"/>
      <c r="BX34" s="104"/>
      <c r="BY34" s="103"/>
      <c r="BZ34" s="103"/>
      <c r="CA34" s="105"/>
      <c r="CB34" s="102"/>
      <c r="CC34" s="104"/>
      <c r="CD34" s="103"/>
      <c r="CE34" s="103"/>
      <c r="CF34" s="103"/>
      <c r="CG34" s="798"/>
      <c r="CH34" s="103"/>
      <c r="CI34" s="103"/>
      <c r="CJ34" s="103"/>
      <c r="CK34" s="103"/>
      <c r="CL34" s="798"/>
      <c r="CM34" s="108"/>
      <c r="CN34" s="108"/>
      <c r="CO34" s="108"/>
      <c r="CP34" s="103"/>
      <c r="CQ34" s="798"/>
      <c r="CR34" s="103"/>
      <c r="CS34" s="108"/>
      <c r="CT34" s="108"/>
      <c r="CU34" s="103"/>
      <c r="CV34" s="798"/>
      <c r="CW34" s="103"/>
      <c r="CX34" s="103"/>
      <c r="CY34" s="103"/>
      <c r="CZ34" s="103"/>
      <c r="DA34" s="798"/>
      <c r="DB34" s="103"/>
      <c r="DC34" s="103"/>
      <c r="DD34" s="103"/>
      <c r="DE34" s="103"/>
      <c r="DF34" s="798"/>
      <c r="DG34" s="103"/>
      <c r="DH34" s="103"/>
      <c r="DI34" s="103"/>
      <c r="DJ34" s="103"/>
      <c r="DK34" s="826"/>
      <c r="DL34" s="103"/>
      <c r="DM34" s="103"/>
      <c r="DN34" s="103"/>
      <c r="DO34" s="103"/>
      <c r="DP34" s="1750"/>
      <c r="DQ34" s="103"/>
      <c r="DR34" s="103"/>
      <c r="DS34" s="103"/>
      <c r="DT34" s="1750"/>
      <c r="DU34" s="826"/>
      <c r="DV34" s="103"/>
      <c r="DW34" s="103"/>
      <c r="DX34" s="103"/>
      <c r="DY34" s="1750"/>
      <c r="DZ34" s="826"/>
      <c r="EA34" s="103"/>
      <c r="EB34" s="103"/>
      <c r="EC34" s="103"/>
      <c r="ED34" s="1750"/>
      <c r="EE34" s="826"/>
      <c r="EF34" s="2248"/>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row>
    <row r="35" spans="2:238" s="94" customFormat="1" ht="12.75" customHeight="1">
      <c r="B35" s="1969" t="s">
        <v>518</v>
      </c>
      <c r="C35" s="95"/>
      <c r="D35" s="96"/>
      <c r="E35" s="96"/>
      <c r="F35" s="96"/>
      <c r="G35" s="96"/>
      <c r="H35" s="96"/>
      <c r="I35" s="96"/>
      <c r="J35" s="96"/>
      <c r="K35" s="97"/>
      <c r="L35" s="98"/>
      <c r="M35" s="98"/>
      <c r="N35" s="99"/>
      <c r="O35" s="95"/>
      <c r="P35" s="97"/>
      <c r="Q35" s="98"/>
      <c r="R35" s="98"/>
      <c r="S35" s="99"/>
      <c r="T35" s="95"/>
      <c r="U35" s="97"/>
      <c r="V35" s="98"/>
      <c r="W35" s="98"/>
      <c r="X35" s="99"/>
      <c r="Y35" s="95"/>
      <c r="Z35" s="97"/>
      <c r="AA35" s="98"/>
      <c r="AB35" s="98"/>
      <c r="AC35" s="99"/>
      <c r="AD35" s="95"/>
      <c r="AE35" s="97"/>
      <c r="AF35" s="98"/>
      <c r="AG35" s="98"/>
      <c r="AH35" s="99"/>
      <c r="AI35" s="95"/>
      <c r="AJ35" s="97"/>
      <c r="AK35" s="98"/>
      <c r="AL35" s="98"/>
      <c r="AM35" s="99"/>
      <c r="AN35" s="95"/>
      <c r="AO35" s="97"/>
      <c r="AP35" s="98"/>
      <c r="AQ35" s="98"/>
      <c r="AR35" s="99"/>
      <c r="AS35" s="95"/>
      <c r="AT35" s="97"/>
      <c r="AU35" s="98"/>
      <c r="AV35" s="98"/>
      <c r="AW35" s="99"/>
      <c r="AX35" s="95"/>
      <c r="AY35" s="97"/>
      <c r="AZ35" s="98"/>
      <c r="BA35" s="98"/>
      <c r="BB35" s="99"/>
      <c r="BC35" s="95"/>
      <c r="BD35" s="97"/>
      <c r="BE35" s="98"/>
      <c r="BF35" s="98"/>
      <c r="BG35" s="99"/>
      <c r="BH35" s="95"/>
      <c r="BI35" s="97"/>
      <c r="BJ35" s="98"/>
      <c r="BK35" s="98"/>
      <c r="BL35" s="99"/>
      <c r="BM35" s="95"/>
      <c r="BN35" s="97"/>
      <c r="BO35" s="98"/>
      <c r="BP35" s="98"/>
      <c r="BQ35" s="99"/>
      <c r="BR35" s="95"/>
      <c r="BS35" s="97"/>
      <c r="BT35" s="98"/>
      <c r="BU35" s="98"/>
      <c r="BV35" s="99"/>
      <c r="BW35" s="95"/>
      <c r="BX35" s="97"/>
      <c r="BY35" s="98"/>
      <c r="BZ35" s="98"/>
      <c r="CA35" s="99"/>
      <c r="CB35" s="95"/>
      <c r="CC35" s="97"/>
      <c r="CD35" s="100"/>
      <c r="CE35" s="100"/>
      <c r="CF35" s="100"/>
      <c r="CG35" s="797"/>
      <c r="CH35" s="100"/>
      <c r="CI35" s="100"/>
      <c r="CJ35" s="100"/>
      <c r="CK35" s="100"/>
      <c r="CL35" s="797"/>
      <c r="CM35" s="100"/>
      <c r="CN35" s="100"/>
      <c r="CO35" s="100"/>
      <c r="CP35" s="100"/>
      <c r="CQ35" s="797"/>
      <c r="CR35" s="100"/>
      <c r="CS35" s="1514"/>
      <c r="CT35" s="1514"/>
      <c r="CU35" s="1514"/>
      <c r="CV35" s="797"/>
      <c r="CW35" s="1975">
        <f>CX35/1.07</f>
        <v>0.66085589736401251</v>
      </c>
      <c r="CX35" s="1976">
        <f>CY35/0.98</f>
        <v>0.70711581017949343</v>
      </c>
      <c r="CY35" s="1976">
        <v>0.69297349397590358</v>
      </c>
      <c r="CZ35" s="1976">
        <f>CY35/1.02</f>
        <v>0.67938577840774861</v>
      </c>
      <c r="DA35" s="797"/>
      <c r="DB35" s="1970">
        <f>CW35*(1+DB36)</f>
        <v>0.68068157428493292</v>
      </c>
      <c r="DC35" s="1970">
        <f>CX35*(1+DC36)</f>
        <v>0.72762216867469864</v>
      </c>
      <c r="DD35" s="1970">
        <f>DD13/AVERAGE(DD32,DD30)</f>
        <v>0.70824199912319163</v>
      </c>
      <c r="DE35" s="1970">
        <f>DE13/AVERAGE(DE32,DE30)</f>
        <v>0.74676889375684552</v>
      </c>
      <c r="DF35" s="797"/>
      <c r="DG35" s="1970">
        <f>DG13/AVERAGE(DG32,DG30)</f>
        <v>0.75524017467248905</v>
      </c>
      <c r="DH35" s="1970">
        <f>DH13/AVERAGE(DH32,DH30)</f>
        <v>0.78933623503808492</v>
      </c>
      <c r="DI35" s="1970">
        <f>DI13/AVERAGE(DI32,DI30)</f>
        <v>0.68161044613710553</v>
      </c>
      <c r="DJ35" s="1970">
        <f>DJ13/AVERAGE(DJ32,DJ30)</f>
        <v>0.64199395770392753</v>
      </c>
      <c r="DK35" s="797"/>
      <c r="DL35" s="1970">
        <f>DL13/AVERAGE(DL32,DL30)</f>
        <v>0.63297360829148408</v>
      </c>
      <c r="DM35" s="1970">
        <f>DM13/AVERAGE(DM32,DM30)</f>
        <v>0.66070096942580159</v>
      </c>
      <c r="DN35" s="1970">
        <f>DN13/AVERAGE(DN32,DN30)</f>
        <v>0.59696100308150035</v>
      </c>
      <c r="DO35" s="1970">
        <f>DO13/AVERAGE(DO32,DO30)</f>
        <v>0.62441613588110401</v>
      </c>
      <c r="DP35" s="2173"/>
      <c r="DQ35" s="1970">
        <f>DQ13/AVERAGE(DQ32,DQ30)</f>
        <v>0.65414810099724163</v>
      </c>
      <c r="DR35" s="1970">
        <f>DM35*(1+DR36)</f>
        <v>0.73772241233964642</v>
      </c>
      <c r="DS35" s="1970">
        <f>DN35*(1+DS36)</f>
        <v>0.65748625853554732</v>
      </c>
      <c r="DT35" s="1970">
        <f>DO35*(1+DT36)</f>
        <v>0.66792082761272098</v>
      </c>
      <c r="DU35" s="797"/>
      <c r="DV35" s="1970">
        <f>DQ35*(1+DV36)</f>
        <v>0.67377254402715892</v>
      </c>
      <c r="DW35" s="1970">
        <f>DR35*(1+DW36)</f>
        <v>0.75985408470983584</v>
      </c>
      <c r="DX35" s="1970">
        <f>DS35*(1+DX36)</f>
        <v>0.67721084629161377</v>
      </c>
      <c r="DY35" s="1970">
        <f>DT35*(1+DY36)</f>
        <v>0.68795845244110265</v>
      </c>
      <c r="DZ35" s="797"/>
      <c r="EA35" s="1970">
        <f>DV35*(1+EA36)</f>
        <v>0.69398572034797368</v>
      </c>
      <c r="EB35" s="1970">
        <f>DW35*(1+EB36)</f>
        <v>0.78264970725113092</v>
      </c>
      <c r="EC35" s="1970">
        <f>DX35*(1+EC36)</f>
        <v>0.69752717168036216</v>
      </c>
      <c r="ED35" s="1970">
        <f>DY35*(1+ED36)</f>
        <v>0.70859720601433573</v>
      </c>
      <c r="EE35" s="797"/>
      <c r="EF35" s="2248"/>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row>
    <row r="36" spans="2:238" ht="12.75" customHeight="1" thickBot="1">
      <c r="B36" s="2010" t="s">
        <v>589</v>
      </c>
      <c r="C36" s="1897"/>
      <c r="D36" s="1897"/>
      <c r="E36" s="1897"/>
      <c r="F36" s="1897"/>
      <c r="G36" s="1897"/>
      <c r="H36" s="1897"/>
      <c r="I36" s="1897"/>
      <c r="J36" s="1897"/>
      <c r="K36" s="1897"/>
      <c r="L36" s="1897"/>
      <c r="M36" s="1897"/>
      <c r="N36" s="1897"/>
      <c r="O36" s="1897"/>
      <c r="P36" s="1897"/>
      <c r="Q36" s="1897"/>
      <c r="R36" s="1897"/>
      <c r="S36" s="1897"/>
      <c r="T36" s="1897"/>
      <c r="U36" s="1897"/>
      <c r="V36" s="1897"/>
      <c r="W36" s="1897"/>
      <c r="X36" s="1897"/>
      <c r="Y36" s="1897"/>
      <c r="Z36" s="1897"/>
      <c r="AA36" s="1897"/>
      <c r="AB36" s="1897"/>
      <c r="AC36" s="1897"/>
      <c r="AD36" s="1897"/>
      <c r="AE36" s="1897"/>
      <c r="AF36" s="1897"/>
      <c r="AG36" s="1897"/>
      <c r="AH36" s="1897"/>
      <c r="AI36" s="1897"/>
      <c r="AJ36" s="1897"/>
      <c r="AK36" s="1897"/>
      <c r="AL36" s="1897"/>
      <c r="AM36" s="1897"/>
      <c r="AN36" s="1897"/>
      <c r="AO36" s="1897"/>
      <c r="AP36" s="1897"/>
      <c r="AQ36" s="1897"/>
      <c r="AR36" s="1897"/>
      <c r="AS36" s="1897"/>
      <c r="AT36" s="1897"/>
      <c r="AU36" s="1897"/>
      <c r="AV36" s="1897"/>
      <c r="AW36" s="1897"/>
      <c r="AX36" s="1897"/>
      <c r="AY36" s="1897"/>
      <c r="AZ36" s="1897"/>
      <c r="BA36" s="1897"/>
      <c r="BB36" s="1897"/>
      <c r="BC36" s="1897"/>
      <c r="BD36" s="1897"/>
      <c r="BE36" s="1897"/>
      <c r="BF36" s="1897"/>
      <c r="BG36" s="1897"/>
      <c r="BH36" s="1897"/>
      <c r="BI36" s="1897"/>
      <c r="BJ36" s="1897"/>
      <c r="BK36" s="1897"/>
      <c r="BL36" s="1897"/>
      <c r="BM36" s="1897"/>
      <c r="BN36" s="1897"/>
      <c r="BO36" s="1897"/>
      <c r="BP36" s="1897"/>
      <c r="BQ36" s="1897"/>
      <c r="BR36" s="1897"/>
      <c r="BS36" s="1897"/>
      <c r="BT36" s="1897"/>
      <c r="BU36" s="1897"/>
      <c r="BV36" s="1897"/>
      <c r="BW36" s="1897"/>
      <c r="BX36" s="1897"/>
      <c r="BY36" s="1897"/>
      <c r="BZ36" s="1897"/>
      <c r="CA36" s="1897"/>
      <c r="CB36" s="1897"/>
      <c r="CC36" s="1897"/>
      <c r="CD36" s="1897"/>
      <c r="CE36" s="1897"/>
      <c r="CF36" s="1897"/>
      <c r="CG36" s="1897"/>
      <c r="CH36" s="1897"/>
      <c r="CI36" s="1897"/>
      <c r="CJ36" s="1897"/>
      <c r="CK36" s="1897"/>
      <c r="CL36" s="1897"/>
      <c r="CM36" s="1897"/>
      <c r="CN36" s="1897"/>
      <c r="CO36" s="1897"/>
      <c r="CP36" s="1897"/>
      <c r="CQ36" s="1897"/>
      <c r="CR36" s="1897"/>
      <c r="CS36" s="1897"/>
      <c r="CT36" s="1897"/>
      <c r="CU36" s="1897"/>
      <c r="CV36" s="1901"/>
      <c r="CW36" s="1897"/>
      <c r="CX36" s="1982"/>
      <c r="CY36" s="1897"/>
      <c r="CZ36" s="1982"/>
      <c r="DA36" s="1901"/>
      <c r="DB36" s="2023">
        <v>0.03</v>
      </c>
      <c r="DC36" s="2023">
        <v>2.9000000000000001E-2</v>
      </c>
      <c r="DD36" s="2023">
        <v>3.2000000000000001E-2</v>
      </c>
      <c r="DE36" s="2023">
        <v>3.2000000000000001E-2</v>
      </c>
      <c r="DF36" s="2024"/>
      <c r="DG36" s="2023">
        <v>3.2000000000000001E-2</v>
      </c>
      <c r="DH36" s="2023">
        <v>3.2000000000000001E-2</v>
      </c>
      <c r="DI36" s="2023">
        <v>2E-3</v>
      </c>
      <c r="DJ36" s="2023">
        <v>2E-3</v>
      </c>
      <c r="DK36" s="2024"/>
      <c r="DL36" s="2023">
        <v>2E-3</v>
      </c>
      <c r="DM36" s="2023">
        <v>2E-3</v>
      </c>
      <c r="DN36" s="2023">
        <v>2E-3</v>
      </c>
      <c r="DO36" s="2023">
        <v>2E-3</v>
      </c>
      <c r="DP36" s="2025"/>
      <c r="DQ36" s="2385">
        <v>2E-3</v>
      </c>
      <c r="DR36" s="2023">
        <v>0.11657534418449877</v>
      </c>
      <c r="DS36" s="2023">
        <v>0.10138896032004907</v>
      </c>
      <c r="DT36" s="2023">
        <v>6.9672593694633189E-2</v>
      </c>
      <c r="DU36" s="2025"/>
      <c r="DV36" s="2023">
        <v>0.03</v>
      </c>
      <c r="DW36" s="2023">
        <v>0.03</v>
      </c>
      <c r="DX36" s="2023">
        <v>0.03</v>
      </c>
      <c r="DY36" s="2023">
        <v>0.03</v>
      </c>
      <c r="DZ36" s="2025"/>
      <c r="EA36" s="2023">
        <v>0.03</v>
      </c>
      <c r="EB36" s="2023">
        <v>0.03</v>
      </c>
      <c r="EC36" s="2023">
        <v>0.03</v>
      </c>
      <c r="ED36" s="2023">
        <v>0.03</v>
      </c>
      <c r="EE36" s="2025"/>
    </row>
    <row r="37" spans="2:238" ht="12.75" customHeight="1" thickBot="1">
      <c r="B37" s="2022"/>
      <c r="C37" s="1569"/>
      <c r="D37" s="1569"/>
      <c r="E37" s="1569"/>
      <c r="F37" s="1569"/>
      <c r="G37" s="1569"/>
      <c r="H37" s="1569"/>
      <c r="I37" s="1569"/>
      <c r="J37" s="1569"/>
      <c r="K37" s="1569"/>
      <c r="L37" s="1569"/>
      <c r="M37" s="1569"/>
      <c r="N37" s="1569"/>
      <c r="O37" s="1569"/>
      <c r="P37" s="1569"/>
      <c r="Q37" s="1569"/>
      <c r="R37" s="1569"/>
      <c r="S37" s="1569"/>
      <c r="T37" s="1569"/>
      <c r="U37" s="1569"/>
      <c r="V37" s="1569"/>
      <c r="W37" s="1569"/>
      <c r="X37" s="1569"/>
      <c r="Y37" s="1569"/>
      <c r="Z37" s="1569"/>
      <c r="AA37" s="1569"/>
      <c r="AB37" s="1569"/>
      <c r="AC37" s="1569"/>
      <c r="AD37" s="1569"/>
      <c r="AE37" s="1569"/>
      <c r="AF37" s="1569"/>
      <c r="AG37" s="1569"/>
      <c r="AH37" s="1569"/>
      <c r="AI37" s="1569"/>
      <c r="AJ37" s="1569"/>
      <c r="AK37" s="1569"/>
      <c r="AL37" s="1569"/>
      <c r="AM37" s="1569"/>
      <c r="AN37" s="1569"/>
      <c r="AO37" s="1569"/>
      <c r="AP37" s="1569"/>
      <c r="AQ37" s="1569"/>
      <c r="AR37" s="1569"/>
      <c r="AS37" s="1569"/>
      <c r="AT37" s="1569"/>
      <c r="AU37" s="1569"/>
      <c r="AV37" s="1569"/>
      <c r="AW37" s="1569"/>
      <c r="AX37" s="1569"/>
      <c r="AY37" s="1569"/>
      <c r="AZ37" s="1569"/>
      <c r="BA37" s="1569"/>
      <c r="BB37" s="1569"/>
      <c r="BC37" s="1569"/>
      <c r="BD37" s="1569"/>
      <c r="BE37" s="1569"/>
      <c r="BF37" s="1569"/>
      <c r="BG37" s="1569"/>
      <c r="BH37" s="1569"/>
      <c r="BI37" s="1569"/>
      <c r="BJ37" s="1569"/>
      <c r="BK37" s="1569"/>
      <c r="BL37" s="1569"/>
      <c r="BM37" s="1569"/>
      <c r="BN37" s="1569"/>
      <c r="BO37" s="1569"/>
      <c r="BP37" s="1569"/>
      <c r="BQ37" s="1569"/>
      <c r="BR37" s="1569"/>
      <c r="BS37" s="1569"/>
      <c r="BT37" s="1569"/>
      <c r="BU37" s="1569"/>
      <c r="BV37" s="1569"/>
      <c r="BW37" s="1569"/>
      <c r="BX37" s="1569"/>
      <c r="BY37" s="1569"/>
      <c r="BZ37" s="1569"/>
      <c r="CA37" s="1569"/>
      <c r="CB37" s="1569"/>
      <c r="CC37" s="1569"/>
      <c r="CD37" s="1569"/>
      <c r="CE37" s="1569"/>
      <c r="CF37" s="1569"/>
      <c r="CG37" s="1569"/>
      <c r="CH37" s="1569"/>
      <c r="CI37" s="1569"/>
      <c r="CJ37" s="1569"/>
      <c r="CK37" s="1569"/>
      <c r="CL37" s="1569"/>
      <c r="CM37" s="1569"/>
      <c r="CN37" s="1569"/>
      <c r="CO37" s="1569"/>
      <c r="CP37" s="1569"/>
      <c r="CQ37" s="1569"/>
      <c r="CR37" s="1569"/>
      <c r="CS37" s="1569"/>
      <c r="CT37" s="1569"/>
      <c r="CU37" s="1569"/>
      <c r="CV37" s="1569"/>
      <c r="CW37" s="1569"/>
      <c r="CX37" s="1980"/>
      <c r="CY37" s="1569"/>
      <c r="CZ37" s="1980"/>
      <c r="DA37" s="1569"/>
      <c r="DB37" s="2026"/>
      <c r="DC37" s="2026"/>
      <c r="DD37" s="2026"/>
      <c r="DE37" s="2026"/>
      <c r="DF37" s="1568"/>
      <c r="DG37" s="2026"/>
      <c r="DH37" s="2026"/>
      <c r="DI37" s="2026"/>
      <c r="DJ37" s="2026"/>
      <c r="DK37" s="1568"/>
      <c r="DL37" s="2026"/>
      <c r="DM37" s="2026"/>
      <c r="DN37" s="2026"/>
      <c r="DO37" s="2026"/>
      <c r="DP37" s="1568"/>
      <c r="DQ37" s="2026"/>
      <c r="DR37" s="2026"/>
      <c r="DS37" s="2026"/>
      <c r="DT37" s="2026"/>
      <c r="DU37" s="1568"/>
      <c r="DV37" s="2026"/>
      <c r="DW37" s="2026"/>
      <c r="DX37" s="2026"/>
      <c r="DY37" s="2026"/>
      <c r="DZ37" s="1568"/>
      <c r="EA37" s="2026"/>
      <c r="EB37" s="2026"/>
      <c r="EC37" s="2026"/>
      <c r="ED37" s="2026"/>
      <c r="EE37" s="1568"/>
    </row>
    <row r="38" spans="2:238" ht="12.75" customHeight="1" outlineLevel="1">
      <c r="B38" s="2032" t="s">
        <v>528</v>
      </c>
      <c r="C38" s="2033"/>
      <c r="D38" s="2033"/>
      <c r="E38" s="2034"/>
      <c r="F38" s="2034"/>
      <c r="G38" s="2034"/>
      <c r="H38" s="2034"/>
      <c r="I38" s="2034"/>
      <c r="J38" s="2034"/>
      <c r="K38" s="2035"/>
      <c r="L38" s="2036"/>
      <c r="M38" s="2036"/>
      <c r="N38" s="2037"/>
      <c r="O38" s="2034"/>
      <c r="P38" s="2035"/>
      <c r="Q38" s="2036"/>
      <c r="R38" s="2036"/>
      <c r="S38" s="2037"/>
      <c r="T38" s="2034"/>
      <c r="U38" s="2035"/>
      <c r="V38" s="2036"/>
      <c r="W38" s="2036"/>
      <c r="X38" s="2037"/>
      <c r="Y38" s="2034"/>
      <c r="Z38" s="2035"/>
      <c r="AA38" s="2036"/>
      <c r="AB38" s="2036"/>
      <c r="AC38" s="2037"/>
      <c r="AD38" s="2034"/>
      <c r="AE38" s="2035"/>
      <c r="AF38" s="2036"/>
      <c r="AG38" s="2036"/>
      <c r="AH38" s="2037"/>
      <c r="AI38" s="2034"/>
      <c r="AJ38" s="2035"/>
      <c r="AK38" s="2036"/>
      <c r="AL38" s="2036"/>
      <c r="AM38" s="2037"/>
      <c r="AN38" s="2034"/>
      <c r="AO38" s="2035"/>
      <c r="AP38" s="2036"/>
      <c r="AQ38" s="2036"/>
      <c r="AR38" s="2037"/>
      <c r="AS38" s="2034"/>
      <c r="AT38" s="2035"/>
      <c r="AU38" s="2036"/>
      <c r="AV38" s="2036"/>
      <c r="AW38" s="2037"/>
      <c r="AX38" s="2034"/>
      <c r="AY38" s="2035"/>
      <c r="AZ38" s="2036"/>
      <c r="BA38" s="2036"/>
      <c r="BB38" s="2037"/>
      <c r="BC38" s="2034"/>
      <c r="BD38" s="2035"/>
      <c r="BE38" s="2036"/>
      <c r="BF38" s="2036"/>
      <c r="BG38" s="2037"/>
      <c r="BH38" s="2034"/>
      <c r="BI38" s="2035"/>
      <c r="BJ38" s="2036"/>
      <c r="BK38" s="2036"/>
      <c r="BL38" s="2037"/>
      <c r="BM38" s="2034"/>
      <c r="BN38" s="2035"/>
      <c r="BO38" s="2036"/>
      <c r="BP38" s="2036"/>
      <c r="BQ38" s="2037"/>
      <c r="BR38" s="2034"/>
      <c r="BS38" s="2035"/>
      <c r="BT38" s="2036"/>
      <c r="BU38" s="2036"/>
      <c r="BV38" s="2037"/>
      <c r="BW38" s="2034"/>
      <c r="BX38" s="2035"/>
      <c r="BY38" s="2036"/>
      <c r="BZ38" s="2036"/>
      <c r="CA38" s="2037"/>
      <c r="CB38" s="2034"/>
      <c r="CC38" s="2035"/>
      <c r="CD38" s="2036"/>
      <c r="CE38" s="2036"/>
      <c r="CF38" s="2036"/>
      <c r="CG38" s="2038"/>
      <c r="CH38" s="2036"/>
      <c r="CI38" s="2039"/>
      <c r="CJ38" s="2039"/>
      <c r="CK38" s="2039"/>
      <c r="CL38" s="2038"/>
      <c r="CM38" s="2040"/>
      <c r="CN38" s="2040"/>
      <c r="CO38" s="2040"/>
      <c r="CP38" s="2040"/>
      <c r="CQ38" s="2041"/>
      <c r="CR38" s="2040"/>
      <c r="CS38" s="2042"/>
      <c r="CT38" s="2042"/>
      <c r="CU38" s="2042"/>
      <c r="CV38" s="2041"/>
      <c r="CW38" s="2040"/>
      <c r="CX38" s="2042"/>
      <c r="CY38" s="2042"/>
      <c r="CZ38" s="2042"/>
      <c r="DA38" s="2041"/>
      <c r="DB38" s="2040"/>
      <c r="DC38" s="2042"/>
      <c r="DD38" s="2042"/>
      <c r="DE38" s="2042"/>
      <c r="DF38" s="2041"/>
      <c r="DG38" s="2042"/>
      <c r="DH38" s="2042"/>
      <c r="DI38" s="2042"/>
      <c r="DJ38" s="2042"/>
      <c r="DK38" s="2043"/>
      <c r="DL38" s="2042"/>
      <c r="DM38" s="2042"/>
      <c r="DN38" s="2042"/>
      <c r="DO38" s="2042"/>
      <c r="DP38" s="2043"/>
      <c r="DQ38" s="2042"/>
      <c r="DR38" s="2042"/>
      <c r="DS38" s="2042"/>
      <c r="DT38" s="2042"/>
      <c r="DU38" s="2043"/>
      <c r="DV38" s="2042"/>
      <c r="DW38" s="2042"/>
      <c r="DX38" s="2042"/>
      <c r="DY38" s="2042"/>
      <c r="DZ38" s="2043"/>
      <c r="EA38" s="2042"/>
      <c r="EB38" s="2042"/>
      <c r="EC38" s="2042"/>
      <c r="ED38" s="2042"/>
      <c r="EE38" s="2043"/>
    </row>
    <row r="39" spans="2:238" ht="12.75" customHeight="1" outlineLevel="1">
      <c r="B39" s="2044" t="s">
        <v>529</v>
      </c>
      <c r="C39" s="1569"/>
      <c r="D39" s="1569"/>
      <c r="E39" s="1569"/>
      <c r="F39" s="1569"/>
      <c r="G39" s="1569"/>
      <c r="H39" s="1569"/>
      <c r="I39" s="1569"/>
      <c r="J39" s="1569"/>
      <c r="K39" s="1569"/>
      <c r="L39" s="1569"/>
      <c r="M39" s="1569"/>
      <c r="N39" s="1569"/>
      <c r="O39" s="1569"/>
      <c r="P39" s="1569"/>
      <c r="Q39" s="1569"/>
      <c r="R39" s="1569"/>
      <c r="S39" s="1569"/>
      <c r="T39" s="1569"/>
      <c r="U39" s="1569"/>
      <c r="V39" s="1569"/>
      <c r="W39" s="1569"/>
      <c r="X39" s="1569"/>
      <c r="Y39" s="1569"/>
      <c r="Z39" s="1569"/>
      <c r="AA39" s="1569"/>
      <c r="AB39" s="1569"/>
      <c r="AC39" s="1569"/>
      <c r="AD39" s="1569"/>
      <c r="AE39" s="1569"/>
      <c r="AF39" s="1569"/>
      <c r="AG39" s="1569"/>
      <c r="AH39" s="1569"/>
      <c r="AI39" s="1569"/>
      <c r="AJ39" s="1569"/>
      <c r="AK39" s="1569"/>
      <c r="AL39" s="1569"/>
      <c r="AM39" s="1569"/>
      <c r="AN39" s="1569"/>
      <c r="AO39" s="1569"/>
      <c r="AP39" s="1569"/>
      <c r="AQ39" s="1569"/>
      <c r="AR39" s="1569"/>
      <c r="AS39" s="1569"/>
      <c r="AT39" s="1569"/>
      <c r="AU39" s="1569"/>
      <c r="AV39" s="1569"/>
      <c r="AW39" s="1569"/>
      <c r="AX39" s="1569"/>
      <c r="AY39" s="1569"/>
      <c r="AZ39" s="1569"/>
      <c r="BA39" s="1569"/>
      <c r="BB39" s="1569"/>
      <c r="BC39" s="1569"/>
      <c r="BD39" s="1569"/>
      <c r="BE39" s="1569"/>
      <c r="BF39" s="1569"/>
      <c r="BG39" s="1569"/>
      <c r="BH39" s="1569"/>
      <c r="BI39" s="1569"/>
      <c r="BJ39" s="1569"/>
      <c r="BK39" s="1569"/>
      <c r="BL39" s="1569"/>
      <c r="BM39" s="1569"/>
      <c r="BN39" s="1569"/>
      <c r="BO39" s="1569"/>
      <c r="BP39" s="1569"/>
      <c r="BQ39" s="1569"/>
      <c r="BR39" s="1569"/>
      <c r="BS39" s="1569"/>
      <c r="BT39" s="1569"/>
      <c r="BU39" s="1569"/>
      <c r="BV39" s="1569"/>
      <c r="BW39" s="1569"/>
      <c r="BX39" s="1569"/>
      <c r="BY39" s="1569"/>
      <c r="BZ39" s="1569"/>
      <c r="CA39" s="1569"/>
      <c r="CB39" s="1569"/>
      <c r="CC39" s="1569"/>
      <c r="CD39" s="1569"/>
      <c r="CE39" s="1569"/>
      <c r="CF39" s="1569"/>
      <c r="CG39" s="1569"/>
      <c r="CH39" s="1569"/>
      <c r="CI39" s="1569"/>
      <c r="CJ39" s="1569"/>
      <c r="CK39" s="1569"/>
      <c r="CL39" s="1569"/>
      <c r="CM39" s="1569"/>
      <c r="CN39" s="1569"/>
      <c r="CO39" s="1569"/>
      <c r="CP39" s="1569"/>
      <c r="CQ39" s="1569"/>
      <c r="CR39" s="1569"/>
      <c r="CS39" s="1569"/>
      <c r="CT39" s="1569"/>
      <c r="CU39" s="1569"/>
      <c r="CV39" s="1569"/>
      <c r="CW39" s="1569"/>
      <c r="CX39" s="1980"/>
      <c r="CY39" s="1569"/>
      <c r="CZ39" s="1980"/>
      <c r="DA39" s="1900"/>
      <c r="DB39" s="2026"/>
      <c r="DC39" s="2026">
        <v>0.37</v>
      </c>
      <c r="DD39" s="2026">
        <v>0.39</v>
      </c>
      <c r="DE39" s="2026">
        <v>0.39</v>
      </c>
      <c r="DF39" s="2045"/>
      <c r="DG39" s="2131">
        <v>0.39</v>
      </c>
      <c r="DH39" s="2131">
        <v>0.39</v>
      </c>
      <c r="DI39" s="2131">
        <v>0.37</v>
      </c>
      <c r="DJ39" s="2131">
        <v>0.37</v>
      </c>
      <c r="DK39" s="2045"/>
      <c r="DL39" s="2131">
        <v>0.37</v>
      </c>
      <c r="DM39" s="2131">
        <f>1-DM40</f>
        <v>0.32099999999999995</v>
      </c>
      <c r="DN39" s="2131">
        <f>1-DN40</f>
        <v>0.32099999999999995</v>
      </c>
      <c r="DO39" s="2131">
        <f>1-DO40</f>
        <v>0.32099999999999995</v>
      </c>
      <c r="DP39" s="2045"/>
      <c r="DQ39" s="2386">
        <f>1-DQ40</f>
        <v>0.32099999999999995</v>
      </c>
      <c r="DR39" s="2026">
        <f t="shared" ref="DR39:DT40" si="36">DQ39</f>
        <v>0.32099999999999995</v>
      </c>
      <c r="DS39" s="2026">
        <f t="shared" si="36"/>
        <v>0.32099999999999995</v>
      </c>
      <c r="DT39" s="2026">
        <f t="shared" si="36"/>
        <v>0.32099999999999995</v>
      </c>
      <c r="DU39" s="2045"/>
      <c r="DV39" s="2026">
        <f>DT39</f>
        <v>0.32099999999999995</v>
      </c>
      <c r="DW39" s="2026">
        <f t="shared" ref="DW39:DW40" si="37">DV39</f>
        <v>0.32099999999999995</v>
      </c>
      <c r="DX39" s="2026">
        <f t="shared" ref="DX39:DX40" si="38">DW39</f>
        <v>0.32099999999999995</v>
      </c>
      <c r="DY39" s="2026">
        <f t="shared" ref="DY39:DY40" si="39">DX39</f>
        <v>0.32099999999999995</v>
      </c>
      <c r="DZ39" s="2045"/>
      <c r="EA39" s="2026">
        <f>DY39</f>
        <v>0.32099999999999995</v>
      </c>
      <c r="EB39" s="2026">
        <f t="shared" ref="EB39:EB40" si="40">EA39</f>
        <v>0.32099999999999995</v>
      </c>
      <c r="EC39" s="2026">
        <f t="shared" ref="EC39:EC40" si="41">EB39</f>
        <v>0.32099999999999995</v>
      </c>
      <c r="ED39" s="2026">
        <f t="shared" ref="ED39:ED40" si="42">EC39</f>
        <v>0.32099999999999995</v>
      </c>
      <c r="EE39" s="2045"/>
    </row>
    <row r="40" spans="2:238" ht="12.75" customHeight="1" outlineLevel="1">
      <c r="B40" s="2044" t="s">
        <v>530</v>
      </c>
      <c r="C40" s="1569"/>
      <c r="D40" s="1569"/>
      <c r="E40" s="1569"/>
      <c r="F40" s="1569"/>
      <c r="G40" s="1569"/>
      <c r="H40" s="1569"/>
      <c r="I40" s="1569"/>
      <c r="J40" s="1569"/>
      <c r="K40" s="1569"/>
      <c r="L40" s="1569"/>
      <c r="M40" s="1569"/>
      <c r="N40" s="1569"/>
      <c r="O40" s="1569"/>
      <c r="P40" s="1569"/>
      <c r="Q40" s="1569"/>
      <c r="R40" s="1569"/>
      <c r="S40" s="1569"/>
      <c r="T40" s="1569"/>
      <c r="U40" s="1569"/>
      <c r="V40" s="1569"/>
      <c r="W40" s="1569"/>
      <c r="X40" s="1569"/>
      <c r="Y40" s="1569"/>
      <c r="Z40" s="1569"/>
      <c r="AA40" s="1569"/>
      <c r="AB40" s="1569"/>
      <c r="AC40" s="1569"/>
      <c r="AD40" s="1569"/>
      <c r="AE40" s="1569"/>
      <c r="AF40" s="1569"/>
      <c r="AG40" s="1569"/>
      <c r="AH40" s="1569"/>
      <c r="AI40" s="1569"/>
      <c r="AJ40" s="1569"/>
      <c r="AK40" s="1569"/>
      <c r="AL40" s="1569"/>
      <c r="AM40" s="1569"/>
      <c r="AN40" s="1569"/>
      <c r="AO40" s="1569"/>
      <c r="AP40" s="1569"/>
      <c r="AQ40" s="1569"/>
      <c r="AR40" s="1569"/>
      <c r="AS40" s="1569"/>
      <c r="AT40" s="1569"/>
      <c r="AU40" s="1569"/>
      <c r="AV40" s="1569"/>
      <c r="AW40" s="1569"/>
      <c r="AX40" s="1569"/>
      <c r="AY40" s="1569"/>
      <c r="AZ40" s="1569"/>
      <c r="BA40" s="1569"/>
      <c r="BB40" s="1569"/>
      <c r="BC40" s="1569"/>
      <c r="BD40" s="1569"/>
      <c r="BE40" s="1569"/>
      <c r="BF40" s="1569"/>
      <c r="BG40" s="1569"/>
      <c r="BH40" s="1569"/>
      <c r="BI40" s="1569"/>
      <c r="BJ40" s="1569"/>
      <c r="BK40" s="1569"/>
      <c r="BL40" s="1569"/>
      <c r="BM40" s="1569"/>
      <c r="BN40" s="1569"/>
      <c r="BO40" s="1569"/>
      <c r="BP40" s="1569"/>
      <c r="BQ40" s="1569"/>
      <c r="BR40" s="1569"/>
      <c r="BS40" s="1569"/>
      <c r="BT40" s="1569"/>
      <c r="BU40" s="1569"/>
      <c r="BV40" s="1569"/>
      <c r="BW40" s="1569"/>
      <c r="BX40" s="1569"/>
      <c r="BY40" s="1569"/>
      <c r="BZ40" s="1569"/>
      <c r="CA40" s="1569"/>
      <c r="CB40" s="1569"/>
      <c r="CC40" s="1569"/>
      <c r="CD40" s="1569"/>
      <c r="CE40" s="1569"/>
      <c r="CF40" s="1569"/>
      <c r="CG40" s="1569"/>
      <c r="CH40" s="1569"/>
      <c r="CI40" s="1569"/>
      <c r="CJ40" s="1569"/>
      <c r="CK40" s="1569"/>
      <c r="CL40" s="1569"/>
      <c r="CM40" s="1569"/>
      <c r="CN40" s="1569"/>
      <c r="CO40" s="1569"/>
      <c r="CP40" s="1569"/>
      <c r="CQ40" s="1569"/>
      <c r="CR40" s="1569"/>
      <c r="CS40" s="1569"/>
      <c r="CT40" s="1569"/>
      <c r="CU40" s="1569"/>
      <c r="CV40" s="1569"/>
      <c r="CW40" s="1569"/>
      <c r="CX40" s="1980"/>
      <c r="CY40" s="1569"/>
      <c r="CZ40" s="1980"/>
      <c r="DA40" s="1900"/>
      <c r="DB40" s="2026"/>
      <c r="DC40" s="2026">
        <f>1-DC39</f>
        <v>0.63</v>
      </c>
      <c r="DD40" s="2026">
        <f>1-DD39</f>
        <v>0.61</v>
      </c>
      <c r="DE40" s="2026">
        <f>1-DE39</f>
        <v>0.61</v>
      </c>
      <c r="DF40" s="2045"/>
      <c r="DG40" s="2131">
        <f>1-DG39</f>
        <v>0.61</v>
      </c>
      <c r="DH40" s="2131">
        <f>1-DH39</f>
        <v>0.61</v>
      </c>
      <c r="DI40" s="2131">
        <f>1-DI39</f>
        <v>0.63</v>
      </c>
      <c r="DJ40" s="2131">
        <f>1-DJ39</f>
        <v>0.63</v>
      </c>
      <c r="DK40" s="2045"/>
      <c r="DL40" s="2131">
        <f>1-DL39</f>
        <v>0.63</v>
      </c>
      <c r="DM40" s="2131">
        <v>0.67900000000000005</v>
      </c>
      <c r="DN40" s="2131">
        <v>0.67900000000000005</v>
      </c>
      <c r="DO40" s="2131">
        <v>0.67900000000000005</v>
      </c>
      <c r="DP40" s="2045"/>
      <c r="DQ40" s="2386">
        <v>0.67900000000000005</v>
      </c>
      <c r="DR40" s="2026">
        <f t="shared" si="36"/>
        <v>0.67900000000000005</v>
      </c>
      <c r="DS40" s="2026">
        <f t="shared" si="36"/>
        <v>0.67900000000000005</v>
      </c>
      <c r="DT40" s="2026">
        <f t="shared" si="36"/>
        <v>0.67900000000000005</v>
      </c>
      <c r="DU40" s="2045"/>
      <c r="DV40" s="2026">
        <f>DT40</f>
        <v>0.67900000000000005</v>
      </c>
      <c r="DW40" s="2026">
        <f t="shared" si="37"/>
        <v>0.67900000000000005</v>
      </c>
      <c r="DX40" s="2026">
        <f t="shared" si="38"/>
        <v>0.67900000000000005</v>
      </c>
      <c r="DY40" s="2026">
        <f t="shared" si="39"/>
        <v>0.67900000000000005</v>
      </c>
      <c r="DZ40" s="2045"/>
      <c r="EA40" s="2026">
        <f>DY40</f>
        <v>0.67900000000000005</v>
      </c>
      <c r="EB40" s="2026">
        <f t="shared" si="40"/>
        <v>0.67900000000000005</v>
      </c>
      <c r="EC40" s="2026">
        <f t="shared" si="41"/>
        <v>0.67900000000000005</v>
      </c>
      <c r="ED40" s="2026">
        <f t="shared" si="42"/>
        <v>0.67900000000000005</v>
      </c>
      <c r="EE40" s="2045"/>
    </row>
    <row r="41" spans="2:238" ht="12.75" customHeight="1" outlineLevel="1">
      <c r="B41" s="2044"/>
      <c r="C41" s="1569"/>
      <c r="D41" s="1569"/>
      <c r="E41" s="1569"/>
      <c r="F41" s="1569"/>
      <c r="G41" s="1569"/>
      <c r="H41" s="1569"/>
      <c r="I41" s="1569"/>
      <c r="J41" s="1569"/>
      <c r="K41" s="1569"/>
      <c r="L41" s="1569"/>
      <c r="M41" s="1569"/>
      <c r="N41" s="1569"/>
      <c r="O41" s="1569"/>
      <c r="P41" s="1569"/>
      <c r="Q41" s="1569"/>
      <c r="R41" s="1569"/>
      <c r="S41" s="1569"/>
      <c r="T41" s="1569"/>
      <c r="U41" s="1569"/>
      <c r="V41" s="1569"/>
      <c r="W41" s="1569"/>
      <c r="X41" s="1569"/>
      <c r="Y41" s="1569"/>
      <c r="Z41" s="1569"/>
      <c r="AA41" s="1569"/>
      <c r="AB41" s="1569"/>
      <c r="AC41" s="1569"/>
      <c r="AD41" s="1569"/>
      <c r="AE41" s="1569"/>
      <c r="AF41" s="1569"/>
      <c r="AG41" s="1569"/>
      <c r="AH41" s="1569"/>
      <c r="AI41" s="1569"/>
      <c r="AJ41" s="1569"/>
      <c r="AK41" s="1569"/>
      <c r="AL41" s="1569"/>
      <c r="AM41" s="1569"/>
      <c r="AN41" s="1569"/>
      <c r="AO41" s="1569"/>
      <c r="AP41" s="1569"/>
      <c r="AQ41" s="1569"/>
      <c r="AR41" s="1569"/>
      <c r="AS41" s="1569"/>
      <c r="AT41" s="1569"/>
      <c r="AU41" s="1569"/>
      <c r="AV41" s="1569"/>
      <c r="AW41" s="1569"/>
      <c r="AX41" s="1569"/>
      <c r="AY41" s="1569"/>
      <c r="AZ41" s="1569"/>
      <c r="BA41" s="1569"/>
      <c r="BB41" s="1569"/>
      <c r="BC41" s="1569"/>
      <c r="BD41" s="1569"/>
      <c r="BE41" s="1569"/>
      <c r="BF41" s="1569"/>
      <c r="BG41" s="1569"/>
      <c r="BH41" s="1569"/>
      <c r="BI41" s="1569"/>
      <c r="BJ41" s="1569"/>
      <c r="BK41" s="1569"/>
      <c r="BL41" s="1569"/>
      <c r="BM41" s="1569"/>
      <c r="BN41" s="1569"/>
      <c r="BO41" s="1569"/>
      <c r="BP41" s="1569"/>
      <c r="BQ41" s="1569"/>
      <c r="BR41" s="1569"/>
      <c r="BS41" s="1569"/>
      <c r="BT41" s="1569"/>
      <c r="BU41" s="1569"/>
      <c r="BV41" s="1569"/>
      <c r="BW41" s="1569"/>
      <c r="BX41" s="1569"/>
      <c r="BY41" s="1569"/>
      <c r="BZ41" s="1569"/>
      <c r="CA41" s="1569"/>
      <c r="CB41" s="1569"/>
      <c r="CC41" s="1569"/>
      <c r="CD41" s="1569"/>
      <c r="CE41" s="1569"/>
      <c r="CF41" s="1569"/>
      <c r="CG41" s="1569"/>
      <c r="CH41" s="1569"/>
      <c r="CI41" s="1569"/>
      <c r="CJ41" s="1569"/>
      <c r="CK41" s="1569"/>
      <c r="CL41" s="1569"/>
      <c r="CM41" s="1569"/>
      <c r="CN41" s="1569"/>
      <c r="CO41" s="1569"/>
      <c r="CP41" s="1569"/>
      <c r="CQ41" s="1569"/>
      <c r="CR41" s="1569"/>
      <c r="CS41" s="1569"/>
      <c r="CT41" s="1569"/>
      <c r="CU41" s="1569"/>
      <c r="CV41" s="1569"/>
      <c r="CW41" s="1569"/>
      <c r="CX41" s="1980"/>
      <c r="CY41" s="1569"/>
      <c r="CZ41" s="1980"/>
      <c r="DA41" s="1900"/>
      <c r="DB41" s="2026"/>
      <c r="DC41" s="2026"/>
      <c r="DD41" s="2026"/>
      <c r="DE41" s="2026"/>
      <c r="DF41" s="2045"/>
      <c r="DG41" s="2026"/>
      <c r="DH41" s="2026"/>
      <c r="DI41" s="2026"/>
      <c r="DJ41" s="2026"/>
      <c r="DK41" s="2045"/>
      <c r="DL41" s="2026"/>
      <c r="DM41" s="2026"/>
      <c r="DN41" s="2026"/>
      <c r="DO41" s="2026"/>
      <c r="DP41" s="2045"/>
      <c r="DQ41" s="2026"/>
      <c r="DR41" s="2026"/>
      <c r="DS41" s="2026"/>
      <c r="DT41" s="2026"/>
      <c r="DU41" s="2045"/>
      <c r="DV41" s="2026"/>
      <c r="DW41" s="2026"/>
      <c r="DX41" s="2026"/>
      <c r="DY41" s="2026"/>
      <c r="DZ41" s="2045"/>
      <c r="EA41" s="2026"/>
      <c r="EB41" s="2026"/>
      <c r="EC41" s="2026"/>
      <c r="ED41" s="2026"/>
      <c r="EE41" s="2045"/>
      <c r="EF41" s="2159"/>
    </row>
    <row r="42" spans="2:238" ht="12.75" customHeight="1" outlineLevel="1">
      <c r="B42" s="2044" t="s">
        <v>531</v>
      </c>
      <c r="C42" s="1569"/>
      <c r="D42" s="1569"/>
      <c r="E42" s="1569"/>
      <c r="F42" s="1569"/>
      <c r="G42" s="1569"/>
      <c r="H42" s="1569"/>
      <c r="I42" s="1569"/>
      <c r="J42" s="1569"/>
      <c r="K42" s="1569"/>
      <c r="L42" s="1569"/>
      <c r="M42" s="1569"/>
      <c r="N42" s="1569"/>
      <c r="O42" s="1569"/>
      <c r="P42" s="1569"/>
      <c r="Q42" s="1569"/>
      <c r="R42" s="1569"/>
      <c r="S42" s="1569"/>
      <c r="T42" s="1569"/>
      <c r="U42" s="1569"/>
      <c r="V42" s="1569"/>
      <c r="W42" s="1569"/>
      <c r="X42" s="1569"/>
      <c r="Y42" s="1569"/>
      <c r="Z42" s="1569"/>
      <c r="AA42" s="1569"/>
      <c r="AB42" s="1569"/>
      <c r="AC42" s="1569"/>
      <c r="AD42" s="1569"/>
      <c r="AE42" s="1569"/>
      <c r="AF42" s="1569"/>
      <c r="AG42" s="1569"/>
      <c r="AH42" s="1569"/>
      <c r="AI42" s="1569"/>
      <c r="AJ42" s="1569"/>
      <c r="AK42" s="1569"/>
      <c r="AL42" s="1569"/>
      <c r="AM42" s="1569"/>
      <c r="AN42" s="1569"/>
      <c r="AO42" s="1569"/>
      <c r="AP42" s="1569"/>
      <c r="AQ42" s="1569"/>
      <c r="AR42" s="1569"/>
      <c r="AS42" s="1569"/>
      <c r="AT42" s="1569"/>
      <c r="AU42" s="1569"/>
      <c r="AV42" s="1569"/>
      <c r="AW42" s="1569"/>
      <c r="AX42" s="1569"/>
      <c r="AY42" s="1569"/>
      <c r="AZ42" s="1569"/>
      <c r="BA42" s="1569"/>
      <c r="BB42" s="1569"/>
      <c r="BC42" s="1569"/>
      <c r="BD42" s="1569"/>
      <c r="BE42" s="1569"/>
      <c r="BF42" s="1569"/>
      <c r="BG42" s="1569"/>
      <c r="BH42" s="1569"/>
      <c r="BI42" s="1569"/>
      <c r="BJ42" s="1569"/>
      <c r="BK42" s="1569"/>
      <c r="BL42" s="1569"/>
      <c r="BM42" s="1569"/>
      <c r="BN42" s="1569"/>
      <c r="BO42" s="1569"/>
      <c r="BP42" s="1569"/>
      <c r="BQ42" s="1569"/>
      <c r="BR42" s="1569"/>
      <c r="BS42" s="1569"/>
      <c r="BT42" s="1569"/>
      <c r="BU42" s="1569"/>
      <c r="BV42" s="1569"/>
      <c r="BW42" s="1569"/>
      <c r="BX42" s="1569"/>
      <c r="BY42" s="1569"/>
      <c r="BZ42" s="1569"/>
      <c r="CA42" s="1569"/>
      <c r="CB42" s="1569"/>
      <c r="CC42" s="1569"/>
      <c r="CD42" s="1569"/>
      <c r="CE42" s="1569"/>
      <c r="CF42" s="1569"/>
      <c r="CG42" s="1569"/>
      <c r="CH42" s="1569"/>
      <c r="CI42" s="1569"/>
      <c r="CJ42" s="1569"/>
      <c r="CK42" s="1569"/>
      <c r="CL42" s="1569"/>
      <c r="CM42" s="1569"/>
      <c r="CN42" s="1569"/>
      <c r="CO42" s="1569"/>
      <c r="CP42" s="1569"/>
      <c r="CQ42" s="1569"/>
      <c r="CR42" s="1569"/>
      <c r="CS42" s="1569"/>
      <c r="CT42" s="1569"/>
      <c r="CU42" s="1569"/>
      <c r="CV42" s="1569"/>
      <c r="CW42" s="1569"/>
      <c r="CX42" s="1980"/>
      <c r="CY42" s="1569"/>
      <c r="CZ42" s="1980"/>
      <c r="DA42" s="1900"/>
      <c r="DB42" s="2026"/>
      <c r="DC42" s="2026"/>
      <c r="DD42" s="2026"/>
      <c r="DE42" s="2026"/>
      <c r="DF42" s="2045"/>
      <c r="DG42" s="2026"/>
      <c r="DH42" s="2026"/>
      <c r="DI42" s="2026"/>
      <c r="DJ42" s="2026"/>
      <c r="DK42" s="2045"/>
      <c r="DL42" s="2026"/>
      <c r="DM42" s="2026"/>
      <c r="DN42" s="2026"/>
      <c r="DO42" s="2026"/>
      <c r="DP42" s="2045"/>
      <c r="DQ42" s="2026"/>
      <c r="DR42" s="2026"/>
      <c r="DS42" s="2026"/>
      <c r="DT42" s="2026"/>
      <c r="DU42" s="2045"/>
      <c r="DV42" s="2026"/>
      <c r="DW42" s="2026"/>
      <c r="DX42" s="2026"/>
      <c r="DY42" s="2026"/>
      <c r="DZ42" s="2045"/>
      <c r="EA42" s="2026"/>
      <c r="EB42" s="2026"/>
      <c r="EC42" s="2026"/>
      <c r="ED42" s="2026"/>
      <c r="EE42" s="2045"/>
      <c r="EF42" s="1607"/>
      <c r="EG42" s="1607"/>
    </row>
    <row r="43" spans="2:238" ht="12.75" customHeight="1" outlineLevel="1">
      <c r="B43" s="2044" t="s">
        <v>532</v>
      </c>
      <c r="C43" s="1569"/>
      <c r="D43" s="1569"/>
      <c r="E43" s="1569"/>
      <c r="F43" s="1569"/>
      <c r="G43" s="1569"/>
      <c r="H43" s="1569"/>
      <c r="I43" s="1569"/>
      <c r="J43" s="1569"/>
      <c r="K43" s="1569"/>
      <c r="L43" s="1569"/>
      <c r="M43" s="1569"/>
      <c r="N43" s="1569"/>
      <c r="O43" s="1569"/>
      <c r="P43" s="1569"/>
      <c r="Q43" s="1569"/>
      <c r="R43" s="1569"/>
      <c r="S43" s="1569"/>
      <c r="T43" s="1569"/>
      <c r="U43" s="1569"/>
      <c r="V43" s="1569"/>
      <c r="W43" s="1569"/>
      <c r="X43" s="1569"/>
      <c r="Y43" s="1569"/>
      <c r="Z43" s="1569"/>
      <c r="AA43" s="1569"/>
      <c r="AB43" s="1569"/>
      <c r="AC43" s="1569"/>
      <c r="AD43" s="1569"/>
      <c r="AE43" s="1569"/>
      <c r="AF43" s="1569"/>
      <c r="AG43" s="1569"/>
      <c r="AH43" s="1569"/>
      <c r="AI43" s="1569"/>
      <c r="AJ43" s="1569"/>
      <c r="AK43" s="1569"/>
      <c r="AL43" s="1569"/>
      <c r="AM43" s="1569"/>
      <c r="AN43" s="1569"/>
      <c r="AO43" s="1569"/>
      <c r="AP43" s="1569"/>
      <c r="AQ43" s="1569"/>
      <c r="AR43" s="1569"/>
      <c r="AS43" s="1569"/>
      <c r="AT43" s="1569"/>
      <c r="AU43" s="1569"/>
      <c r="AV43" s="1569"/>
      <c r="AW43" s="1569"/>
      <c r="AX43" s="1569"/>
      <c r="AY43" s="1569"/>
      <c r="AZ43" s="1569"/>
      <c r="BA43" s="1569"/>
      <c r="BB43" s="1569"/>
      <c r="BC43" s="1569"/>
      <c r="BD43" s="1569"/>
      <c r="BE43" s="1569"/>
      <c r="BF43" s="1569"/>
      <c r="BG43" s="1569"/>
      <c r="BH43" s="1569"/>
      <c r="BI43" s="1569"/>
      <c r="BJ43" s="1569"/>
      <c r="BK43" s="1569"/>
      <c r="BL43" s="1569"/>
      <c r="BM43" s="1569"/>
      <c r="BN43" s="1569"/>
      <c r="BO43" s="1569"/>
      <c r="BP43" s="1569"/>
      <c r="BQ43" s="1569"/>
      <c r="BR43" s="1569"/>
      <c r="BS43" s="1569"/>
      <c r="BT43" s="1569"/>
      <c r="BU43" s="1569"/>
      <c r="BV43" s="1569"/>
      <c r="BW43" s="1569"/>
      <c r="BX43" s="1569"/>
      <c r="BY43" s="1569"/>
      <c r="BZ43" s="1569"/>
      <c r="CA43" s="1569"/>
      <c r="CB43" s="1569"/>
      <c r="CC43" s="1569"/>
      <c r="CD43" s="1569"/>
      <c r="CE43" s="1569"/>
      <c r="CF43" s="1569"/>
      <c r="CG43" s="1569"/>
      <c r="CH43" s="1569"/>
      <c r="CI43" s="1569"/>
      <c r="CJ43" s="1569"/>
      <c r="CK43" s="1569"/>
      <c r="CL43" s="1569"/>
      <c r="CM43" s="1569"/>
      <c r="CN43" s="1569"/>
      <c r="CO43" s="1569"/>
      <c r="CP43" s="1569"/>
      <c r="CQ43" s="1569"/>
      <c r="CR43" s="1569"/>
      <c r="CS43" s="1569"/>
      <c r="CT43" s="1569"/>
      <c r="CU43" s="1569"/>
      <c r="CV43" s="1569"/>
      <c r="CW43" s="1569"/>
      <c r="CX43" s="1980"/>
      <c r="CY43" s="1569"/>
      <c r="CZ43" s="1980"/>
      <c r="DA43" s="1900"/>
      <c r="DB43" s="2026"/>
      <c r="DC43" s="2026"/>
      <c r="DD43" s="2026"/>
      <c r="DE43" s="2026"/>
      <c r="DF43" s="2045"/>
      <c r="DG43" s="2026"/>
      <c r="DH43" s="2026"/>
      <c r="DI43" s="2026"/>
      <c r="DJ43" s="2026"/>
      <c r="DK43" s="2045"/>
      <c r="DL43" s="2026"/>
      <c r="DM43" s="2026"/>
      <c r="DN43" s="2026"/>
      <c r="DO43" s="2026"/>
      <c r="DP43" s="2045"/>
      <c r="DQ43" s="2026"/>
      <c r="DR43" s="2026"/>
      <c r="DS43" s="2026"/>
      <c r="DT43" s="2026"/>
      <c r="DU43" s="2045"/>
      <c r="DV43" s="2026"/>
      <c r="DW43" s="2026"/>
      <c r="DX43" s="2026"/>
      <c r="DY43" s="2026"/>
      <c r="DZ43" s="2045"/>
      <c r="EA43" s="2026"/>
      <c r="EB43" s="2026"/>
      <c r="EC43" s="2026"/>
      <c r="ED43" s="2026"/>
      <c r="EE43" s="2045"/>
    </row>
    <row r="44" spans="2:238" ht="12.75" customHeight="1" outlineLevel="1">
      <c r="B44" s="2044"/>
      <c r="C44" s="1569"/>
      <c r="D44" s="1569"/>
      <c r="E44" s="1569"/>
      <c r="F44" s="1569"/>
      <c r="G44" s="1569"/>
      <c r="H44" s="1569"/>
      <c r="I44" s="1569"/>
      <c r="J44" s="1569"/>
      <c r="K44" s="1569"/>
      <c r="L44" s="1569"/>
      <c r="M44" s="1569"/>
      <c r="N44" s="1569"/>
      <c r="O44" s="1569"/>
      <c r="P44" s="1569"/>
      <c r="Q44" s="1569"/>
      <c r="R44" s="1569"/>
      <c r="S44" s="1569"/>
      <c r="T44" s="1569"/>
      <c r="U44" s="1569"/>
      <c r="V44" s="1569"/>
      <c r="W44" s="1569"/>
      <c r="X44" s="1569"/>
      <c r="Y44" s="1569"/>
      <c r="Z44" s="1569"/>
      <c r="AA44" s="1569"/>
      <c r="AB44" s="1569"/>
      <c r="AC44" s="1569"/>
      <c r="AD44" s="1569"/>
      <c r="AE44" s="1569"/>
      <c r="AF44" s="1569"/>
      <c r="AG44" s="1569"/>
      <c r="AH44" s="1569"/>
      <c r="AI44" s="1569"/>
      <c r="AJ44" s="1569"/>
      <c r="AK44" s="1569"/>
      <c r="AL44" s="1569"/>
      <c r="AM44" s="1569"/>
      <c r="AN44" s="1569"/>
      <c r="AO44" s="1569"/>
      <c r="AP44" s="1569"/>
      <c r="AQ44" s="1569"/>
      <c r="AR44" s="1569"/>
      <c r="AS44" s="1569"/>
      <c r="AT44" s="1569"/>
      <c r="AU44" s="1569"/>
      <c r="AV44" s="1569"/>
      <c r="AW44" s="1569"/>
      <c r="AX44" s="1569"/>
      <c r="AY44" s="1569"/>
      <c r="AZ44" s="1569"/>
      <c r="BA44" s="1569"/>
      <c r="BB44" s="1569"/>
      <c r="BC44" s="1569"/>
      <c r="BD44" s="1569"/>
      <c r="BE44" s="1569"/>
      <c r="BF44" s="1569"/>
      <c r="BG44" s="1569"/>
      <c r="BH44" s="1569"/>
      <c r="BI44" s="1569"/>
      <c r="BJ44" s="1569"/>
      <c r="BK44" s="1569"/>
      <c r="BL44" s="1569"/>
      <c r="BM44" s="1569"/>
      <c r="BN44" s="1569"/>
      <c r="BO44" s="1569"/>
      <c r="BP44" s="1569"/>
      <c r="BQ44" s="1569"/>
      <c r="BR44" s="1569"/>
      <c r="BS44" s="1569"/>
      <c r="BT44" s="1569"/>
      <c r="BU44" s="1569"/>
      <c r="BV44" s="1569"/>
      <c r="BW44" s="1569"/>
      <c r="BX44" s="1569"/>
      <c r="BY44" s="1569"/>
      <c r="BZ44" s="1569"/>
      <c r="CA44" s="1569"/>
      <c r="CB44" s="1569"/>
      <c r="CC44" s="1569"/>
      <c r="CD44" s="1569"/>
      <c r="CE44" s="1569"/>
      <c r="CF44" s="1569"/>
      <c r="CG44" s="1569"/>
      <c r="CH44" s="1569"/>
      <c r="CI44" s="1569"/>
      <c r="CJ44" s="1569"/>
      <c r="CK44" s="1569"/>
      <c r="CL44" s="1569"/>
      <c r="CM44" s="1569"/>
      <c r="CN44" s="1569"/>
      <c r="CO44" s="1569"/>
      <c r="CP44" s="1569"/>
      <c r="CQ44" s="1569"/>
      <c r="CR44" s="1569"/>
      <c r="CS44" s="1569"/>
      <c r="CT44" s="1569"/>
      <c r="CU44" s="1569"/>
      <c r="CV44" s="1569"/>
      <c r="CW44" s="1569"/>
      <c r="CX44" s="1980"/>
      <c r="CY44" s="1569"/>
      <c r="CZ44" s="1980"/>
      <c r="DA44" s="1900"/>
      <c r="DB44" s="2026"/>
      <c r="DC44" s="2026"/>
      <c r="DD44" s="2026"/>
      <c r="DE44" s="2026"/>
      <c r="DF44" s="2045"/>
      <c r="DG44" s="2026"/>
      <c r="DH44" s="2026"/>
      <c r="DI44" s="2026"/>
      <c r="DJ44" s="2026"/>
      <c r="DK44" s="2045"/>
      <c r="DL44" s="2026"/>
      <c r="DM44" s="2026"/>
      <c r="DN44" s="2026"/>
      <c r="DO44" s="2026"/>
      <c r="DP44" s="2045"/>
      <c r="DQ44" s="2026"/>
      <c r="DR44" s="2026"/>
      <c r="DS44" s="2026"/>
      <c r="DT44" s="2026"/>
      <c r="DU44" s="2045"/>
      <c r="DV44" s="2026"/>
      <c r="DW44" s="2026"/>
      <c r="DX44" s="2026"/>
      <c r="DY44" s="2026"/>
      <c r="DZ44" s="2045"/>
      <c r="EA44" s="2026"/>
      <c r="EB44" s="2026"/>
      <c r="EC44" s="2026"/>
      <c r="ED44" s="2026"/>
      <c r="EE44" s="2045"/>
    </row>
    <row r="45" spans="2:238" ht="12.75" customHeight="1" outlineLevel="1">
      <c r="B45" s="2044" t="s">
        <v>533</v>
      </c>
      <c r="C45" s="1569"/>
      <c r="D45" s="1569"/>
      <c r="E45" s="1569"/>
      <c r="F45" s="1569"/>
      <c r="G45" s="1569"/>
      <c r="H45" s="1569"/>
      <c r="I45" s="1569"/>
      <c r="J45" s="1569"/>
      <c r="K45" s="1569"/>
      <c r="L45" s="1569"/>
      <c r="M45" s="1569"/>
      <c r="N45" s="1569"/>
      <c r="O45" s="1569"/>
      <c r="P45" s="1569"/>
      <c r="Q45" s="1569"/>
      <c r="R45" s="1569"/>
      <c r="S45" s="1569"/>
      <c r="T45" s="1569"/>
      <c r="U45" s="1569"/>
      <c r="V45" s="1569"/>
      <c r="W45" s="1569"/>
      <c r="X45" s="1569"/>
      <c r="Y45" s="1569"/>
      <c r="Z45" s="1569"/>
      <c r="AA45" s="1569"/>
      <c r="AB45" s="1569"/>
      <c r="AC45" s="1569"/>
      <c r="AD45" s="1569"/>
      <c r="AE45" s="1569"/>
      <c r="AF45" s="1569"/>
      <c r="AG45" s="1569"/>
      <c r="AH45" s="1569"/>
      <c r="AI45" s="1569"/>
      <c r="AJ45" s="1569"/>
      <c r="AK45" s="1569"/>
      <c r="AL45" s="1569"/>
      <c r="AM45" s="1569"/>
      <c r="AN45" s="1569"/>
      <c r="AO45" s="1569"/>
      <c r="AP45" s="1569"/>
      <c r="AQ45" s="1569"/>
      <c r="AR45" s="1569"/>
      <c r="AS45" s="1569"/>
      <c r="AT45" s="1569"/>
      <c r="AU45" s="1569"/>
      <c r="AV45" s="1569"/>
      <c r="AW45" s="1569"/>
      <c r="AX45" s="1569"/>
      <c r="AY45" s="1569"/>
      <c r="AZ45" s="1569"/>
      <c r="BA45" s="1569"/>
      <c r="BB45" s="1569"/>
      <c r="BC45" s="1569"/>
      <c r="BD45" s="1569"/>
      <c r="BE45" s="1569"/>
      <c r="BF45" s="1569"/>
      <c r="BG45" s="1569"/>
      <c r="BH45" s="1569"/>
      <c r="BI45" s="1569"/>
      <c r="BJ45" s="1569"/>
      <c r="BK45" s="1569"/>
      <c r="BL45" s="1569"/>
      <c r="BM45" s="1569"/>
      <c r="BN45" s="1569"/>
      <c r="BO45" s="1569"/>
      <c r="BP45" s="1569"/>
      <c r="BQ45" s="1569"/>
      <c r="BR45" s="1569"/>
      <c r="BS45" s="1569"/>
      <c r="BT45" s="1569"/>
      <c r="BU45" s="1569"/>
      <c r="BV45" s="1569"/>
      <c r="BW45" s="1569"/>
      <c r="BX45" s="1569"/>
      <c r="BY45" s="1569"/>
      <c r="BZ45" s="1569"/>
      <c r="CA45" s="1569"/>
      <c r="CB45" s="1569"/>
      <c r="CC45" s="1569"/>
      <c r="CD45" s="1569"/>
      <c r="CE45" s="1569"/>
      <c r="CF45" s="1569"/>
      <c r="CG45" s="1569"/>
      <c r="CH45" s="1569"/>
      <c r="CI45" s="1569"/>
      <c r="CJ45" s="1569"/>
      <c r="CK45" s="1569"/>
      <c r="CL45" s="1569"/>
      <c r="CM45" s="1569"/>
      <c r="CN45" s="1569"/>
      <c r="CO45" s="1569"/>
      <c r="CP45" s="1569"/>
      <c r="CQ45" s="1569"/>
      <c r="CR45" s="1569"/>
      <c r="CS45" s="1569"/>
      <c r="CT45" s="1569"/>
      <c r="CU45" s="1569"/>
      <c r="CV45" s="1569"/>
      <c r="CW45" s="1569"/>
      <c r="CX45" s="1980"/>
      <c r="CY45" s="1569"/>
      <c r="CZ45" s="1980"/>
      <c r="DA45" s="1900"/>
      <c r="DB45" s="2026"/>
      <c r="DC45" s="2026"/>
      <c r="DD45" s="2026"/>
      <c r="DE45" s="2026"/>
      <c r="DF45" s="2045"/>
      <c r="DG45" s="2026"/>
      <c r="DH45" s="2026"/>
      <c r="DI45" s="2026"/>
      <c r="DJ45" s="2026"/>
      <c r="DK45" s="2045"/>
      <c r="DL45" s="2026"/>
      <c r="DM45" s="2026"/>
      <c r="DN45" s="2026"/>
      <c r="DO45" s="2026"/>
      <c r="DP45" s="2045"/>
      <c r="DQ45" s="2026"/>
      <c r="DR45" s="2026"/>
      <c r="DS45" s="2026"/>
      <c r="DT45" s="2026"/>
      <c r="DU45" s="2045"/>
      <c r="DV45" s="2026"/>
      <c r="DW45" s="2026"/>
      <c r="DX45" s="2026"/>
      <c r="DY45" s="2026"/>
      <c r="DZ45" s="2045"/>
      <c r="EA45" s="2026"/>
      <c r="EB45" s="2026"/>
      <c r="EC45" s="2026"/>
      <c r="ED45" s="2026"/>
      <c r="EE45" s="2045"/>
    </row>
    <row r="46" spans="2:238" ht="12.75" customHeight="1" outlineLevel="1" thickBot="1">
      <c r="B46" s="2010" t="s">
        <v>534</v>
      </c>
      <c r="C46" s="1897"/>
      <c r="D46" s="1897"/>
      <c r="E46" s="1897"/>
      <c r="F46" s="1897"/>
      <c r="G46" s="1897"/>
      <c r="H46" s="1897"/>
      <c r="I46" s="1897"/>
      <c r="J46" s="1897"/>
      <c r="K46" s="1897"/>
      <c r="L46" s="1897"/>
      <c r="M46" s="1897"/>
      <c r="N46" s="1897"/>
      <c r="O46" s="1897"/>
      <c r="P46" s="1897"/>
      <c r="Q46" s="1897"/>
      <c r="R46" s="1897"/>
      <c r="S46" s="1897"/>
      <c r="T46" s="1897"/>
      <c r="U46" s="1897"/>
      <c r="V46" s="1897"/>
      <c r="W46" s="1897"/>
      <c r="X46" s="1897"/>
      <c r="Y46" s="1897"/>
      <c r="Z46" s="1897"/>
      <c r="AA46" s="1897"/>
      <c r="AB46" s="1897"/>
      <c r="AC46" s="1897"/>
      <c r="AD46" s="1897"/>
      <c r="AE46" s="1897"/>
      <c r="AF46" s="1897"/>
      <c r="AG46" s="1897"/>
      <c r="AH46" s="1897"/>
      <c r="AI46" s="1897"/>
      <c r="AJ46" s="1897"/>
      <c r="AK46" s="1897"/>
      <c r="AL46" s="1897"/>
      <c r="AM46" s="1897"/>
      <c r="AN46" s="1897"/>
      <c r="AO46" s="1897"/>
      <c r="AP46" s="1897"/>
      <c r="AQ46" s="1897"/>
      <c r="AR46" s="1897"/>
      <c r="AS46" s="1897"/>
      <c r="AT46" s="1897"/>
      <c r="AU46" s="1897"/>
      <c r="AV46" s="1897"/>
      <c r="AW46" s="1897"/>
      <c r="AX46" s="1897"/>
      <c r="AY46" s="1897"/>
      <c r="AZ46" s="1897"/>
      <c r="BA46" s="1897"/>
      <c r="BB46" s="1897"/>
      <c r="BC46" s="1897"/>
      <c r="BD46" s="1897"/>
      <c r="BE46" s="1897"/>
      <c r="BF46" s="1897"/>
      <c r="BG46" s="1897"/>
      <c r="BH46" s="1897"/>
      <c r="BI46" s="1897"/>
      <c r="BJ46" s="1897"/>
      <c r="BK46" s="1897"/>
      <c r="BL46" s="1897"/>
      <c r="BM46" s="1897"/>
      <c r="BN46" s="1897"/>
      <c r="BO46" s="1897"/>
      <c r="BP46" s="1897"/>
      <c r="BQ46" s="1897"/>
      <c r="BR46" s="1897"/>
      <c r="BS46" s="1897"/>
      <c r="BT46" s="1897"/>
      <c r="BU46" s="1897"/>
      <c r="BV46" s="1897"/>
      <c r="BW46" s="1897"/>
      <c r="BX46" s="1897"/>
      <c r="BY46" s="1897"/>
      <c r="BZ46" s="1897"/>
      <c r="CA46" s="1897"/>
      <c r="CB46" s="1897"/>
      <c r="CC46" s="1897"/>
      <c r="CD46" s="1897"/>
      <c r="CE46" s="1897"/>
      <c r="CF46" s="1897"/>
      <c r="CG46" s="1897"/>
      <c r="CH46" s="1897"/>
      <c r="CI46" s="1897"/>
      <c r="CJ46" s="1897"/>
      <c r="CK46" s="1897"/>
      <c r="CL46" s="1897"/>
      <c r="CM46" s="1897"/>
      <c r="CN46" s="1897"/>
      <c r="CO46" s="1897"/>
      <c r="CP46" s="1897"/>
      <c r="CQ46" s="1897"/>
      <c r="CR46" s="1897"/>
      <c r="CS46" s="1897"/>
      <c r="CT46" s="1897"/>
      <c r="CU46" s="1897"/>
      <c r="CV46" s="1897"/>
      <c r="CW46" s="1897"/>
      <c r="CX46" s="1982"/>
      <c r="CY46" s="1897"/>
      <c r="CZ46" s="1982"/>
      <c r="DA46" s="1901"/>
      <c r="DB46" s="2023"/>
      <c r="DC46" s="2023"/>
      <c r="DD46" s="2023"/>
      <c r="DE46" s="2023"/>
      <c r="DF46" s="2024"/>
      <c r="DG46" s="2023"/>
      <c r="DH46" s="2023"/>
      <c r="DI46" s="2023"/>
      <c r="DJ46" s="2023"/>
      <c r="DK46" s="2024"/>
      <c r="DL46" s="2023"/>
      <c r="DM46" s="2023"/>
      <c r="DN46" s="2023"/>
      <c r="DO46" s="2023"/>
      <c r="DP46" s="2024"/>
      <c r="DQ46" s="2023"/>
      <c r="DR46" s="2023"/>
      <c r="DS46" s="2023"/>
      <c r="DT46" s="2023"/>
      <c r="DU46" s="2024"/>
      <c r="DV46" s="2023"/>
      <c r="DW46" s="2023"/>
      <c r="DX46" s="2023"/>
      <c r="DY46" s="2023"/>
      <c r="DZ46" s="2024"/>
      <c r="EA46" s="2023"/>
      <c r="EB46" s="2023"/>
      <c r="EC46" s="2023"/>
      <c r="ED46" s="2023"/>
      <c r="EE46" s="2024"/>
    </row>
    <row r="47" spans="2:238" ht="12.75" customHeight="1" outlineLevel="1">
      <c r="DG47" s="2125"/>
      <c r="DH47" s="2147"/>
      <c r="DI47" s="2155"/>
      <c r="DJ47" s="2162"/>
      <c r="DL47" s="2177"/>
      <c r="DN47" s="2206"/>
      <c r="DO47" s="2249"/>
      <c r="DQ47" s="2338"/>
      <c r="DR47">
        <v>249.07526535863644</v>
      </c>
      <c r="DS47">
        <v>185.4672786262565</v>
      </c>
      <c r="DT47">
        <v>98.668936697105522</v>
      </c>
    </row>
    <row r="48" spans="2:238" ht="12.75" customHeight="1" outlineLevel="1" thickBot="1">
      <c r="DG48" s="2125"/>
      <c r="DH48" s="2147"/>
      <c r="DI48" s="2155"/>
      <c r="DJ48" s="2162"/>
      <c r="DL48" s="2177"/>
      <c r="DN48" s="2206"/>
      <c r="DO48" s="2249"/>
      <c r="DQ48" s="2338"/>
      <c r="DR48" s="2249"/>
      <c r="DS48" s="2249"/>
      <c r="DT48" s="2249"/>
      <c r="DU48" s="1689"/>
      <c r="DV48" s="1689"/>
      <c r="DW48" s="1689"/>
      <c r="DX48" s="1689"/>
    </row>
    <row r="49" spans="1:238" s="93" customFormat="1" ht="12.75" customHeight="1" thickBot="1">
      <c r="B49" s="1983" t="s">
        <v>521</v>
      </c>
      <c r="C49" s="1984"/>
      <c r="D49" s="1984"/>
      <c r="E49" s="1985"/>
      <c r="F49" s="1985"/>
      <c r="G49" s="1985"/>
      <c r="H49" s="1985"/>
      <c r="I49" s="1985"/>
      <c r="J49" s="1985"/>
      <c r="K49" s="1986"/>
      <c r="L49" s="1986"/>
      <c r="M49" s="1986"/>
      <c r="N49" s="1986"/>
      <c r="O49" s="1985"/>
      <c r="P49" s="1986"/>
      <c r="Q49" s="1986"/>
      <c r="R49" s="1986"/>
      <c r="S49" s="1986"/>
      <c r="T49" s="1985"/>
      <c r="U49" s="1986"/>
      <c r="V49" s="1986"/>
      <c r="W49" s="1986"/>
      <c r="X49" s="1986"/>
      <c r="Y49" s="1985"/>
      <c r="Z49" s="1986"/>
      <c r="AA49" s="1986"/>
      <c r="AB49" s="1986"/>
      <c r="AC49" s="1986"/>
      <c r="AD49" s="1985"/>
      <c r="AE49" s="1986"/>
      <c r="AF49" s="1986"/>
      <c r="AG49" s="1986"/>
      <c r="AH49" s="1986"/>
      <c r="AI49" s="1985"/>
      <c r="AJ49" s="1986"/>
      <c r="AK49" s="1986"/>
      <c r="AL49" s="1986"/>
      <c r="AM49" s="1986"/>
      <c r="AN49" s="1985"/>
      <c r="AO49" s="1986"/>
      <c r="AP49" s="1986"/>
      <c r="AQ49" s="1986"/>
      <c r="AR49" s="1986"/>
      <c r="AS49" s="1985"/>
      <c r="AT49" s="1986"/>
      <c r="AU49" s="1986"/>
      <c r="AV49" s="1986"/>
      <c r="AW49" s="1986"/>
      <c r="AX49" s="1985"/>
      <c r="AY49" s="1986"/>
      <c r="AZ49" s="1986"/>
      <c r="BA49" s="1986"/>
      <c r="BB49" s="1986"/>
      <c r="BC49" s="1985"/>
      <c r="BD49" s="1986"/>
      <c r="BE49" s="1986"/>
      <c r="BF49" s="1986"/>
      <c r="BG49" s="1986"/>
      <c r="BH49" s="1985"/>
      <c r="BI49" s="1986"/>
      <c r="BJ49" s="1986"/>
      <c r="BK49" s="1986"/>
      <c r="BL49" s="1986"/>
      <c r="BM49" s="1985"/>
      <c r="BN49" s="1986"/>
      <c r="BO49" s="1986"/>
      <c r="BP49" s="1986"/>
      <c r="BQ49" s="1986"/>
      <c r="BR49" s="1985"/>
      <c r="BS49" s="1986"/>
      <c r="BT49" s="1986"/>
      <c r="BU49" s="1986"/>
      <c r="BV49" s="1986"/>
      <c r="BW49" s="1985"/>
      <c r="BX49" s="1986"/>
      <c r="BY49" s="1986"/>
      <c r="BZ49" s="1986"/>
      <c r="CA49" s="1986"/>
      <c r="CB49" s="1985"/>
      <c r="CC49" s="1986"/>
      <c r="CD49" s="1986"/>
      <c r="CE49" s="1986"/>
      <c r="CF49" s="1986"/>
      <c r="CG49" s="1985"/>
      <c r="CH49" s="1986"/>
      <c r="CI49" s="1987"/>
      <c r="CJ49" s="1987"/>
      <c r="CK49" s="1987"/>
      <c r="CL49" s="1985"/>
      <c r="CM49" s="1988"/>
      <c r="CN49" s="1988"/>
      <c r="CO49" s="1988"/>
      <c r="CP49" s="1988"/>
      <c r="CQ49" s="1990"/>
      <c r="CR49" s="1988"/>
      <c r="CS49" s="1989"/>
      <c r="CT49" s="1989"/>
      <c r="CU49" s="1989"/>
      <c r="CV49" s="1990"/>
      <c r="CW49" s="1988"/>
      <c r="CX49" s="1989"/>
      <c r="CY49" s="1989"/>
      <c r="CZ49" s="1989"/>
      <c r="DA49" s="1990"/>
      <c r="DB49" s="1988"/>
      <c r="DC49" s="1989"/>
      <c r="DD49" s="1989"/>
      <c r="DE49" s="1989"/>
      <c r="DF49" s="2086"/>
      <c r="DG49" s="1989"/>
      <c r="DH49" s="1989"/>
      <c r="DI49" s="1989"/>
      <c r="DJ49" s="1989"/>
      <c r="DK49" s="2090"/>
      <c r="DL49" s="1989"/>
      <c r="DM49" s="1989"/>
      <c r="DN49" s="1989"/>
      <c r="DO49" s="1989"/>
      <c r="DP49" s="2090"/>
      <c r="DQ49" s="1989"/>
      <c r="DR49" s="1989"/>
      <c r="DS49" s="1989"/>
      <c r="DT49" s="1989"/>
      <c r="DU49" s="2090"/>
      <c r="DV49" s="1989"/>
      <c r="DW49" s="1989"/>
      <c r="DX49" s="1989"/>
      <c r="DY49" s="1989"/>
      <c r="DZ49" s="2090"/>
      <c r="EA49" s="1989"/>
      <c r="EB49" s="1989"/>
      <c r="EC49" s="1989"/>
      <c r="ED49" s="1989"/>
      <c r="EE49" s="2090"/>
      <c r="EF49" s="2248"/>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row>
    <row r="50" spans="1:238" s="93" customFormat="1" ht="12.75" customHeight="1">
      <c r="B50" s="1991" t="s">
        <v>522</v>
      </c>
      <c r="C50" s="1992"/>
      <c r="D50" s="1992"/>
      <c r="E50" s="1993"/>
      <c r="F50" s="1993"/>
      <c r="G50" s="1993"/>
      <c r="H50" s="1993"/>
      <c r="I50" s="1993"/>
      <c r="J50" s="1993"/>
      <c r="K50" s="1994"/>
      <c r="L50" s="1994"/>
      <c r="M50" s="1994"/>
      <c r="N50" s="1994"/>
      <c r="O50" s="1993"/>
      <c r="P50" s="1994"/>
      <c r="Q50" s="1994"/>
      <c r="R50" s="1994"/>
      <c r="S50" s="1994"/>
      <c r="T50" s="1993"/>
      <c r="U50" s="1994"/>
      <c r="V50" s="1994"/>
      <c r="W50" s="1994"/>
      <c r="X50" s="1994"/>
      <c r="Y50" s="1993"/>
      <c r="Z50" s="1994"/>
      <c r="AA50" s="1994"/>
      <c r="AB50" s="1994"/>
      <c r="AC50" s="1994"/>
      <c r="AD50" s="1993"/>
      <c r="AE50" s="1994"/>
      <c r="AF50" s="1994"/>
      <c r="AG50" s="1994"/>
      <c r="AH50" s="1994"/>
      <c r="AI50" s="1993"/>
      <c r="AJ50" s="1994"/>
      <c r="AK50" s="1994"/>
      <c r="AL50" s="1994"/>
      <c r="AM50" s="1994"/>
      <c r="AN50" s="1993"/>
      <c r="AO50" s="1994"/>
      <c r="AP50" s="1994"/>
      <c r="AQ50" s="1994"/>
      <c r="AR50" s="1994"/>
      <c r="AS50" s="1993"/>
      <c r="AT50" s="1994"/>
      <c r="AU50" s="1994"/>
      <c r="AV50" s="1994"/>
      <c r="AW50" s="1994"/>
      <c r="AX50" s="1993"/>
      <c r="AY50" s="1994"/>
      <c r="AZ50" s="1994"/>
      <c r="BA50" s="1994"/>
      <c r="BB50" s="1994"/>
      <c r="BC50" s="1993"/>
      <c r="BD50" s="1994"/>
      <c r="BE50" s="1994"/>
      <c r="BF50" s="1994"/>
      <c r="BG50" s="1994"/>
      <c r="BH50" s="1993"/>
      <c r="BI50" s="1994"/>
      <c r="BJ50" s="1994"/>
      <c r="BK50" s="1994"/>
      <c r="BL50" s="1994"/>
      <c r="BM50" s="1993"/>
      <c r="BN50" s="1994"/>
      <c r="BO50" s="1994"/>
      <c r="BP50" s="1994"/>
      <c r="BQ50" s="1994"/>
      <c r="BR50" s="1993"/>
      <c r="BS50" s="1994"/>
      <c r="BT50" s="1994"/>
      <c r="BU50" s="1994"/>
      <c r="BV50" s="1994"/>
      <c r="BW50" s="1993"/>
      <c r="BX50" s="1994"/>
      <c r="BY50" s="1994"/>
      <c r="BZ50" s="1994"/>
      <c r="CA50" s="1994"/>
      <c r="CB50" s="1993"/>
      <c r="CC50" s="1994"/>
      <c r="CD50" s="1994"/>
      <c r="CE50" s="1994"/>
      <c r="CF50" s="1994"/>
      <c r="CG50" s="1993"/>
      <c r="CH50" s="1994"/>
      <c r="CI50" s="1995"/>
      <c r="CJ50" s="1995"/>
      <c r="CK50" s="1995"/>
      <c r="CL50" s="1993"/>
      <c r="CM50" s="1996"/>
      <c r="CN50" s="1996"/>
      <c r="CO50" s="1996"/>
      <c r="CP50" s="1996"/>
      <c r="CQ50" s="1997"/>
      <c r="CR50" s="1996"/>
      <c r="CS50" s="1998"/>
      <c r="CT50" s="1998"/>
      <c r="CU50" s="1998"/>
      <c r="CV50" s="1997"/>
      <c r="CW50" s="1996"/>
      <c r="CX50" s="1998"/>
      <c r="CY50" s="1998"/>
      <c r="CZ50" s="1998"/>
      <c r="DA50" s="1997"/>
      <c r="DB50" s="1996"/>
      <c r="DC50" s="1998"/>
      <c r="DD50" s="1998"/>
      <c r="DE50" s="1998"/>
      <c r="DF50" s="2087"/>
      <c r="DG50" s="1998"/>
      <c r="DH50" s="1998"/>
      <c r="DI50" s="1998"/>
      <c r="DJ50" s="1998"/>
      <c r="DK50" s="2091"/>
      <c r="DL50" s="1998"/>
      <c r="DM50" s="1998"/>
      <c r="DN50" s="1998"/>
      <c r="DO50" s="1998"/>
      <c r="DP50" s="2091"/>
      <c r="DQ50" s="1998"/>
      <c r="DR50" s="1998"/>
      <c r="DS50" s="1998"/>
      <c r="DT50" s="1998"/>
      <c r="DU50" s="2091"/>
      <c r="DV50" s="1998"/>
      <c r="DW50" s="1998"/>
      <c r="DX50" s="1998"/>
      <c r="DY50" s="1998"/>
      <c r="DZ50" s="2091"/>
      <c r="EA50" s="1998"/>
      <c r="EB50" s="1998"/>
      <c r="EC50" s="1998"/>
      <c r="ED50" s="1998"/>
      <c r="EE50" s="2091"/>
      <c r="EF50" s="1957"/>
      <c r="EG50" s="1957"/>
      <c r="EH50" s="1957"/>
      <c r="EI50" s="1957"/>
      <c r="EJ50"/>
      <c r="EK50"/>
      <c r="EL50"/>
      <c r="EM50"/>
      <c r="EN50"/>
      <c r="EO50"/>
      <c r="EP50" s="1957"/>
      <c r="EQ50" s="1957"/>
      <c r="ER50" s="1957"/>
      <c r="ES50" s="1957"/>
      <c r="ET50" s="1957"/>
      <c r="EU50" s="1957"/>
      <c r="EV50" s="1957"/>
      <c r="EW50" s="1957"/>
      <c r="EX50" s="1957"/>
      <c r="EY50" s="1957"/>
      <c r="EZ50" s="1957"/>
      <c r="FA50" s="1957"/>
      <c r="FB50" s="1957"/>
      <c r="FC50" s="1957"/>
      <c r="FD50" s="1957"/>
      <c r="FE50" s="1957"/>
      <c r="FF50" s="1957"/>
      <c r="FG50" s="1957"/>
      <c r="FH50" s="1957"/>
      <c r="FI50" s="1957"/>
      <c r="FJ50" s="1957"/>
      <c r="FK50" s="1957"/>
      <c r="FL50" s="1957"/>
      <c r="FM50" s="1957"/>
      <c r="FN50" s="1957"/>
      <c r="FO50" s="1957"/>
      <c r="FP50" s="1957"/>
      <c r="FQ50" s="1957"/>
      <c r="FR50" s="1957"/>
      <c r="FS50" s="1957"/>
      <c r="FT50" s="1957"/>
      <c r="FU50" s="1957"/>
      <c r="FV50" s="1957"/>
      <c r="FW50" s="1957"/>
      <c r="FX50" s="1957"/>
      <c r="FY50" s="1957"/>
      <c r="FZ50" s="1957"/>
      <c r="GA50" s="1957"/>
      <c r="GB50" s="1957"/>
      <c r="GC50" s="1957"/>
      <c r="GD50" s="1957"/>
      <c r="GE50" s="1957"/>
      <c r="GF50" s="1957"/>
      <c r="GG50" s="1957"/>
      <c r="GH50" s="1957"/>
      <c r="GI50" s="1957"/>
      <c r="GJ50" s="1957"/>
      <c r="GK50" s="1957"/>
      <c r="GL50" s="1957"/>
      <c r="GM50" s="1957"/>
      <c r="GN50" s="1957"/>
      <c r="GO50" s="1957"/>
      <c r="GP50" s="1957"/>
      <c r="GQ50" s="1957"/>
      <c r="GR50" s="1957"/>
      <c r="GS50" s="1957"/>
      <c r="GT50" s="1957"/>
      <c r="GU50" s="1957"/>
      <c r="GV50" s="1957"/>
      <c r="GW50" s="1957"/>
      <c r="GX50" s="1957"/>
      <c r="GY50" s="1957"/>
      <c r="GZ50" s="1957"/>
      <c r="HA50" s="1957"/>
      <c r="HB50" s="1957"/>
      <c r="HC50" s="1957"/>
      <c r="HD50" s="1957"/>
      <c r="HE50" s="1957"/>
      <c r="HF50" s="1957"/>
      <c r="HG50" s="1957"/>
      <c r="HH50" s="1957"/>
      <c r="HI50" s="1957"/>
      <c r="HJ50" s="1957"/>
      <c r="HK50" s="1957"/>
      <c r="HL50" s="1957"/>
      <c r="HM50" s="1957"/>
      <c r="HN50" s="1957"/>
      <c r="HO50" s="1957"/>
      <c r="HP50" s="1957"/>
      <c r="HQ50" s="1957"/>
      <c r="HR50" s="1957"/>
      <c r="HS50" s="1957"/>
      <c r="HT50" s="1957"/>
      <c r="HU50" s="1957"/>
      <c r="HV50" s="1957"/>
      <c r="HW50" s="1957"/>
      <c r="HX50" s="1957"/>
      <c r="HY50" s="1957"/>
      <c r="HZ50" s="1957"/>
      <c r="IA50" s="1957"/>
      <c r="IB50" s="1957"/>
      <c r="IC50" s="1957"/>
      <c r="ID50" s="1957"/>
    </row>
    <row r="51" spans="1:238" ht="12.75" customHeight="1">
      <c r="B51" s="1977" t="s">
        <v>420</v>
      </c>
      <c r="C51" s="1569"/>
      <c r="D51" s="1569"/>
      <c r="E51" s="1569"/>
      <c r="F51" s="1569"/>
      <c r="G51" s="1569"/>
      <c r="H51" s="1569"/>
      <c r="I51" s="1569"/>
      <c r="J51" s="1569"/>
      <c r="K51" s="1569"/>
      <c r="L51" s="1569"/>
      <c r="M51" s="1569"/>
      <c r="N51" s="1569"/>
      <c r="O51" s="1569"/>
      <c r="P51" s="1569"/>
      <c r="Q51" s="1569"/>
      <c r="R51" s="1569"/>
      <c r="S51" s="1569"/>
      <c r="T51" s="1569"/>
      <c r="U51" s="1569"/>
      <c r="V51" s="1569"/>
      <c r="W51" s="1569"/>
      <c r="X51" s="1569"/>
      <c r="Y51" s="1569"/>
      <c r="Z51" s="1569"/>
      <c r="AA51" s="1569"/>
      <c r="AB51" s="1569"/>
      <c r="AC51" s="1569"/>
      <c r="AD51" s="1569"/>
      <c r="AE51" s="1569"/>
      <c r="AF51" s="1569"/>
      <c r="AG51" s="1569"/>
      <c r="AH51" s="1569"/>
      <c r="AI51" s="1569"/>
      <c r="AJ51" s="1569"/>
      <c r="AK51" s="1569"/>
      <c r="AL51" s="1569"/>
      <c r="AM51" s="1569"/>
      <c r="AN51" s="1569"/>
      <c r="AO51" s="1569"/>
      <c r="AP51" s="1569"/>
      <c r="AQ51" s="1569"/>
      <c r="AR51" s="1569"/>
      <c r="AS51" s="1569"/>
      <c r="AT51" s="1569"/>
      <c r="AU51" s="1569"/>
      <c r="AV51" s="1569"/>
      <c r="AW51" s="1569"/>
      <c r="AX51" s="1569"/>
      <c r="AY51" s="1569"/>
      <c r="AZ51" s="1569"/>
      <c r="BA51" s="1569"/>
      <c r="BB51" s="1569"/>
      <c r="BC51" s="1569"/>
      <c r="BD51" s="1569"/>
      <c r="BE51" s="1569"/>
      <c r="BF51" s="1569"/>
      <c r="BG51" s="1569"/>
      <c r="BH51" s="1569"/>
      <c r="BI51" s="1569"/>
      <c r="BJ51" s="1569"/>
      <c r="BK51" s="1569"/>
      <c r="BL51" s="1569"/>
      <c r="BM51" s="1569"/>
      <c r="BN51" s="1569"/>
      <c r="BO51" s="1569"/>
      <c r="BP51" s="1569"/>
      <c r="BQ51" s="1569"/>
      <c r="BR51" s="1569"/>
      <c r="BS51" s="1569"/>
      <c r="BT51" s="1569"/>
      <c r="BU51" s="1569"/>
      <c r="BV51" s="1569"/>
      <c r="BW51" s="1569"/>
      <c r="BX51" s="1569"/>
      <c r="BY51" s="1569"/>
      <c r="BZ51" s="1569"/>
      <c r="CA51" s="1569"/>
      <c r="CB51" s="1569"/>
      <c r="CC51" s="1569"/>
      <c r="CD51" s="1569"/>
      <c r="CE51" s="1569"/>
      <c r="CF51" s="1569"/>
      <c r="CG51" s="1569"/>
      <c r="CH51" s="1569"/>
      <c r="CI51" s="1569"/>
      <c r="CJ51" s="1569"/>
      <c r="CK51" s="1569"/>
      <c r="CL51" s="1569"/>
      <c r="CM51" s="1569"/>
      <c r="CN51" s="1569"/>
      <c r="CO51" s="1569"/>
      <c r="CP51" s="1569"/>
      <c r="CQ51" s="1569"/>
      <c r="CR51" s="1569"/>
      <c r="CS51" s="1569"/>
      <c r="CT51" s="1569"/>
      <c r="CU51" s="1569"/>
      <c r="CV51" s="1569"/>
      <c r="CW51" s="1569"/>
      <c r="CX51" s="1569"/>
      <c r="CY51" s="1569"/>
      <c r="CZ51" s="1569"/>
      <c r="DA51" s="1569"/>
      <c r="DB51" s="1569"/>
      <c r="DC51" s="1569"/>
      <c r="DD51" s="1569"/>
      <c r="DE51" s="1569"/>
      <c r="DF51" s="1900"/>
      <c r="DG51" s="1569"/>
      <c r="DH51" s="1569"/>
      <c r="DI51" s="1980">
        <f t="shared" ref="DI51:DQ51" si="43">DI13/DD13-1</f>
        <v>-3.0640668523676862E-2</v>
      </c>
      <c r="DJ51" s="1980">
        <f t="shared" si="43"/>
        <v>-0.12731006160164271</v>
      </c>
      <c r="DK51" s="2088">
        <f t="shared" si="43"/>
        <v>0.52396904239343889</v>
      </c>
      <c r="DL51" s="1980">
        <f t="shared" si="43"/>
        <v>-0.14368314541775085</v>
      </c>
      <c r="DM51" s="1980">
        <f t="shared" si="43"/>
        <v>-0.14502343534601603</v>
      </c>
      <c r="DN51" s="1980">
        <f t="shared" si="43"/>
        <v>-0.10312899106002549</v>
      </c>
      <c r="DO51" s="1980">
        <f t="shared" si="43"/>
        <v>-1.1428571428571455E-2</v>
      </c>
      <c r="DP51" s="2088">
        <f t="shared" si="43"/>
        <v>-0.10460092473281291</v>
      </c>
      <c r="DQ51" s="1980">
        <f t="shared" si="43"/>
        <v>4.0850776502363351E-2</v>
      </c>
      <c r="DR51" s="1980">
        <f t="shared" ref="DR51:DZ51" si="44">DR13/DM13-1</f>
        <v>0.12287964728898126</v>
      </c>
      <c r="DS51" s="1980">
        <f t="shared" si="44"/>
        <v>0.1066554041851433</v>
      </c>
      <c r="DT51" s="1980">
        <f t="shared" si="44"/>
        <v>7.557736809719362E-2</v>
      </c>
      <c r="DU51" s="2088">
        <f t="shared" si="44"/>
        <v>8.6677207836539871E-2</v>
      </c>
      <c r="DV51" s="1980">
        <f t="shared" si="44"/>
        <v>3.6774877997029387E-2</v>
      </c>
      <c r="DW51" s="1980">
        <f t="shared" si="44"/>
        <v>3.6983050847457566E-2</v>
      </c>
      <c r="DX51" s="1980">
        <f t="shared" si="44"/>
        <v>3.6971235194585672E-2</v>
      </c>
      <c r="DY51" s="1980">
        <f t="shared" si="44"/>
        <v>3.6959459459459554E-2</v>
      </c>
      <c r="DZ51" s="2088">
        <f t="shared" si="44"/>
        <v>3.6924379989878853E-2</v>
      </c>
      <c r="EA51" s="1980">
        <f t="shared" ref="EA51" si="45">EA13/DV13-1</f>
        <v>3.6947723440134972E-2</v>
      </c>
      <c r="EB51" s="1980">
        <f t="shared" ref="EB51" si="46">EB13/DW13-1</f>
        <v>3.6936026936027044E-2</v>
      </c>
      <c r="EC51" s="1980">
        <f t="shared" ref="EC51" si="47">EC13/DX13-1</f>
        <v>3.6924369747899144E-2</v>
      </c>
      <c r="ED51" s="1980">
        <f t="shared" ref="ED51" si="48">ED13/DY13-1</f>
        <v>3.6912751677852462E-2</v>
      </c>
      <c r="EE51" s="2088">
        <f t="shared" ref="EE51" si="49">EE13/DZ13-1</f>
        <v>3.6930276920347449E-2</v>
      </c>
    </row>
    <row r="52" spans="1:238" ht="12.75" customHeight="1">
      <c r="B52" s="1978" t="s">
        <v>232</v>
      </c>
      <c r="C52" s="1569"/>
      <c r="D52" s="1569"/>
      <c r="E52" s="1569"/>
      <c r="F52" s="1569"/>
      <c r="G52" s="1569"/>
      <c r="H52" s="1569"/>
      <c r="I52" s="1569"/>
      <c r="J52" s="1569"/>
      <c r="K52" s="1569"/>
      <c r="L52" s="1569"/>
      <c r="M52" s="1569"/>
      <c r="N52" s="1569"/>
      <c r="O52" s="1569"/>
      <c r="P52" s="1569"/>
      <c r="Q52" s="1569"/>
      <c r="R52" s="1569"/>
      <c r="S52" s="1569"/>
      <c r="T52" s="1569"/>
      <c r="U52" s="1569"/>
      <c r="V52" s="1569"/>
      <c r="W52" s="1569"/>
      <c r="X52" s="1569"/>
      <c r="Y52" s="1569"/>
      <c r="Z52" s="1569"/>
      <c r="AA52" s="1569"/>
      <c r="AB52" s="1569"/>
      <c r="AC52" s="1569"/>
      <c r="AD52" s="1569"/>
      <c r="AE52" s="1569"/>
      <c r="AF52" s="1569"/>
      <c r="AG52" s="1569"/>
      <c r="AH52" s="1569"/>
      <c r="AI52" s="1569"/>
      <c r="AJ52" s="1569"/>
      <c r="AK52" s="1569"/>
      <c r="AL52" s="1569"/>
      <c r="AM52" s="1569"/>
      <c r="AN52" s="1569"/>
      <c r="AO52" s="1569"/>
      <c r="AP52" s="1569"/>
      <c r="AQ52" s="1569"/>
      <c r="AR52" s="1569"/>
      <c r="AS52" s="1569"/>
      <c r="AT52" s="1569"/>
      <c r="AU52" s="1569"/>
      <c r="AV52" s="1569"/>
      <c r="AW52" s="1569"/>
      <c r="AX52" s="1569"/>
      <c r="AY52" s="1569"/>
      <c r="AZ52" s="1569"/>
      <c r="BA52" s="1569"/>
      <c r="BB52" s="1569"/>
      <c r="BC52" s="1569"/>
      <c r="BD52" s="1569"/>
      <c r="BE52" s="1569"/>
      <c r="BF52" s="1569"/>
      <c r="BG52" s="1569"/>
      <c r="BH52" s="1569"/>
      <c r="BI52" s="1569"/>
      <c r="BJ52" s="1569"/>
      <c r="BK52" s="1569"/>
      <c r="BL52" s="1569"/>
      <c r="BM52" s="1569"/>
      <c r="BN52" s="1569"/>
      <c r="BO52" s="1569"/>
      <c r="BP52" s="1569"/>
      <c r="BQ52" s="1569"/>
      <c r="BR52" s="1569"/>
      <c r="BS52" s="1569"/>
      <c r="BT52" s="1569"/>
      <c r="BU52" s="1569"/>
      <c r="BV52" s="1569"/>
      <c r="BW52" s="1569"/>
      <c r="BX52" s="1569"/>
      <c r="BY52" s="1569"/>
      <c r="BZ52" s="1569"/>
      <c r="CA52" s="1569"/>
      <c r="CB52" s="1569"/>
      <c r="CC52" s="1569"/>
      <c r="CD52" s="1569"/>
      <c r="CE52" s="1569"/>
      <c r="CF52" s="1569"/>
      <c r="CG52" s="1569"/>
      <c r="CH52" s="1569"/>
      <c r="CI52" s="1569"/>
      <c r="CJ52" s="1569"/>
      <c r="CK52" s="1569"/>
      <c r="CL52" s="1569"/>
      <c r="CM52" s="1569"/>
      <c r="CN52" s="1569"/>
      <c r="CO52" s="1569"/>
      <c r="CP52" s="1569"/>
      <c r="CQ52" s="1569"/>
      <c r="CR52" s="1569"/>
      <c r="CS52" s="1569"/>
      <c r="CT52" s="1569"/>
      <c r="CU52" s="1569"/>
      <c r="CV52" s="1569"/>
      <c r="CW52" s="1569"/>
      <c r="CX52" s="1569"/>
      <c r="CY52" s="1569"/>
      <c r="CZ52" s="1569"/>
      <c r="DA52" s="1569"/>
      <c r="DB52" s="1569"/>
      <c r="DC52" s="1569"/>
      <c r="DD52" s="1569"/>
      <c r="DE52" s="1569"/>
      <c r="DF52" s="1900"/>
      <c r="DG52" s="1569"/>
      <c r="DH52" s="1569"/>
      <c r="DI52" s="1980">
        <f t="shared" ref="DI52:DQ52" si="50">DI15/DD15-1</f>
        <v>-2.2254127781765942E-2</v>
      </c>
      <c r="DJ52" s="1980">
        <f t="shared" si="50"/>
        <v>-0.13811780636425186</v>
      </c>
      <c r="DK52" s="2088">
        <f t="shared" si="50"/>
        <v>0.56113717913331485</v>
      </c>
      <c r="DL52" s="1980">
        <f t="shared" si="50"/>
        <v>-0.21926910299003322</v>
      </c>
      <c r="DM52" s="1980">
        <f t="shared" si="50"/>
        <v>-0.20580474934036941</v>
      </c>
      <c r="DN52" s="1980">
        <f t="shared" si="50"/>
        <v>-0.15712187958883994</v>
      </c>
      <c r="DO52" s="1980">
        <f t="shared" si="50"/>
        <v>-3.6920659858601712E-2</v>
      </c>
      <c r="DP52" s="2088">
        <f t="shared" si="50"/>
        <v>-0.15965346534653468</v>
      </c>
      <c r="DQ52" s="1980">
        <f t="shared" si="50"/>
        <v>4.1702127659574373E-2</v>
      </c>
      <c r="DR52" s="1980">
        <f t="shared" ref="DR52:DZ52" si="51">DR15/DM15-1</f>
        <v>0.12287964728898126</v>
      </c>
      <c r="DS52" s="1980">
        <f t="shared" si="51"/>
        <v>0.10665540418514352</v>
      </c>
      <c r="DT52" s="1980">
        <f t="shared" si="51"/>
        <v>7.557736809719362E-2</v>
      </c>
      <c r="DU52" s="2088">
        <f t="shared" si="51"/>
        <v>8.6691637413767619E-2</v>
      </c>
      <c r="DV52" s="1980">
        <f t="shared" si="51"/>
        <v>3.6774877997029387E-2</v>
      </c>
      <c r="DW52" s="1980">
        <f t="shared" si="51"/>
        <v>3.6983050847457566E-2</v>
      </c>
      <c r="DX52" s="1980">
        <f t="shared" si="51"/>
        <v>3.697123519458545E-2</v>
      </c>
      <c r="DY52" s="1980">
        <f t="shared" si="51"/>
        <v>3.6959459459459554E-2</v>
      </c>
      <c r="DZ52" s="2088">
        <f t="shared" si="51"/>
        <v>3.6924789283377946E-2</v>
      </c>
      <c r="EA52" s="1980">
        <f t="shared" ref="EA52" si="52">EA15/DV15-1</f>
        <v>3.6947723440135194E-2</v>
      </c>
      <c r="EB52" s="1980">
        <f t="shared" ref="EB52" si="53">EB15/DW15-1</f>
        <v>3.6936026936027044E-2</v>
      </c>
      <c r="EC52" s="1980">
        <f t="shared" ref="EC52" si="54">EC15/DX15-1</f>
        <v>3.6924369747898922E-2</v>
      </c>
      <c r="ED52" s="1980">
        <f t="shared" ref="ED52" si="55">ED15/DY15-1</f>
        <v>3.6912751677852462E-2</v>
      </c>
      <c r="EE52" s="2088">
        <f t="shared" ref="EE52" si="56">EE15/DZ15-1</f>
        <v>3.6929988440531858E-2</v>
      </c>
    </row>
    <row r="53" spans="1:238" ht="12.75" customHeight="1">
      <c r="B53" s="1978" t="s">
        <v>233</v>
      </c>
      <c r="C53" s="1569"/>
      <c r="D53" s="1569"/>
      <c r="E53" s="1569"/>
      <c r="F53" s="1569"/>
      <c r="G53" s="1569"/>
      <c r="H53" s="1569"/>
      <c r="I53" s="1569"/>
      <c r="J53" s="1569"/>
      <c r="K53" s="1569"/>
      <c r="L53" s="1569"/>
      <c r="M53" s="1569"/>
      <c r="N53" s="1569"/>
      <c r="O53" s="1569"/>
      <c r="P53" s="1569"/>
      <c r="Q53" s="1569"/>
      <c r="R53" s="1569"/>
      <c r="S53" s="1569"/>
      <c r="T53" s="1569"/>
      <c r="U53" s="1569"/>
      <c r="V53" s="1569"/>
      <c r="W53" s="1569"/>
      <c r="X53" s="1569"/>
      <c r="Y53" s="1569"/>
      <c r="Z53" s="1569"/>
      <c r="AA53" s="1569"/>
      <c r="AB53" s="1569"/>
      <c r="AC53" s="1569"/>
      <c r="AD53" s="1569"/>
      <c r="AE53" s="1569"/>
      <c r="AF53" s="1569"/>
      <c r="AG53" s="1569"/>
      <c r="AH53" s="1569"/>
      <c r="AI53" s="1569"/>
      <c r="AJ53" s="1569"/>
      <c r="AK53" s="1569"/>
      <c r="AL53" s="1569"/>
      <c r="AM53" s="1569"/>
      <c r="AN53" s="1569"/>
      <c r="AO53" s="1569"/>
      <c r="AP53" s="1569"/>
      <c r="AQ53" s="1569"/>
      <c r="AR53" s="1569"/>
      <c r="AS53" s="1569"/>
      <c r="AT53" s="1569"/>
      <c r="AU53" s="1569"/>
      <c r="AV53" s="1569"/>
      <c r="AW53" s="1569"/>
      <c r="AX53" s="1569"/>
      <c r="AY53" s="1569"/>
      <c r="AZ53" s="1569"/>
      <c r="BA53" s="1569"/>
      <c r="BB53" s="1569"/>
      <c r="BC53" s="1569"/>
      <c r="BD53" s="1569"/>
      <c r="BE53" s="1569"/>
      <c r="BF53" s="1569"/>
      <c r="BG53" s="1569"/>
      <c r="BH53" s="1569"/>
      <c r="BI53" s="1569"/>
      <c r="BJ53" s="1569"/>
      <c r="BK53" s="1569"/>
      <c r="BL53" s="1569"/>
      <c r="BM53" s="1569"/>
      <c r="BN53" s="1569"/>
      <c r="BO53" s="1569"/>
      <c r="BP53" s="1569"/>
      <c r="BQ53" s="1569"/>
      <c r="BR53" s="1569"/>
      <c r="BS53" s="1569"/>
      <c r="BT53" s="1569"/>
      <c r="BU53" s="1569"/>
      <c r="BV53" s="1569"/>
      <c r="BW53" s="1569"/>
      <c r="BX53" s="1569"/>
      <c r="BY53" s="1569"/>
      <c r="BZ53" s="1569"/>
      <c r="CA53" s="1569"/>
      <c r="CB53" s="1569"/>
      <c r="CC53" s="1569"/>
      <c r="CD53" s="1569"/>
      <c r="CE53" s="1569"/>
      <c r="CF53" s="1569"/>
      <c r="CG53" s="1569"/>
      <c r="CH53" s="1569"/>
      <c r="CI53" s="1569"/>
      <c r="CJ53" s="1569"/>
      <c r="CK53" s="1569"/>
      <c r="CL53" s="1569"/>
      <c r="CM53" s="1569"/>
      <c r="CN53" s="1569"/>
      <c r="CO53" s="1569"/>
      <c r="CP53" s="1569"/>
      <c r="CQ53" s="1569"/>
      <c r="CR53" s="1569"/>
      <c r="CS53" s="1569"/>
      <c r="CT53" s="1569"/>
      <c r="CU53" s="1569"/>
      <c r="CV53" s="1569"/>
      <c r="CW53" s="1569"/>
      <c r="CX53" s="1569"/>
      <c r="CY53" s="1569"/>
      <c r="CZ53" s="1569"/>
      <c r="DA53" s="1569"/>
      <c r="DB53" s="1569"/>
      <c r="DC53" s="1569"/>
      <c r="DD53" s="1569"/>
      <c r="DE53" s="1569"/>
      <c r="DF53" s="1900"/>
      <c r="DG53" s="1569"/>
      <c r="DH53" s="1569"/>
      <c r="DI53" s="1980">
        <f t="shared" ref="DI53:DQ53" si="57">DI19/DD19-1</f>
        <v>-4.1245791245791197E-2</v>
      </c>
      <c r="DJ53" s="1980">
        <f t="shared" si="57"/>
        <v>-0.13522267206477734</v>
      </c>
      <c r="DK53" s="2088">
        <f t="shared" si="57"/>
        <v>0.44917929292929304</v>
      </c>
      <c r="DL53" s="1980">
        <f t="shared" si="57"/>
        <v>-0.1745635910224439</v>
      </c>
      <c r="DM53" s="1980">
        <f t="shared" si="57"/>
        <v>-0.14817950889077058</v>
      </c>
      <c r="DN53" s="1980">
        <f t="shared" si="57"/>
        <v>-0.11676909569798066</v>
      </c>
      <c r="DO53" s="1980">
        <f t="shared" si="57"/>
        <v>-5.7116104868913831E-2</v>
      </c>
      <c r="DP53" s="2088">
        <f t="shared" si="57"/>
        <v>-0.1261163145284252</v>
      </c>
      <c r="DQ53" s="1980">
        <f t="shared" si="57"/>
        <v>4.733131923464251E-2</v>
      </c>
      <c r="DR53" s="1980">
        <f t="shared" ref="DR53:DZ53" si="58">DR19/DM19-1</f>
        <v>0.14018605775738657</v>
      </c>
      <c r="DS53" s="1980">
        <f t="shared" si="58"/>
        <v>9.1205130674427259E-2</v>
      </c>
      <c r="DT53" s="1980">
        <f t="shared" si="58"/>
        <v>5.9870947841117017E-2</v>
      </c>
      <c r="DU53" s="2088">
        <f t="shared" si="58"/>
        <v>8.4763105692524654E-2</v>
      </c>
      <c r="DV53" s="1980">
        <f t="shared" si="58"/>
        <v>3.6774877997029387E-2</v>
      </c>
      <c r="DW53" s="1980">
        <f t="shared" si="58"/>
        <v>3.6983050847457566E-2</v>
      </c>
      <c r="DX53" s="1980">
        <f t="shared" si="58"/>
        <v>3.6971235194585672E-2</v>
      </c>
      <c r="DY53" s="1980">
        <f t="shared" si="58"/>
        <v>3.6959459459459554E-2</v>
      </c>
      <c r="DZ53" s="2088">
        <f t="shared" si="58"/>
        <v>3.6924538621458058E-2</v>
      </c>
      <c r="EA53" s="1980">
        <f t="shared" ref="EA53" si="59">EA19/DV19-1</f>
        <v>3.6947723440134972E-2</v>
      </c>
      <c r="EB53" s="1980">
        <f t="shared" ref="EB53" si="60">EB19/DW19-1</f>
        <v>3.6936026936027044E-2</v>
      </c>
      <c r="EC53" s="1980">
        <f t="shared" ref="EC53" si="61">EC19/DX19-1</f>
        <v>3.6924369747898922E-2</v>
      </c>
      <c r="ED53" s="1980">
        <f t="shared" ref="ED53" si="62">ED19/DY19-1</f>
        <v>3.6912751677852462E-2</v>
      </c>
      <c r="EE53" s="2088">
        <f t="shared" ref="EE53" si="63">EE19/DZ19-1</f>
        <v>3.6930172948409723E-2</v>
      </c>
    </row>
    <row r="54" spans="1:238" ht="12.75" customHeight="1">
      <c r="B54" s="1978" t="s">
        <v>211</v>
      </c>
      <c r="C54" s="1569"/>
      <c r="D54" s="1569"/>
      <c r="E54" s="1569"/>
      <c r="F54" s="1569"/>
      <c r="G54" s="1569"/>
      <c r="H54" s="1569"/>
      <c r="I54" s="1569"/>
      <c r="J54" s="1569"/>
      <c r="K54" s="1569"/>
      <c r="L54" s="1569"/>
      <c r="M54" s="1569"/>
      <c r="N54" s="1569"/>
      <c r="O54" s="1569"/>
      <c r="P54" s="1569"/>
      <c r="Q54" s="1569"/>
      <c r="R54" s="1569"/>
      <c r="S54" s="1569"/>
      <c r="T54" s="1569"/>
      <c r="U54" s="1569"/>
      <c r="V54" s="1569"/>
      <c r="W54" s="1569"/>
      <c r="X54" s="1569"/>
      <c r="Y54" s="1569"/>
      <c r="Z54" s="1569"/>
      <c r="AA54" s="1569"/>
      <c r="AB54" s="1569"/>
      <c r="AC54" s="1569"/>
      <c r="AD54" s="1569"/>
      <c r="AE54" s="1569"/>
      <c r="AF54" s="1569"/>
      <c r="AG54" s="1569"/>
      <c r="AH54" s="1569"/>
      <c r="AI54" s="1569"/>
      <c r="AJ54" s="1569"/>
      <c r="AK54" s="1569"/>
      <c r="AL54" s="1569"/>
      <c r="AM54" s="1569"/>
      <c r="AN54" s="1569"/>
      <c r="AO54" s="1569"/>
      <c r="AP54" s="1569"/>
      <c r="AQ54" s="1569"/>
      <c r="AR54" s="1569"/>
      <c r="AS54" s="1569"/>
      <c r="AT54" s="1569"/>
      <c r="AU54" s="1569"/>
      <c r="AV54" s="1569"/>
      <c r="AW54" s="1569"/>
      <c r="AX54" s="1569"/>
      <c r="AY54" s="1569"/>
      <c r="AZ54" s="1569"/>
      <c r="BA54" s="1569"/>
      <c r="BB54" s="1569"/>
      <c r="BC54" s="1569"/>
      <c r="BD54" s="1569"/>
      <c r="BE54" s="1569"/>
      <c r="BF54" s="1569"/>
      <c r="BG54" s="1569"/>
      <c r="BH54" s="1569"/>
      <c r="BI54" s="1569"/>
      <c r="BJ54" s="1569"/>
      <c r="BK54" s="1569"/>
      <c r="BL54" s="1569"/>
      <c r="BM54" s="1569"/>
      <c r="BN54" s="1569"/>
      <c r="BO54" s="1569"/>
      <c r="BP54" s="1569"/>
      <c r="BQ54" s="1569"/>
      <c r="BR54" s="1569"/>
      <c r="BS54" s="1569"/>
      <c r="BT54" s="1569"/>
      <c r="BU54" s="1569"/>
      <c r="BV54" s="1569"/>
      <c r="BW54" s="1569"/>
      <c r="BX54" s="1569"/>
      <c r="BY54" s="1569"/>
      <c r="BZ54" s="1569"/>
      <c r="CA54" s="1569"/>
      <c r="CB54" s="1569"/>
      <c r="CC54" s="1569"/>
      <c r="CD54" s="1569"/>
      <c r="CE54" s="1569"/>
      <c r="CF54" s="1569"/>
      <c r="CG54" s="1569"/>
      <c r="CH54" s="1569"/>
      <c r="CI54" s="1569"/>
      <c r="CJ54" s="1569"/>
      <c r="CK54" s="1569"/>
      <c r="CL54" s="1569"/>
      <c r="CM54" s="1569"/>
      <c r="CN54" s="1569"/>
      <c r="CO54" s="1569"/>
      <c r="CP54" s="1569"/>
      <c r="CQ54" s="1569"/>
      <c r="CR54" s="1569"/>
      <c r="CS54" s="1569"/>
      <c r="CT54" s="1569"/>
      <c r="CU54" s="1569"/>
      <c r="CV54" s="1569"/>
      <c r="CW54" s="1569"/>
      <c r="CX54" s="1569"/>
      <c r="CY54" s="1569"/>
      <c r="CZ54" s="1569"/>
      <c r="DA54" s="1569"/>
      <c r="DB54" s="1569"/>
      <c r="DC54" s="1569"/>
      <c r="DD54" s="1569"/>
      <c r="DE54" s="1569"/>
      <c r="DF54" s="1900"/>
      <c r="DG54" s="1569"/>
      <c r="DH54" s="1569"/>
      <c r="DI54" s="1980">
        <f t="shared" ref="DI54:DQ54" si="64">DI26/DD26-1</f>
        <v>3.6144578313253017E-2</v>
      </c>
      <c r="DJ54" s="1980">
        <f t="shared" si="64"/>
        <v>2.0661157024793431E-2</v>
      </c>
      <c r="DK54" s="2088">
        <f t="shared" si="64"/>
        <v>0.875</v>
      </c>
      <c r="DL54" s="1980">
        <f t="shared" si="64"/>
        <v>-0.32380952380952377</v>
      </c>
      <c r="DM54" s="1980">
        <f t="shared" si="64"/>
        <v>-0.27761194029850744</v>
      </c>
      <c r="DN54" s="1980">
        <f t="shared" si="64"/>
        <v>-0.25193798449612403</v>
      </c>
      <c r="DO54" s="1980">
        <f t="shared" si="64"/>
        <v>5.6680161943319929E-2</v>
      </c>
      <c r="DP54" s="2088">
        <f t="shared" si="64"/>
        <v>-0.21298701298701295</v>
      </c>
      <c r="DQ54" s="1980">
        <f t="shared" si="64"/>
        <v>-1.4084507042253502E-2</v>
      </c>
      <c r="DR54" s="1980">
        <f t="shared" ref="DR54:DZ54" si="65">DR26/DM26-1</f>
        <v>-4.5785449454535221E-2</v>
      </c>
      <c r="DS54" s="1980">
        <f t="shared" si="65"/>
        <v>2.9471723036636588E-2</v>
      </c>
      <c r="DT54" s="1980">
        <f t="shared" si="65"/>
        <v>6.271191115384922E-2</v>
      </c>
      <c r="DU54" s="2088">
        <f t="shared" si="65"/>
        <v>8.7742272708779545E-3</v>
      </c>
      <c r="DV54" s="1980">
        <f t="shared" si="65"/>
        <v>3.2221797864063539E-2</v>
      </c>
      <c r="DW54" s="1980">
        <f t="shared" si="65"/>
        <v>3.2819012868821051E-2</v>
      </c>
      <c r="DX54" s="1980">
        <f t="shared" si="65"/>
        <v>3.2133238389435714E-2</v>
      </c>
      <c r="DY54" s="1980">
        <f t="shared" si="65"/>
        <v>3.3494940811586327E-2</v>
      </c>
      <c r="DZ54" s="2088">
        <f t="shared" si="65"/>
        <v>3.2738105946571894E-2</v>
      </c>
      <c r="EA54" s="1980">
        <f t="shared" ref="EA54" si="66">EA26/DV26-1</f>
        <v>3.2516040196829632E-2</v>
      </c>
      <c r="EB54" s="1980">
        <f t="shared" ref="EB54" si="67">EB26/DW26-1</f>
        <v>3.2909432385794135E-2</v>
      </c>
      <c r="EC54" s="1980">
        <f t="shared" ref="EC54" si="68">EC26/DX26-1</f>
        <v>3.2242935328476774E-2</v>
      </c>
      <c r="ED54" s="1980">
        <f t="shared" ref="ED54" si="69">ED26/DY26-1</f>
        <v>3.3564752378599794E-2</v>
      </c>
      <c r="EE54" s="2088">
        <f t="shared" ref="EE54" si="70">EE26/DZ26-1</f>
        <v>3.28734220361111E-2</v>
      </c>
    </row>
    <row r="55" spans="1:238" ht="12.75" customHeight="1">
      <c r="B55" s="1895"/>
      <c r="C55" s="1569"/>
      <c r="D55" s="1569"/>
      <c r="E55" s="1569"/>
      <c r="F55" s="1569"/>
      <c r="G55" s="1569"/>
      <c r="H55" s="1569"/>
      <c r="I55" s="1569"/>
      <c r="J55" s="1569"/>
      <c r="K55" s="1569"/>
      <c r="L55" s="1569"/>
      <c r="M55" s="1569"/>
      <c r="N55" s="1569"/>
      <c r="O55" s="1569"/>
      <c r="P55" s="1569"/>
      <c r="Q55" s="1569"/>
      <c r="R55" s="1569"/>
      <c r="S55" s="1569"/>
      <c r="T55" s="1569"/>
      <c r="U55" s="1569"/>
      <c r="V55" s="1569"/>
      <c r="W55" s="1569"/>
      <c r="X55" s="1569"/>
      <c r="Y55" s="1569"/>
      <c r="Z55" s="1569"/>
      <c r="AA55" s="1569"/>
      <c r="AB55" s="1569"/>
      <c r="AC55" s="1569"/>
      <c r="AD55" s="1569"/>
      <c r="AE55" s="1569"/>
      <c r="AF55" s="1569"/>
      <c r="AG55" s="1569"/>
      <c r="AH55" s="1569"/>
      <c r="AI55" s="1569"/>
      <c r="AJ55" s="1569"/>
      <c r="AK55" s="1569"/>
      <c r="AL55" s="1569"/>
      <c r="AM55" s="1569"/>
      <c r="AN55" s="1569"/>
      <c r="AO55" s="1569"/>
      <c r="AP55" s="1569"/>
      <c r="AQ55" s="1569"/>
      <c r="AR55" s="1569"/>
      <c r="AS55" s="1569"/>
      <c r="AT55" s="1569"/>
      <c r="AU55" s="1569"/>
      <c r="AV55" s="1569"/>
      <c r="AW55" s="1569"/>
      <c r="AX55" s="1569"/>
      <c r="AY55" s="1569"/>
      <c r="AZ55" s="1569"/>
      <c r="BA55" s="1569"/>
      <c r="BB55" s="1569"/>
      <c r="BC55" s="1569"/>
      <c r="BD55" s="1569"/>
      <c r="BE55" s="1569"/>
      <c r="BF55" s="1569"/>
      <c r="BG55" s="1569"/>
      <c r="BH55" s="1569"/>
      <c r="BI55" s="1569"/>
      <c r="BJ55" s="1569"/>
      <c r="BK55" s="1569"/>
      <c r="BL55" s="1569"/>
      <c r="BM55" s="1569"/>
      <c r="BN55" s="1569"/>
      <c r="BO55" s="1569"/>
      <c r="BP55" s="1569"/>
      <c r="BQ55" s="1569"/>
      <c r="BR55" s="1569"/>
      <c r="BS55" s="1569"/>
      <c r="BT55" s="1569"/>
      <c r="BU55" s="1569"/>
      <c r="BV55" s="1569"/>
      <c r="BW55" s="1569"/>
      <c r="BX55" s="1569"/>
      <c r="BY55" s="1569"/>
      <c r="BZ55" s="1569"/>
      <c r="CA55" s="1569"/>
      <c r="CB55" s="1569"/>
      <c r="CC55" s="1569"/>
      <c r="CD55" s="1569"/>
      <c r="CE55" s="1569"/>
      <c r="CF55" s="1569"/>
      <c r="CG55" s="1569"/>
      <c r="CH55" s="1569"/>
      <c r="CI55" s="1569"/>
      <c r="CJ55" s="1569"/>
      <c r="CK55" s="1569"/>
      <c r="CL55" s="1569"/>
      <c r="CM55" s="1569"/>
      <c r="CN55" s="1569"/>
      <c r="CO55" s="1569"/>
      <c r="CP55" s="1569"/>
      <c r="CQ55" s="1569"/>
      <c r="CR55" s="1569"/>
      <c r="CS55" s="1569"/>
      <c r="CT55" s="1569"/>
      <c r="CU55" s="1569"/>
      <c r="CV55" s="1569"/>
      <c r="CW55" s="1569"/>
      <c r="CX55" s="1569"/>
      <c r="CY55" s="1569"/>
      <c r="CZ55" s="1569"/>
      <c r="DA55" s="1569"/>
      <c r="DB55" s="1569"/>
      <c r="DC55" s="1569"/>
      <c r="DD55" s="1569"/>
      <c r="DE55" s="1569"/>
      <c r="DF55" s="1900"/>
      <c r="DG55" s="1569"/>
      <c r="DH55" s="1569"/>
      <c r="DI55" s="1569"/>
      <c r="DJ55" s="1569"/>
      <c r="DK55" s="1900"/>
      <c r="DL55" s="1569"/>
      <c r="DM55" s="1569"/>
      <c r="DN55" s="1569"/>
      <c r="DO55" s="1569"/>
      <c r="DP55" s="1900"/>
      <c r="DQ55" s="1569"/>
      <c r="DR55" s="1569"/>
      <c r="DS55" s="1569"/>
      <c r="DT55" s="1569"/>
      <c r="DU55" s="1900"/>
      <c r="DV55" s="1569"/>
      <c r="DW55" s="1569"/>
      <c r="DX55" s="1569"/>
      <c r="DY55" s="1569"/>
      <c r="DZ55" s="1900"/>
      <c r="EA55" s="1569"/>
      <c r="EB55" s="1569"/>
      <c r="EC55" s="1569"/>
      <c r="ED55" s="1569"/>
      <c r="EE55" s="1900"/>
    </row>
    <row r="56" spans="1:238" ht="12.75" customHeight="1">
      <c r="B56" s="1979" t="s">
        <v>405</v>
      </c>
      <c r="C56" s="1569"/>
      <c r="D56" s="1569"/>
      <c r="E56" s="1569"/>
      <c r="F56" s="1569"/>
      <c r="G56" s="1569"/>
      <c r="H56" s="1569"/>
      <c r="I56" s="1569"/>
      <c r="J56" s="1569"/>
      <c r="K56" s="1569"/>
      <c r="L56" s="1569"/>
      <c r="M56" s="1569"/>
      <c r="N56" s="1569"/>
      <c r="O56" s="1569"/>
      <c r="P56" s="1569"/>
      <c r="Q56" s="1569"/>
      <c r="R56" s="1569"/>
      <c r="S56" s="1569"/>
      <c r="T56" s="1569"/>
      <c r="U56" s="1569"/>
      <c r="V56" s="1569"/>
      <c r="W56" s="1569"/>
      <c r="X56" s="1569"/>
      <c r="Y56" s="1569"/>
      <c r="Z56" s="1569"/>
      <c r="AA56" s="1569"/>
      <c r="AB56" s="1569"/>
      <c r="AC56" s="1569"/>
      <c r="AD56" s="1569"/>
      <c r="AE56" s="1569"/>
      <c r="AF56" s="1569"/>
      <c r="AG56" s="1569"/>
      <c r="AH56" s="1569"/>
      <c r="AI56" s="1569"/>
      <c r="AJ56" s="1569"/>
      <c r="AK56" s="1569"/>
      <c r="AL56" s="1569"/>
      <c r="AM56" s="1569"/>
      <c r="AN56" s="1569"/>
      <c r="AO56" s="1569"/>
      <c r="AP56" s="1569"/>
      <c r="AQ56" s="1569"/>
      <c r="AR56" s="1569"/>
      <c r="AS56" s="1569"/>
      <c r="AT56" s="1569"/>
      <c r="AU56" s="1569"/>
      <c r="AV56" s="1569"/>
      <c r="AW56" s="1569"/>
      <c r="AX56" s="1569"/>
      <c r="AY56" s="1569"/>
      <c r="AZ56" s="1569"/>
      <c r="BA56" s="1569"/>
      <c r="BB56" s="1569"/>
      <c r="BC56" s="1569"/>
      <c r="BD56" s="1569"/>
      <c r="BE56" s="1569"/>
      <c r="BF56" s="1569"/>
      <c r="BG56" s="1569"/>
      <c r="BH56" s="1569"/>
      <c r="BI56" s="1569"/>
      <c r="BJ56" s="1569"/>
      <c r="BK56" s="1569"/>
      <c r="BL56" s="1569"/>
      <c r="BM56" s="1569"/>
      <c r="BN56" s="1569"/>
      <c r="BO56" s="1569"/>
      <c r="BP56" s="1569"/>
      <c r="BQ56" s="1569"/>
      <c r="BR56" s="1569"/>
      <c r="BS56" s="1569"/>
      <c r="BT56" s="1569"/>
      <c r="BU56" s="1569"/>
      <c r="BV56" s="1569"/>
      <c r="BW56" s="1569"/>
      <c r="BX56" s="1569"/>
      <c r="BY56" s="1569"/>
      <c r="BZ56" s="1569"/>
      <c r="CA56" s="1569"/>
      <c r="CB56" s="1569"/>
      <c r="CC56" s="1569"/>
      <c r="CD56" s="1569"/>
      <c r="CE56" s="1569"/>
      <c r="CF56" s="1569"/>
      <c r="CG56" s="1569"/>
      <c r="CH56" s="1569"/>
      <c r="CI56" s="1569"/>
      <c r="CJ56" s="1569"/>
      <c r="CK56" s="1569"/>
      <c r="CL56" s="1569"/>
      <c r="CM56" s="1569"/>
      <c r="CN56" s="1569"/>
      <c r="CO56" s="1569"/>
      <c r="CP56" s="1569"/>
      <c r="CQ56" s="1569"/>
      <c r="CR56" s="1569"/>
      <c r="CS56" s="1569"/>
      <c r="CT56" s="1569"/>
      <c r="CU56" s="1569"/>
      <c r="CV56" s="1569"/>
      <c r="CW56" s="1569"/>
      <c r="CX56" s="1569"/>
      <c r="CY56" s="1569"/>
      <c r="CZ56" s="1569"/>
      <c r="DA56" s="1569"/>
      <c r="DB56" s="1569"/>
      <c r="DC56" s="1569"/>
      <c r="DD56" s="1569"/>
      <c r="DE56" s="1569"/>
      <c r="DF56" s="1900"/>
      <c r="DG56" s="1569"/>
      <c r="DH56" s="1569"/>
      <c r="DI56" s="1569"/>
      <c r="DJ56" s="1569"/>
      <c r="DK56" s="1900"/>
      <c r="DL56" s="1569"/>
      <c r="DM56" s="1569"/>
      <c r="DN56" s="1569"/>
      <c r="DO56" s="1569"/>
      <c r="DP56" s="1900"/>
      <c r="DQ56" s="1569"/>
      <c r="DR56" s="1569"/>
      <c r="DS56" s="1569"/>
      <c r="DT56" s="1569"/>
      <c r="DU56" s="1900"/>
      <c r="DV56" s="1569"/>
      <c r="DW56" s="1569"/>
      <c r="DX56" s="1569"/>
      <c r="DY56" s="1569"/>
      <c r="DZ56" s="1900"/>
      <c r="EA56" s="1569"/>
      <c r="EB56" s="1569"/>
      <c r="EC56" s="1569"/>
      <c r="ED56" s="1569"/>
      <c r="EE56" s="1900"/>
    </row>
    <row r="57" spans="1:238" ht="12.75" customHeight="1">
      <c r="B57" s="1978" t="s">
        <v>232</v>
      </c>
      <c r="C57" s="1569"/>
      <c r="D57" s="1569"/>
      <c r="E57" s="1569"/>
      <c r="F57" s="1569"/>
      <c r="G57" s="1569"/>
      <c r="H57" s="1569"/>
      <c r="I57" s="1569"/>
      <c r="J57" s="1569"/>
      <c r="K57" s="1569"/>
      <c r="L57" s="1569"/>
      <c r="M57" s="1569"/>
      <c r="N57" s="1569"/>
      <c r="O57" s="1569"/>
      <c r="P57" s="1569"/>
      <c r="Q57" s="1569"/>
      <c r="R57" s="1569"/>
      <c r="S57" s="1569"/>
      <c r="T57" s="1569"/>
      <c r="U57" s="1569"/>
      <c r="V57" s="1569"/>
      <c r="W57" s="1569"/>
      <c r="X57" s="1569"/>
      <c r="Y57" s="1569"/>
      <c r="Z57" s="1569"/>
      <c r="AA57" s="1569"/>
      <c r="AB57" s="1569"/>
      <c r="AC57" s="1569"/>
      <c r="AD57" s="1569"/>
      <c r="AE57" s="1569"/>
      <c r="AF57" s="1569"/>
      <c r="AG57" s="1569"/>
      <c r="AH57" s="1569"/>
      <c r="AI57" s="1569"/>
      <c r="AJ57" s="1569"/>
      <c r="AK57" s="1569"/>
      <c r="AL57" s="1569"/>
      <c r="AM57" s="1569"/>
      <c r="AN57" s="1569"/>
      <c r="AO57" s="1569"/>
      <c r="AP57" s="1569"/>
      <c r="AQ57" s="1569"/>
      <c r="AR57" s="1569"/>
      <c r="AS57" s="1569"/>
      <c r="AT57" s="1569"/>
      <c r="AU57" s="1569"/>
      <c r="AV57" s="1569"/>
      <c r="AW57" s="1569"/>
      <c r="AX57" s="1569"/>
      <c r="AY57" s="1569"/>
      <c r="AZ57" s="1569"/>
      <c r="BA57" s="1569"/>
      <c r="BB57" s="1569"/>
      <c r="BC57" s="1569"/>
      <c r="BD57" s="1569"/>
      <c r="BE57" s="1569"/>
      <c r="BF57" s="1569"/>
      <c r="BG57" s="1569"/>
      <c r="BH57" s="1569"/>
      <c r="BI57" s="1569"/>
      <c r="BJ57" s="1569"/>
      <c r="BK57" s="1569"/>
      <c r="BL57" s="1569"/>
      <c r="BM57" s="1569"/>
      <c r="BN57" s="1569"/>
      <c r="BO57" s="1569"/>
      <c r="BP57" s="1569"/>
      <c r="BQ57" s="1569"/>
      <c r="BR57" s="1569"/>
      <c r="BS57" s="1569"/>
      <c r="BT57" s="1569"/>
      <c r="BU57" s="1569"/>
      <c r="BV57" s="1569"/>
      <c r="BW57" s="1569"/>
      <c r="BX57" s="1569"/>
      <c r="BY57" s="1569"/>
      <c r="BZ57" s="1569"/>
      <c r="CA57" s="1569"/>
      <c r="CB57" s="1569"/>
      <c r="CC57" s="1569"/>
      <c r="CD57" s="1569"/>
      <c r="CE57" s="1569"/>
      <c r="CF57" s="1569"/>
      <c r="CG57" s="1569"/>
      <c r="CH57" s="1569"/>
      <c r="CI57" s="1569"/>
      <c r="CJ57" s="1569"/>
      <c r="CK57" s="1569"/>
      <c r="CL57" s="1569"/>
      <c r="CM57" s="1569"/>
      <c r="CN57" s="1569"/>
      <c r="CO57" s="1569"/>
      <c r="CP57" s="1569"/>
      <c r="CQ57" s="1569"/>
      <c r="CR57" s="1569"/>
      <c r="CS57" s="1569"/>
      <c r="CT57" s="1569"/>
      <c r="CU57" s="1569"/>
      <c r="CV57" s="1569"/>
      <c r="CW57" s="1569"/>
      <c r="CX57" s="1569"/>
      <c r="CY57" s="1569"/>
      <c r="CZ57" s="1569"/>
      <c r="DA57" s="1569"/>
      <c r="DB57" s="1569"/>
      <c r="DC57" s="1980">
        <f t="shared" ref="DC57:DH57" si="71">DC15/DC13</f>
        <v>0.37332672285572632</v>
      </c>
      <c r="DD57" s="1980">
        <f t="shared" si="71"/>
        <v>0.43113587124729186</v>
      </c>
      <c r="DE57" s="1980">
        <f t="shared" si="71"/>
        <v>0.43326488706365501</v>
      </c>
      <c r="DF57" s="2088">
        <f t="shared" si="71"/>
        <v>0.41850525586230797</v>
      </c>
      <c r="DG57" s="1980">
        <f t="shared" si="71"/>
        <v>0.43509684880023131</v>
      </c>
      <c r="DH57" s="1980">
        <f t="shared" si="71"/>
        <v>0.41797628894403088</v>
      </c>
      <c r="DI57" s="1980">
        <f t="shared" ref="DI57" si="72">DI15/DI13</f>
        <v>0.43486590038314177</v>
      </c>
      <c r="DJ57" s="1980">
        <f t="shared" ref="DJ57:DL57" si="73">DJ15/DJ13</f>
        <v>0.42789915966386555</v>
      </c>
      <c r="DK57" s="2088">
        <f>DK15/DK13</f>
        <v>0.42871219586144166</v>
      </c>
      <c r="DL57" s="1980">
        <f t="shared" si="73"/>
        <v>0.39669142471303176</v>
      </c>
      <c r="DM57" s="1980">
        <f t="shared" ref="DM57:DN57" si="74">DM15/DM13</f>
        <v>0.38826185101580135</v>
      </c>
      <c r="DN57" s="1980">
        <f t="shared" si="74"/>
        <v>0.408686365254539</v>
      </c>
      <c r="DO57" s="1980">
        <f t="shared" ref="DO57:DQ57" si="75">DO15/DO13</f>
        <v>0.41686501190071407</v>
      </c>
      <c r="DP57" s="2088">
        <f>DP15/DP13</f>
        <v>0.40235333954118346</v>
      </c>
      <c r="DQ57" s="1980">
        <f t="shared" si="75"/>
        <v>0.39701589361012002</v>
      </c>
      <c r="DR57" s="2075">
        <f>DM57</f>
        <v>0.38826185101580135</v>
      </c>
      <c r="DS57" s="2075">
        <f t="shared" ref="DS57:DT57" si="76">DN57</f>
        <v>0.408686365254539</v>
      </c>
      <c r="DT57" s="2075">
        <f t="shared" si="76"/>
        <v>0.41686501190071407</v>
      </c>
      <c r="DU57" s="2088">
        <f>DU15/DU13</f>
        <v>0.40235868223958909</v>
      </c>
      <c r="DV57" s="2075">
        <f>DQ57</f>
        <v>0.39701589361012002</v>
      </c>
      <c r="DW57" s="2075">
        <f>DR57</f>
        <v>0.38826185101580135</v>
      </c>
      <c r="DX57" s="2075">
        <f>DS57</f>
        <v>0.408686365254539</v>
      </c>
      <c r="DY57" s="2075">
        <f>DT57</f>
        <v>0.41686501190071407</v>
      </c>
      <c r="DZ57" s="2088">
        <f>DZ15/DZ13</f>
        <v>0.40235884105810671</v>
      </c>
      <c r="EA57" s="2075">
        <f>DV57</f>
        <v>0.39701589361012002</v>
      </c>
      <c r="EB57" s="2075">
        <f>DW57</f>
        <v>0.38826185101580135</v>
      </c>
      <c r="EC57" s="2075">
        <f>DX57</f>
        <v>0.408686365254539</v>
      </c>
      <c r="ED57" s="2075">
        <f>DY57</f>
        <v>0.41686501190071407</v>
      </c>
      <c r="EE57" s="2088">
        <f>EE15/EE13</f>
        <v>0.40235872911962173</v>
      </c>
    </row>
    <row r="58" spans="1:238" ht="12.75" hidden="1" customHeight="1" outlineLevel="1">
      <c r="B58" s="1978" t="s">
        <v>538</v>
      </c>
      <c r="C58" s="1569"/>
      <c r="D58" s="1569"/>
      <c r="E58" s="1569"/>
      <c r="F58" s="1569"/>
      <c r="G58" s="1569"/>
      <c r="H58" s="1569"/>
      <c r="I58" s="1569"/>
      <c r="J58" s="1569"/>
      <c r="K58" s="1569"/>
      <c r="L58" s="1569"/>
      <c r="M58" s="1569"/>
      <c r="N58" s="1569"/>
      <c r="O58" s="1569"/>
      <c r="P58" s="1569"/>
      <c r="Q58" s="1569"/>
      <c r="R58" s="1569"/>
      <c r="S58" s="1569"/>
      <c r="T58" s="1569"/>
      <c r="U58" s="1569"/>
      <c r="V58" s="1569"/>
      <c r="W58" s="1569"/>
      <c r="X58" s="1569"/>
      <c r="Y58" s="1569"/>
      <c r="Z58" s="1569"/>
      <c r="AA58" s="1569"/>
      <c r="AB58" s="1569"/>
      <c r="AC58" s="1569"/>
      <c r="AD58" s="1569"/>
      <c r="AE58" s="1569"/>
      <c r="AF58" s="1569"/>
      <c r="AG58" s="1569"/>
      <c r="AH58" s="1569"/>
      <c r="AI58" s="1569"/>
      <c r="AJ58" s="1569"/>
      <c r="AK58" s="1569"/>
      <c r="AL58" s="1569"/>
      <c r="AM58" s="1569"/>
      <c r="AN58" s="1569"/>
      <c r="AO58" s="1569"/>
      <c r="AP58" s="1569"/>
      <c r="AQ58" s="1569"/>
      <c r="AR58" s="1569"/>
      <c r="AS58" s="1569"/>
      <c r="AT58" s="1569"/>
      <c r="AU58" s="1569"/>
      <c r="AV58" s="1569"/>
      <c r="AW58" s="1569"/>
      <c r="AX58" s="1569"/>
      <c r="AY58" s="1569"/>
      <c r="AZ58" s="1569"/>
      <c r="BA58" s="1569"/>
      <c r="BB58" s="1569"/>
      <c r="BC58" s="1569"/>
      <c r="BD58" s="1569"/>
      <c r="BE58" s="1569"/>
      <c r="BF58" s="1569"/>
      <c r="BG58" s="1569"/>
      <c r="BH58" s="1569"/>
      <c r="BI58" s="1569"/>
      <c r="BJ58" s="1569"/>
      <c r="BK58" s="1569"/>
      <c r="BL58" s="1569"/>
      <c r="BM58" s="1569"/>
      <c r="BN58" s="1569"/>
      <c r="BO58" s="1569"/>
      <c r="BP58" s="1569"/>
      <c r="BQ58" s="1569"/>
      <c r="BR58" s="1569"/>
      <c r="BS58" s="1569"/>
      <c r="BT58" s="1569"/>
      <c r="BU58" s="1569"/>
      <c r="BV58" s="1569"/>
      <c r="BW58" s="1569"/>
      <c r="BX58" s="1569"/>
      <c r="BY58" s="1569"/>
      <c r="BZ58" s="1569"/>
      <c r="CA58" s="1569"/>
      <c r="CB58" s="1569"/>
      <c r="CC58" s="1569"/>
      <c r="CD58" s="1569"/>
      <c r="CE58" s="1569"/>
      <c r="CF58" s="1569"/>
      <c r="CG58" s="1569"/>
      <c r="CH58" s="1569"/>
      <c r="CI58" s="1569"/>
      <c r="CJ58" s="1569"/>
      <c r="CK58" s="1569"/>
      <c r="CL58" s="1569"/>
      <c r="CM58" s="1569"/>
      <c r="CN58" s="1569"/>
      <c r="CO58" s="1569"/>
      <c r="CP58" s="1569"/>
      <c r="CQ58" s="1569"/>
      <c r="CR58" s="1569"/>
      <c r="CS58" s="1569"/>
      <c r="CT58" s="1569"/>
      <c r="CU58" s="1569"/>
      <c r="CV58" s="1569"/>
      <c r="CW58" s="1569"/>
      <c r="CX58" s="1569"/>
      <c r="CY58" s="1569"/>
      <c r="CZ58" s="1569"/>
      <c r="DA58" s="1569"/>
      <c r="DB58" s="1569"/>
      <c r="DC58" s="1980">
        <f t="shared" ref="DC58:DU58" si="77">DC17/DC13</f>
        <v>0.37332672285572632</v>
      </c>
      <c r="DD58" s="1980">
        <f t="shared" si="77"/>
        <v>0.43113587124729186</v>
      </c>
      <c r="DE58" s="1980">
        <f t="shared" si="77"/>
        <v>0.43326488706365501</v>
      </c>
      <c r="DF58" s="2088">
        <f t="shared" si="77"/>
        <v>0.41850525586230797</v>
      </c>
      <c r="DG58" s="1980">
        <f t="shared" si="77"/>
        <v>0.43509684880023131</v>
      </c>
      <c r="DH58" s="1980">
        <f t="shared" ref="DH58:DI58" si="78">DH17/DH13</f>
        <v>0.41797628894403088</v>
      </c>
      <c r="DI58" s="1980">
        <f t="shared" si="78"/>
        <v>0.43486590038314177</v>
      </c>
      <c r="DJ58" s="1980">
        <f t="shared" ref="DJ58:DL58" si="79">DJ17/DJ13</f>
        <v>0.42789915966386555</v>
      </c>
      <c r="DK58" s="2088">
        <f t="shared" si="77"/>
        <v>0.42871219586144166</v>
      </c>
      <c r="DL58" s="1980">
        <f t="shared" si="79"/>
        <v>0.39669142471303176</v>
      </c>
      <c r="DM58" s="1980">
        <f t="shared" ref="DM58:DN58" si="80">DM17/DM13</f>
        <v>0.38826185101580135</v>
      </c>
      <c r="DN58" s="1980">
        <f t="shared" si="80"/>
        <v>0.408686365254539</v>
      </c>
      <c r="DO58" s="1980">
        <f t="shared" ref="DO58:DQ58" si="81">DO17/DO13</f>
        <v>0.41686501190071407</v>
      </c>
      <c r="DP58" s="2088">
        <f t="shared" si="77"/>
        <v>0.40235333954118346</v>
      </c>
      <c r="DQ58" s="1980">
        <f t="shared" si="81"/>
        <v>0.39701589361012002</v>
      </c>
      <c r="DR58" s="1980">
        <f t="shared" si="77"/>
        <v>0.38826185101580135</v>
      </c>
      <c r="DS58" s="1980">
        <f t="shared" si="77"/>
        <v>0.40868636525453905</v>
      </c>
      <c r="DT58" s="1980">
        <f t="shared" si="77"/>
        <v>0.41686501190071401</v>
      </c>
      <c r="DU58" s="2088">
        <f t="shared" si="77"/>
        <v>0.40235868223958909</v>
      </c>
      <c r="DV58" s="1980">
        <f t="shared" ref="DV58:DZ58" si="82">DV17/DV13</f>
        <v>0.39701589361011996</v>
      </c>
      <c r="DW58" s="1980">
        <f t="shared" si="82"/>
        <v>0.38826185101580135</v>
      </c>
      <c r="DX58" s="1980">
        <f t="shared" si="82"/>
        <v>0.408686365254539</v>
      </c>
      <c r="DY58" s="1980">
        <f t="shared" si="82"/>
        <v>0.41686501190071401</v>
      </c>
      <c r="DZ58" s="2088">
        <f t="shared" si="82"/>
        <v>0.40235884105810671</v>
      </c>
      <c r="EA58" s="1980">
        <f t="shared" ref="EA58:EE58" si="83">EA17/EA13</f>
        <v>0.39701589361012002</v>
      </c>
      <c r="EB58" s="1980">
        <f t="shared" si="83"/>
        <v>0.3882618510158013</v>
      </c>
      <c r="EC58" s="1980">
        <f t="shared" si="83"/>
        <v>0.408686365254539</v>
      </c>
      <c r="ED58" s="1980">
        <f t="shared" si="83"/>
        <v>0.41686501190071407</v>
      </c>
      <c r="EE58" s="2088">
        <f t="shared" si="83"/>
        <v>0.40235872911962173</v>
      </c>
    </row>
    <row r="59" spans="1:238" collapsed="1">
      <c r="A59" s="277"/>
      <c r="B59" s="1978" t="s">
        <v>233</v>
      </c>
      <c r="C59" s="1569"/>
      <c r="D59" s="1569"/>
      <c r="E59" s="1569"/>
      <c r="F59" s="1569"/>
      <c r="G59" s="1569"/>
      <c r="H59" s="1569"/>
      <c r="I59" s="1569"/>
      <c r="J59" s="1569"/>
      <c r="K59" s="1569"/>
      <c r="L59" s="1569"/>
      <c r="M59" s="1569"/>
      <c r="N59" s="1569"/>
      <c r="O59" s="1569"/>
      <c r="P59" s="1569"/>
      <c r="Q59" s="1569"/>
      <c r="R59" s="1569"/>
      <c r="S59" s="1569"/>
      <c r="T59" s="1569"/>
      <c r="U59" s="1569"/>
      <c r="V59" s="1569"/>
      <c r="W59" s="1569"/>
      <c r="X59" s="1569"/>
      <c r="Y59" s="1569"/>
      <c r="Z59" s="1569"/>
      <c r="AA59" s="1569"/>
      <c r="AB59" s="1569"/>
      <c r="AC59" s="1569"/>
      <c r="AD59" s="1569"/>
      <c r="AE59" s="1569"/>
      <c r="AF59" s="1569"/>
      <c r="AG59" s="1569"/>
      <c r="AH59" s="1569"/>
      <c r="AI59" s="1569"/>
      <c r="AJ59" s="1569"/>
      <c r="AK59" s="1569"/>
      <c r="AL59" s="1569"/>
      <c r="AM59" s="1569"/>
      <c r="AN59" s="1569"/>
      <c r="AO59" s="1569"/>
      <c r="AP59" s="1569"/>
      <c r="AQ59" s="1569"/>
      <c r="AR59" s="1569"/>
      <c r="AS59" s="1569"/>
      <c r="AT59" s="1569"/>
      <c r="AU59" s="1569"/>
      <c r="AV59" s="1569"/>
      <c r="AW59" s="1569"/>
      <c r="AX59" s="1569"/>
      <c r="AY59" s="1569"/>
      <c r="AZ59" s="1569"/>
      <c r="BA59" s="1569"/>
      <c r="BB59" s="1569"/>
      <c r="BC59" s="1569"/>
      <c r="BD59" s="1569"/>
      <c r="BE59" s="1569"/>
      <c r="BF59" s="1569"/>
      <c r="BG59" s="1569"/>
      <c r="BH59" s="1569"/>
      <c r="BI59" s="1569"/>
      <c r="BJ59" s="1569"/>
      <c r="BK59" s="1569"/>
      <c r="BL59" s="1569"/>
      <c r="BM59" s="1569"/>
      <c r="BN59" s="1569"/>
      <c r="BO59" s="1569"/>
      <c r="BP59" s="1569"/>
      <c r="BQ59" s="1569"/>
      <c r="BR59" s="1569"/>
      <c r="BS59" s="1569"/>
      <c r="BT59" s="1569"/>
      <c r="BU59" s="1569"/>
      <c r="BV59" s="1569"/>
      <c r="BW59" s="1569"/>
      <c r="BX59" s="1569"/>
      <c r="BY59" s="1569"/>
      <c r="BZ59" s="1569"/>
      <c r="CA59" s="1569"/>
      <c r="CB59" s="1569"/>
      <c r="CC59" s="1569"/>
      <c r="CD59" s="1569"/>
      <c r="CE59" s="1569"/>
      <c r="CF59" s="1569"/>
      <c r="CG59" s="1272"/>
      <c r="CH59" s="1569"/>
      <c r="CI59" s="1569"/>
      <c r="CJ59" s="1569"/>
      <c r="CK59" s="1569"/>
      <c r="CL59" s="1272"/>
      <c r="CM59" s="1569"/>
      <c r="CN59" s="1569"/>
      <c r="CO59" s="1569"/>
      <c r="CP59" s="1569"/>
      <c r="CQ59" s="1272"/>
      <c r="CR59" s="1569"/>
      <c r="CS59" s="1569"/>
      <c r="CT59" s="1569"/>
      <c r="CU59" s="1569"/>
      <c r="CV59" s="1272"/>
      <c r="CW59" s="1980"/>
      <c r="CX59" s="1980"/>
      <c r="CY59" s="1980"/>
      <c r="CZ59" s="1980"/>
      <c r="DA59" s="1980"/>
      <c r="DB59" s="1980"/>
      <c r="DC59" s="1980">
        <f t="shared" ref="DC59:DH59" si="84">DC19/DC13</f>
        <v>0.36936043629152204</v>
      </c>
      <c r="DD59" s="1980">
        <f t="shared" si="84"/>
        <v>0.36768802228412256</v>
      </c>
      <c r="DE59" s="1980">
        <f t="shared" si="84"/>
        <v>0.36227632736872983</v>
      </c>
      <c r="DF59" s="2088">
        <f t="shared" si="84"/>
        <v>0.36594663278271916</v>
      </c>
      <c r="DG59" s="1980">
        <f t="shared" si="84"/>
        <v>0.34778837814397223</v>
      </c>
      <c r="DH59" s="1980">
        <f t="shared" si="84"/>
        <v>0.32561345464571273</v>
      </c>
      <c r="DI59" s="1980">
        <f t="shared" ref="DI59" si="85">DI19/DI13</f>
        <v>0.36366538952745847</v>
      </c>
      <c r="DJ59" s="1980">
        <f t="shared" ref="DJ59:DL59" si="86">DJ19/DJ13</f>
        <v>0.35899159663865549</v>
      </c>
      <c r="DK59" s="2088">
        <f>DK19/DK13</f>
        <v>0.34798756916546653</v>
      </c>
      <c r="DL59" s="1980">
        <f t="shared" si="86"/>
        <v>0.33524645509790679</v>
      </c>
      <c r="DM59" s="1980">
        <f t="shared" ref="DM59:DN59" si="87">DM19/DM13</f>
        <v>0.32441148016768784</v>
      </c>
      <c r="DN59" s="1980">
        <f t="shared" si="87"/>
        <v>0.35813456746173017</v>
      </c>
      <c r="DO59" s="1980">
        <f t="shared" ref="DO59:DQ59" si="88">DO19/DO13</f>
        <v>0.34240054403264197</v>
      </c>
      <c r="DP59" s="2088">
        <f>DP19/DP13</f>
        <v>0.33962583594345214</v>
      </c>
      <c r="DQ59" s="1980">
        <f t="shared" si="88"/>
        <v>0.33733376581252028</v>
      </c>
      <c r="DR59" s="2075">
        <f>DM59+0.005</f>
        <v>0.32941148016768784</v>
      </c>
      <c r="DS59" s="2075">
        <f t="shared" ref="DS59:DT59" si="89">DN59-0.005</f>
        <v>0.35313456746173016</v>
      </c>
      <c r="DT59" s="2075">
        <f t="shared" si="89"/>
        <v>0.33740054403264197</v>
      </c>
      <c r="DU59" s="2088">
        <f>DU19/DU13</f>
        <v>0.33902760996056203</v>
      </c>
      <c r="DV59" s="2075">
        <f>DQ59</f>
        <v>0.33733376581252028</v>
      </c>
      <c r="DW59" s="2075">
        <f>DR59</f>
        <v>0.32941148016768784</v>
      </c>
      <c r="DX59" s="2075">
        <f>DS59</f>
        <v>0.35313456746173016</v>
      </c>
      <c r="DY59" s="2075">
        <f>DT59</f>
        <v>0.33740054403264197</v>
      </c>
      <c r="DZ59" s="2088">
        <f>DZ19/DZ13</f>
        <v>0.3390276618259499</v>
      </c>
      <c r="EA59" s="2075">
        <f>DV59</f>
        <v>0.33733376581252028</v>
      </c>
      <c r="EB59" s="2075">
        <f>DW59</f>
        <v>0.32941148016768784</v>
      </c>
      <c r="EC59" s="2075">
        <f>DX59</f>
        <v>0.35313456746173016</v>
      </c>
      <c r="ED59" s="2075">
        <f>DY59</f>
        <v>0.33740054403264197</v>
      </c>
      <c r="EE59" s="2088">
        <f>EE19/EE13</f>
        <v>0.33902762783199319</v>
      </c>
    </row>
    <row r="60" spans="1:238" ht="12" thickBot="1">
      <c r="B60" s="1981" t="s">
        <v>211</v>
      </c>
      <c r="C60" s="1897"/>
      <c r="D60" s="1897"/>
      <c r="E60" s="1897"/>
      <c r="F60" s="1897"/>
      <c r="G60" s="1897"/>
      <c r="H60" s="1897"/>
      <c r="I60" s="1897"/>
      <c r="J60" s="1897"/>
      <c r="K60" s="1897"/>
      <c r="L60" s="1897"/>
      <c r="M60" s="1897"/>
      <c r="N60" s="1897"/>
      <c r="O60" s="1897"/>
      <c r="P60" s="1897"/>
      <c r="Q60" s="1897"/>
      <c r="R60" s="1897"/>
      <c r="S60" s="1897"/>
      <c r="T60" s="1897"/>
      <c r="U60" s="1897"/>
      <c r="V60" s="1897"/>
      <c r="W60" s="1897"/>
      <c r="X60" s="1897"/>
      <c r="Y60" s="1897"/>
      <c r="Z60" s="1897"/>
      <c r="AA60" s="1897"/>
      <c r="AB60" s="1897"/>
      <c r="AC60" s="1897"/>
      <c r="AD60" s="1897"/>
      <c r="AE60" s="1897"/>
      <c r="AF60" s="1897"/>
      <c r="AG60" s="1897"/>
      <c r="AH60" s="1897"/>
      <c r="AI60" s="1897"/>
      <c r="AJ60" s="1897"/>
      <c r="AK60" s="1897"/>
      <c r="AL60" s="1897"/>
      <c r="AM60" s="1897"/>
      <c r="AN60" s="1897"/>
      <c r="AO60" s="1897"/>
      <c r="AP60" s="1897"/>
      <c r="AQ60" s="1897"/>
      <c r="AR60" s="1897"/>
      <c r="AS60" s="1897"/>
      <c r="AT60" s="1897"/>
      <c r="AU60" s="1897"/>
      <c r="AV60" s="1897"/>
      <c r="AW60" s="1897"/>
      <c r="AX60" s="1897"/>
      <c r="AY60" s="1897"/>
      <c r="AZ60" s="1897"/>
      <c r="BA60" s="1897"/>
      <c r="BB60" s="1897"/>
      <c r="BC60" s="1897"/>
      <c r="BD60" s="1897"/>
      <c r="BE60" s="1897"/>
      <c r="BF60" s="1897"/>
      <c r="BG60" s="1897"/>
      <c r="BH60" s="1897"/>
      <c r="BI60" s="1897"/>
      <c r="BJ60" s="1897"/>
      <c r="BK60" s="1897"/>
      <c r="BL60" s="1897"/>
      <c r="BM60" s="1897"/>
      <c r="BN60" s="1897"/>
      <c r="BO60" s="1897"/>
      <c r="BP60" s="1897"/>
      <c r="BQ60" s="1897"/>
      <c r="BR60" s="1897"/>
      <c r="BS60" s="1897"/>
      <c r="BT60" s="1897"/>
      <c r="BU60" s="1897"/>
      <c r="BV60" s="1897"/>
      <c r="BW60" s="1897"/>
      <c r="BX60" s="1897"/>
      <c r="BY60" s="1897"/>
      <c r="BZ60" s="1897"/>
      <c r="CA60" s="1897"/>
      <c r="CB60" s="1897"/>
      <c r="CC60" s="1897"/>
      <c r="CD60" s="1897"/>
      <c r="CE60" s="1897"/>
      <c r="CF60" s="1897"/>
      <c r="CG60" s="1897"/>
      <c r="CH60" s="1897"/>
      <c r="CI60" s="1897"/>
      <c r="CJ60" s="1897"/>
      <c r="CK60" s="1897"/>
      <c r="CL60" s="1897"/>
      <c r="CM60" s="1897"/>
      <c r="CN60" s="1897"/>
      <c r="CO60" s="1897"/>
      <c r="CP60" s="1897"/>
      <c r="CQ60" s="1897"/>
      <c r="CR60" s="1897"/>
      <c r="CS60" s="1897"/>
      <c r="CT60" s="1897"/>
      <c r="CU60" s="1897"/>
      <c r="CV60" s="1897"/>
      <c r="CW60" s="1982"/>
      <c r="CX60" s="1982"/>
      <c r="CY60" s="1982"/>
      <c r="CZ60" s="1982"/>
      <c r="DA60" s="1982"/>
      <c r="DB60" s="1982"/>
      <c r="DC60" s="1982">
        <f t="shared" ref="DC60:DU60" si="90">DC26/DC13</f>
        <v>6.1973227565691624E-2</v>
      </c>
      <c r="DD60" s="1982">
        <f t="shared" si="90"/>
        <v>7.7065923862581251E-2</v>
      </c>
      <c r="DE60" s="1982">
        <f t="shared" si="90"/>
        <v>7.0988559694925193E-2</v>
      </c>
      <c r="DF60" s="2089">
        <f t="shared" si="90"/>
        <v>7.1156289707750953E-2</v>
      </c>
      <c r="DG60" s="1982">
        <f t="shared" si="90"/>
        <v>9.1066782307025154E-2</v>
      </c>
      <c r="DH60" s="1982">
        <f t="shared" ref="DH60:DI60" si="91">DH26/DH13</f>
        <v>9.2362834298318167E-2</v>
      </c>
      <c r="DI60" s="1982">
        <f t="shared" si="91"/>
        <v>8.2375478927203066E-2</v>
      </c>
      <c r="DJ60" s="1982">
        <f t="shared" ref="DJ60:DL60" si="92">DJ26/DJ13</f>
        <v>8.3025210084033615E-2</v>
      </c>
      <c r="DK60" s="2089">
        <f t="shared" si="90"/>
        <v>8.7546426135071631E-2</v>
      </c>
      <c r="DL60" s="1982">
        <f t="shared" si="92"/>
        <v>7.1910871033085758E-2</v>
      </c>
      <c r="DM60" s="1982">
        <f t="shared" ref="DM60:DN60" si="93">DM26/DM13</f>
        <v>7.8039342147694299E-2</v>
      </c>
      <c r="DN60" s="1982">
        <f t="shared" si="93"/>
        <v>6.8707725169099329E-2</v>
      </c>
      <c r="DO60" s="1982">
        <f t="shared" ref="DO60:DQ60" si="94">DO26/DO13</f>
        <v>8.8745324719483168E-2</v>
      </c>
      <c r="DP60" s="2089">
        <f t="shared" si="90"/>
        <v>7.6949123846609666E-2</v>
      </c>
      <c r="DQ60" s="1982">
        <f t="shared" si="94"/>
        <v>6.8115471942912745E-2</v>
      </c>
      <c r="DR60" s="1982">
        <f t="shared" si="90"/>
        <v>6.6317237089578679E-2</v>
      </c>
      <c r="DS60" s="1982">
        <f t="shared" si="90"/>
        <v>6.3915704878197838E-2</v>
      </c>
      <c r="DT60" s="1982">
        <f t="shared" si="90"/>
        <v>8.768380261241103E-2</v>
      </c>
      <c r="DU60" s="2089">
        <f t="shared" si="90"/>
        <v>7.1432705487654929E-2</v>
      </c>
      <c r="DV60" s="1982">
        <f t="shared" ref="DV60:DZ60" si="95">DV26/DV13</f>
        <v>6.7816337377991545E-2</v>
      </c>
      <c r="DW60" s="1982">
        <f t="shared" si="95"/>
        <v>6.6050938143174892E-2</v>
      </c>
      <c r="DX60" s="1982">
        <f t="shared" si="95"/>
        <v>6.3617505694358756E-2</v>
      </c>
      <c r="DY60" s="1982">
        <f t="shared" si="95"/>
        <v>8.7390847891282902E-2</v>
      </c>
      <c r="DZ60" s="2089">
        <f t="shared" si="95"/>
        <v>7.1144317166773649E-2</v>
      </c>
      <c r="EA60" s="1982">
        <f t="shared" ref="EA60:EE60" si="96">EA26/EA13</f>
        <v>6.7526505480792975E-2</v>
      </c>
      <c r="EB60" s="1982">
        <f t="shared" si="96"/>
        <v>6.579445139697615E-2</v>
      </c>
      <c r="EC60" s="1982">
        <f t="shared" si="96"/>
        <v>6.3330289780137564E-2</v>
      </c>
      <c r="ED60" s="1982">
        <f t="shared" si="96"/>
        <v>8.7108679023142677E-2</v>
      </c>
      <c r="EE60" s="2089">
        <f t="shared" si="96"/>
        <v>7.086597427621702E-2</v>
      </c>
    </row>
    <row r="61" spans="1:238">
      <c r="CW61" s="1689"/>
      <c r="CX61" s="1689"/>
      <c r="CY61" s="1689"/>
      <c r="CZ61" s="1689"/>
      <c r="DA61" s="1689"/>
      <c r="DB61" s="1689"/>
      <c r="DC61" s="1689"/>
      <c r="DD61" s="1689"/>
      <c r="DE61" s="1689"/>
      <c r="DK61" s="1689"/>
      <c r="DL61" s="1689"/>
      <c r="DM61" s="1689"/>
      <c r="DN61" s="1689"/>
      <c r="DO61" s="1689"/>
      <c r="DP61" s="1689"/>
      <c r="DQ61" s="1689"/>
      <c r="DR61" s="1689"/>
      <c r="DS61" s="1689"/>
      <c r="DT61" s="1689"/>
      <c r="DU61" s="1689"/>
      <c r="DV61" s="1689"/>
      <c r="DW61" s="1689"/>
      <c r="DX61" s="1689"/>
      <c r="DY61" s="1689"/>
      <c r="DZ61" s="1689"/>
      <c r="EA61" s="1689"/>
      <c r="EB61" s="1689"/>
      <c r="EC61" s="1689"/>
      <c r="ED61" s="1689"/>
      <c r="EE61" s="1689"/>
    </row>
    <row r="62" spans="1:238">
      <c r="DV62"/>
      <c r="DW62"/>
      <c r="DX62"/>
      <c r="DY62"/>
      <c r="DZ62"/>
      <c r="EA62"/>
      <c r="EB62"/>
      <c r="EC62"/>
      <c r="ED62"/>
      <c r="EE62"/>
      <c r="EF62"/>
    </row>
    <row r="64" spans="1:238" hidden="1" outlineLevel="1">
      <c r="DA64" s="1503" t="s">
        <v>2</v>
      </c>
      <c r="DB64" s="1503" t="s">
        <v>455</v>
      </c>
      <c r="DC64" s="1503" t="s">
        <v>3</v>
      </c>
    </row>
    <row r="65" spans="101:135" hidden="1" outlineLevel="1">
      <c r="CZ65" s="1268" t="s">
        <v>17</v>
      </c>
      <c r="DA65" s="1609">
        <v>0.67800000000000005</v>
      </c>
      <c r="DB65" s="1608">
        <v>6.48</v>
      </c>
      <c r="DC65" s="1502">
        <f>DA65*DB65</f>
        <v>4.3934400000000009</v>
      </c>
    </row>
    <row r="66" spans="101:135" hidden="1" outlineLevel="1">
      <c r="CZ66" s="1268" t="s">
        <v>18</v>
      </c>
      <c r="DA66" s="1609">
        <v>0.67300000000000004</v>
      </c>
      <c r="DB66" s="1608">
        <v>6.8</v>
      </c>
      <c r="DC66" s="1502">
        <f>DA66*DB66</f>
        <v>4.5764000000000005</v>
      </c>
    </row>
    <row r="67" spans="101:135" hidden="1" outlineLevel="1">
      <c r="CZ67" s="1268" t="s">
        <v>19</v>
      </c>
      <c r="DA67" s="1609">
        <v>0.65200000000000002</v>
      </c>
      <c r="DB67" s="1608">
        <v>6.36</v>
      </c>
      <c r="DC67" s="1502">
        <f>DA67*DB67</f>
        <v>4.1467200000000002</v>
      </c>
    </row>
    <row r="68" spans="101:135" hidden="1" outlineLevel="1">
      <c r="DA68" s="1205">
        <f>DC68/DB68</f>
        <v>0.66784928716904279</v>
      </c>
      <c r="DB68" s="1502">
        <f>SUM(DB65:DB67)</f>
        <v>19.64</v>
      </c>
      <c r="DC68" s="1502">
        <f>SUM(DC65:DC67)</f>
        <v>13.116560000000002</v>
      </c>
    </row>
    <row r="69" spans="101:135" hidden="1" outlineLevel="1">
      <c r="DB69" s="1608">
        <v>19.553999999999998</v>
      </c>
      <c r="DC69" s="1237" t="e">
        <f>DC68/(#REF!/1000)-1</f>
        <v>#REF!</v>
      </c>
    </row>
    <row r="70" spans="101:135" hidden="1" outlineLevel="1">
      <c r="DB70" s="1237">
        <f>DB69/DB68</f>
        <v>0.99562118126272903</v>
      </c>
      <c r="DC70" s="1502">
        <f>DB70*DC68</f>
        <v>13.059124961303462</v>
      </c>
    </row>
    <row r="71" spans="101:135" hidden="1" outlineLevel="1">
      <c r="CX71" s="1573"/>
      <c r="CY71" s="1573"/>
      <c r="CZ71" s="1573"/>
      <c r="DA71" s="1573"/>
      <c r="DC71" s="1237" t="e">
        <f>DC68/(#REF!/1000)-1</f>
        <v>#REF!</v>
      </c>
    </row>
    <row r="72" spans="101:135" collapsed="1">
      <c r="CX72" s="1523"/>
      <c r="CY72" s="1524"/>
      <c r="CZ72" s="1280"/>
      <c r="DA72" s="1280"/>
      <c r="DE72" s="1689"/>
      <c r="DF72" s="1689"/>
      <c r="DG72" s="1689"/>
      <c r="DH72" s="1689"/>
      <c r="DI72" s="1689"/>
      <c r="DJ72" s="1689"/>
      <c r="DK72" s="1689"/>
      <c r="DL72" s="1689"/>
      <c r="DM72" s="1689"/>
      <c r="DN72" s="1689"/>
      <c r="DO72" s="1689"/>
      <c r="DP72" s="1689"/>
      <c r="DQ72" s="1689"/>
      <c r="DR72" s="1689"/>
      <c r="DS72" s="1689"/>
      <c r="DT72" s="1689"/>
      <c r="DU72" s="1689"/>
      <c r="DV72" s="1689"/>
      <c r="DW72" s="1689"/>
      <c r="DX72" s="1689"/>
      <c r="DY72" s="1689"/>
      <c r="DZ72" s="1689"/>
      <c r="EA72" s="1689"/>
      <c r="EB72" s="1689"/>
      <c r="EC72" s="1689"/>
      <c r="ED72" s="1689"/>
      <c r="EE72" s="1689"/>
    </row>
    <row r="73" spans="101:135">
      <c r="CX73" s="1523"/>
      <c r="CY73" s="1524"/>
      <c r="CZ73" s="1280"/>
      <c r="DA73" s="1280"/>
      <c r="DC73" s="1237"/>
      <c r="DD73" s="1689"/>
      <c r="DL73" s="1689"/>
    </row>
    <row r="74" spans="101:135">
      <c r="CX74" s="1523"/>
      <c r="CY74" s="1524"/>
      <c r="CZ74" s="1280"/>
      <c r="DA74" s="1280"/>
      <c r="DC74" s="1237"/>
    </row>
    <row r="75" spans="101:135">
      <c r="CX75" s="1280"/>
      <c r="CY75" s="1237"/>
      <c r="CZ75" s="1280"/>
      <c r="DA75" s="1280"/>
      <c r="DB75" s="1575"/>
    </row>
    <row r="76" spans="101:135">
      <c r="CW76" s="4"/>
      <c r="CX76" s="1574"/>
      <c r="CY76" s="1237"/>
      <c r="CZ76" s="1237"/>
      <c r="DA76" s="1576"/>
    </row>
    <row r="78" spans="101:135">
      <c r="CX78" s="1573"/>
    </row>
    <row r="79" spans="101:135">
      <c r="CX79" s="1524"/>
      <c r="CY79" s="1237"/>
    </row>
    <row r="80" spans="101:135">
      <c r="CX80" s="1524"/>
    </row>
    <row r="81" spans="102:106">
      <c r="CX81" s="1524"/>
    </row>
    <row r="82" spans="102:106">
      <c r="CX82" s="1524"/>
    </row>
    <row r="86" spans="102:106">
      <c r="DB86" s="1459"/>
    </row>
  </sheetData>
  <pageMargins left="0.75" right="0.75" top="1" bottom="1" header="0.5" footer="0.5"/>
  <pageSetup scale="67" orientation="landscape"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rgb="FFFF0000"/>
  </sheetPr>
  <dimension ref="A1:ID62"/>
  <sheetViews>
    <sheetView showGridLines="0" zoomScaleNormal="100" zoomScaleSheetLayoutView="100" workbookViewId="0">
      <pane xSplit="3" ySplit="7" topLeftCell="DF9" activePane="bottomRight" state="frozen"/>
      <selection activeCell="DM46" sqref="DM46"/>
      <selection pane="topRight" activeCell="DM46" sqref="DM46"/>
      <selection pane="bottomLeft" activeCell="DM46" sqref="DM46"/>
      <selection pane="bottomRight" activeCell="DK1" sqref="DF1:DK1048576"/>
    </sheetView>
  </sheetViews>
  <sheetFormatPr defaultColWidth="9.83203125" defaultRowHeight="11.25" outlineLevelRow="1" outlineLevelCol="1"/>
  <cols>
    <col min="1" max="1" width="2.33203125" customWidth="1"/>
    <col min="2" max="2" width="38.33203125" customWidth="1"/>
    <col min="3" max="3" width="2.33203125" customWidth="1"/>
    <col min="4" max="84" width="9.33203125" hidden="1" customWidth="1" outlineLevel="1"/>
    <col min="85" max="85" width="9.33203125" hidden="1" customWidth="1" collapsed="1"/>
    <col min="86" max="89" width="9.33203125" hidden="1" customWidth="1" outlineLevel="1"/>
    <col min="90" max="90" width="9.33203125" hidden="1" customWidth="1" collapsed="1"/>
    <col min="91" max="94" width="9.33203125" hidden="1" customWidth="1" outlineLevel="1"/>
    <col min="95" max="95" width="9.33203125" hidden="1" customWidth="1" collapsed="1"/>
    <col min="96" max="99" width="9.33203125" hidden="1" customWidth="1" outlineLevel="1"/>
    <col min="100" max="100" width="9.33203125" hidden="1" customWidth="1" collapsed="1"/>
    <col min="101" max="104" width="9.33203125" hidden="1" customWidth="1" outlineLevel="1"/>
    <col min="105" max="105" width="9.33203125" hidden="1" customWidth="1" collapsed="1"/>
    <col min="106" max="109" width="9.33203125" hidden="1" customWidth="1" outlineLevel="1"/>
    <col min="110" max="110" width="9.33203125" hidden="1" customWidth="1" collapsed="1"/>
    <col min="111" max="114" width="9.33203125" hidden="1" customWidth="1" outlineLevel="1"/>
    <col min="115" max="115" width="9.33203125" hidden="1" customWidth="1" collapsed="1"/>
    <col min="116" max="119" width="9.33203125" customWidth="1" outlineLevel="1"/>
    <col min="120" max="120" width="9.33203125" customWidth="1"/>
    <col min="121" max="124" width="9.33203125" customWidth="1" outlineLevel="1"/>
    <col min="125" max="125" width="9.33203125" customWidth="1"/>
    <col min="126" max="129" width="9.33203125" style="2161" hidden="1" customWidth="1" outlineLevel="1"/>
    <col min="130" max="130" width="9.33203125" style="2161" customWidth="1" collapsed="1"/>
    <col min="131" max="134" width="9.33203125" style="2248" hidden="1" customWidth="1" outlineLevel="1"/>
    <col min="135" max="135" width="9.33203125" style="2248" customWidth="1" collapsed="1"/>
  </cols>
  <sheetData>
    <row r="1" spans="1:238">
      <c r="CY1" s="1237"/>
      <c r="CZ1" s="1237"/>
      <c r="DB1" s="1616"/>
      <c r="DC1" s="1616"/>
      <c r="DD1" s="1616"/>
      <c r="DE1" s="1616"/>
    </row>
    <row r="2" spans="1:238">
      <c r="CV2" s="63">
        <f>Model!CV46</f>
        <v>3.121121765911012</v>
      </c>
      <c r="CW2" s="63">
        <f>Model!CW46</f>
        <v>0.71554862194487778</v>
      </c>
      <c r="CX2" s="63">
        <f>Model!CX46</f>
        <v>0.91314724499325528</v>
      </c>
      <c r="CY2" s="63">
        <f>Model!CY46</f>
        <v>0.91256717651922292</v>
      </c>
      <c r="CZ2" s="63">
        <f>Model!CZ46</f>
        <v>0.73767951234631679</v>
      </c>
      <c r="DA2" s="63">
        <f>Model!DA46</f>
        <v>3.2789425558036727</v>
      </c>
      <c r="DB2" s="63">
        <f>Model!DB46</f>
        <v>0.78347280334728031</v>
      </c>
      <c r="DC2" s="63">
        <f>Model!DC46</f>
        <v>1.1794823172466107</v>
      </c>
      <c r="DD2" s="63">
        <f>Model!DD46</f>
        <v>1.0186865021770681</v>
      </c>
      <c r="DE2" s="63">
        <f>Model!DE46</f>
        <v>0.87891156462585029</v>
      </c>
      <c r="DF2" s="63">
        <f>Model!DF46</f>
        <v>3.8760793244140808</v>
      </c>
      <c r="DG2" s="63">
        <f>Model!DG46</f>
        <v>1.0304023302384855</v>
      </c>
      <c r="DH2" s="63">
        <f>Model!DH46</f>
        <v>1.3074237412715912</v>
      </c>
      <c r="DI2" s="63">
        <f>Model!DI46</f>
        <v>1.1836059547877229</v>
      </c>
      <c r="DJ2" s="63">
        <f>Model!DJ46</f>
        <v>1.0707070707070707</v>
      </c>
      <c r="DK2" s="63">
        <f>Model!DK46</f>
        <v>4.5921390970048703</v>
      </c>
      <c r="DL2" s="63">
        <f>Model!DL46</f>
        <v>1.1035560047780943</v>
      </c>
      <c r="DM2" s="63">
        <f>Model!DM46</f>
        <v>1.3597420543528327</v>
      </c>
      <c r="DN2" s="63">
        <f>Model!DN46</f>
        <v>1.3310548679105858</v>
      </c>
      <c r="DO2" s="63">
        <f>Model!DO46</f>
        <v>1.3072203869749881</v>
      </c>
      <c r="DP2" s="63">
        <f>Model!DP46</f>
        <v>5.1015733140165009</v>
      </c>
      <c r="DQ2" s="63">
        <f>Model!DQ46</f>
        <v>1.2807833053110473</v>
      </c>
      <c r="DR2" s="63">
        <f ca="1">Model!DR46</f>
        <v>1.5408670389247578</v>
      </c>
      <c r="DS2" s="63">
        <f ca="1">Model!DS46</f>
        <v>1.5124919489037392</v>
      </c>
      <c r="DT2" s="63">
        <f ca="1">Model!DT46</f>
        <v>1.4347913768735403</v>
      </c>
      <c r="DU2" s="63">
        <f ca="1">Model!DU46</f>
        <v>5.7689336700130847</v>
      </c>
      <c r="DV2" s="63">
        <f ca="1">Model!DV46</f>
        <v>1.416392701727091</v>
      </c>
      <c r="DW2" s="63">
        <f ca="1">Model!DW46</f>
        <v>1.6947711794590334</v>
      </c>
      <c r="DX2" s="63">
        <f ca="1">Model!DX46</f>
        <v>1.7356817259382828</v>
      </c>
      <c r="DY2" s="63">
        <f ca="1">Model!DY46</f>
        <v>1.7151326288981761</v>
      </c>
      <c r="DZ2" s="63">
        <f ca="1">Model!DZ46</f>
        <v>6.5619782360225836</v>
      </c>
      <c r="EA2" s="63">
        <f ca="1">Model!EA46</f>
        <v>1.5380194203814843</v>
      </c>
      <c r="EB2" s="63">
        <f ca="1">Model!EB46</f>
        <v>1.8091210111551781</v>
      </c>
      <c r="EC2" s="63">
        <f ca="1">Model!EC46</f>
        <v>1.8693406433696269</v>
      </c>
      <c r="ED2" s="63">
        <f ca="1">Model!ED46</f>
        <v>1.8527149195848873</v>
      </c>
      <c r="EE2" s="63">
        <f ca="1">Model!EE46</f>
        <v>7.0691959944911762</v>
      </c>
    </row>
    <row r="3" spans="1:238" ht="12" thickBot="1">
      <c r="CT3" s="1"/>
      <c r="CV3" s="1658"/>
      <c r="CW3" s="1658"/>
      <c r="CX3" s="1658"/>
      <c r="CY3" s="1658"/>
      <c r="CZ3" s="1658"/>
      <c r="DA3" s="1658"/>
      <c r="DB3" s="1658"/>
      <c r="DC3" s="1658"/>
      <c r="DD3" s="1658"/>
      <c r="DE3" s="1658"/>
      <c r="DF3" s="1658"/>
      <c r="DG3" s="1658"/>
      <c r="DH3" s="1658"/>
      <c r="DI3" s="1658"/>
      <c r="DJ3" s="1658"/>
      <c r="DK3" s="1658"/>
      <c r="DL3" s="1658"/>
      <c r="DM3" s="1658"/>
      <c r="DN3" s="1658"/>
      <c r="DO3" s="1658"/>
      <c r="DP3" s="1658"/>
      <c r="DQ3" s="1658"/>
      <c r="DR3" s="1658"/>
      <c r="DS3" s="1658"/>
      <c r="DT3" s="1658"/>
      <c r="DU3" s="1658"/>
      <c r="DV3" s="1658"/>
      <c r="DW3" s="1658"/>
      <c r="DX3" s="1658"/>
      <c r="DY3" s="1658"/>
      <c r="DZ3" s="1658"/>
      <c r="EA3" s="1658"/>
      <c r="EB3" s="1658"/>
      <c r="EC3" s="1658"/>
      <c r="ED3" s="1658"/>
      <c r="EE3" s="1658"/>
    </row>
    <row r="4" spans="1:238" s="54" customFormat="1" ht="18.75">
      <c r="B4" s="508" t="s">
        <v>52</v>
      </c>
      <c r="C4" s="509"/>
      <c r="D4" s="509"/>
      <c r="E4" s="509"/>
      <c r="F4" s="509"/>
      <c r="G4" s="509"/>
      <c r="H4" s="509"/>
      <c r="I4" s="509"/>
      <c r="J4" s="509"/>
      <c r="K4" s="509"/>
      <c r="L4" s="509"/>
      <c r="M4" s="509"/>
      <c r="N4" s="509"/>
      <c r="O4" s="509"/>
      <c r="P4" s="509"/>
      <c r="Q4" s="509"/>
      <c r="R4" s="509"/>
      <c r="S4" s="509"/>
      <c r="T4" s="509"/>
      <c r="U4" s="509"/>
      <c r="V4" s="509"/>
      <c r="W4" s="509"/>
      <c r="X4" s="509"/>
      <c r="Y4" s="509"/>
      <c r="Z4" s="509"/>
      <c r="AA4" s="509"/>
      <c r="AB4" s="509"/>
      <c r="AC4" s="509"/>
      <c r="AD4" s="509"/>
      <c r="AE4" s="509"/>
      <c r="AF4" s="509"/>
      <c r="AG4" s="509"/>
      <c r="AH4" s="509"/>
      <c r="AI4" s="509"/>
      <c r="AJ4" s="509"/>
      <c r="AK4" s="509"/>
      <c r="AL4" s="509"/>
      <c r="AM4" s="509"/>
      <c r="AN4" s="509"/>
      <c r="AO4" s="509"/>
      <c r="AP4" s="509"/>
      <c r="AQ4" s="509"/>
      <c r="AR4" s="509"/>
      <c r="AS4" s="509"/>
      <c r="AT4" s="509"/>
      <c r="AU4" s="509"/>
      <c r="AV4" s="509"/>
      <c r="AW4" s="509"/>
      <c r="AX4" s="509"/>
      <c r="AY4" s="509"/>
      <c r="AZ4" s="509"/>
      <c r="BA4" s="509"/>
      <c r="BB4" s="509"/>
      <c r="BC4" s="509"/>
      <c r="BD4" s="509"/>
      <c r="BE4" s="509"/>
      <c r="BF4" s="509"/>
      <c r="BG4" s="509"/>
      <c r="BH4" s="509"/>
      <c r="BI4" s="509"/>
      <c r="BJ4" s="509"/>
      <c r="BK4" s="509"/>
      <c r="BL4" s="509"/>
      <c r="BM4" s="509"/>
      <c r="BN4" s="509"/>
      <c r="BO4" s="509"/>
      <c r="BP4" s="509"/>
      <c r="BQ4" s="509"/>
      <c r="BR4" s="509"/>
      <c r="BS4" s="509"/>
      <c r="BT4" s="509"/>
      <c r="BU4" s="509"/>
      <c r="BV4" s="509"/>
      <c r="BW4" s="509"/>
      <c r="BX4" s="509"/>
      <c r="BY4" s="509"/>
      <c r="BZ4" s="509"/>
      <c r="CA4" s="509"/>
      <c r="CB4" s="509"/>
      <c r="CC4" s="509"/>
      <c r="CD4" s="509"/>
      <c r="CE4" s="510"/>
      <c r="CF4" s="511"/>
      <c r="CG4" s="512"/>
      <c r="CH4" s="513"/>
      <c r="CI4" s="513"/>
      <c r="CJ4" s="513"/>
      <c r="CK4" s="513"/>
      <c r="CL4" s="514"/>
      <c r="CM4" s="514"/>
      <c r="CN4" s="514"/>
      <c r="CO4" s="514"/>
      <c r="CP4" s="514"/>
      <c r="CQ4" s="515"/>
      <c r="CR4" s="516"/>
      <c r="CS4" s="509"/>
      <c r="CT4" s="517"/>
      <c r="CU4" s="518"/>
      <c r="CV4" s="509"/>
      <c r="CW4" s="517"/>
      <c r="CX4" s="517"/>
      <c r="CY4" s="519"/>
      <c r="CZ4" s="517"/>
      <c r="DA4" s="509"/>
      <c r="DB4" s="517"/>
      <c r="DC4" s="517"/>
      <c r="DD4" s="517"/>
      <c r="DE4" s="517"/>
      <c r="DF4" s="509"/>
      <c r="DG4" s="509"/>
      <c r="DH4" s="509"/>
      <c r="DI4" s="509"/>
      <c r="DJ4" s="509"/>
      <c r="DK4" s="509"/>
      <c r="DL4" s="509"/>
      <c r="DM4" s="509"/>
      <c r="DN4" s="509"/>
      <c r="DO4" s="509"/>
      <c r="DP4" s="509"/>
      <c r="DQ4" s="509"/>
      <c r="DR4" s="509"/>
      <c r="DS4" s="509"/>
      <c r="DT4" s="509"/>
      <c r="DU4" s="509"/>
      <c r="DV4" s="509"/>
      <c r="DW4" s="509"/>
      <c r="DX4" s="509"/>
      <c r="DY4" s="509"/>
      <c r="DZ4" s="509"/>
      <c r="EA4" s="509"/>
      <c r="EB4" s="509"/>
      <c r="EC4" s="509"/>
      <c r="ED4" s="509"/>
      <c r="EE4" s="509"/>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row>
    <row r="5" spans="1:238" s="54" customFormat="1" ht="12.75" customHeight="1" thickBot="1">
      <c r="B5" s="65" t="s">
        <v>439</v>
      </c>
      <c r="C5" s="66"/>
      <c r="D5" s="66"/>
      <c r="E5" s="66"/>
      <c r="F5" s="66"/>
      <c r="G5" s="66"/>
      <c r="H5" s="66"/>
      <c r="I5" s="66"/>
      <c r="J5" s="66"/>
      <c r="K5" s="66"/>
      <c r="L5" s="66"/>
      <c r="M5" s="66"/>
      <c r="N5" s="66"/>
      <c r="O5" s="66"/>
      <c r="P5" s="66"/>
      <c r="Q5" s="66"/>
      <c r="R5" s="66"/>
      <c r="S5" s="66"/>
      <c r="T5" s="66"/>
      <c r="U5" s="66"/>
      <c r="V5" s="66"/>
      <c r="W5" s="66"/>
      <c r="X5" s="66"/>
      <c r="Y5" s="66"/>
      <c r="Z5" s="66"/>
      <c r="AA5" s="66"/>
      <c r="AB5" s="66"/>
      <c r="AC5" s="66"/>
      <c r="AD5" s="66"/>
      <c r="AE5" s="66"/>
      <c r="AF5" s="66"/>
      <c r="AG5" s="66"/>
      <c r="AH5" s="66"/>
      <c r="AI5" s="66"/>
      <c r="AJ5" s="66"/>
      <c r="AK5" s="66"/>
      <c r="AL5" s="66"/>
      <c r="AM5" s="66"/>
      <c r="AN5" s="66"/>
      <c r="AO5" s="66"/>
      <c r="AP5" s="66"/>
      <c r="AQ5" s="66"/>
      <c r="AR5" s="66"/>
      <c r="AS5" s="66"/>
      <c r="AT5" s="66"/>
      <c r="AU5" s="66"/>
      <c r="AV5" s="66"/>
      <c r="AW5" s="66"/>
      <c r="AX5" s="66"/>
      <c r="AY5" s="66"/>
      <c r="AZ5" s="66"/>
      <c r="BA5" s="66"/>
      <c r="BB5" s="66"/>
      <c r="BC5" s="66"/>
      <c r="BD5" s="66"/>
      <c r="BE5" s="66"/>
      <c r="BF5" s="66"/>
      <c r="BG5" s="66"/>
      <c r="BH5" s="66"/>
      <c r="BI5" s="66"/>
      <c r="BJ5" s="66"/>
      <c r="BK5" s="66"/>
      <c r="BL5" s="66"/>
      <c r="BM5" s="66"/>
      <c r="BN5" s="66"/>
      <c r="BO5" s="66"/>
      <c r="BP5" s="66"/>
      <c r="BQ5" s="66"/>
      <c r="BR5" s="66"/>
      <c r="BS5" s="66"/>
      <c r="BT5" s="66"/>
      <c r="BU5" s="66"/>
      <c r="BV5" s="66"/>
      <c r="BW5" s="66"/>
      <c r="BX5" s="66"/>
      <c r="BY5" s="66"/>
      <c r="BZ5" s="66"/>
      <c r="CA5" s="66"/>
      <c r="CB5" s="66"/>
      <c r="CC5" s="66"/>
      <c r="CD5" s="66"/>
      <c r="CE5" s="66"/>
      <c r="CF5" s="66"/>
      <c r="CG5" s="66"/>
      <c r="CH5" s="66"/>
      <c r="CI5" s="66"/>
      <c r="CJ5" s="66"/>
      <c r="CK5" s="66"/>
      <c r="CL5" s="66"/>
      <c r="CM5" s="66"/>
      <c r="CN5" s="66"/>
      <c r="CO5" s="66"/>
      <c r="CP5" s="66"/>
      <c r="CQ5" s="66"/>
      <c r="CR5" s="66"/>
      <c r="CS5" s="66"/>
      <c r="CT5" s="66"/>
      <c r="CU5" s="66"/>
      <c r="CV5" s="66"/>
      <c r="CW5" s="67"/>
      <c r="CX5" s="67"/>
      <c r="CY5" s="67"/>
      <c r="CZ5" s="67"/>
      <c r="DA5" s="66"/>
      <c r="DB5" s="67"/>
      <c r="DC5" s="66"/>
      <c r="DD5" s="66"/>
      <c r="DE5" s="67"/>
      <c r="DF5" s="66"/>
      <c r="DG5" s="66"/>
      <c r="DH5" s="66"/>
      <c r="DI5" s="66"/>
      <c r="DJ5" s="66"/>
      <c r="DK5" s="66"/>
      <c r="DL5" s="66"/>
      <c r="DM5" s="66"/>
      <c r="DN5" s="66"/>
      <c r="DO5" s="66"/>
      <c r="DP5" s="66"/>
      <c r="DQ5" s="66"/>
      <c r="DR5" s="66"/>
      <c r="DS5" s="66"/>
      <c r="DT5" s="66"/>
      <c r="DU5" s="66"/>
      <c r="DV5" s="66"/>
      <c r="DW5" s="66"/>
      <c r="DX5" s="66"/>
      <c r="DY5" s="66"/>
      <c r="DZ5" s="66"/>
      <c r="EA5" s="66"/>
      <c r="EB5" s="66"/>
      <c r="EC5" s="66"/>
      <c r="ED5" s="66"/>
      <c r="EE5" s="66"/>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row>
    <row r="6" spans="1:238" s="69" customFormat="1" ht="12.75" customHeight="1" thickBot="1">
      <c r="A6" s="68"/>
      <c r="B6" s="520" t="s">
        <v>440</v>
      </c>
      <c r="C6" s="521"/>
      <c r="D6" s="522"/>
      <c r="E6" s="522"/>
      <c r="F6" s="522"/>
      <c r="G6" s="522"/>
      <c r="H6" s="522"/>
      <c r="I6" s="522"/>
      <c r="J6" s="522"/>
      <c r="K6" s="527" t="s">
        <v>143</v>
      </c>
      <c r="L6" s="528"/>
      <c r="M6" s="528"/>
      <c r="N6" s="528"/>
      <c r="O6" s="529"/>
      <c r="P6" s="527" t="s">
        <v>143</v>
      </c>
      <c r="Q6" s="528"/>
      <c r="R6" s="528"/>
      <c r="S6" s="528"/>
      <c r="T6" s="529"/>
      <c r="U6" s="527" t="s">
        <v>143</v>
      </c>
      <c r="V6" s="528"/>
      <c r="W6" s="528"/>
      <c r="X6" s="528"/>
      <c r="Y6" s="529"/>
      <c r="Z6" s="527" t="s">
        <v>143</v>
      </c>
      <c r="AA6" s="528"/>
      <c r="AB6" s="528"/>
      <c r="AC6" s="528"/>
      <c r="AD6" s="529"/>
      <c r="AE6" s="527" t="s">
        <v>143</v>
      </c>
      <c r="AF6" s="528"/>
      <c r="AG6" s="528"/>
      <c r="AH6" s="528"/>
      <c r="AI6" s="529"/>
      <c r="AJ6" s="527" t="s">
        <v>143</v>
      </c>
      <c r="AK6" s="528"/>
      <c r="AL6" s="528"/>
      <c r="AM6" s="528"/>
      <c r="AN6" s="529"/>
      <c r="AO6" s="527" t="s">
        <v>143</v>
      </c>
      <c r="AP6" s="528"/>
      <c r="AQ6" s="528"/>
      <c r="AR6" s="528"/>
      <c r="AS6" s="529"/>
      <c r="AT6" s="527" t="s">
        <v>143</v>
      </c>
      <c r="AU6" s="528"/>
      <c r="AV6" s="528"/>
      <c r="AW6" s="528"/>
      <c r="AX6" s="529"/>
      <c r="AY6" s="527" t="s">
        <v>143</v>
      </c>
      <c r="AZ6" s="528"/>
      <c r="BA6" s="528"/>
      <c r="BB6" s="528"/>
      <c r="BC6" s="529"/>
      <c r="BD6" s="527" t="s">
        <v>143</v>
      </c>
      <c r="BE6" s="528"/>
      <c r="BF6" s="528"/>
      <c r="BG6" s="528"/>
      <c r="BH6" s="529"/>
      <c r="BI6" s="527" t="s">
        <v>143</v>
      </c>
      <c r="BJ6" s="528"/>
      <c r="BK6" s="528"/>
      <c r="BL6" s="528"/>
      <c r="BM6" s="529"/>
      <c r="BN6" s="527" t="s">
        <v>143</v>
      </c>
      <c r="BO6" s="528"/>
      <c r="BP6" s="528"/>
      <c r="BQ6" s="528"/>
      <c r="BR6" s="529"/>
      <c r="BS6" s="527" t="s">
        <v>143</v>
      </c>
      <c r="BT6" s="528"/>
      <c r="BU6" s="528"/>
      <c r="BV6" s="528"/>
      <c r="BW6" s="529"/>
      <c r="BX6" s="527" t="s">
        <v>143</v>
      </c>
      <c r="BY6" s="528"/>
      <c r="BZ6" s="528"/>
      <c r="CA6" s="528"/>
      <c r="CB6" s="529"/>
      <c r="CC6" s="527" t="s">
        <v>143</v>
      </c>
      <c r="CD6" s="528"/>
      <c r="CE6" s="528"/>
      <c r="CF6" s="528"/>
      <c r="CG6" s="529"/>
      <c r="CH6" s="528" t="s">
        <v>143</v>
      </c>
      <c r="CI6" s="528"/>
      <c r="CJ6" s="528"/>
      <c r="CK6" s="528"/>
      <c r="CL6" s="529"/>
      <c r="CM6" s="528" t="s">
        <v>143</v>
      </c>
      <c r="CN6" s="528"/>
      <c r="CO6" s="528"/>
      <c r="CP6" s="528"/>
      <c r="CQ6" s="529"/>
      <c r="CR6" s="528" t="s">
        <v>143</v>
      </c>
      <c r="CS6" s="528"/>
      <c r="CT6" s="528"/>
      <c r="CU6" s="528"/>
      <c r="CV6" s="529"/>
      <c r="CW6" s="528" t="s">
        <v>143</v>
      </c>
      <c r="CX6" s="528"/>
      <c r="CY6" s="528"/>
      <c r="CZ6" s="528"/>
      <c r="DA6" s="529"/>
      <c r="DB6" s="528" t="s">
        <v>143</v>
      </c>
      <c r="DC6" s="528"/>
      <c r="DD6" s="528"/>
      <c r="DE6" s="528"/>
      <c r="DF6" s="529"/>
      <c r="DG6" s="528" t="s">
        <v>143</v>
      </c>
      <c r="DH6" s="528"/>
      <c r="DI6" s="528"/>
      <c r="DJ6" s="528"/>
      <c r="DK6" s="529"/>
      <c r="DL6" s="528" t="s">
        <v>143</v>
      </c>
      <c r="DM6" s="528"/>
      <c r="DN6" s="528"/>
      <c r="DO6" s="528"/>
      <c r="DP6" s="529"/>
      <c r="DQ6" s="528" t="s">
        <v>143</v>
      </c>
      <c r="DR6" s="528"/>
      <c r="DS6" s="528"/>
      <c r="DT6" s="528"/>
      <c r="DU6" s="529"/>
      <c r="DV6" s="528" t="s">
        <v>143</v>
      </c>
      <c r="DW6" s="528"/>
      <c r="DX6" s="528"/>
      <c r="DY6" s="528"/>
      <c r="DZ6" s="529"/>
      <c r="EA6" s="528" t="s">
        <v>143</v>
      </c>
      <c r="EB6" s="528"/>
      <c r="EC6" s="528"/>
      <c r="ED6" s="528"/>
      <c r="EE6" s="529"/>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row>
    <row r="7" spans="1:238" s="69" customFormat="1" ht="12.75" customHeight="1" thickBot="1">
      <c r="A7" s="68"/>
      <c r="B7" s="523" t="s">
        <v>406</v>
      </c>
      <c r="C7" s="524"/>
      <c r="D7" s="525">
        <v>1989</v>
      </c>
      <c r="E7" s="525">
        <f t="shared" ref="E7:J7" si="0">D7+1</f>
        <v>1990</v>
      </c>
      <c r="F7" s="525">
        <f t="shared" si="0"/>
        <v>1991</v>
      </c>
      <c r="G7" s="525">
        <f t="shared" si="0"/>
        <v>1992</v>
      </c>
      <c r="H7" s="525">
        <f t="shared" si="0"/>
        <v>1993</v>
      </c>
      <c r="I7" s="525">
        <f t="shared" si="0"/>
        <v>1994</v>
      </c>
      <c r="J7" s="526">
        <f t="shared" si="0"/>
        <v>1995</v>
      </c>
      <c r="K7" s="531" t="s">
        <v>144</v>
      </c>
      <c r="L7" s="532" t="s">
        <v>145</v>
      </c>
      <c r="M7" s="532" t="s">
        <v>146</v>
      </c>
      <c r="N7" s="533" t="s">
        <v>147</v>
      </c>
      <c r="O7" s="534">
        <f>J7+1</f>
        <v>1996</v>
      </c>
      <c r="P7" s="531" t="s">
        <v>144</v>
      </c>
      <c r="Q7" s="532" t="s">
        <v>145</v>
      </c>
      <c r="R7" s="532" t="s">
        <v>146</v>
      </c>
      <c r="S7" s="533" t="s">
        <v>147</v>
      </c>
      <c r="T7" s="534">
        <f>O7+1</f>
        <v>1997</v>
      </c>
      <c r="U7" s="531" t="s">
        <v>144</v>
      </c>
      <c r="V7" s="532" t="s">
        <v>145</v>
      </c>
      <c r="W7" s="532" t="s">
        <v>146</v>
      </c>
      <c r="X7" s="533" t="s">
        <v>147</v>
      </c>
      <c r="Y7" s="534">
        <f>T7+1</f>
        <v>1998</v>
      </c>
      <c r="Z7" s="531" t="s">
        <v>144</v>
      </c>
      <c r="AA7" s="532" t="s">
        <v>145</v>
      </c>
      <c r="AB7" s="532" t="s">
        <v>146</v>
      </c>
      <c r="AC7" s="533" t="s">
        <v>147</v>
      </c>
      <c r="AD7" s="534">
        <f>Y7+1</f>
        <v>1999</v>
      </c>
      <c r="AE7" s="531" t="s">
        <v>144</v>
      </c>
      <c r="AF7" s="532" t="s">
        <v>145</v>
      </c>
      <c r="AG7" s="532" t="s">
        <v>146</v>
      </c>
      <c r="AH7" s="533" t="s">
        <v>147</v>
      </c>
      <c r="AI7" s="534">
        <f>AD7+1</f>
        <v>2000</v>
      </c>
      <c r="AJ7" s="531" t="s">
        <v>144</v>
      </c>
      <c r="AK7" s="532" t="s">
        <v>145</v>
      </c>
      <c r="AL7" s="532" t="s">
        <v>146</v>
      </c>
      <c r="AM7" s="533" t="s">
        <v>147</v>
      </c>
      <c r="AN7" s="534">
        <f>AI7+1</f>
        <v>2001</v>
      </c>
      <c r="AO7" s="531" t="s">
        <v>144</v>
      </c>
      <c r="AP7" s="532" t="s">
        <v>145</v>
      </c>
      <c r="AQ7" s="532" t="s">
        <v>146</v>
      </c>
      <c r="AR7" s="533" t="s">
        <v>147</v>
      </c>
      <c r="AS7" s="534">
        <f>AN7+1</f>
        <v>2002</v>
      </c>
      <c r="AT7" s="531" t="s">
        <v>144</v>
      </c>
      <c r="AU7" s="532" t="s">
        <v>145</v>
      </c>
      <c r="AV7" s="532" t="s">
        <v>146</v>
      </c>
      <c r="AW7" s="533" t="s">
        <v>147</v>
      </c>
      <c r="AX7" s="534">
        <f>AS7+1</f>
        <v>2003</v>
      </c>
      <c r="AY7" s="531" t="s">
        <v>144</v>
      </c>
      <c r="AZ7" s="532" t="s">
        <v>145</v>
      </c>
      <c r="BA7" s="532" t="s">
        <v>146</v>
      </c>
      <c r="BB7" s="533" t="s">
        <v>147</v>
      </c>
      <c r="BC7" s="534">
        <f>AX7+1</f>
        <v>2004</v>
      </c>
      <c r="BD7" s="531" t="s">
        <v>144</v>
      </c>
      <c r="BE7" s="532" t="s">
        <v>145</v>
      </c>
      <c r="BF7" s="532" t="s">
        <v>146</v>
      </c>
      <c r="BG7" s="533" t="s">
        <v>147</v>
      </c>
      <c r="BH7" s="534">
        <f>BC7+1</f>
        <v>2005</v>
      </c>
      <c r="BI7" s="531" t="s">
        <v>144</v>
      </c>
      <c r="BJ7" s="532" t="s">
        <v>145</v>
      </c>
      <c r="BK7" s="532" t="s">
        <v>146</v>
      </c>
      <c r="BL7" s="533" t="s">
        <v>147</v>
      </c>
      <c r="BM7" s="534">
        <f>BH7+1</f>
        <v>2006</v>
      </c>
      <c r="BN7" s="531" t="s">
        <v>144</v>
      </c>
      <c r="BO7" s="532" t="s">
        <v>145</v>
      </c>
      <c r="BP7" s="532" t="s">
        <v>146</v>
      </c>
      <c r="BQ7" s="533" t="s">
        <v>147</v>
      </c>
      <c r="BR7" s="534">
        <f>BM7+1</f>
        <v>2007</v>
      </c>
      <c r="BS7" s="531" t="s">
        <v>144</v>
      </c>
      <c r="BT7" s="532" t="s">
        <v>145</v>
      </c>
      <c r="BU7" s="532" t="s">
        <v>146</v>
      </c>
      <c r="BV7" s="533" t="s">
        <v>147</v>
      </c>
      <c r="BW7" s="534">
        <f>BR7+1</f>
        <v>2008</v>
      </c>
      <c r="BX7" s="531" t="s">
        <v>144</v>
      </c>
      <c r="BY7" s="532" t="s">
        <v>145</v>
      </c>
      <c r="BZ7" s="532" t="s">
        <v>146</v>
      </c>
      <c r="CA7" s="533" t="s">
        <v>147</v>
      </c>
      <c r="CB7" s="534">
        <f>BW7+1</f>
        <v>2009</v>
      </c>
      <c r="CC7" s="531" t="s">
        <v>144</v>
      </c>
      <c r="CD7" s="532" t="s">
        <v>145</v>
      </c>
      <c r="CE7" s="532" t="s">
        <v>146</v>
      </c>
      <c r="CF7" s="532" t="s">
        <v>147</v>
      </c>
      <c r="CG7" s="534">
        <f>CB7+1</f>
        <v>2010</v>
      </c>
      <c r="CH7" s="532" t="s">
        <v>144</v>
      </c>
      <c r="CI7" s="532" t="s">
        <v>145</v>
      </c>
      <c r="CJ7" s="532" t="s">
        <v>146</v>
      </c>
      <c r="CK7" s="532" t="s">
        <v>147</v>
      </c>
      <c r="CL7" s="534">
        <f>CG7+1</f>
        <v>2011</v>
      </c>
      <c r="CM7" s="532" t="s">
        <v>144</v>
      </c>
      <c r="CN7" s="532" t="s">
        <v>145</v>
      </c>
      <c r="CO7" s="532" t="s">
        <v>146</v>
      </c>
      <c r="CP7" s="532" t="s">
        <v>147</v>
      </c>
      <c r="CQ7" s="534">
        <f>CL7+1</f>
        <v>2012</v>
      </c>
      <c r="CR7" s="530" t="s">
        <v>144</v>
      </c>
      <c r="CS7" s="530" t="s">
        <v>145</v>
      </c>
      <c r="CT7" s="530" t="s">
        <v>146</v>
      </c>
      <c r="CU7" s="530" t="s">
        <v>147</v>
      </c>
      <c r="CV7" s="534">
        <f>CQ7+1</f>
        <v>2013</v>
      </c>
      <c r="CW7" s="530" t="s">
        <v>144</v>
      </c>
      <c r="CX7" s="530" t="s">
        <v>145</v>
      </c>
      <c r="CY7" s="530" t="s">
        <v>146</v>
      </c>
      <c r="CZ7" s="530" t="s">
        <v>147</v>
      </c>
      <c r="DA7" s="534">
        <f>CV7+1</f>
        <v>2014</v>
      </c>
      <c r="DB7" s="530" t="s">
        <v>144</v>
      </c>
      <c r="DC7" s="530" t="s">
        <v>145</v>
      </c>
      <c r="DD7" s="530" t="s">
        <v>146</v>
      </c>
      <c r="DE7" s="530" t="s">
        <v>147</v>
      </c>
      <c r="DF7" s="534">
        <f>DA7+1</f>
        <v>2015</v>
      </c>
      <c r="DG7" s="530" t="s">
        <v>144</v>
      </c>
      <c r="DH7" s="530" t="s">
        <v>145</v>
      </c>
      <c r="DI7" s="530" t="s">
        <v>146</v>
      </c>
      <c r="DJ7" s="530" t="s">
        <v>150</v>
      </c>
      <c r="DK7" s="682">
        <f>DF7+1</f>
        <v>2016</v>
      </c>
      <c r="DL7" s="530" t="s">
        <v>144</v>
      </c>
      <c r="DM7" s="530" t="s">
        <v>145</v>
      </c>
      <c r="DN7" s="530" t="s">
        <v>146</v>
      </c>
      <c r="DO7" s="530" t="s">
        <v>147</v>
      </c>
      <c r="DP7" s="534">
        <f>DK7+1</f>
        <v>2017</v>
      </c>
      <c r="DQ7" s="530" t="str">
        <f>'International Retail'!DQ7</f>
        <v>1QA</v>
      </c>
      <c r="DR7" s="530" t="s">
        <v>148</v>
      </c>
      <c r="DS7" s="530" t="s">
        <v>149</v>
      </c>
      <c r="DT7" s="530" t="s">
        <v>150</v>
      </c>
      <c r="DU7" s="682">
        <f>DP7+1</f>
        <v>2018</v>
      </c>
      <c r="DV7" s="530" t="s">
        <v>482</v>
      </c>
      <c r="DW7" s="530" t="s">
        <v>148</v>
      </c>
      <c r="DX7" s="530" t="s">
        <v>149</v>
      </c>
      <c r="DY7" s="530" t="s">
        <v>150</v>
      </c>
      <c r="DZ7" s="682">
        <f>DU7+1</f>
        <v>2019</v>
      </c>
      <c r="EA7" s="530" t="s">
        <v>482</v>
      </c>
      <c r="EB7" s="530" t="s">
        <v>148</v>
      </c>
      <c r="EC7" s="530" t="s">
        <v>149</v>
      </c>
      <c r="ED7" s="530" t="s">
        <v>150</v>
      </c>
      <c r="EE7" s="682">
        <f>DZ7+1</f>
        <v>2020</v>
      </c>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row>
    <row r="8" spans="1:238" s="54" customFormat="1" ht="12.75" hidden="1" customHeight="1" outlineLevel="1">
      <c r="B8" s="1104"/>
      <c r="C8" s="1105"/>
      <c r="D8" s="1106"/>
      <c r="E8" s="1106"/>
      <c r="F8" s="1107"/>
      <c r="G8" s="1107"/>
      <c r="H8" s="1107"/>
      <c r="I8" s="1107"/>
      <c r="J8" s="1108"/>
      <c r="K8" s="535"/>
      <c r="L8" s="536"/>
      <c r="M8" s="536"/>
      <c r="N8" s="537"/>
      <c r="O8" s="1108"/>
      <c r="P8" s="535"/>
      <c r="Q8" s="536"/>
      <c r="R8" s="536"/>
      <c r="S8" s="537"/>
      <c r="T8" s="1108"/>
      <c r="U8" s="535"/>
      <c r="V8" s="536"/>
      <c r="W8" s="536"/>
      <c r="X8" s="537"/>
      <c r="Y8" s="1108"/>
      <c r="Z8" s="535"/>
      <c r="AA8" s="536"/>
      <c r="AB8" s="536"/>
      <c r="AC8" s="537"/>
      <c r="AD8" s="1108"/>
      <c r="AE8" s="535"/>
      <c r="AF8" s="536"/>
      <c r="AG8" s="536"/>
      <c r="AH8" s="537"/>
      <c r="AI8" s="1109"/>
      <c r="AJ8" s="535"/>
      <c r="AK8" s="536"/>
      <c r="AL8" s="536"/>
      <c r="AM8" s="537"/>
      <c r="AN8" s="1109"/>
      <c r="AO8" s="535"/>
      <c r="AP8" s="536"/>
      <c r="AQ8" s="536"/>
      <c r="AR8" s="537"/>
      <c r="AS8" s="1106"/>
      <c r="AT8" s="535"/>
      <c r="AU8" s="536"/>
      <c r="AV8" s="536"/>
      <c r="AW8" s="537"/>
      <c r="AX8" s="1106"/>
      <c r="AY8" s="535"/>
      <c r="AZ8" s="536"/>
      <c r="BA8" s="536"/>
      <c r="BB8" s="537"/>
      <c r="BC8" s="1106"/>
      <c r="BD8" s="535"/>
      <c r="BE8" s="536"/>
      <c r="BF8" s="536"/>
      <c r="BG8" s="537"/>
      <c r="BH8" s="1106"/>
      <c r="BI8" s="535"/>
      <c r="BJ8" s="536"/>
      <c r="BK8" s="536"/>
      <c r="BL8" s="537"/>
      <c r="BM8" s="1106"/>
      <c r="BN8" s="535"/>
      <c r="BO8" s="536"/>
      <c r="BP8" s="536"/>
      <c r="BQ8" s="537"/>
      <c r="BR8" s="1106"/>
      <c r="BS8" s="535">
        <v>39416</v>
      </c>
      <c r="BT8" s="536">
        <v>39507</v>
      </c>
      <c r="BU8" s="536">
        <v>39599</v>
      </c>
      <c r="BV8" s="537">
        <v>39691</v>
      </c>
      <c r="BW8" s="1106"/>
      <c r="BX8" s="535">
        <v>39782</v>
      </c>
      <c r="BY8" s="536">
        <v>39872</v>
      </c>
      <c r="BZ8" s="536">
        <v>39964</v>
      </c>
      <c r="CA8" s="537">
        <v>40056</v>
      </c>
      <c r="CB8" s="1106"/>
      <c r="CC8" s="535">
        <v>40147</v>
      </c>
      <c r="CD8" s="536">
        <v>40237</v>
      </c>
      <c r="CE8" s="536">
        <v>40329</v>
      </c>
      <c r="CF8" s="536">
        <v>40421</v>
      </c>
      <c r="CG8" s="1110"/>
      <c r="CH8" s="536">
        <v>40512</v>
      </c>
      <c r="CI8" s="536">
        <v>40602</v>
      </c>
      <c r="CJ8" s="536">
        <v>40694</v>
      </c>
      <c r="CK8" s="1077">
        <v>40786</v>
      </c>
      <c r="CL8" s="1078">
        <f>CK8</f>
        <v>40786</v>
      </c>
      <c r="CM8" s="536">
        <v>40877</v>
      </c>
      <c r="CN8" s="536">
        <v>40968</v>
      </c>
      <c r="CO8" s="536">
        <v>41060</v>
      </c>
      <c r="CP8" s="536">
        <v>41152</v>
      </c>
      <c r="CQ8" s="1078">
        <f>CP8</f>
        <v>41152</v>
      </c>
      <c r="CR8" s="536">
        <v>41243</v>
      </c>
      <c r="CS8" s="536">
        <v>41333</v>
      </c>
      <c r="CT8" s="536">
        <v>41425</v>
      </c>
      <c r="CU8" s="536">
        <v>41517</v>
      </c>
      <c r="CV8" s="1078">
        <f>CU8</f>
        <v>41517</v>
      </c>
      <c r="CW8" s="536">
        <f>EOMONTH(CU8,3)</f>
        <v>41608</v>
      </c>
      <c r="CX8" s="536">
        <f>EOMONTH(CW8,3)</f>
        <v>41698</v>
      </c>
      <c r="CY8" s="536">
        <f>EOMONTH(CX8,3)</f>
        <v>41790</v>
      </c>
      <c r="CZ8" s="536">
        <f>EOMONTH(CY8,3)</f>
        <v>41882</v>
      </c>
      <c r="DA8" s="1078">
        <f>CZ8</f>
        <v>41882</v>
      </c>
      <c r="DB8" s="536">
        <f>EOMONTH(CZ8,3)</f>
        <v>41973</v>
      </c>
      <c r="DC8" s="536">
        <f>EOMONTH(DB8,3)</f>
        <v>42063</v>
      </c>
      <c r="DD8" s="536">
        <f>EOMONTH(DC8,3)</f>
        <v>42155</v>
      </c>
      <c r="DE8" s="536">
        <f>EOMONTH(DD8,3)</f>
        <v>42247</v>
      </c>
      <c r="DF8" s="1078">
        <f>DE8</f>
        <v>42247</v>
      </c>
      <c r="DG8" s="1078"/>
      <c r="DH8" s="1078"/>
      <c r="DI8" s="1078"/>
      <c r="DJ8" s="1078"/>
      <c r="DK8" s="1078">
        <f>EOMONTH(DF8,12)</f>
        <v>42613</v>
      </c>
      <c r="DL8" s="1078"/>
      <c r="DM8" s="1078"/>
      <c r="DN8" s="1078"/>
      <c r="DO8" s="1078"/>
      <c r="DP8" s="1078">
        <f>EOMONTH(DK8,12)</f>
        <v>42978</v>
      </c>
      <c r="DQ8" s="1078"/>
      <c r="DR8" s="1078"/>
      <c r="DS8" s="1078"/>
      <c r="DT8" s="1078"/>
      <c r="DU8" s="1078">
        <f>EOMONTH(DP8,12)</f>
        <v>43343</v>
      </c>
      <c r="DV8" s="1078"/>
      <c r="DW8" s="1078"/>
      <c r="DX8" s="1078"/>
      <c r="DY8" s="1078"/>
      <c r="DZ8" s="1078">
        <f>EOMONTH(DU8,12)</f>
        <v>43708</v>
      </c>
      <c r="EA8" s="1078"/>
      <c r="EB8" s="1078"/>
      <c r="EC8" s="1078"/>
      <c r="ED8" s="1078"/>
      <c r="EE8" s="1078">
        <f>EOMONTH(DZ8,12)</f>
        <v>44074</v>
      </c>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row>
    <row r="9" spans="1:238" s="54" customFormat="1" ht="5.25" customHeight="1" collapsed="1">
      <c r="B9" s="538"/>
      <c r="C9" s="64"/>
      <c r="D9" s="64"/>
      <c r="E9" s="64"/>
      <c r="F9" s="64"/>
      <c r="G9" s="64"/>
      <c r="H9" s="77"/>
      <c r="I9" s="64"/>
      <c r="J9" s="64"/>
      <c r="K9" s="121"/>
      <c r="L9" s="73"/>
      <c r="M9" s="73"/>
      <c r="N9" s="75"/>
      <c r="O9" s="64"/>
      <c r="P9" s="121"/>
      <c r="Q9" s="73"/>
      <c r="R9" s="73"/>
      <c r="S9" s="75"/>
      <c r="T9" s="64"/>
      <c r="U9" s="121"/>
      <c r="V9" s="73"/>
      <c r="W9" s="73"/>
      <c r="X9" s="75"/>
      <c r="Y9" s="64"/>
      <c r="Z9" s="121"/>
      <c r="AA9" s="73"/>
      <c r="AB9" s="73"/>
      <c r="AC9" s="75"/>
      <c r="AD9" s="64"/>
      <c r="AE9" s="121"/>
      <c r="AF9" s="73"/>
      <c r="AG9" s="73"/>
      <c r="AH9" s="75"/>
      <c r="AI9" s="64"/>
      <c r="AJ9" s="121"/>
      <c r="AK9" s="73"/>
      <c r="AL9" s="73"/>
      <c r="AM9" s="75"/>
      <c r="AN9" s="64"/>
      <c r="AO9" s="121"/>
      <c r="AP9" s="73"/>
      <c r="AQ9" s="73"/>
      <c r="AR9" s="75"/>
      <c r="AS9" s="64"/>
      <c r="AT9" s="121"/>
      <c r="AU9" s="73"/>
      <c r="AV9" s="73"/>
      <c r="AW9" s="75"/>
      <c r="AX9" s="64"/>
      <c r="AY9" s="121"/>
      <c r="AZ9" s="73"/>
      <c r="BA9" s="73"/>
      <c r="BB9" s="75"/>
      <c r="BC9" s="64"/>
      <c r="BD9" s="121"/>
      <c r="BE9" s="73"/>
      <c r="BF9" s="73"/>
      <c r="BG9" s="75"/>
      <c r="BH9" s="64"/>
      <c r="BI9" s="121"/>
      <c r="BJ9" s="73"/>
      <c r="BK9" s="73"/>
      <c r="BL9" s="75"/>
      <c r="BM9" s="64"/>
      <c r="BN9" s="121"/>
      <c r="BO9" s="73"/>
      <c r="BP9" s="73"/>
      <c r="BQ9" s="75"/>
      <c r="BR9" s="64"/>
      <c r="BS9" s="121"/>
      <c r="BT9" s="73"/>
      <c r="BU9" s="73"/>
      <c r="BV9" s="75"/>
      <c r="BW9" s="64"/>
      <c r="BX9" s="121"/>
      <c r="BY9" s="73"/>
      <c r="BZ9" s="73"/>
      <c r="CA9" s="75"/>
      <c r="CB9" s="64"/>
      <c r="CC9" s="121"/>
      <c r="CD9" s="73"/>
      <c r="CE9" s="73"/>
      <c r="CF9" s="73"/>
      <c r="CG9" s="619"/>
      <c r="CH9" s="73"/>
      <c r="CI9" s="73"/>
      <c r="CJ9" s="73"/>
      <c r="CK9" s="73"/>
      <c r="CL9" s="619"/>
      <c r="CM9" s="73"/>
      <c r="CN9" s="73"/>
      <c r="CO9" s="73"/>
      <c r="CP9" s="73"/>
      <c r="CQ9" s="619"/>
      <c r="CR9" s="73"/>
      <c r="CS9" s="73"/>
      <c r="CT9" s="73"/>
      <c r="CU9" s="73"/>
      <c r="CV9" s="619"/>
      <c r="CW9" s="73"/>
      <c r="CX9" s="73"/>
      <c r="CY9" s="73"/>
      <c r="CZ9" s="73"/>
      <c r="DA9" s="619"/>
      <c r="DB9" s="73"/>
      <c r="DC9" s="73"/>
      <c r="DD9" s="73"/>
      <c r="DE9" s="73"/>
      <c r="DF9" s="619"/>
      <c r="DG9" s="1662"/>
      <c r="DH9" s="467"/>
      <c r="DI9" s="467"/>
      <c r="DJ9" s="1731"/>
      <c r="DK9" s="619"/>
      <c r="DL9" s="1662"/>
      <c r="DM9" s="467"/>
      <c r="DN9" s="467"/>
      <c r="DO9" s="1731"/>
      <c r="DP9" s="619"/>
      <c r="DQ9" s="1662"/>
      <c r="DR9" s="467"/>
      <c r="DS9" s="467"/>
      <c r="DT9" s="1731"/>
      <c r="DU9" s="619"/>
      <c r="DV9" s="1662"/>
      <c r="DW9" s="467"/>
      <c r="DX9" s="467"/>
      <c r="DY9" s="1731"/>
      <c r="DZ9" s="619"/>
      <c r="EA9" s="1662"/>
      <c r="EB9" s="467"/>
      <c r="EC9" s="467"/>
      <c r="ED9" s="1731"/>
      <c r="EE9" s="61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row>
    <row r="10" spans="1:238" s="68" customFormat="1" ht="12.75" customHeight="1">
      <c r="B10" s="540" t="s">
        <v>558</v>
      </c>
      <c r="C10" s="83"/>
      <c r="D10" s="83"/>
      <c r="E10" s="83"/>
      <c r="F10" s="83"/>
      <c r="G10" s="83"/>
      <c r="H10" s="84"/>
      <c r="I10" s="83"/>
      <c r="J10" s="83"/>
      <c r="K10" s="85"/>
      <c r="L10" s="86"/>
      <c r="M10" s="86"/>
      <c r="N10" s="87"/>
      <c r="O10" s="83"/>
      <c r="P10" s="85"/>
      <c r="Q10" s="86"/>
      <c r="R10" s="86"/>
      <c r="S10" s="87"/>
      <c r="T10" s="83"/>
      <c r="U10" s="85"/>
      <c r="V10" s="86"/>
      <c r="W10" s="86"/>
      <c r="X10" s="87"/>
      <c r="Y10" s="83"/>
      <c r="Z10" s="85"/>
      <c r="AA10" s="86"/>
      <c r="AB10" s="86"/>
      <c r="AC10" s="87"/>
      <c r="AD10" s="83"/>
      <c r="AE10" s="85"/>
      <c r="AF10" s="86"/>
      <c r="AG10" s="86"/>
      <c r="AH10" s="87"/>
      <c r="AI10" s="83"/>
      <c r="AJ10" s="85"/>
      <c r="AK10" s="86"/>
      <c r="AL10" s="86"/>
      <c r="AM10" s="87"/>
      <c r="AN10" s="83"/>
      <c r="AO10" s="85"/>
      <c r="AP10" s="86"/>
      <c r="AQ10" s="86"/>
      <c r="AR10" s="87"/>
      <c r="AS10" s="83"/>
      <c r="AT10" s="85"/>
      <c r="AU10" s="86"/>
      <c r="AV10" s="86"/>
      <c r="AW10" s="87"/>
      <c r="AX10" s="83"/>
      <c r="AY10" s="85"/>
      <c r="AZ10" s="86"/>
      <c r="BA10" s="86"/>
      <c r="BB10" s="87"/>
      <c r="BC10" s="83"/>
      <c r="BD10" s="85"/>
      <c r="BE10" s="86"/>
      <c r="BF10" s="86"/>
      <c r="BG10" s="87"/>
      <c r="BH10" s="83"/>
      <c r="BI10" s="85"/>
      <c r="BJ10" s="86"/>
      <c r="BK10" s="86"/>
      <c r="BL10" s="87"/>
      <c r="BM10" s="83"/>
      <c r="BN10" s="85"/>
      <c r="BO10" s="86"/>
      <c r="BP10" s="86"/>
      <c r="BQ10" s="87"/>
      <c r="BR10" s="83"/>
      <c r="BS10" s="85"/>
      <c r="BT10" s="86"/>
      <c r="BU10" s="86"/>
      <c r="BV10" s="87"/>
      <c r="BW10" s="83"/>
      <c r="BX10" s="85"/>
      <c r="BY10" s="86"/>
      <c r="BZ10" s="86"/>
      <c r="CA10" s="87"/>
      <c r="CB10" s="83"/>
      <c r="CC10" s="85"/>
      <c r="CD10" s="86"/>
      <c r="CE10" s="86"/>
      <c r="CF10" s="86"/>
      <c r="CG10" s="795"/>
      <c r="CH10" s="86"/>
      <c r="CI10" s="86"/>
      <c r="CJ10" s="86"/>
      <c r="CK10" s="86"/>
      <c r="CL10" s="795"/>
      <c r="CM10" s="86"/>
      <c r="CN10" s="86"/>
      <c r="CO10" s="86"/>
      <c r="CP10" s="86"/>
      <c r="CQ10" s="795"/>
      <c r="CR10" s="86"/>
      <c r="CS10" s="86"/>
      <c r="CT10" s="86"/>
      <c r="CU10" s="86"/>
      <c r="CV10" s="795"/>
      <c r="CW10" s="86"/>
      <c r="CX10" s="86"/>
      <c r="CY10" s="86"/>
      <c r="CZ10" s="86"/>
      <c r="DA10" s="795"/>
      <c r="DB10" s="86"/>
      <c r="DC10" s="86"/>
      <c r="DD10" s="86"/>
      <c r="DE10" s="86"/>
      <c r="DF10" s="795"/>
      <c r="DG10" s="540"/>
      <c r="DH10" s="83"/>
      <c r="DI10" s="83"/>
      <c r="DJ10" s="1732"/>
      <c r="DK10" s="1409"/>
      <c r="DL10" s="1745"/>
      <c r="DM10" s="86"/>
      <c r="DN10" s="86"/>
      <c r="DO10" s="1746"/>
      <c r="DP10" s="1409"/>
      <c r="DQ10" s="1745"/>
      <c r="DR10" s="86"/>
      <c r="DS10" s="86"/>
      <c r="DT10" s="1746"/>
      <c r="DU10" s="1409"/>
      <c r="DV10" s="1745"/>
      <c r="DW10" s="86"/>
      <c r="DX10" s="86"/>
      <c r="DY10" s="1746"/>
      <c r="DZ10" s="1409"/>
      <c r="EA10" s="1745"/>
      <c r="EB10" s="86"/>
      <c r="EC10" s="86"/>
      <c r="ED10" s="1746"/>
      <c r="EE10" s="1409"/>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row>
    <row r="11" spans="1:238" s="69" customFormat="1" ht="12.75" customHeight="1">
      <c r="B11" s="541"/>
      <c r="C11" s="70"/>
      <c r="D11" s="70"/>
      <c r="E11" s="70"/>
      <c r="F11" s="70"/>
      <c r="G11" s="70"/>
      <c r="H11" s="89"/>
      <c r="I11" s="70"/>
      <c r="J11" s="70"/>
      <c r="K11" s="90"/>
      <c r="L11" s="71"/>
      <c r="M11" s="71"/>
      <c r="N11" s="91"/>
      <c r="O11" s="70"/>
      <c r="P11" s="90"/>
      <c r="Q11" s="71"/>
      <c r="R11" s="71"/>
      <c r="S11" s="91"/>
      <c r="T11" s="70"/>
      <c r="U11" s="90"/>
      <c r="V11" s="71"/>
      <c r="W11" s="71"/>
      <c r="X11" s="91"/>
      <c r="Y11" s="70"/>
      <c r="Z11" s="90"/>
      <c r="AA11" s="71"/>
      <c r="AB11" s="71"/>
      <c r="AC11" s="91"/>
      <c r="AD11" s="70"/>
      <c r="AE11" s="90"/>
      <c r="AF11" s="71"/>
      <c r="AG11" s="71"/>
      <c r="AH11" s="91"/>
      <c r="AI11" s="70"/>
      <c r="AJ11" s="90"/>
      <c r="AK11" s="71"/>
      <c r="AL11" s="71"/>
      <c r="AM11" s="91"/>
      <c r="AN11" s="70"/>
      <c r="AO11" s="90"/>
      <c r="AP11" s="71"/>
      <c r="AQ11" s="71"/>
      <c r="AR11" s="91"/>
      <c r="AS11" s="70"/>
      <c r="AT11" s="90"/>
      <c r="AU11" s="71"/>
      <c r="AV11" s="71"/>
      <c r="AW11" s="91"/>
      <c r="AX11" s="70"/>
      <c r="AY11" s="90"/>
      <c r="AZ11" s="71"/>
      <c r="BA11" s="71"/>
      <c r="BB11" s="91"/>
      <c r="BC11" s="70"/>
      <c r="BD11" s="90"/>
      <c r="BE11" s="71"/>
      <c r="BF11" s="71"/>
      <c r="BG11" s="91"/>
      <c r="BH11" s="70"/>
      <c r="BI11" s="90"/>
      <c r="BJ11" s="71"/>
      <c r="BK11" s="71"/>
      <c r="BL11" s="91"/>
      <c r="BM11" s="70"/>
      <c r="BN11" s="90"/>
      <c r="BO11" s="71"/>
      <c r="BP11" s="71"/>
      <c r="BQ11" s="91"/>
      <c r="BR11" s="70"/>
      <c r="BS11" s="90"/>
      <c r="BT11" s="71"/>
      <c r="BU11" s="71"/>
      <c r="BV11" s="91"/>
      <c r="BW11" s="70"/>
      <c r="BX11" s="90"/>
      <c r="BY11" s="71"/>
      <c r="BZ11" s="71"/>
      <c r="CA11" s="91"/>
      <c r="CB11" s="70"/>
      <c r="CC11" s="90"/>
      <c r="CD11" s="71"/>
      <c r="CE11" s="71"/>
      <c r="CF11" s="71"/>
      <c r="CG11" s="796"/>
      <c r="CH11" s="71"/>
      <c r="CI11" s="71"/>
      <c r="CJ11" s="71"/>
      <c r="CK11" s="71"/>
      <c r="CL11" s="796"/>
      <c r="CM11" s="71"/>
      <c r="CN11" s="71"/>
      <c r="CO11" s="71"/>
      <c r="CP11" s="71"/>
      <c r="CQ11" s="796"/>
      <c r="CR11" s="71"/>
      <c r="CS11" s="71"/>
      <c r="CT11" s="71"/>
      <c r="CU11" s="71"/>
      <c r="CV11" s="796"/>
      <c r="CW11" s="71"/>
      <c r="CX11" s="71"/>
      <c r="CY11" s="71"/>
      <c r="CZ11" s="71"/>
      <c r="DA11" s="796"/>
      <c r="DB11" s="2011"/>
      <c r="DC11" s="71"/>
      <c r="DD11" s="1974"/>
      <c r="DE11" s="71"/>
      <c r="DF11" s="796"/>
      <c r="DG11" s="541"/>
      <c r="DH11" s="70"/>
      <c r="DI11" s="70"/>
      <c r="DJ11" s="542"/>
      <c r="DK11" s="1410"/>
      <c r="DL11" s="1747"/>
      <c r="DM11" s="71"/>
      <c r="DN11" s="71"/>
      <c r="DO11" s="1748"/>
      <c r="DP11" s="1410"/>
      <c r="DQ11" s="1747"/>
      <c r="DR11" s="71"/>
      <c r="DS11" s="71"/>
      <c r="DT11" s="1748"/>
      <c r="DU11" s="1410"/>
      <c r="DV11" s="1747"/>
      <c r="DW11" s="71"/>
      <c r="DX11" s="71"/>
      <c r="DY11" s="1748"/>
      <c r="DZ11" s="1410"/>
      <c r="EA11" s="1747"/>
      <c r="EB11" s="71"/>
      <c r="EC11" s="71"/>
      <c r="ED11" s="1748"/>
      <c r="EE11" s="1410"/>
      <c r="EF11" s="1957"/>
      <c r="EG11" s="1957"/>
      <c r="EH11" s="1957"/>
      <c r="EI11" s="1957"/>
      <c r="EJ11"/>
      <c r="EK11"/>
      <c r="EL11"/>
      <c r="EM11"/>
      <c r="EN11"/>
      <c r="EO11"/>
      <c r="EP11" s="1957"/>
      <c r="EQ11" s="1957"/>
      <c r="ER11" s="1957"/>
      <c r="ES11" s="1957"/>
      <c r="ET11" s="1957"/>
      <c r="EU11" s="1957"/>
      <c r="EV11" s="1957"/>
      <c r="EW11" s="1957"/>
      <c r="EX11" s="1957"/>
      <c r="EY11" s="1957"/>
      <c r="EZ11" s="1957"/>
      <c r="FA11" s="1957"/>
      <c r="FB11" s="1957"/>
      <c r="FC11" s="1957"/>
      <c r="FD11" s="1957"/>
      <c r="FE11" s="1957"/>
      <c r="FF11" s="1957"/>
      <c r="FG11" s="1957"/>
      <c r="FH11" s="1957"/>
      <c r="FI11" s="1957"/>
      <c r="FJ11" s="1957"/>
      <c r="FK11" s="1957"/>
      <c r="FL11" s="1957"/>
      <c r="FM11" s="1957"/>
      <c r="FN11" s="1957"/>
      <c r="FO11" s="1957"/>
      <c r="FP11" s="1957"/>
      <c r="FQ11" s="1957"/>
      <c r="FR11" s="1957"/>
      <c r="FS11" s="1957"/>
      <c r="FT11" s="1957"/>
      <c r="FU11" s="1957"/>
      <c r="FV11" s="1957"/>
      <c r="FW11" s="1957"/>
      <c r="FX11" s="1957"/>
      <c r="FY11" s="1957"/>
      <c r="FZ11" s="1957"/>
      <c r="GA11" s="1957"/>
      <c r="GB11" s="1957"/>
      <c r="GC11" s="1957"/>
      <c r="GD11" s="1957"/>
      <c r="GE11" s="1957"/>
      <c r="GF11" s="1957"/>
      <c r="GG11" s="1957"/>
      <c r="GH11" s="1957"/>
      <c r="GI11" s="1957"/>
      <c r="GJ11" s="1957"/>
      <c r="GK11" s="1957"/>
      <c r="GL11" s="1957"/>
      <c r="GM11" s="1957"/>
      <c r="GN11" s="1957"/>
      <c r="GO11" s="1957"/>
      <c r="GP11" s="1957"/>
      <c r="GQ11" s="1957"/>
      <c r="GR11" s="1957"/>
      <c r="GS11" s="1957"/>
      <c r="GT11" s="1957"/>
      <c r="GU11" s="1957"/>
      <c r="GV11" s="1957"/>
      <c r="GW11" s="1957"/>
      <c r="GX11" s="1957"/>
      <c r="GY11" s="1957"/>
      <c r="GZ11" s="1957"/>
      <c r="HA11" s="1957"/>
      <c r="HB11" s="1957"/>
      <c r="HC11" s="1957"/>
      <c r="HD11" s="1957"/>
      <c r="HE11" s="1957"/>
      <c r="HF11" s="1957"/>
      <c r="HG11" s="1957"/>
      <c r="HH11" s="1957"/>
      <c r="HI11" s="1957"/>
      <c r="HJ11" s="1957"/>
      <c r="HK11" s="1957"/>
      <c r="HL11" s="1957"/>
      <c r="HM11" s="1957"/>
      <c r="HN11" s="1957"/>
      <c r="HO11" s="1957"/>
      <c r="HP11" s="1957"/>
      <c r="HQ11" s="1957"/>
      <c r="HR11" s="1957"/>
      <c r="HS11" s="1957"/>
      <c r="HT11" s="1957"/>
      <c r="HU11" s="1957"/>
      <c r="HV11" s="1957"/>
      <c r="HW11" s="1957"/>
      <c r="HX11" s="1957"/>
      <c r="HY11" s="1957"/>
      <c r="HZ11" s="1957"/>
      <c r="IA11" s="1957"/>
      <c r="IB11" s="1957"/>
      <c r="IC11" s="1957"/>
      <c r="ID11" s="1957"/>
    </row>
    <row r="12" spans="1:238" s="1959" customFormat="1" ht="12.75" customHeight="1">
      <c r="B12" s="1958" t="s">
        <v>455</v>
      </c>
      <c r="C12" s="1570"/>
      <c r="D12" s="1570"/>
      <c r="E12" s="1570"/>
      <c r="F12" s="1570"/>
      <c r="G12" s="1570"/>
      <c r="H12" s="1577"/>
      <c r="I12" s="1570"/>
      <c r="J12" s="1570"/>
      <c r="K12" s="1960"/>
      <c r="L12" s="1549"/>
      <c r="M12" s="1549"/>
      <c r="N12" s="1550"/>
      <c r="O12" s="1570"/>
      <c r="P12" s="1960"/>
      <c r="Q12" s="1549"/>
      <c r="R12" s="1549"/>
      <c r="S12" s="1550"/>
      <c r="T12" s="1570"/>
      <c r="U12" s="1960"/>
      <c r="V12" s="1549"/>
      <c r="W12" s="1549"/>
      <c r="X12" s="1550"/>
      <c r="Y12" s="1570"/>
      <c r="Z12" s="1960"/>
      <c r="AA12" s="1549"/>
      <c r="AB12" s="1549"/>
      <c r="AC12" s="1550"/>
      <c r="AD12" s="1570"/>
      <c r="AE12" s="1960"/>
      <c r="AF12" s="1549"/>
      <c r="AG12" s="1549"/>
      <c r="AH12" s="1550"/>
      <c r="AI12" s="1570"/>
      <c r="AJ12" s="1960"/>
      <c r="AK12" s="1549"/>
      <c r="AL12" s="1549"/>
      <c r="AM12" s="1550"/>
      <c r="AN12" s="1570"/>
      <c r="AO12" s="1960"/>
      <c r="AP12" s="1549"/>
      <c r="AQ12" s="1549"/>
      <c r="AR12" s="1550"/>
      <c r="AS12" s="1570"/>
      <c r="AT12" s="1960"/>
      <c r="AU12" s="1549"/>
      <c r="AV12" s="1549"/>
      <c r="AW12" s="1550"/>
      <c r="AX12" s="1570"/>
      <c r="AY12" s="1960"/>
      <c r="AZ12" s="1549"/>
      <c r="BA12" s="1549"/>
      <c r="BB12" s="1550"/>
      <c r="BC12" s="1570"/>
      <c r="BD12" s="1960"/>
      <c r="BE12" s="1549"/>
      <c r="BF12" s="1549"/>
      <c r="BG12" s="1550"/>
      <c r="BH12" s="1570"/>
      <c r="BI12" s="1960"/>
      <c r="BJ12" s="1549"/>
      <c r="BK12" s="1549"/>
      <c r="BL12" s="1550"/>
      <c r="BM12" s="1570"/>
      <c r="BN12" s="1960"/>
      <c r="BO12" s="1549"/>
      <c r="BP12" s="1549"/>
      <c r="BQ12" s="1550"/>
      <c r="BR12" s="1570"/>
      <c r="BS12" s="1960"/>
      <c r="BT12" s="1549"/>
      <c r="BU12" s="1549"/>
      <c r="BV12" s="1550"/>
      <c r="BW12" s="1570"/>
      <c r="BX12" s="1960"/>
      <c r="BY12" s="1549"/>
      <c r="BZ12" s="1549"/>
      <c r="CA12" s="1550"/>
      <c r="CB12" s="1570"/>
      <c r="CC12" s="1960"/>
      <c r="CD12" s="1549"/>
      <c r="CE12" s="1549"/>
      <c r="CF12" s="1549"/>
      <c r="CG12" s="1961"/>
      <c r="CH12" s="1549"/>
      <c r="CI12" s="1549"/>
      <c r="CJ12" s="1549"/>
      <c r="CK12" s="1549"/>
      <c r="CL12" s="1961"/>
      <c r="CM12" s="1549"/>
      <c r="CN12" s="1549"/>
      <c r="CO12" s="1549"/>
      <c r="CP12" s="1549"/>
      <c r="CQ12" s="1961"/>
      <c r="CR12" s="1549"/>
      <c r="CS12" s="1549"/>
      <c r="CT12" s="1549"/>
      <c r="CU12" s="1549"/>
      <c r="CV12" s="1961"/>
      <c r="CW12" s="1549"/>
      <c r="CX12" s="1549"/>
      <c r="CY12" s="1549"/>
      <c r="CZ12" s="1549"/>
      <c r="DA12" s="1961"/>
      <c r="DB12" s="1549"/>
      <c r="DC12" s="2011">
        <f>3865-357</f>
        <v>3508</v>
      </c>
      <c r="DD12" s="2011">
        <f>5708-569</f>
        <v>5139</v>
      </c>
      <c r="DE12" s="2011">
        <f>5754-(1514-569-357)</f>
        <v>5166</v>
      </c>
      <c r="DF12" s="1961">
        <f>SUM(DB12:DE12)</f>
        <v>13813</v>
      </c>
      <c r="DG12" s="2011">
        <f>5796-592</f>
        <v>5204</v>
      </c>
      <c r="DH12" s="2011">
        <f>5627-570</f>
        <v>5057</v>
      </c>
      <c r="DI12" s="2011">
        <f>5748-567</f>
        <v>5181</v>
      </c>
      <c r="DJ12" s="2011">
        <f>5400-(548-62)</f>
        <v>4914</v>
      </c>
      <c r="DK12" s="1961">
        <f>SUM(DG12:DJ12)</f>
        <v>20356</v>
      </c>
      <c r="DL12" s="2011">
        <f>5417-(1036-499)</f>
        <v>4880</v>
      </c>
      <c r="DM12" s="2011">
        <f>5030-599</f>
        <v>4431</v>
      </c>
      <c r="DN12" s="2011">
        <f>5296-515</f>
        <v>4781</v>
      </c>
      <c r="DO12" s="2011">
        <f>5445-538</f>
        <v>4907</v>
      </c>
      <c r="DP12" s="1962">
        <f>SUM(DL12:DO12)</f>
        <v>18999</v>
      </c>
      <c r="DQ12" s="1549">
        <f>5718-550</f>
        <v>5168</v>
      </c>
      <c r="DR12" s="1549">
        <f>DM12*(1+DR32)</f>
        <v>4497.4649999999992</v>
      </c>
      <c r="DS12" s="1549">
        <f>DN12*(1+DS32)</f>
        <v>4852.7149999999992</v>
      </c>
      <c r="DT12" s="1554">
        <f>DO12*(1+DT32)</f>
        <v>4980.6049999999996</v>
      </c>
      <c r="DU12" s="1962">
        <f>SUM(DQ12:DT12)</f>
        <v>19498.785</v>
      </c>
      <c r="DV12" s="1552">
        <f>DQ12*(1+DV32)</f>
        <v>5245.5199999999995</v>
      </c>
      <c r="DW12" s="1549">
        <f>DR12*(1+DW32)</f>
        <v>4564.9269749999985</v>
      </c>
      <c r="DX12" s="1549">
        <f>DS12*(1+DX32)</f>
        <v>4925.5057249999991</v>
      </c>
      <c r="DY12" s="1554">
        <f>DT12*(1+DY32)</f>
        <v>5055.3140749999993</v>
      </c>
      <c r="DZ12" s="1962">
        <f>SUM(DV12:DY12)</f>
        <v>19791.266774999996</v>
      </c>
      <c r="EA12" s="1552">
        <f>DV12*(1+EA32)</f>
        <v>5324.2027999999991</v>
      </c>
      <c r="EB12" s="1549">
        <f>DW12*(1+EB32)</f>
        <v>4633.4008796249982</v>
      </c>
      <c r="EC12" s="1549">
        <f>DX12*(1+EC32)</f>
        <v>4999.3883108749988</v>
      </c>
      <c r="ED12" s="1554">
        <f>DY12*(1+ED32)</f>
        <v>5131.1437861249988</v>
      </c>
      <c r="EE12" s="1962">
        <f>SUM(EA12:ED12)</f>
        <v>20088.135776624993</v>
      </c>
      <c r="EF12" s="33"/>
      <c r="EG12" s="33"/>
      <c r="EH12" s="33"/>
      <c r="EI12" s="33"/>
      <c r="EJ12"/>
      <c r="EK12"/>
      <c r="EL12"/>
      <c r="EM12"/>
      <c r="EN12"/>
      <c r="EO12"/>
      <c r="EP12" s="33"/>
      <c r="EQ12" s="33"/>
      <c r="ER12" s="33"/>
      <c r="ES12" s="33"/>
      <c r="ET12" s="33"/>
      <c r="EU12" s="33"/>
      <c r="EV12" s="33"/>
      <c r="EW12" s="33"/>
      <c r="EX12" s="33"/>
      <c r="EY12" s="33"/>
      <c r="EZ12" s="33"/>
      <c r="FA12" s="33"/>
      <c r="FB12" s="33"/>
      <c r="FC12" s="33"/>
      <c r="FD12" s="33"/>
      <c r="FE12" s="33"/>
      <c r="FF12" s="33"/>
      <c r="FG12" s="33"/>
      <c r="FH12" s="33"/>
      <c r="FI12" s="33"/>
      <c r="FJ12" s="33"/>
      <c r="FK12" s="33"/>
      <c r="FL12" s="33"/>
      <c r="FM12" s="33"/>
      <c r="FN12" s="33"/>
      <c r="FO12" s="33"/>
      <c r="FP12" s="33"/>
      <c r="FQ12" s="33"/>
      <c r="FR12" s="33"/>
      <c r="FS12" s="33"/>
      <c r="FT12" s="33"/>
      <c r="FU12" s="33"/>
      <c r="FV12" s="33"/>
      <c r="FW12" s="33"/>
      <c r="FX12" s="33"/>
      <c r="FY12" s="33"/>
      <c r="FZ12" s="33"/>
      <c r="GA12" s="33"/>
      <c r="GB12" s="33"/>
      <c r="GC12" s="33"/>
      <c r="GD12" s="33"/>
      <c r="GE12" s="33"/>
      <c r="GF12" s="33"/>
      <c r="GG12" s="33"/>
      <c r="GH12" s="33"/>
      <c r="GI12" s="33"/>
      <c r="GJ12" s="33"/>
      <c r="GK12" s="33"/>
      <c r="GL12" s="33"/>
      <c r="GM12" s="33"/>
      <c r="GN12" s="33"/>
      <c r="GO12" s="33"/>
      <c r="GP12" s="33"/>
      <c r="GQ12" s="33"/>
      <c r="GR12" s="33"/>
      <c r="GS12" s="33"/>
      <c r="GT12" s="33"/>
      <c r="GU12" s="33"/>
      <c r="GV12" s="33"/>
      <c r="GW12" s="33"/>
      <c r="GX12" s="33"/>
      <c r="GY12" s="33"/>
      <c r="GZ12" s="33"/>
      <c r="HA12" s="33"/>
      <c r="HB12" s="33"/>
      <c r="HC12" s="33"/>
      <c r="HD12" s="33"/>
      <c r="HE12" s="33"/>
      <c r="HF12" s="33"/>
      <c r="HG12" s="33"/>
      <c r="HH12" s="33"/>
      <c r="HI12" s="33"/>
      <c r="HJ12" s="33"/>
      <c r="HK12" s="33"/>
      <c r="HL12" s="33"/>
      <c r="HM12" s="33"/>
      <c r="HN12" s="33"/>
      <c r="HO12" s="33"/>
      <c r="HP12" s="33"/>
      <c r="HQ12" s="33"/>
      <c r="HR12" s="33"/>
      <c r="HS12" s="33"/>
      <c r="HT12" s="33"/>
      <c r="HU12" s="33"/>
      <c r="HV12" s="33"/>
      <c r="HW12" s="33"/>
      <c r="HX12" s="33"/>
      <c r="HY12" s="33"/>
      <c r="HZ12" s="33"/>
      <c r="IA12" s="33"/>
      <c r="IB12" s="33"/>
      <c r="IC12" s="33"/>
      <c r="ID12" s="33"/>
    </row>
    <row r="13" spans="1:238" s="1959" customFormat="1" ht="12.75" customHeight="1">
      <c r="A13" s="1963"/>
      <c r="B13" s="1964" t="s">
        <v>288</v>
      </c>
      <c r="C13" s="1963"/>
      <c r="D13" s="1963"/>
      <c r="E13" s="1963"/>
      <c r="F13" s="1963"/>
      <c r="G13" s="1963"/>
      <c r="H13" s="1965"/>
      <c r="I13" s="1963"/>
      <c r="J13" s="1963"/>
      <c r="K13" s="1966"/>
      <c r="L13" s="1537"/>
      <c r="M13" s="1537"/>
      <c r="N13" s="1551"/>
      <c r="O13" s="1963"/>
      <c r="P13" s="1966"/>
      <c r="Q13" s="1537"/>
      <c r="R13" s="1537"/>
      <c r="S13" s="1551"/>
      <c r="T13" s="1963"/>
      <c r="U13" s="1966"/>
      <c r="V13" s="1537"/>
      <c r="W13" s="1537"/>
      <c r="X13" s="1551"/>
      <c r="Y13" s="1963"/>
      <c r="Z13" s="1966"/>
      <c r="AA13" s="1537"/>
      <c r="AB13" s="1537"/>
      <c r="AC13" s="1551"/>
      <c r="AD13" s="1963"/>
      <c r="AE13" s="1966"/>
      <c r="AF13" s="1537"/>
      <c r="AG13" s="1537"/>
      <c r="AH13" s="1551"/>
      <c r="AI13" s="1963"/>
      <c r="AJ13" s="1966"/>
      <c r="AK13" s="1537"/>
      <c r="AL13" s="1537"/>
      <c r="AM13" s="1551"/>
      <c r="AN13" s="1963"/>
      <c r="AO13" s="1966"/>
      <c r="AP13" s="1537"/>
      <c r="AQ13" s="1537"/>
      <c r="AR13" s="1551"/>
      <c r="AS13" s="1963"/>
      <c r="AT13" s="1966"/>
      <c r="AU13" s="1537"/>
      <c r="AV13" s="1537"/>
      <c r="AW13" s="1551"/>
      <c r="AX13" s="1963"/>
      <c r="AY13" s="1966"/>
      <c r="AZ13" s="1537"/>
      <c r="BA13" s="1537"/>
      <c r="BB13" s="1551"/>
      <c r="BC13" s="1963"/>
      <c r="BD13" s="1966"/>
      <c r="BE13" s="1537"/>
      <c r="BF13" s="1537"/>
      <c r="BG13" s="1551"/>
      <c r="BH13" s="1963"/>
      <c r="BI13" s="1966"/>
      <c r="BJ13" s="1537"/>
      <c r="BK13" s="1537"/>
      <c r="BL13" s="1551"/>
      <c r="BM13" s="1963"/>
      <c r="BN13" s="1966"/>
      <c r="BO13" s="1537"/>
      <c r="BP13" s="1537"/>
      <c r="BQ13" s="1551"/>
      <c r="BR13" s="1963"/>
      <c r="BS13" s="1966"/>
      <c r="BT13" s="1537"/>
      <c r="BU13" s="1537"/>
      <c r="BV13" s="1551"/>
      <c r="BW13" s="1963"/>
      <c r="BX13" s="1966"/>
      <c r="BY13" s="1537"/>
      <c r="BZ13" s="1537"/>
      <c r="CA13" s="1551"/>
      <c r="CB13" s="1963"/>
      <c r="CC13" s="1966"/>
      <c r="CD13" s="1537"/>
      <c r="CE13" s="1537"/>
      <c r="CF13" s="1537"/>
      <c r="CG13" s="1967"/>
      <c r="CH13" s="1537"/>
      <c r="CI13" s="1537"/>
      <c r="CJ13" s="1537"/>
      <c r="CK13" s="1537"/>
      <c r="CL13" s="1967"/>
      <c r="CM13" s="1537"/>
      <c r="CN13" s="1537"/>
      <c r="CO13" s="1537"/>
      <c r="CP13" s="1537"/>
      <c r="CQ13" s="1967"/>
      <c r="CR13" s="1537"/>
      <c r="CS13" s="1537"/>
      <c r="CT13" s="1537"/>
      <c r="CU13" s="1537"/>
      <c r="CV13" s="1967"/>
      <c r="CW13" s="1537"/>
      <c r="CX13" s="1537"/>
      <c r="CY13" s="1537"/>
      <c r="CZ13" s="1537"/>
      <c r="DA13" s="1967"/>
      <c r="DB13" s="1537"/>
      <c r="DC13" s="1537">
        <f t="shared" ref="DC13:DP13" si="1">DC12-DC14</f>
        <v>3121</v>
      </c>
      <c r="DD13" s="1537">
        <f t="shared" si="1"/>
        <v>4579</v>
      </c>
      <c r="DE13" s="1537">
        <f>DE12-DE14</f>
        <v>4627</v>
      </c>
      <c r="DF13" s="1967">
        <f t="shared" si="1"/>
        <v>12327</v>
      </c>
      <c r="DG13" s="1537">
        <f>DG12-DG14</f>
        <v>4647</v>
      </c>
      <c r="DH13" s="1537">
        <f>DH12-DH14</f>
        <v>4522</v>
      </c>
      <c r="DI13" s="1537">
        <f>DI12-DI14</f>
        <v>4644</v>
      </c>
      <c r="DJ13" s="1537">
        <f>DJ12-DJ14</f>
        <v>4412</v>
      </c>
      <c r="DK13" s="1967">
        <f t="shared" si="1"/>
        <v>18225</v>
      </c>
      <c r="DL13" s="1537">
        <f>DL12-DL14</f>
        <v>4378</v>
      </c>
      <c r="DM13" s="1537">
        <f>DM12-DM14</f>
        <v>3946</v>
      </c>
      <c r="DN13" s="1537">
        <f>DN12-DN14</f>
        <v>4290</v>
      </c>
      <c r="DO13" s="1537">
        <f t="shared" si="1"/>
        <v>4421</v>
      </c>
      <c r="DP13" s="1968">
        <f t="shared" si="1"/>
        <v>17035</v>
      </c>
      <c r="DQ13" s="1537">
        <f t="shared" ref="DQ13" si="2">DQ12-DQ14</f>
        <v>4646</v>
      </c>
      <c r="DR13" s="1537">
        <f t="shared" ref="DR13:DZ13" si="3">DR12-DR14</f>
        <v>3982.7026749999995</v>
      </c>
      <c r="DS13" s="1537">
        <f t="shared" si="3"/>
        <v>4330.0864249999995</v>
      </c>
      <c r="DT13" s="1555">
        <f t="shared" si="3"/>
        <v>4462.4119749999991</v>
      </c>
      <c r="DU13" s="1968">
        <f t="shared" si="3"/>
        <v>17421.201075000001</v>
      </c>
      <c r="DV13" s="1553">
        <f t="shared" si="3"/>
        <v>4715.6899999999996</v>
      </c>
      <c r="DW13" s="1537">
        <f t="shared" si="3"/>
        <v>4042.4432151249985</v>
      </c>
      <c r="DX13" s="1537">
        <f t="shared" si="3"/>
        <v>4395.0377213749989</v>
      </c>
      <c r="DY13" s="1555">
        <f t="shared" si="3"/>
        <v>4529.3481546249996</v>
      </c>
      <c r="DZ13" s="1968">
        <f t="shared" si="3"/>
        <v>17682.519091124996</v>
      </c>
      <c r="EA13" s="1553">
        <f t="shared" ref="EA13:EE13" si="4">EA12-EA14</f>
        <v>4786.4253499999995</v>
      </c>
      <c r="EB13" s="1537">
        <f t="shared" si="4"/>
        <v>4103.0798633518734</v>
      </c>
      <c r="EC13" s="1537">
        <f t="shared" si="4"/>
        <v>4460.9632871956237</v>
      </c>
      <c r="ED13" s="1555">
        <f t="shared" si="4"/>
        <v>4597.2883769443742</v>
      </c>
      <c r="EE13" s="1968">
        <f t="shared" si="4"/>
        <v>17947.756877491869</v>
      </c>
      <c r="EF13" s="33"/>
      <c r="EG13" s="33"/>
      <c r="EH13" s="33"/>
      <c r="EI13" s="33"/>
      <c r="EJ13"/>
      <c r="EK13"/>
      <c r="EL13"/>
      <c r="EM13"/>
      <c r="EN13"/>
      <c r="EO13"/>
      <c r="EP13" s="33"/>
      <c r="EQ13" s="33"/>
      <c r="ER13" s="33"/>
      <c r="ES13" s="33"/>
      <c r="ET13" s="33"/>
      <c r="EU13" s="33"/>
      <c r="EV13" s="33"/>
      <c r="EW13" s="33"/>
      <c r="EX13" s="33"/>
      <c r="EY13" s="33"/>
      <c r="EZ13" s="33"/>
      <c r="FA13" s="33"/>
      <c r="FB13" s="33"/>
      <c r="FC13" s="33"/>
      <c r="FD13" s="33"/>
      <c r="FE13" s="33"/>
      <c r="FF13" s="33"/>
      <c r="FG13" s="33"/>
      <c r="FH13" s="33"/>
      <c r="FI13" s="33"/>
      <c r="FJ13" s="33"/>
      <c r="FK13" s="33"/>
      <c r="FL13" s="33"/>
      <c r="FM13" s="33"/>
      <c r="FN13" s="33"/>
      <c r="FO13" s="33"/>
      <c r="FP13" s="33"/>
      <c r="FQ13" s="33"/>
      <c r="FR13" s="33"/>
      <c r="FS13" s="33"/>
      <c r="FT13" s="33"/>
      <c r="FU13" s="33"/>
      <c r="FV13" s="33"/>
      <c r="FW13" s="33"/>
      <c r="FX13" s="33"/>
      <c r="FY13" s="33"/>
      <c r="FZ13" s="33"/>
      <c r="GA13" s="33"/>
      <c r="GB13" s="33"/>
      <c r="GC13" s="33"/>
      <c r="GD13" s="33"/>
      <c r="GE13" s="33"/>
      <c r="GF13" s="33"/>
      <c r="GG13" s="33"/>
      <c r="GH13" s="33"/>
      <c r="GI13" s="33"/>
      <c r="GJ13" s="33"/>
      <c r="GK13" s="33"/>
      <c r="GL13" s="33"/>
      <c r="GM13" s="33"/>
      <c r="GN13" s="33"/>
      <c r="GO13" s="33"/>
      <c r="GP13" s="33"/>
      <c r="GQ13" s="33"/>
      <c r="GR13" s="33"/>
      <c r="GS13" s="33"/>
      <c r="GT13" s="33"/>
      <c r="GU13" s="33"/>
      <c r="GV13" s="33"/>
      <c r="GW13" s="33"/>
      <c r="GX13" s="33"/>
      <c r="GY13" s="33"/>
      <c r="GZ13" s="33"/>
      <c r="HA13" s="33"/>
      <c r="HB13" s="33"/>
      <c r="HC13" s="33"/>
      <c r="HD13" s="33"/>
      <c r="HE13" s="33"/>
      <c r="HF13" s="33"/>
      <c r="HG13" s="33"/>
      <c r="HH13" s="33"/>
      <c r="HI13" s="33"/>
      <c r="HJ13" s="33"/>
      <c r="HK13" s="33"/>
      <c r="HL13" s="33"/>
      <c r="HM13" s="33"/>
      <c r="HN13" s="33"/>
      <c r="HO13" s="33"/>
      <c r="HP13" s="33"/>
      <c r="HQ13" s="33"/>
      <c r="HR13" s="33"/>
      <c r="HS13" s="33"/>
      <c r="HT13" s="33"/>
      <c r="HU13" s="33"/>
      <c r="HV13" s="33"/>
      <c r="HW13" s="33"/>
      <c r="HX13" s="33"/>
      <c r="HY13" s="33"/>
      <c r="HZ13" s="33"/>
      <c r="IA13" s="33"/>
      <c r="IB13" s="33"/>
      <c r="IC13" s="33"/>
      <c r="ID13" s="33"/>
    </row>
    <row r="14" spans="1:238" s="1959" customFormat="1" ht="12.75" customHeight="1">
      <c r="B14" s="1958" t="s">
        <v>540</v>
      </c>
      <c r="C14" s="1570"/>
      <c r="D14" s="1570"/>
      <c r="E14" s="1570"/>
      <c r="F14" s="1570"/>
      <c r="G14" s="1570"/>
      <c r="H14" s="1577"/>
      <c r="I14" s="1570"/>
      <c r="J14" s="1570"/>
      <c r="K14" s="1960"/>
      <c r="L14" s="1549"/>
      <c r="M14" s="1549"/>
      <c r="N14" s="1550"/>
      <c r="O14" s="1570"/>
      <c r="P14" s="1960"/>
      <c r="Q14" s="1549"/>
      <c r="R14" s="1549"/>
      <c r="S14" s="1550"/>
      <c r="T14" s="1570"/>
      <c r="U14" s="1960"/>
      <c r="V14" s="1549"/>
      <c r="W14" s="1549"/>
      <c r="X14" s="1550"/>
      <c r="Y14" s="1570"/>
      <c r="Z14" s="1960"/>
      <c r="AA14" s="1549"/>
      <c r="AB14" s="1549"/>
      <c r="AC14" s="1550"/>
      <c r="AD14" s="1570"/>
      <c r="AE14" s="1960"/>
      <c r="AF14" s="1549"/>
      <c r="AG14" s="1549"/>
      <c r="AH14" s="1550"/>
      <c r="AI14" s="1570"/>
      <c r="AJ14" s="1960"/>
      <c r="AK14" s="1549"/>
      <c r="AL14" s="1549"/>
      <c r="AM14" s="1550"/>
      <c r="AN14" s="1570"/>
      <c r="AO14" s="1960"/>
      <c r="AP14" s="1549"/>
      <c r="AQ14" s="1549"/>
      <c r="AR14" s="1550"/>
      <c r="AS14" s="1570"/>
      <c r="AT14" s="1960"/>
      <c r="AU14" s="1549"/>
      <c r="AV14" s="1549"/>
      <c r="AW14" s="1550"/>
      <c r="AX14" s="1570"/>
      <c r="AY14" s="1960"/>
      <c r="AZ14" s="1549"/>
      <c r="BA14" s="1549"/>
      <c r="BB14" s="1550"/>
      <c r="BC14" s="1570"/>
      <c r="BD14" s="1960"/>
      <c r="BE14" s="1549"/>
      <c r="BF14" s="1549"/>
      <c r="BG14" s="1550"/>
      <c r="BH14" s="1570"/>
      <c r="BI14" s="1960"/>
      <c r="BJ14" s="1549"/>
      <c r="BK14" s="1549"/>
      <c r="BL14" s="1550"/>
      <c r="BM14" s="1570"/>
      <c r="BN14" s="1960"/>
      <c r="BO14" s="1549"/>
      <c r="BP14" s="1549"/>
      <c r="BQ14" s="1550"/>
      <c r="BR14" s="1570"/>
      <c r="BS14" s="1960"/>
      <c r="BT14" s="1549"/>
      <c r="BU14" s="1549"/>
      <c r="BV14" s="1550"/>
      <c r="BW14" s="1570"/>
      <c r="BX14" s="1960"/>
      <c r="BY14" s="1549"/>
      <c r="BZ14" s="1549"/>
      <c r="CA14" s="1550"/>
      <c r="CB14" s="1570"/>
      <c r="CC14" s="1960"/>
      <c r="CD14" s="1549"/>
      <c r="CE14" s="1549"/>
      <c r="CF14" s="1549"/>
      <c r="CG14" s="1961"/>
      <c r="CH14" s="1549"/>
      <c r="CI14" s="1549"/>
      <c r="CJ14" s="1549"/>
      <c r="CK14" s="1549"/>
      <c r="CL14" s="1961"/>
      <c r="CM14" s="1549"/>
      <c r="CN14" s="1549"/>
      <c r="CO14" s="1549"/>
      <c r="CP14" s="1549"/>
      <c r="CQ14" s="1961"/>
      <c r="CR14" s="1549"/>
      <c r="CS14" s="1549"/>
      <c r="CT14" s="1549"/>
      <c r="CU14" s="1549"/>
      <c r="CV14" s="1961"/>
      <c r="CW14" s="1549"/>
      <c r="CX14" s="1549"/>
      <c r="CY14" s="1549"/>
      <c r="CZ14" s="1549"/>
      <c r="DA14" s="1961"/>
      <c r="DB14" s="1549"/>
      <c r="DC14" s="2011">
        <f>DC16-DC15</f>
        <v>387</v>
      </c>
      <c r="DD14" s="2011">
        <f>DD16-DD15</f>
        <v>560</v>
      </c>
      <c r="DE14" s="2011">
        <f>DE16-DE15</f>
        <v>539</v>
      </c>
      <c r="DF14" s="1961">
        <f>SUM(DB14:DE14)</f>
        <v>1486</v>
      </c>
      <c r="DG14" s="2011">
        <f>DG16-DG15</f>
        <v>557</v>
      </c>
      <c r="DH14" s="2011">
        <f>DH16-DH15</f>
        <v>535</v>
      </c>
      <c r="DI14" s="2011">
        <f>DI16-DI15</f>
        <v>537</v>
      </c>
      <c r="DJ14" s="2011">
        <f>DJ16-DJ15</f>
        <v>502</v>
      </c>
      <c r="DK14" s="1961">
        <f>SUM(DG14:DJ14)</f>
        <v>2131</v>
      </c>
      <c r="DL14" s="2011">
        <v>502</v>
      </c>
      <c r="DM14" s="2011">
        <v>485</v>
      </c>
      <c r="DN14" s="2011">
        <v>491</v>
      </c>
      <c r="DO14" s="2011">
        <f>487-1</f>
        <v>486</v>
      </c>
      <c r="DP14" s="1962">
        <f>SUM(DL14:DO14)</f>
        <v>1964</v>
      </c>
      <c r="DQ14" s="2011">
        <v>522</v>
      </c>
      <c r="DR14" s="1549">
        <f>DR12*DR39</f>
        <v>514.76232499999992</v>
      </c>
      <c r="DS14" s="1549">
        <f>DS12*DS39</f>
        <v>522.62857499999996</v>
      </c>
      <c r="DT14" s="1554">
        <f>DT12*DT39</f>
        <v>518.19302500000003</v>
      </c>
      <c r="DU14" s="1962">
        <f>SUM(DQ14:DT14)</f>
        <v>2077.5839249999999</v>
      </c>
      <c r="DV14" s="1552">
        <f>DV12*DV39</f>
        <v>529.82999999999993</v>
      </c>
      <c r="DW14" s="1549">
        <f>DW12*DW39</f>
        <v>522.48375987499981</v>
      </c>
      <c r="DX14" s="1549">
        <f>DX12*DX39</f>
        <v>530.46800362499994</v>
      </c>
      <c r="DY14" s="1554">
        <f>DY12*DY39</f>
        <v>525.965920375</v>
      </c>
      <c r="DZ14" s="1962">
        <f>SUM(DV14:DY14)</f>
        <v>2108.7476838749999</v>
      </c>
      <c r="EA14" s="1552">
        <f>EA12*EA39</f>
        <v>537.77744999999993</v>
      </c>
      <c r="EB14" s="1549">
        <f>EB12*EB39</f>
        <v>530.32101627312488</v>
      </c>
      <c r="EC14" s="1549">
        <f>EC12*EC39</f>
        <v>538.42502367937493</v>
      </c>
      <c r="ED14" s="1554">
        <f>ED12*ED39</f>
        <v>533.85540918062486</v>
      </c>
      <c r="EE14" s="1962">
        <f>SUM(EA14:ED14)</f>
        <v>2140.3788991331248</v>
      </c>
      <c r="EF14" s="33"/>
      <c r="EG14" s="33"/>
      <c r="EH14" s="33"/>
      <c r="EI14" s="33"/>
      <c r="EJ14"/>
      <c r="EK14"/>
      <c r="EL14"/>
      <c r="EM14"/>
      <c r="EN14"/>
      <c r="EO14"/>
      <c r="EP14" s="33"/>
      <c r="EQ14" s="33"/>
      <c r="ER14" s="33"/>
      <c r="ES14" s="33"/>
      <c r="ET14" s="33"/>
      <c r="EU14" s="33"/>
      <c r="EV14" s="33"/>
      <c r="EW14" s="33"/>
      <c r="EX14" s="33"/>
      <c r="EY14" s="33"/>
      <c r="EZ14" s="33"/>
      <c r="FA14" s="33"/>
      <c r="FB14" s="33"/>
      <c r="FC14" s="33"/>
      <c r="FD14" s="33"/>
      <c r="FE14" s="33"/>
      <c r="FF14" s="33"/>
      <c r="FG14" s="33"/>
      <c r="FH14" s="33"/>
      <c r="FI14" s="33"/>
      <c r="FJ14" s="33"/>
      <c r="FK14" s="33"/>
      <c r="FL14" s="33"/>
      <c r="FM14" s="33"/>
      <c r="FN14" s="33"/>
      <c r="FO14" s="33"/>
      <c r="FP14" s="33"/>
      <c r="FQ14" s="33"/>
      <c r="FR14" s="33"/>
      <c r="FS14" s="33"/>
      <c r="FT14" s="33"/>
      <c r="FU14" s="33"/>
      <c r="FV14" s="33"/>
      <c r="FW14" s="33"/>
      <c r="FX14" s="33"/>
      <c r="FY14" s="33"/>
      <c r="FZ14" s="33"/>
      <c r="GA14" s="33"/>
      <c r="GB14" s="33"/>
      <c r="GC14" s="33"/>
      <c r="GD14" s="33"/>
      <c r="GE14" s="33"/>
      <c r="GF14" s="33"/>
      <c r="GG14" s="33"/>
      <c r="GH14" s="33"/>
      <c r="GI14" s="33"/>
      <c r="GJ14" s="33"/>
      <c r="GK14" s="33"/>
      <c r="GL14" s="33"/>
      <c r="GM14" s="33"/>
      <c r="GN14" s="33"/>
      <c r="GO14" s="33"/>
      <c r="GP14" s="33"/>
      <c r="GQ14" s="33"/>
      <c r="GR14" s="33"/>
      <c r="GS14" s="33"/>
      <c r="GT14" s="33"/>
      <c r="GU14" s="33"/>
      <c r="GV14" s="33"/>
      <c r="GW14" s="33"/>
      <c r="GX14" s="33"/>
      <c r="GY14" s="33"/>
      <c r="GZ14" s="33"/>
      <c r="HA14" s="33"/>
      <c r="HB14" s="33"/>
      <c r="HC14" s="33"/>
      <c r="HD14" s="33"/>
      <c r="HE14" s="33"/>
      <c r="HF14" s="33"/>
      <c r="HG14" s="33"/>
      <c r="HH14" s="33"/>
      <c r="HI14" s="33"/>
      <c r="HJ14" s="33"/>
      <c r="HK14" s="33"/>
      <c r="HL14" s="33"/>
      <c r="HM14" s="33"/>
      <c r="HN14" s="33"/>
      <c r="HO14" s="33"/>
      <c r="HP14" s="33"/>
      <c r="HQ14" s="33"/>
      <c r="HR14" s="33"/>
      <c r="HS14" s="33"/>
      <c r="HT14" s="33"/>
      <c r="HU14" s="33"/>
      <c r="HV14" s="33"/>
      <c r="HW14" s="33"/>
      <c r="HX14" s="33"/>
      <c r="HY14" s="33"/>
      <c r="HZ14" s="33"/>
      <c r="IA14" s="33"/>
      <c r="IB14" s="33"/>
      <c r="IC14" s="33"/>
      <c r="ID14" s="33"/>
    </row>
    <row r="15" spans="1:238" s="1959" customFormat="1" ht="12.75" customHeight="1" outlineLevel="1">
      <c r="B15" s="2031" t="s">
        <v>206</v>
      </c>
      <c r="C15" s="1570"/>
      <c r="D15" s="1570"/>
      <c r="E15" s="1570"/>
      <c r="F15" s="1570"/>
      <c r="G15" s="1570"/>
      <c r="H15" s="1577"/>
      <c r="I15" s="1570"/>
      <c r="J15" s="1570"/>
      <c r="K15" s="1960"/>
      <c r="L15" s="1549"/>
      <c r="M15" s="1549"/>
      <c r="N15" s="1550"/>
      <c r="O15" s="1570"/>
      <c r="P15" s="1960"/>
      <c r="Q15" s="1549"/>
      <c r="R15" s="1549"/>
      <c r="S15" s="1550"/>
      <c r="T15" s="1570"/>
      <c r="U15" s="1960"/>
      <c r="V15" s="1549"/>
      <c r="W15" s="1549"/>
      <c r="X15" s="1550"/>
      <c r="Y15" s="1570"/>
      <c r="Z15" s="1960"/>
      <c r="AA15" s="1549"/>
      <c r="AB15" s="1549"/>
      <c r="AC15" s="1550"/>
      <c r="AD15" s="1570"/>
      <c r="AE15" s="1960"/>
      <c r="AF15" s="1549"/>
      <c r="AG15" s="1549"/>
      <c r="AH15" s="1550"/>
      <c r="AI15" s="1570"/>
      <c r="AJ15" s="1960"/>
      <c r="AK15" s="1549"/>
      <c r="AL15" s="1549"/>
      <c r="AM15" s="1550"/>
      <c r="AN15" s="1570"/>
      <c r="AO15" s="1960"/>
      <c r="AP15" s="1549"/>
      <c r="AQ15" s="1549"/>
      <c r="AR15" s="1550"/>
      <c r="AS15" s="1570"/>
      <c r="AT15" s="1960"/>
      <c r="AU15" s="1549"/>
      <c r="AV15" s="1549"/>
      <c r="AW15" s="1550"/>
      <c r="AX15" s="1570"/>
      <c r="AY15" s="1960"/>
      <c r="AZ15" s="1549"/>
      <c r="BA15" s="1549"/>
      <c r="BB15" s="1550"/>
      <c r="BC15" s="1570"/>
      <c r="BD15" s="1960"/>
      <c r="BE15" s="1549"/>
      <c r="BF15" s="1549"/>
      <c r="BG15" s="1550"/>
      <c r="BH15" s="1570"/>
      <c r="BI15" s="1960"/>
      <c r="BJ15" s="1549"/>
      <c r="BK15" s="1549"/>
      <c r="BL15" s="1550"/>
      <c r="BM15" s="1570"/>
      <c r="BN15" s="1960"/>
      <c r="BO15" s="1549"/>
      <c r="BP15" s="1549"/>
      <c r="BQ15" s="1550"/>
      <c r="BR15" s="1570"/>
      <c r="BS15" s="1960"/>
      <c r="BT15" s="1549"/>
      <c r="BU15" s="1549"/>
      <c r="BV15" s="1550"/>
      <c r="BW15" s="1570"/>
      <c r="BX15" s="1960"/>
      <c r="BY15" s="1549"/>
      <c r="BZ15" s="1549"/>
      <c r="CA15" s="1550"/>
      <c r="CB15" s="1570"/>
      <c r="CC15" s="1960"/>
      <c r="CD15" s="1549"/>
      <c r="CE15" s="1549"/>
      <c r="CF15" s="1549"/>
      <c r="CG15" s="1961"/>
      <c r="CH15" s="1549"/>
      <c r="CI15" s="1549"/>
      <c r="CJ15" s="1549"/>
      <c r="CK15" s="1549"/>
      <c r="CL15" s="1961"/>
      <c r="CM15" s="1549"/>
      <c r="CN15" s="1549"/>
      <c r="CO15" s="1549"/>
      <c r="CP15" s="1549"/>
      <c r="CQ15" s="1961"/>
      <c r="CR15" s="1549"/>
      <c r="CS15" s="1549"/>
      <c r="CT15" s="1549"/>
      <c r="CU15" s="1549"/>
      <c r="CV15" s="1961"/>
      <c r="CW15" s="1549"/>
      <c r="CX15" s="1549"/>
      <c r="CY15" s="1549"/>
      <c r="CZ15" s="1549"/>
      <c r="DA15" s="1961"/>
      <c r="DB15" s="1549"/>
      <c r="DC15" s="2011"/>
      <c r="DD15" s="2011"/>
      <c r="DE15" s="2011"/>
      <c r="DF15" s="1961">
        <f>Scenarios!AD43</f>
        <v>209.44292307692305</v>
      </c>
      <c r="DG15" s="2011"/>
      <c r="DH15" s="2011"/>
      <c r="DI15" s="2011"/>
      <c r="DJ15" s="2011"/>
      <c r="DK15" s="1961">
        <f>Scenarios!AI43</f>
        <v>72</v>
      </c>
      <c r="DL15" s="2011"/>
      <c r="DM15" s="2011"/>
      <c r="DN15" s="2011"/>
      <c r="DO15" s="2011"/>
      <c r="DP15" s="1962"/>
      <c r="DQ15" s="2011"/>
      <c r="DR15" s="1549"/>
      <c r="DS15" s="1549"/>
      <c r="DT15" s="1554"/>
      <c r="DU15" s="1962"/>
      <c r="DV15" s="1552"/>
      <c r="DW15" s="1549"/>
      <c r="DX15" s="1549"/>
      <c r="DY15" s="1554"/>
      <c r="DZ15" s="1962"/>
      <c r="EA15" s="1552"/>
      <c r="EB15" s="1549"/>
      <c r="EC15" s="1549"/>
      <c r="ED15" s="1554"/>
      <c r="EE15" s="1962"/>
      <c r="EF15" s="33"/>
      <c r="EG15" s="33"/>
      <c r="EH15" s="33"/>
      <c r="EI15" s="33"/>
      <c r="EJ15"/>
      <c r="EK15"/>
      <c r="EL15"/>
      <c r="EM15"/>
      <c r="EN15"/>
      <c r="EO15"/>
      <c r="EP15" s="33"/>
      <c r="EQ15" s="33"/>
      <c r="ER15" s="33"/>
      <c r="ES15" s="33"/>
      <c r="ET15" s="33"/>
      <c r="EU15" s="33"/>
      <c r="EV15" s="33"/>
      <c r="EW15" s="33"/>
      <c r="EX15" s="33"/>
      <c r="EY15" s="33"/>
      <c r="EZ15" s="33"/>
      <c r="FA15" s="33"/>
      <c r="FB15" s="33"/>
      <c r="FC15" s="33"/>
      <c r="FD15" s="33"/>
      <c r="FE15" s="33"/>
      <c r="FF15" s="33"/>
      <c r="FG15" s="33"/>
      <c r="FH15" s="33"/>
      <c r="FI15" s="33"/>
      <c r="FJ15" s="33"/>
      <c r="FK15" s="33"/>
      <c r="FL15" s="33"/>
      <c r="FM15" s="33"/>
      <c r="FN15" s="33"/>
      <c r="FO15" s="33"/>
      <c r="FP15" s="33"/>
      <c r="FQ15" s="33"/>
      <c r="FR15" s="33"/>
      <c r="FS15" s="33"/>
      <c r="FT15" s="33"/>
      <c r="FU15" s="33"/>
      <c r="FV15" s="33"/>
      <c r="FW15" s="33"/>
      <c r="FX15" s="33"/>
      <c r="FY15" s="33"/>
      <c r="FZ15" s="33"/>
      <c r="GA15" s="33"/>
      <c r="GB15" s="33"/>
      <c r="GC15" s="33"/>
      <c r="GD15" s="33"/>
      <c r="GE15" s="33"/>
      <c r="GF15" s="33"/>
      <c r="GG15" s="33"/>
      <c r="GH15" s="33"/>
      <c r="GI15" s="33"/>
      <c r="GJ15" s="33"/>
      <c r="GK15" s="33"/>
      <c r="GL15" s="33"/>
      <c r="GM15" s="33"/>
      <c r="GN15" s="33"/>
      <c r="GO15" s="33"/>
      <c r="GP15" s="33"/>
      <c r="GQ15" s="33"/>
      <c r="GR15" s="33"/>
      <c r="GS15" s="33"/>
      <c r="GT15" s="33"/>
      <c r="GU15" s="33"/>
      <c r="GV15" s="33"/>
      <c r="GW15" s="33"/>
      <c r="GX15" s="33"/>
      <c r="GY15" s="33"/>
      <c r="GZ15" s="33"/>
      <c r="HA15" s="33"/>
      <c r="HB15" s="33"/>
      <c r="HC15" s="33"/>
      <c r="HD15" s="33"/>
      <c r="HE15" s="33"/>
      <c r="HF15" s="33"/>
      <c r="HG15" s="33"/>
      <c r="HH15" s="33"/>
      <c r="HI15" s="33"/>
      <c r="HJ15" s="33"/>
      <c r="HK15" s="33"/>
      <c r="HL15" s="33"/>
      <c r="HM15" s="33"/>
      <c r="HN15" s="33"/>
      <c r="HO15" s="33"/>
      <c r="HP15" s="33"/>
      <c r="HQ15" s="33"/>
      <c r="HR15" s="33"/>
      <c r="HS15" s="33"/>
      <c r="HT15" s="33"/>
      <c r="HU15" s="33"/>
      <c r="HV15" s="33"/>
      <c r="HW15" s="33"/>
      <c r="HX15" s="33"/>
      <c r="HY15" s="33"/>
      <c r="HZ15" s="33"/>
      <c r="IA15" s="33"/>
      <c r="IB15" s="33"/>
      <c r="IC15" s="33"/>
      <c r="ID15" s="33"/>
    </row>
    <row r="16" spans="1:238" s="1959" customFormat="1" ht="12.75" customHeight="1">
      <c r="B16" s="1958" t="s">
        <v>539</v>
      </c>
      <c r="C16" s="1570"/>
      <c r="D16" s="1570"/>
      <c r="E16" s="1570"/>
      <c r="F16" s="1570"/>
      <c r="G16" s="1570"/>
      <c r="H16" s="1577"/>
      <c r="I16" s="1570"/>
      <c r="J16" s="1570"/>
      <c r="K16" s="1960"/>
      <c r="L16" s="1549"/>
      <c r="M16" s="1549"/>
      <c r="N16" s="1550"/>
      <c r="O16" s="1570"/>
      <c r="P16" s="1960"/>
      <c r="Q16" s="1549"/>
      <c r="R16" s="1549"/>
      <c r="S16" s="1550"/>
      <c r="T16" s="1570"/>
      <c r="U16" s="1960"/>
      <c r="V16" s="1549"/>
      <c r="W16" s="1549"/>
      <c r="X16" s="1550"/>
      <c r="Y16" s="1570"/>
      <c r="Z16" s="1960"/>
      <c r="AA16" s="1549"/>
      <c r="AB16" s="1549"/>
      <c r="AC16" s="1550"/>
      <c r="AD16" s="1570"/>
      <c r="AE16" s="1960"/>
      <c r="AF16" s="1549"/>
      <c r="AG16" s="1549"/>
      <c r="AH16" s="1550"/>
      <c r="AI16" s="1570"/>
      <c r="AJ16" s="1960"/>
      <c r="AK16" s="1549"/>
      <c r="AL16" s="1549"/>
      <c r="AM16" s="1550"/>
      <c r="AN16" s="1570"/>
      <c r="AO16" s="1960"/>
      <c r="AP16" s="1549"/>
      <c r="AQ16" s="1549"/>
      <c r="AR16" s="1550"/>
      <c r="AS16" s="1570"/>
      <c r="AT16" s="1960"/>
      <c r="AU16" s="1549"/>
      <c r="AV16" s="1549"/>
      <c r="AW16" s="1550"/>
      <c r="AX16" s="1570"/>
      <c r="AY16" s="1960"/>
      <c r="AZ16" s="1549"/>
      <c r="BA16" s="1549"/>
      <c r="BB16" s="1550"/>
      <c r="BC16" s="1570"/>
      <c r="BD16" s="1960"/>
      <c r="BE16" s="1549"/>
      <c r="BF16" s="1549"/>
      <c r="BG16" s="1550"/>
      <c r="BH16" s="1570"/>
      <c r="BI16" s="1960"/>
      <c r="BJ16" s="1549"/>
      <c r="BK16" s="1549"/>
      <c r="BL16" s="1550"/>
      <c r="BM16" s="1570"/>
      <c r="BN16" s="1960"/>
      <c r="BO16" s="1549"/>
      <c r="BP16" s="1549"/>
      <c r="BQ16" s="1550"/>
      <c r="BR16" s="1570"/>
      <c r="BS16" s="1960"/>
      <c r="BT16" s="1549"/>
      <c r="BU16" s="1549"/>
      <c r="BV16" s="1550"/>
      <c r="BW16" s="1570"/>
      <c r="BX16" s="1960"/>
      <c r="BY16" s="1549"/>
      <c r="BZ16" s="1549"/>
      <c r="CA16" s="1550"/>
      <c r="CB16" s="1570"/>
      <c r="CC16" s="1960"/>
      <c r="CD16" s="1549"/>
      <c r="CE16" s="1549"/>
      <c r="CF16" s="1549"/>
      <c r="CG16" s="1961"/>
      <c r="CH16" s="1549"/>
      <c r="CI16" s="1549"/>
      <c r="CJ16" s="1549"/>
      <c r="CK16" s="1549"/>
      <c r="CL16" s="1961"/>
      <c r="CM16" s="1549"/>
      <c r="CN16" s="1549"/>
      <c r="CO16" s="1549"/>
      <c r="CP16" s="1549"/>
      <c r="CQ16" s="1961"/>
      <c r="CR16" s="1549"/>
      <c r="CS16" s="1549"/>
      <c r="CT16" s="1549"/>
      <c r="CU16" s="1549"/>
      <c r="CV16" s="1961"/>
      <c r="CW16" s="1549"/>
      <c r="CX16" s="1549"/>
      <c r="CY16" s="1549"/>
      <c r="CZ16" s="1549"/>
      <c r="DA16" s="1961"/>
      <c r="DB16" s="1549"/>
      <c r="DC16" s="2011">
        <v>387</v>
      </c>
      <c r="DD16" s="2011">
        <v>560</v>
      </c>
      <c r="DE16" s="2011">
        <v>539</v>
      </c>
      <c r="DF16" s="1961">
        <f t="shared" ref="DF16:DP16" si="5">DF14+DF15</f>
        <v>1695.4429230769231</v>
      </c>
      <c r="DG16" s="2011">
        <v>557</v>
      </c>
      <c r="DH16" s="2011">
        <v>535</v>
      </c>
      <c r="DI16" s="192">
        <f>537</f>
        <v>537</v>
      </c>
      <c r="DJ16" s="192">
        <v>502</v>
      </c>
      <c r="DK16" s="1961">
        <f t="shared" si="5"/>
        <v>2203</v>
      </c>
      <c r="DL16" s="192">
        <v>502</v>
      </c>
      <c r="DM16" s="192">
        <v>485</v>
      </c>
      <c r="DN16" s="192">
        <v>485</v>
      </c>
      <c r="DO16" s="192">
        <f t="shared" si="5"/>
        <v>486</v>
      </c>
      <c r="DP16" s="1962">
        <f t="shared" si="5"/>
        <v>1964</v>
      </c>
      <c r="DQ16" s="192">
        <f t="shared" ref="DQ16" si="6">DQ14+DQ15</f>
        <v>522</v>
      </c>
      <c r="DR16" s="1549">
        <f t="shared" ref="DR16:DZ16" si="7">DR14+DR15</f>
        <v>514.76232499999992</v>
      </c>
      <c r="DS16" s="1549">
        <f t="shared" si="7"/>
        <v>522.62857499999996</v>
      </c>
      <c r="DT16" s="1554">
        <f t="shared" si="7"/>
        <v>518.19302500000003</v>
      </c>
      <c r="DU16" s="1962">
        <f t="shared" si="7"/>
        <v>2077.5839249999999</v>
      </c>
      <c r="DV16" s="1552">
        <f t="shared" si="7"/>
        <v>529.82999999999993</v>
      </c>
      <c r="DW16" s="1549">
        <f t="shared" si="7"/>
        <v>522.48375987499981</v>
      </c>
      <c r="DX16" s="1549">
        <f t="shared" si="7"/>
        <v>530.46800362499994</v>
      </c>
      <c r="DY16" s="1554">
        <f t="shared" si="7"/>
        <v>525.965920375</v>
      </c>
      <c r="DZ16" s="1962">
        <f t="shared" si="7"/>
        <v>2108.7476838749999</v>
      </c>
      <c r="EA16" s="1552">
        <f t="shared" ref="EA16:EE16" si="8">EA14+EA15</f>
        <v>537.77744999999993</v>
      </c>
      <c r="EB16" s="1549">
        <f t="shared" si="8"/>
        <v>530.32101627312488</v>
      </c>
      <c r="EC16" s="1549">
        <f t="shared" si="8"/>
        <v>538.42502367937493</v>
      </c>
      <c r="ED16" s="1554">
        <f t="shared" si="8"/>
        <v>533.85540918062486</v>
      </c>
      <c r="EE16" s="1962">
        <f t="shared" si="8"/>
        <v>2140.3788991331248</v>
      </c>
      <c r="EF16" s="33"/>
      <c r="EG16" s="33"/>
      <c r="EH16" s="33"/>
      <c r="EI16" s="33"/>
      <c r="EJ16"/>
      <c r="EK16"/>
      <c r="EL16"/>
      <c r="EM16"/>
      <c r="EN16"/>
      <c r="EO16"/>
      <c r="EP16" s="33"/>
      <c r="EQ16" s="33"/>
      <c r="ER16" s="33"/>
      <c r="ES16" s="33"/>
      <c r="ET16" s="33"/>
      <c r="EU16" s="33"/>
      <c r="EV16" s="33"/>
      <c r="EW16" s="33"/>
      <c r="EX16" s="33"/>
      <c r="EY16" s="33"/>
      <c r="EZ16" s="33"/>
      <c r="FA16" s="33"/>
      <c r="FB16" s="33"/>
      <c r="FC16" s="33"/>
      <c r="FD16" s="33"/>
      <c r="FE16" s="33"/>
      <c r="FF16" s="33"/>
      <c r="FG16" s="33"/>
      <c r="FH16" s="33"/>
      <c r="FI16" s="33"/>
      <c r="FJ16" s="33"/>
      <c r="FK16" s="33"/>
      <c r="FL16" s="33"/>
      <c r="FM16" s="33"/>
      <c r="FN16" s="33"/>
      <c r="FO16" s="33"/>
      <c r="FP16" s="33"/>
      <c r="FQ16" s="33"/>
      <c r="FR16" s="33"/>
      <c r="FS16" s="33"/>
      <c r="FT16" s="33"/>
      <c r="FU16" s="33"/>
      <c r="FV16" s="33"/>
      <c r="FW16" s="33"/>
      <c r="FX16" s="33"/>
      <c r="FY16" s="33"/>
      <c r="FZ16" s="33"/>
      <c r="GA16" s="33"/>
      <c r="GB16" s="33"/>
      <c r="GC16" s="33"/>
      <c r="GD16" s="33"/>
      <c r="GE16" s="33"/>
      <c r="GF16" s="33"/>
      <c r="GG16" s="33"/>
      <c r="GH16" s="33"/>
      <c r="GI16" s="33"/>
      <c r="GJ16" s="33"/>
      <c r="GK16" s="33"/>
      <c r="GL16" s="33"/>
      <c r="GM16" s="33"/>
      <c r="GN16" s="33"/>
      <c r="GO16" s="33"/>
      <c r="GP16" s="33"/>
      <c r="GQ16" s="33"/>
      <c r="GR16" s="33"/>
      <c r="GS16" s="33"/>
      <c r="GT16" s="33"/>
      <c r="GU16" s="33"/>
      <c r="GV16" s="33"/>
      <c r="GW16" s="33"/>
      <c r="GX16" s="33"/>
      <c r="GY16" s="33"/>
      <c r="GZ16" s="33"/>
      <c r="HA16" s="33"/>
      <c r="HB16" s="33"/>
      <c r="HC16" s="33"/>
      <c r="HD16" s="33"/>
      <c r="HE16" s="33"/>
      <c r="HF16" s="33"/>
      <c r="HG16" s="33"/>
      <c r="HH16" s="33"/>
      <c r="HI16" s="33"/>
      <c r="HJ16" s="33"/>
      <c r="HK16" s="33"/>
      <c r="HL16" s="33"/>
      <c r="HM16" s="33"/>
      <c r="HN16" s="33"/>
      <c r="HO16" s="33"/>
      <c r="HP16" s="33"/>
      <c r="HQ16" s="33"/>
      <c r="HR16" s="33"/>
      <c r="HS16" s="33"/>
      <c r="HT16" s="33"/>
      <c r="HU16" s="33"/>
      <c r="HV16" s="33"/>
      <c r="HW16" s="33"/>
      <c r="HX16" s="33"/>
      <c r="HY16" s="33"/>
      <c r="HZ16" s="33"/>
      <c r="IA16" s="33"/>
      <c r="IB16" s="33"/>
      <c r="IC16" s="33"/>
      <c r="ID16" s="33"/>
    </row>
    <row r="17" spans="2:238" s="1959" customFormat="1" ht="12.75" customHeight="1">
      <c r="B17" s="1958"/>
      <c r="C17" s="1570"/>
      <c r="D17" s="1570"/>
      <c r="E17" s="1570"/>
      <c r="F17" s="1570"/>
      <c r="G17" s="1570"/>
      <c r="H17" s="1577"/>
      <c r="I17" s="1570"/>
      <c r="J17" s="1570"/>
      <c r="K17" s="1960"/>
      <c r="L17" s="1549"/>
      <c r="M17" s="1549"/>
      <c r="N17" s="1550"/>
      <c r="O17" s="1570"/>
      <c r="P17" s="1960"/>
      <c r="Q17" s="1549"/>
      <c r="R17" s="1549"/>
      <c r="S17" s="1550"/>
      <c r="T17" s="1570"/>
      <c r="U17" s="1960"/>
      <c r="V17" s="1549"/>
      <c r="W17" s="1549"/>
      <c r="X17" s="1550"/>
      <c r="Y17" s="1570"/>
      <c r="Z17" s="1960"/>
      <c r="AA17" s="1549"/>
      <c r="AB17" s="1549"/>
      <c r="AC17" s="1550"/>
      <c r="AD17" s="1570"/>
      <c r="AE17" s="1960"/>
      <c r="AF17" s="1549"/>
      <c r="AG17" s="1549"/>
      <c r="AH17" s="1550"/>
      <c r="AI17" s="1570"/>
      <c r="AJ17" s="1960"/>
      <c r="AK17" s="1549"/>
      <c r="AL17" s="1549"/>
      <c r="AM17" s="1550"/>
      <c r="AN17" s="1570"/>
      <c r="AO17" s="1960"/>
      <c r="AP17" s="1549"/>
      <c r="AQ17" s="1549"/>
      <c r="AR17" s="1550"/>
      <c r="AS17" s="1570"/>
      <c r="AT17" s="1960"/>
      <c r="AU17" s="1549"/>
      <c r="AV17" s="1549"/>
      <c r="AW17" s="1550"/>
      <c r="AX17" s="1570"/>
      <c r="AY17" s="1960"/>
      <c r="AZ17" s="1549"/>
      <c r="BA17" s="1549"/>
      <c r="BB17" s="1550"/>
      <c r="BC17" s="1570"/>
      <c r="BD17" s="1960"/>
      <c r="BE17" s="1549"/>
      <c r="BF17" s="1549"/>
      <c r="BG17" s="1550"/>
      <c r="BH17" s="1570"/>
      <c r="BI17" s="1960"/>
      <c r="BJ17" s="1549"/>
      <c r="BK17" s="1549"/>
      <c r="BL17" s="1550"/>
      <c r="BM17" s="1570"/>
      <c r="BN17" s="1960"/>
      <c r="BO17" s="1549"/>
      <c r="BP17" s="1549"/>
      <c r="BQ17" s="1550"/>
      <c r="BR17" s="1570"/>
      <c r="BS17" s="1960"/>
      <c r="BT17" s="1549"/>
      <c r="BU17" s="1549"/>
      <c r="BV17" s="1550"/>
      <c r="BW17" s="1570"/>
      <c r="BX17" s="1960"/>
      <c r="BY17" s="1549"/>
      <c r="BZ17" s="1549"/>
      <c r="CA17" s="1550"/>
      <c r="CB17" s="1570"/>
      <c r="CC17" s="1960"/>
      <c r="CD17" s="1549"/>
      <c r="CE17" s="1549"/>
      <c r="CF17" s="1549"/>
      <c r="CG17" s="1961"/>
      <c r="CH17" s="1549"/>
      <c r="CI17" s="1549"/>
      <c r="CJ17" s="1549"/>
      <c r="CK17" s="1549"/>
      <c r="CL17" s="1961"/>
      <c r="CM17" s="1549"/>
      <c r="CN17" s="1549"/>
      <c r="CO17" s="1549"/>
      <c r="CP17" s="1549"/>
      <c r="CQ17" s="1961"/>
      <c r="CR17" s="1549"/>
      <c r="CS17" s="1549"/>
      <c r="CT17" s="1549"/>
      <c r="CU17" s="1549"/>
      <c r="CV17" s="1961"/>
      <c r="CW17" s="1549"/>
      <c r="CX17" s="1549"/>
      <c r="CY17" s="1549"/>
      <c r="CZ17" s="1549"/>
      <c r="DA17" s="1961"/>
      <c r="DB17" s="1549"/>
      <c r="DC17" s="2011"/>
      <c r="DD17" s="2011"/>
      <c r="DE17" s="2011"/>
      <c r="DF17" s="1961"/>
      <c r="DG17" s="2011"/>
      <c r="DH17" s="2011"/>
      <c r="DI17" s="2011"/>
      <c r="DJ17" s="2011"/>
      <c r="DK17" s="1961"/>
      <c r="DL17" s="2011"/>
      <c r="DM17" s="2011"/>
      <c r="DN17" s="2011"/>
      <c r="DO17" s="2011"/>
      <c r="DP17" s="1962"/>
      <c r="DQ17" s="2011"/>
      <c r="DR17" s="1549"/>
      <c r="DS17" s="1549"/>
      <c r="DT17" s="1554"/>
      <c r="DU17" s="1962"/>
      <c r="DV17" s="1552"/>
      <c r="DW17" s="1549"/>
      <c r="DX17" s="1549"/>
      <c r="DY17" s="1554"/>
      <c r="DZ17" s="1962"/>
      <c r="EA17" s="1552"/>
      <c r="EB17" s="1549"/>
      <c r="EC17" s="1549"/>
      <c r="ED17" s="1554"/>
      <c r="EE17" s="1962"/>
      <c r="EF17" s="33"/>
      <c r="EG17" s="33"/>
      <c r="EH17" s="33"/>
      <c r="EI17" s="33"/>
      <c r="EJ17"/>
      <c r="EK17"/>
      <c r="EL17"/>
      <c r="EM17"/>
      <c r="EN17"/>
      <c r="EO17"/>
      <c r="EP17" s="33"/>
      <c r="EQ17" s="33"/>
      <c r="ER17" s="33"/>
      <c r="ES17" s="33"/>
      <c r="ET17" s="33"/>
      <c r="EU17" s="33"/>
      <c r="EV17" s="33"/>
      <c r="EW17" s="33"/>
      <c r="EX17" s="33"/>
      <c r="EY17" s="33"/>
      <c r="EZ17" s="33"/>
      <c r="FA17" s="33"/>
      <c r="FB17" s="33"/>
      <c r="FC17" s="33"/>
      <c r="FD17" s="33"/>
      <c r="FE17" s="33"/>
      <c r="FF17" s="33"/>
      <c r="FG17" s="33"/>
      <c r="FH17" s="33"/>
      <c r="FI17" s="33"/>
      <c r="FJ17" s="33"/>
      <c r="FK17" s="33"/>
      <c r="FL17" s="33"/>
      <c r="FM17" s="33"/>
      <c r="FN17" s="33"/>
      <c r="FO17" s="33"/>
      <c r="FP17" s="33"/>
      <c r="FQ17" s="33"/>
      <c r="FR17" s="33"/>
      <c r="FS17" s="33"/>
      <c r="FT17" s="33"/>
      <c r="FU17" s="33"/>
      <c r="FV17" s="33"/>
      <c r="FW17" s="33"/>
      <c r="FX17" s="33"/>
      <c r="FY17" s="33"/>
      <c r="FZ17" s="33"/>
      <c r="GA17" s="33"/>
      <c r="GB17" s="33"/>
      <c r="GC17" s="33"/>
      <c r="GD17" s="33"/>
      <c r="GE17" s="33"/>
      <c r="GF17" s="33"/>
      <c r="GG17" s="33"/>
      <c r="GH17" s="33"/>
      <c r="GI17" s="33"/>
      <c r="GJ17" s="33"/>
      <c r="GK17" s="33"/>
      <c r="GL17" s="33"/>
      <c r="GM17" s="33"/>
      <c r="GN17" s="33"/>
      <c r="GO17" s="33"/>
      <c r="GP17" s="33"/>
      <c r="GQ17" s="33"/>
      <c r="GR17" s="33"/>
      <c r="GS17" s="33"/>
      <c r="GT17" s="33"/>
      <c r="GU17" s="33"/>
      <c r="GV17" s="33"/>
      <c r="GW17" s="33"/>
      <c r="GX17" s="33"/>
      <c r="GY17" s="33"/>
      <c r="GZ17" s="33"/>
      <c r="HA17" s="33"/>
      <c r="HB17" s="33"/>
      <c r="HC17" s="33"/>
      <c r="HD17" s="33"/>
      <c r="HE17" s="33"/>
      <c r="HF17" s="33"/>
      <c r="HG17" s="33"/>
      <c r="HH17" s="33"/>
      <c r="HI17" s="33"/>
      <c r="HJ17" s="33"/>
      <c r="HK17" s="33"/>
      <c r="HL17" s="33"/>
      <c r="HM17" s="33"/>
      <c r="HN17" s="33"/>
      <c r="HO17" s="33"/>
      <c r="HP17" s="33"/>
      <c r="HQ17" s="33"/>
      <c r="HR17" s="33"/>
      <c r="HS17" s="33"/>
      <c r="HT17" s="33"/>
      <c r="HU17" s="33"/>
      <c r="HV17" s="33"/>
      <c r="HW17" s="33"/>
      <c r="HX17" s="33"/>
      <c r="HY17" s="33"/>
      <c r="HZ17" s="33"/>
      <c r="IA17" s="33"/>
      <c r="IB17" s="33"/>
      <c r="IC17" s="33"/>
      <c r="ID17" s="33"/>
    </row>
    <row r="18" spans="2:238" s="1959" customFormat="1" ht="12.75" customHeight="1">
      <c r="B18" s="1958" t="s">
        <v>233</v>
      </c>
      <c r="C18" s="1570"/>
      <c r="D18" s="1570"/>
      <c r="E18" s="1570"/>
      <c r="F18" s="1570"/>
      <c r="G18" s="1570"/>
      <c r="H18" s="1577"/>
      <c r="I18" s="1570"/>
      <c r="J18" s="1570"/>
      <c r="K18" s="1960"/>
      <c r="L18" s="1549"/>
      <c r="M18" s="1549"/>
      <c r="N18" s="1550"/>
      <c r="O18" s="1570"/>
      <c r="P18" s="1960"/>
      <c r="Q18" s="1549"/>
      <c r="R18" s="1549"/>
      <c r="S18" s="1550"/>
      <c r="T18" s="1570"/>
      <c r="U18" s="1960"/>
      <c r="V18" s="1549"/>
      <c r="W18" s="1549"/>
      <c r="X18" s="1550"/>
      <c r="Y18" s="1570"/>
      <c r="Z18" s="1960"/>
      <c r="AA18" s="1549"/>
      <c r="AB18" s="1549"/>
      <c r="AC18" s="1550"/>
      <c r="AD18" s="1570"/>
      <c r="AE18" s="1960"/>
      <c r="AF18" s="1549"/>
      <c r="AG18" s="1549"/>
      <c r="AH18" s="1550"/>
      <c r="AI18" s="1570"/>
      <c r="AJ18" s="1960"/>
      <c r="AK18" s="1549"/>
      <c r="AL18" s="1549"/>
      <c r="AM18" s="1550"/>
      <c r="AN18" s="1570"/>
      <c r="AO18" s="1960"/>
      <c r="AP18" s="1549"/>
      <c r="AQ18" s="1549"/>
      <c r="AR18" s="1550"/>
      <c r="AS18" s="1570"/>
      <c r="AT18" s="1960"/>
      <c r="AU18" s="1549"/>
      <c r="AV18" s="1549"/>
      <c r="AW18" s="1550"/>
      <c r="AX18" s="1570"/>
      <c r="AY18" s="1960"/>
      <c r="AZ18" s="1549"/>
      <c r="BA18" s="1549"/>
      <c r="BB18" s="1550"/>
      <c r="BC18" s="1570"/>
      <c r="BD18" s="1960"/>
      <c r="BE18" s="1549"/>
      <c r="BF18" s="1549"/>
      <c r="BG18" s="1550"/>
      <c r="BH18" s="1570"/>
      <c r="BI18" s="1960"/>
      <c r="BJ18" s="1549"/>
      <c r="BK18" s="1549"/>
      <c r="BL18" s="1550"/>
      <c r="BM18" s="1570"/>
      <c r="BN18" s="1960"/>
      <c r="BO18" s="1549"/>
      <c r="BP18" s="1549"/>
      <c r="BQ18" s="1550"/>
      <c r="BR18" s="1570"/>
      <c r="BS18" s="1960"/>
      <c r="BT18" s="1549"/>
      <c r="BU18" s="1549"/>
      <c r="BV18" s="1550"/>
      <c r="BW18" s="1570"/>
      <c r="BX18" s="1960"/>
      <c r="BY18" s="1549"/>
      <c r="BZ18" s="1549"/>
      <c r="CA18" s="1550"/>
      <c r="CB18" s="1570"/>
      <c r="CC18" s="1960"/>
      <c r="CD18" s="1549"/>
      <c r="CE18" s="1549"/>
      <c r="CF18" s="1549"/>
      <c r="CG18" s="1961"/>
      <c r="CH18" s="1549"/>
      <c r="CI18" s="1549"/>
      <c r="CJ18" s="1549"/>
      <c r="CK18" s="1549"/>
      <c r="CL18" s="1961"/>
      <c r="CM18" s="1549"/>
      <c r="CN18" s="1549"/>
      <c r="CO18" s="1549"/>
      <c r="CP18" s="1549"/>
      <c r="CQ18" s="1961"/>
      <c r="CR18" s="1549"/>
      <c r="CS18" s="1549"/>
      <c r="CT18" s="1549"/>
      <c r="CU18" s="1549"/>
      <c r="CV18" s="1961"/>
      <c r="CW18" s="1549"/>
      <c r="CX18" s="1549"/>
      <c r="CY18" s="1549"/>
      <c r="CZ18" s="1549"/>
      <c r="DA18" s="1961"/>
      <c r="DB18" s="1549"/>
      <c r="DC18" s="2011">
        <v>306</v>
      </c>
      <c r="DD18" s="2011">
        <v>398</v>
      </c>
      <c r="DE18" s="2011">
        <v>406</v>
      </c>
      <c r="DF18" s="1961">
        <f>SUM(DB18:DE18)</f>
        <v>1110</v>
      </c>
      <c r="DG18" s="2011">
        <v>414</v>
      </c>
      <c r="DH18" s="2011">
        <v>401</v>
      </c>
      <c r="DI18" s="2011">
        <v>394</v>
      </c>
      <c r="DJ18" s="2011">
        <v>380</v>
      </c>
      <c r="DK18" s="1961">
        <f>SUM(DG18:DJ18)</f>
        <v>1589</v>
      </c>
      <c r="DL18" s="2011">
        <v>359</v>
      </c>
      <c r="DM18" s="2011">
        <v>362</v>
      </c>
      <c r="DN18" s="2011">
        <v>375</v>
      </c>
      <c r="DO18" s="2011">
        <v>383</v>
      </c>
      <c r="DP18" s="1962">
        <f>SUM(DL18:DO18)</f>
        <v>1479</v>
      </c>
      <c r="DQ18" s="2011">
        <v>396</v>
      </c>
      <c r="DR18" s="1549">
        <f>DR12*DR41</f>
        <v>376.4249299999999</v>
      </c>
      <c r="DS18" s="1549">
        <f>DS12*DS41</f>
        <v>380.62499999999994</v>
      </c>
      <c r="DT18" s="1554">
        <f>DT12*DT41</f>
        <v>388.74499999999995</v>
      </c>
      <c r="DU18" s="1962">
        <f>SUM(DQ18:DT18)</f>
        <v>1541.7949299999998</v>
      </c>
      <c r="DV18" s="1552">
        <f>DV12*DV41</f>
        <v>401.93999999999994</v>
      </c>
      <c r="DW18" s="1549">
        <f>DW12*DW41</f>
        <v>382.07130394999984</v>
      </c>
      <c r="DX18" s="1549">
        <f>DX12*DX41</f>
        <v>386.33437499999997</v>
      </c>
      <c r="DY18" s="1554">
        <f>DY12*DY41</f>
        <v>394.57617499999992</v>
      </c>
      <c r="DZ18" s="1962">
        <f>SUM(DV18:DY18)</f>
        <v>1564.9218539499996</v>
      </c>
      <c r="EA18" s="1552">
        <f>EA12*EA41</f>
        <v>407.96909999999991</v>
      </c>
      <c r="EB18" s="1549">
        <f>EB12*EB41</f>
        <v>387.80237350924983</v>
      </c>
      <c r="EC18" s="1549">
        <f>EC12*EC41</f>
        <v>392.12939062499993</v>
      </c>
      <c r="ED18" s="1554">
        <f>ED12*ED41</f>
        <v>400.49481762499988</v>
      </c>
      <c r="EE18" s="1962">
        <f>SUM(EA18:ED18)</f>
        <v>1588.3956817592498</v>
      </c>
      <c r="EF18" s="33"/>
      <c r="EG18" s="33"/>
      <c r="EH18" s="33"/>
      <c r="EI18" s="33"/>
      <c r="EJ18"/>
      <c r="EK18"/>
      <c r="EL18"/>
      <c r="EM18"/>
      <c r="EN18"/>
      <c r="EO18"/>
      <c r="EP18" s="33"/>
      <c r="EQ18" s="33"/>
      <c r="ER18" s="33"/>
      <c r="ES18" s="33"/>
      <c r="ET18" s="33"/>
      <c r="EU18" s="33"/>
      <c r="EV18" s="33"/>
      <c r="EW18" s="33"/>
      <c r="EX18" s="33"/>
      <c r="EY18" s="33"/>
      <c r="EZ18" s="33"/>
      <c r="FA18" s="33"/>
      <c r="FB18" s="33"/>
      <c r="FC18" s="33"/>
      <c r="FD18" s="33"/>
      <c r="FE18" s="33"/>
      <c r="FF18" s="33"/>
      <c r="FG18" s="33"/>
      <c r="FH18" s="33"/>
      <c r="FI18" s="33"/>
      <c r="FJ18" s="33"/>
      <c r="FK18" s="33"/>
      <c r="FL18" s="33"/>
      <c r="FM18" s="33"/>
      <c r="FN18" s="33"/>
      <c r="FO18" s="33"/>
      <c r="FP18" s="33"/>
      <c r="FQ18" s="33"/>
      <c r="FR18" s="33"/>
      <c r="FS18" s="33"/>
      <c r="FT18" s="33"/>
      <c r="FU18" s="33"/>
      <c r="FV18" s="33"/>
      <c r="FW18" s="33"/>
      <c r="FX18" s="33"/>
      <c r="FY18" s="33"/>
      <c r="FZ18" s="33"/>
      <c r="GA18" s="33"/>
      <c r="GB18" s="33"/>
      <c r="GC18" s="33"/>
      <c r="GD18" s="33"/>
      <c r="GE18" s="33"/>
      <c r="GF18" s="33"/>
      <c r="GG18" s="33"/>
      <c r="GH18" s="33"/>
      <c r="GI18" s="33"/>
      <c r="GJ18" s="33"/>
      <c r="GK18" s="33"/>
      <c r="GL18" s="33"/>
      <c r="GM18" s="33"/>
      <c r="GN18" s="33"/>
      <c r="GO18" s="33"/>
      <c r="GP18" s="33"/>
      <c r="GQ18" s="33"/>
      <c r="GR18" s="33"/>
      <c r="GS18" s="33"/>
      <c r="GT18" s="33"/>
      <c r="GU18" s="33"/>
      <c r="GV18" s="33"/>
      <c r="GW18" s="33"/>
      <c r="GX18" s="33"/>
      <c r="GY18" s="33"/>
      <c r="GZ18" s="33"/>
      <c r="HA18" s="33"/>
      <c r="HB18" s="33"/>
      <c r="HC18" s="33"/>
      <c r="HD18" s="33"/>
      <c r="HE18" s="33"/>
      <c r="HF18" s="33"/>
      <c r="HG18" s="33"/>
      <c r="HH18" s="33"/>
      <c r="HI18" s="33"/>
      <c r="HJ18" s="33"/>
      <c r="HK18" s="33"/>
      <c r="HL18" s="33"/>
      <c r="HM18" s="33"/>
      <c r="HN18" s="33"/>
      <c r="HO18" s="33"/>
      <c r="HP18" s="33"/>
      <c r="HQ18" s="33"/>
      <c r="HR18" s="33"/>
      <c r="HS18" s="33"/>
      <c r="HT18" s="33"/>
      <c r="HU18" s="33"/>
      <c r="HV18" s="33"/>
      <c r="HW18" s="33"/>
      <c r="HX18" s="33"/>
      <c r="HY18" s="33"/>
      <c r="HZ18" s="33"/>
      <c r="IA18" s="33"/>
      <c r="IB18" s="33"/>
      <c r="IC18" s="33"/>
      <c r="ID18" s="33"/>
    </row>
    <row r="19" spans="2:238" s="1959" customFormat="1" ht="12.75" customHeight="1">
      <c r="B19" s="1958"/>
      <c r="C19" s="1570"/>
      <c r="D19" s="1570"/>
      <c r="E19" s="1570"/>
      <c r="F19" s="1570"/>
      <c r="G19" s="1570"/>
      <c r="H19" s="1577"/>
      <c r="I19" s="1570"/>
      <c r="J19" s="1570"/>
      <c r="K19" s="1960"/>
      <c r="L19" s="1549"/>
      <c r="M19" s="1549"/>
      <c r="N19" s="1550"/>
      <c r="O19" s="1570"/>
      <c r="P19" s="1960"/>
      <c r="Q19" s="1549"/>
      <c r="R19" s="1549"/>
      <c r="S19" s="1550"/>
      <c r="T19" s="1570"/>
      <c r="U19" s="1960"/>
      <c r="V19" s="1549"/>
      <c r="W19" s="1549"/>
      <c r="X19" s="1550"/>
      <c r="Y19" s="1570"/>
      <c r="Z19" s="1960"/>
      <c r="AA19" s="1549"/>
      <c r="AB19" s="1549"/>
      <c r="AC19" s="1550"/>
      <c r="AD19" s="1570"/>
      <c r="AE19" s="1960"/>
      <c r="AF19" s="1549"/>
      <c r="AG19" s="1549"/>
      <c r="AH19" s="1550"/>
      <c r="AI19" s="1570"/>
      <c r="AJ19" s="1960"/>
      <c r="AK19" s="1549"/>
      <c r="AL19" s="1549"/>
      <c r="AM19" s="1550"/>
      <c r="AN19" s="1570"/>
      <c r="AO19" s="1960"/>
      <c r="AP19" s="1549"/>
      <c r="AQ19" s="1549"/>
      <c r="AR19" s="1550"/>
      <c r="AS19" s="1570"/>
      <c r="AT19" s="1960"/>
      <c r="AU19" s="1549"/>
      <c r="AV19" s="1549"/>
      <c r="AW19" s="1550"/>
      <c r="AX19" s="1570"/>
      <c r="AY19" s="1960"/>
      <c r="AZ19" s="1549"/>
      <c r="BA19" s="1549"/>
      <c r="BB19" s="1550"/>
      <c r="BC19" s="1570"/>
      <c r="BD19" s="1960"/>
      <c r="BE19" s="1549"/>
      <c r="BF19" s="1549"/>
      <c r="BG19" s="1550"/>
      <c r="BH19" s="1570"/>
      <c r="BI19" s="1960"/>
      <c r="BJ19" s="1549"/>
      <c r="BK19" s="1549"/>
      <c r="BL19" s="1550"/>
      <c r="BM19" s="1570"/>
      <c r="BN19" s="1960"/>
      <c r="BO19" s="1549"/>
      <c r="BP19" s="1549"/>
      <c r="BQ19" s="1550"/>
      <c r="BR19" s="1570"/>
      <c r="BS19" s="1960"/>
      <c r="BT19" s="1549"/>
      <c r="BU19" s="1549"/>
      <c r="BV19" s="1550"/>
      <c r="BW19" s="1570"/>
      <c r="BX19" s="1960"/>
      <c r="BY19" s="1549"/>
      <c r="BZ19" s="1549"/>
      <c r="CA19" s="1550"/>
      <c r="CB19" s="1570"/>
      <c r="CC19" s="1960"/>
      <c r="CD19" s="1549"/>
      <c r="CE19" s="1549"/>
      <c r="CF19" s="1549"/>
      <c r="CG19" s="1961"/>
      <c r="CH19" s="1549"/>
      <c r="CI19" s="1549"/>
      <c r="CJ19" s="1549"/>
      <c r="CK19" s="1549"/>
      <c r="CL19" s="1961"/>
      <c r="CM19" s="1549"/>
      <c r="CN19" s="1549"/>
      <c r="CO19" s="1549"/>
      <c r="CP19" s="1549"/>
      <c r="CQ19" s="1961"/>
      <c r="CR19" s="1549"/>
      <c r="CS19" s="1549"/>
      <c r="CT19" s="1549"/>
      <c r="CU19" s="1549"/>
      <c r="CV19" s="1961"/>
      <c r="CW19" s="1549"/>
      <c r="CX19" s="1549"/>
      <c r="CY19" s="1549"/>
      <c r="CZ19" s="1549"/>
      <c r="DA19" s="1961"/>
      <c r="DB19" s="1549"/>
      <c r="DC19" s="2011"/>
      <c r="DD19" s="2011"/>
      <c r="DE19" s="2011"/>
      <c r="DF19" s="1961"/>
      <c r="DG19" s="2011"/>
      <c r="DH19" s="2011"/>
      <c r="DI19" s="2011"/>
      <c r="DJ19" s="2011"/>
      <c r="DK19" s="1961"/>
      <c r="DL19" s="2011"/>
      <c r="DM19" s="2011"/>
      <c r="DN19" s="2011"/>
      <c r="DO19" s="2011"/>
      <c r="DP19" s="1962"/>
      <c r="DQ19" s="2011"/>
      <c r="DR19" s="1549"/>
      <c r="DS19" s="1549"/>
      <c r="DT19" s="1554"/>
      <c r="DU19" s="1962"/>
      <c r="DV19" s="1552"/>
      <c r="DW19" s="1549"/>
      <c r="DX19" s="1549"/>
      <c r="DY19" s="1554"/>
      <c r="DZ19" s="1962"/>
      <c r="EA19" s="1552"/>
      <c r="EB19" s="1549"/>
      <c r="EC19" s="1549"/>
      <c r="ED19" s="1554"/>
      <c r="EE19" s="1962"/>
      <c r="EF19" s="33"/>
      <c r="EG19" s="33"/>
      <c r="EH19" s="33"/>
      <c r="EI19" s="33"/>
      <c r="EJ19"/>
      <c r="EK19"/>
      <c r="EL19"/>
      <c r="EM19"/>
      <c r="EN19"/>
      <c r="EO19"/>
      <c r="EP19" s="33"/>
      <c r="EQ19" s="33"/>
      <c r="ER19" s="33"/>
      <c r="ES19" s="33"/>
      <c r="ET19" s="33"/>
      <c r="EU19" s="33"/>
      <c r="EV19" s="33"/>
      <c r="EW19" s="33"/>
      <c r="EX19" s="33"/>
      <c r="EY19" s="33"/>
      <c r="EZ19" s="33"/>
      <c r="FA19" s="33"/>
      <c r="FB19" s="33"/>
      <c r="FC19" s="33"/>
      <c r="FD19" s="33"/>
      <c r="FE19" s="33"/>
      <c r="FF19" s="33"/>
      <c r="FG19" s="33"/>
      <c r="FH19" s="33"/>
      <c r="FI19" s="33"/>
      <c r="FJ19" s="33"/>
      <c r="FK19" s="33"/>
      <c r="FL19" s="33"/>
      <c r="FM19" s="33"/>
      <c r="FN19" s="33"/>
      <c r="FO19" s="33"/>
      <c r="FP19" s="33"/>
      <c r="FQ19" s="33"/>
      <c r="FR19" s="33"/>
      <c r="FS19" s="33"/>
      <c r="FT19" s="33"/>
      <c r="FU19" s="33"/>
      <c r="FV19" s="33"/>
      <c r="FW19" s="33"/>
      <c r="FX19" s="33"/>
      <c r="FY19" s="33"/>
      <c r="FZ19" s="33"/>
      <c r="GA19" s="33"/>
      <c r="GB19" s="33"/>
      <c r="GC19" s="33"/>
      <c r="GD19" s="33"/>
      <c r="GE19" s="33"/>
      <c r="GF19" s="33"/>
      <c r="GG19" s="33"/>
      <c r="GH19" s="33"/>
      <c r="GI19" s="33"/>
      <c r="GJ19" s="33"/>
      <c r="GK19" s="33"/>
      <c r="GL19" s="33"/>
      <c r="GM19" s="33"/>
      <c r="GN19" s="33"/>
      <c r="GO19" s="33"/>
      <c r="GP19" s="33"/>
      <c r="GQ19" s="33"/>
      <c r="GR19" s="33"/>
      <c r="GS19" s="33"/>
      <c r="GT19" s="33"/>
      <c r="GU19" s="33"/>
      <c r="GV19" s="33"/>
      <c r="GW19" s="33"/>
      <c r="GX19" s="33"/>
      <c r="GY19" s="33"/>
      <c r="GZ19" s="33"/>
      <c r="HA19" s="33"/>
      <c r="HB19" s="33"/>
      <c r="HC19" s="33"/>
      <c r="HD19" s="33"/>
      <c r="HE19" s="33"/>
      <c r="HF19" s="33"/>
      <c r="HG19" s="33"/>
      <c r="HH19" s="33"/>
      <c r="HI19" s="33"/>
      <c r="HJ19" s="33"/>
      <c r="HK19" s="33"/>
      <c r="HL19" s="33"/>
      <c r="HM19" s="33"/>
      <c r="HN19" s="33"/>
      <c r="HO19" s="33"/>
      <c r="HP19" s="33"/>
      <c r="HQ19" s="33"/>
      <c r="HR19" s="33"/>
      <c r="HS19" s="33"/>
      <c r="HT19" s="33"/>
      <c r="HU19" s="33"/>
      <c r="HV19" s="33"/>
      <c r="HW19" s="33"/>
      <c r="HX19" s="33"/>
      <c r="HY19" s="33"/>
      <c r="HZ19" s="33"/>
      <c r="IA19" s="33"/>
      <c r="IB19" s="33"/>
      <c r="IC19" s="33"/>
      <c r="ID19" s="33"/>
    </row>
    <row r="20" spans="2:238" s="1959" customFormat="1" ht="12.75" customHeight="1">
      <c r="B20" s="1958" t="s">
        <v>234</v>
      </c>
      <c r="C20" s="1570"/>
      <c r="D20" s="1570"/>
      <c r="E20" s="1570"/>
      <c r="F20" s="1570"/>
      <c r="G20" s="1570"/>
      <c r="H20" s="1577"/>
      <c r="I20" s="1570"/>
      <c r="J20" s="1570"/>
      <c r="K20" s="1960"/>
      <c r="L20" s="1549"/>
      <c r="M20" s="1549"/>
      <c r="N20" s="1550"/>
      <c r="O20" s="1570"/>
      <c r="P20" s="1960"/>
      <c r="Q20" s="1549"/>
      <c r="R20" s="1549"/>
      <c r="S20" s="1550"/>
      <c r="T20" s="1570"/>
      <c r="U20" s="1960"/>
      <c r="V20" s="1549"/>
      <c r="W20" s="1549"/>
      <c r="X20" s="1550"/>
      <c r="Y20" s="1570"/>
      <c r="Z20" s="1960"/>
      <c r="AA20" s="1549"/>
      <c r="AB20" s="1549"/>
      <c r="AC20" s="1550"/>
      <c r="AD20" s="1570"/>
      <c r="AE20" s="1960"/>
      <c r="AF20" s="1549"/>
      <c r="AG20" s="1549"/>
      <c r="AH20" s="1550"/>
      <c r="AI20" s="1570"/>
      <c r="AJ20" s="1960"/>
      <c r="AK20" s="1549"/>
      <c r="AL20" s="1549"/>
      <c r="AM20" s="1550"/>
      <c r="AN20" s="1570"/>
      <c r="AO20" s="1960"/>
      <c r="AP20" s="1549"/>
      <c r="AQ20" s="1549"/>
      <c r="AR20" s="1550"/>
      <c r="AS20" s="1570"/>
      <c r="AT20" s="1960"/>
      <c r="AU20" s="1549"/>
      <c r="AV20" s="1549"/>
      <c r="AW20" s="1550"/>
      <c r="AX20" s="1570"/>
      <c r="AY20" s="1960"/>
      <c r="AZ20" s="1549"/>
      <c r="BA20" s="1549"/>
      <c r="BB20" s="1550"/>
      <c r="BC20" s="1570"/>
      <c r="BD20" s="1960"/>
      <c r="BE20" s="1549"/>
      <c r="BF20" s="1549"/>
      <c r="BG20" s="1550"/>
      <c r="BH20" s="1570"/>
      <c r="BI20" s="1960"/>
      <c r="BJ20" s="1549"/>
      <c r="BK20" s="1549"/>
      <c r="BL20" s="1550"/>
      <c r="BM20" s="1570"/>
      <c r="BN20" s="1960"/>
      <c r="BO20" s="1549"/>
      <c r="BP20" s="1549"/>
      <c r="BQ20" s="1550"/>
      <c r="BR20" s="1570"/>
      <c r="BS20" s="1960"/>
      <c r="BT20" s="1549"/>
      <c r="BU20" s="1549"/>
      <c r="BV20" s="1550"/>
      <c r="BW20" s="1570"/>
      <c r="BX20" s="1960"/>
      <c r="BY20" s="1549"/>
      <c r="BZ20" s="1549"/>
      <c r="CA20" s="1550"/>
      <c r="CB20" s="1570"/>
      <c r="CC20" s="1960"/>
      <c r="CD20" s="1549"/>
      <c r="CE20" s="1549"/>
      <c r="CF20" s="1549"/>
      <c r="CG20" s="1961"/>
      <c r="CH20" s="1549"/>
      <c r="CI20" s="1549"/>
      <c r="CJ20" s="1549"/>
      <c r="CK20" s="1549"/>
      <c r="CL20" s="1961"/>
      <c r="CM20" s="1549"/>
      <c r="CN20" s="1549"/>
      <c r="CO20" s="1549"/>
      <c r="CP20" s="1549"/>
      <c r="CQ20" s="1961"/>
      <c r="CR20" s="1549"/>
      <c r="CS20" s="1549"/>
      <c r="CT20" s="1549"/>
      <c r="CU20" s="1549"/>
      <c r="CV20" s="1961"/>
      <c r="CW20" s="1549"/>
      <c r="CX20" s="1549"/>
      <c r="CY20" s="1549"/>
      <c r="CZ20" s="1549"/>
      <c r="DA20" s="1961"/>
      <c r="DB20" s="1549"/>
      <c r="DC20" s="2011">
        <f>DC14-DC18</f>
        <v>81</v>
      </c>
      <c r="DD20" s="2011">
        <f t="shared" ref="DD20:DE20" si="9">DD14-DD18</f>
        <v>162</v>
      </c>
      <c r="DE20" s="2011">
        <f t="shared" si="9"/>
        <v>133</v>
      </c>
      <c r="DF20" s="1961">
        <f>SUM(DB20:DE20)</f>
        <v>376</v>
      </c>
      <c r="DG20" s="2011">
        <f t="shared" ref="DG20:DN20" si="10">DG14-DG18</f>
        <v>143</v>
      </c>
      <c r="DH20" s="2011">
        <f t="shared" si="10"/>
        <v>134</v>
      </c>
      <c r="DI20" s="2011">
        <f t="shared" si="10"/>
        <v>143</v>
      </c>
      <c r="DJ20" s="2011">
        <f t="shared" si="10"/>
        <v>122</v>
      </c>
      <c r="DK20" s="1961">
        <f>SUM(DG20:DJ20)</f>
        <v>542</v>
      </c>
      <c r="DL20" s="2011">
        <f t="shared" si="10"/>
        <v>143</v>
      </c>
      <c r="DM20" s="2011">
        <f t="shared" si="10"/>
        <v>123</v>
      </c>
      <c r="DN20" s="2011">
        <f t="shared" si="10"/>
        <v>116</v>
      </c>
      <c r="DO20" s="2011">
        <f>DO16-DO18</f>
        <v>103</v>
      </c>
      <c r="DP20" s="1962">
        <f>SUM(DL20:DO20)</f>
        <v>485</v>
      </c>
      <c r="DQ20" s="1549">
        <f>DQ16-DQ18</f>
        <v>126</v>
      </c>
      <c r="DR20" s="1549">
        <f>DR16-DR18</f>
        <v>138.33739500000001</v>
      </c>
      <c r="DS20" s="1549">
        <f>DS16-DS18</f>
        <v>142.00357500000001</v>
      </c>
      <c r="DT20" s="1554">
        <f>DT16-DT18</f>
        <v>129.44802500000009</v>
      </c>
      <c r="DU20" s="1962">
        <f>SUM(DQ20:DT20)</f>
        <v>535.78899500000011</v>
      </c>
      <c r="DV20" s="1552">
        <f>DV16-DV18</f>
        <v>127.88999999999999</v>
      </c>
      <c r="DW20" s="1549">
        <f>DW16-DW18</f>
        <v>140.41245592499996</v>
      </c>
      <c r="DX20" s="1549">
        <f>DX16-DX18</f>
        <v>144.13362862499997</v>
      </c>
      <c r="DY20" s="1554">
        <f>DY16-DY18</f>
        <v>131.38974537500008</v>
      </c>
      <c r="DZ20" s="1962">
        <f>SUM(DV20:DY20)</f>
        <v>543.82582992499999</v>
      </c>
      <c r="EA20" s="1552">
        <f>EA16-EA18</f>
        <v>129.80835000000002</v>
      </c>
      <c r="EB20" s="1549">
        <f>EB16-EB18</f>
        <v>142.51864276387505</v>
      </c>
      <c r="EC20" s="1549">
        <f>EC16-EC18</f>
        <v>146.295633054375</v>
      </c>
      <c r="ED20" s="1554">
        <f>ED16-ED18</f>
        <v>133.36059155562498</v>
      </c>
      <c r="EE20" s="1962">
        <f>SUM(EA20:ED20)</f>
        <v>551.98321737387505</v>
      </c>
      <c r="EF20" s="33"/>
      <c r="EG20" s="33"/>
      <c r="EH20" s="33"/>
      <c r="EI20" s="33"/>
      <c r="EJ20"/>
      <c r="EK20"/>
      <c r="EL20"/>
      <c r="EM20"/>
      <c r="EN20"/>
      <c r="EO20"/>
      <c r="EP20" s="33"/>
      <c r="EQ20" s="33"/>
      <c r="ER20" s="33"/>
      <c r="ES20" s="33"/>
      <c r="ET20" s="33"/>
      <c r="EU20" s="33"/>
      <c r="EV20" s="33"/>
      <c r="EW20" s="33"/>
      <c r="EX20" s="33"/>
      <c r="EY20" s="33"/>
      <c r="EZ20" s="33"/>
      <c r="FA20" s="33"/>
      <c r="FB20" s="33"/>
      <c r="FC20" s="33"/>
      <c r="FD20" s="33"/>
      <c r="FE20" s="33"/>
      <c r="FF20" s="33"/>
      <c r="FG20" s="33"/>
      <c r="FH20" s="33"/>
      <c r="FI20" s="33"/>
      <c r="FJ20" s="33"/>
      <c r="FK20" s="33"/>
      <c r="FL20" s="33"/>
      <c r="FM20" s="33"/>
      <c r="FN20" s="33"/>
      <c r="FO20" s="33"/>
      <c r="FP20" s="33"/>
      <c r="FQ20" s="33"/>
      <c r="FR20" s="33"/>
      <c r="FS20" s="33"/>
      <c r="FT20" s="33"/>
      <c r="FU20" s="33"/>
      <c r="FV20" s="33"/>
      <c r="FW20" s="33"/>
      <c r="FX20" s="33"/>
      <c r="FY20" s="33"/>
      <c r="FZ20" s="33"/>
      <c r="GA20" s="33"/>
      <c r="GB20" s="33"/>
      <c r="GC20" s="33"/>
      <c r="GD20" s="33"/>
      <c r="GE20" s="33"/>
      <c r="GF20" s="33"/>
      <c r="GG20" s="33"/>
      <c r="GH20" s="33"/>
      <c r="GI20" s="33"/>
      <c r="GJ20" s="33"/>
      <c r="GK20" s="33"/>
      <c r="GL20" s="33"/>
      <c r="GM20" s="33"/>
      <c r="GN20" s="33"/>
      <c r="GO20" s="33"/>
      <c r="GP20" s="33"/>
      <c r="GQ20" s="33"/>
      <c r="GR20" s="33"/>
      <c r="GS20" s="33"/>
      <c r="GT20" s="33"/>
      <c r="GU20" s="33"/>
      <c r="GV20" s="33"/>
      <c r="GW20" s="33"/>
      <c r="GX20" s="33"/>
      <c r="GY20" s="33"/>
      <c r="GZ20" s="33"/>
      <c r="HA20" s="33"/>
      <c r="HB20" s="33"/>
      <c r="HC20" s="33"/>
      <c r="HD20" s="33"/>
      <c r="HE20" s="33"/>
      <c r="HF20" s="33"/>
      <c r="HG20" s="33"/>
      <c r="HH20" s="33"/>
      <c r="HI20" s="33"/>
      <c r="HJ20" s="33"/>
      <c r="HK20" s="33"/>
      <c r="HL20" s="33"/>
      <c r="HM20" s="33"/>
      <c r="HN20" s="33"/>
      <c r="HO20" s="33"/>
      <c r="HP20" s="33"/>
      <c r="HQ20" s="33"/>
      <c r="HR20" s="33"/>
      <c r="HS20" s="33"/>
      <c r="HT20" s="33"/>
      <c r="HU20" s="33"/>
      <c r="HV20" s="33"/>
      <c r="HW20" s="33"/>
      <c r="HX20" s="33"/>
      <c r="HY20" s="33"/>
      <c r="HZ20" s="33"/>
      <c r="IA20" s="33"/>
      <c r="IB20" s="33"/>
      <c r="IC20" s="33"/>
      <c r="ID20" s="33"/>
    </row>
    <row r="21" spans="2:238" s="1959" customFormat="1" ht="12.75" customHeight="1">
      <c r="B21" s="1958" t="s">
        <v>517</v>
      </c>
      <c r="C21" s="1570"/>
      <c r="D21" s="1570"/>
      <c r="E21" s="1570"/>
      <c r="F21" s="1570"/>
      <c r="G21" s="1570"/>
      <c r="H21" s="1577"/>
      <c r="I21" s="1570"/>
      <c r="J21" s="1570"/>
      <c r="K21" s="1960"/>
      <c r="L21" s="1549"/>
      <c r="M21" s="1549"/>
      <c r="N21" s="1550"/>
      <c r="O21" s="1570"/>
      <c r="P21" s="1960"/>
      <c r="Q21" s="1549"/>
      <c r="R21" s="1549"/>
      <c r="S21" s="1550"/>
      <c r="T21" s="1570"/>
      <c r="U21" s="1960"/>
      <c r="V21" s="1549"/>
      <c r="W21" s="1549"/>
      <c r="X21" s="1550"/>
      <c r="Y21" s="1570"/>
      <c r="Z21" s="1960"/>
      <c r="AA21" s="1549"/>
      <c r="AB21" s="1549"/>
      <c r="AC21" s="1550"/>
      <c r="AD21" s="1570"/>
      <c r="AE21" s="1960"/>
      <c r="AF21" s="1549"/>
      <c r="AG21" s="1549"/>
      <c r="AH21" s="1550"/>
      <c r="AI21" s="1570"/>
      <c r="AJ21" s="1960"/>
      <c r="AK21" s="1549"/>
      <c r="AL21" s="1549"/>
      <c r="AM21" s="1550"/>
      <c r="AN21" s="1570"/>
      <c r="AO21" s="1960"/>
      <c r="AP21" s="1549"/>
      <c r="AQ21" s="1549"/>
      <c r="AR21" s="1550"/>
      <c r="AS21" s="1570"/>
      <c r="AT21" s="1960"/>
      <c r="AU21" s="1549"/>
      <c r="AV21" s="1549"/>
      <c r="AW21" s="1550"/>
      <c r="AX21" s="1570"/>
      <c r="AY21" s="1960"/>
      <c r="AZ21" s="1549"/>
      <c r="BA21" s="1549"/>
      <c r="BB21" s="1550"/>
      <c r="BC21" s="1570"/>
      <c r="BD21" s="1960"/>
      <c r="BE21" s="1549"/>
      <c r="BF21" s="1549"/>
      <c r="BG21" s="1550"/>
      <c r="BH21" s="1570"/>
      <c r="BI21" s="1960"/>
      <c r="BJ21" s="1549"/>
      <c r="BK21" s="1549"/>
      <c r="BL21" s="1550"/>
      <c r="BM21" s="1570"/>
      <c r="BN21" s="1960"/>
      <c r="BO21" s="1549"/>
      <c r="BP21" s="1549"/>
      <c r="BQ21" s="1550"/>
      <c r="BR21" s="1570"/>
      <c r="BS21" s="1960"/>
      <c r="BT21" s="1549"/>
      <c r="BU21" s="1549"/>
      <c r="BV21" s="1550"/>
      <c r="BW21" s="1570"/>
      <c r="BX21" s="1960"/>
      <c r="BY21" s="1549"/>
      <c r="BZ21" s="1549"/>
      <c r="CA21" s="1550"/>
      <c r="CB21" s="1570"/>
      <c r="CC21" s="1960"/>
      <c r="CD21" s="1549"/>
      <c r="CE21" s="1549"/>
      <c r="CF21" s="1549"/>
      <c r="CG21" s="1961"/>
      <c r="CH21" s="1549"/>
      <c r="CI21" s="1549"/>
      <c r="CJ21" s="1549"/>
      <c r="CK21" s="1549"/>
      <c r="CL21" s="1961"/>
      <c r="CM21" s="1549"/>
      <c r="CN21" s="1549"/>
      <c r="CO21" s="1549"/>
      <c r="CP21" s="1549"/>
      <c r="CQ21" s="1961"/>
      <c r="CR21" s="1549"/>
      <c r="CS21" s="1549"/>
      <c r="CT21" s="1549"/>
      <c r="CU21" s="1549"/>
      <c r="CV21" s="1961"/>
      <c r="CW21" s="1549"/>
      <c r="CX21" s="1549"/>
      <c r="CY21" s="1549"/>
      <c r="CZ21" s="1549"/>
      <c r="DA21" s="1961"/>
      <c r="DB21" s="1549"/>
      <c r="DC21" s="2012"/>
      <c r="DD21" s="2011"/>
      <c r="DE21" s="2011"/>
      <c r="DF21" s="1961"/>
      <c r="DG21" s="2011"/>
      <c r="DH21" s="2011"/>
      <c r="DI21" s="2011"/>
      <c r="DJ21" s="2011"/>
      <c r="DK21" s="1961"/>
      <c r="DL21" s="2011"/>
      <c r="DM21" s="2011"/>
      <c r="DN21" s="2011"/>
      <c r="DO21" s="2011"/>
      <c r="DP21" s="1962"/>
      <c r="DQ21" s="2011"/>
      <c r="DR21" s="1549"/>
      <c r="DS21" s="1549"/>
      <c r="DT21" s="1554"/>
      <c r="DU21" s="1962"/>
      <c r="DV21" s="1552"/>
      <c r="DW21" s="1549"/>
      <c r="DX21" s="1549"/>
      <c r="DY21" s="1554"/>
      <c r="DZ21" s="1962"/>
      <c r="EA21" s="1552"/>
      <c r="EB21" s="1549"/>
      <c r="EC21" s="1549"/>
      <c r="ED21" s="1554"/>
      <c r="EE21" s="1962"/>
      <c r="EF21" s="33"/>
      <c r="EG21" s="33"/>
      <c r="EH21" s="33"/>
      <c r="EI21" s="33"/>
      <c r="EJ21"/>
      <c r="EK21"/>
      <c r="EL21"/>
      <c r="EM21"/>
      <c r="EN21"/>
      <c r="EO21"/>
      <c r="EP21" s="33"/>
      <c r="EQ21" s="33"/>
      <c r="ER21" s="33"/>
      <c r="ES21" s="33"/>
      <c r="ET21" s="33"/>
      <c r="EU21" s="33"/>
      <c r="EV21" s="33"/>
      <c r="EW21" s="33"/>
      <c r="EX21" s="33"/>
      <c r="EY21" s="33"/>
      <c r="EZ21" s="33"/>
      <c r="FA21" s="33"/>
      <c r="FB21" s="33"/>
      <c r="FC21" s="33"/>
      <c r="FD21" s="33"/>
      <c r="FE21" s="33"/>
      <c r="FF21" s="33"/>
      <c r="FG21" s="33"/>
      <c r="FH21" s="33"/>
      <c r="FI21" s="33"/>
      <c r="FJ21" s="33"/>
      <c r="FK21" s="33"/>
      <c r="FL21" s="33"/>
      <c r="FM21" s="33"/>
      <c r="FN21" s="33"/>
      <c r="FO21" s="33"/>
      <c r="FP21" s="33"/>
      <c r="FQ21" s="33"/>
      <c r="FR21" s="33"/>
      <c r="FS21" s="33"/>
      <c r="FT21" s="33"/>
      <c r="FU21" s="33"/>
      <c r="FV21" s="33"/>
      <c r="FW21" s="33"/>
      <c r="FX21" s="33"/>
      <c r="FY21" s="33"/>
      <c r="FZ21" s="33"/>
      <c r="GA21" s="33"/>
      <c r="GB21" s="33"/>
      <c r="GC21" s="33"/>
      <c r="GD21" s="33"/>
      <c r="GE21" s="33"/>
      <c r="GF21" s="33"/>
      <c r="GG21" s="33"/>
      <c r="GH21" s="33"/>
      <c r="GI21" s="33"/>
      <c r="GJ21" s="33"/>
      <c r="GK21" s="33"/>
      <c r="GL21" s="33"/>
      <c r="GM21" s="33"/>
      <c r="GN21" s="33"/>
      <c r="GO21" s="33"/>
      <c r="GP21" s="33"/>
      <c r="GQ21" s="33"/>
      <c r="GR21" s="33"/>
      <c r="GS21" s="33"/>
      <c r="GT21" s="33"/>
      <c r="GU21" s="33"/>
      <c r="GV21" s="33"/>
      <c r="GW21" s="33"/>
      <c r="GX21" s="33"/>
      <c r="GY21" s="33"/>
      <c r="GZ21" s="33"/>
      <c r="HA21" s="33"/>
      <c r="HB21" s="33"/>
      <c r="HC21" s="33"/>
      <c r="HD21" s="33"/>
      <c r="HE21" s="33"/>
      <c r="HF21" s="33"/>
      <c r="HG21" s="33"/>
      <c r="HH21" s="33"/>
      <c r="HI21" s="33"/>
      <c r="HJ21" s="33"/>
      <c r="HK21" s="33"/>
      <c r="HL21" s="33"/>
      <c r="HM21" s="33"/>
      <c r="HN21" s="33"/>
      <c r="HO21" s="33"/>
      <c r="HP21" s="33"/>
      <c r="HQ21" s="33"/>
      <c r="HR21" s="33"/>
      <c r="HS21" s="33"/>
      <c r="HT21" s="33"/>
      <c r="HU21" s="33"/>
      <c r="HV21" s="33"/>
      <c r="HW21" s="33"/>
      <c r="HX21" s="33"/>
      <c r="HY21" s="33"/>
      <c r="HZ21" s="33"/>
      <c r="IA21" s="33"/>
      <c r="IB21" s="33"/>
      <c r="IC21" s="33"/>
      <c r="ID21" s="33"/>
    </row>
    <row r="22" spans="2:238" s="1959" customFormat="1" ht="12.75" customHeight="1">
      <c r="B22" s="2031" t="s">
        <v>535</v>
      </c>
      <c r="C22" s="1570"/>
      <c r="D22" s="1570"/>
      <c r="E22" s="1570"/>
      <c r="F22" s="1570"/>
      <c r="G22" s="1570"/>
      <c r="H22" s="1577"/>
      <c r="I22" s="1570"/>
      <c r="J22" s="1570"/>
      <c r="K22" s="1960"/>
      <c r="L22" s="1549"/>
      <c r="M22" s="1549"/>
      <c r="N22" s="1550"/>
      <c r="O22" s="1570"/>
      <c r="P22" s="1960"/>
      <c r="Q22" s="1549"/>
      <c r="R22" s="1549"/>
      <c r="S22" s="1550"/>
      <c r="T22" s="1570"/>
      <c r="U22" s="1960"/>
      <c r="V22" s="1549"/>
      <c r="W22" s="1549"/>
      <c r="X22" s="1550"/>
      <c r="Y22" s="1570"/>
      <c r="Z22" s="1960"/>
      <c r="AA22" s="1549"/>
      <c r="AB22" s="1549"/>
      <c r="AC22" s="1550"/>
      <c r="AD22" s="1570"/>
      <c r="AE22" s="1960"/>
      <c r="AF22" s="1549"/>
      <c r="AG22" s="1549"/>
      <c r="AH22" s="1550"/>
      <c r="AI22" s="1570"/>
      <c r="AJ22" s="1960"/>
      <c r="AK22" s="1549"/>
      <c r="AL22" s="1549"/>
      <c r="AM22" s="1550"/>
      <c r="AN22" s="1570"/>
      <c r="AO22" s="1960"/>
      <c r="AP22" s="1549"/>
      <c r="AQ22" s="1549"/>
      <c r="AR22" s="1550"/>
      <c r="AS22" s="1570"/>
      <c r="AT22" s="1960"/>
      <c r="AU22" s="1549"/>
      <c r="AV22" s="1549"/>
      <c r="AW22" s="1550"/>
      <c r="AX22" s="1570"/>
      <c r="AY22" s="1960"/>
      <c r="AZ22" s="1549"/>
      <c r="BA22" s="1549"/>
      <c r="BB22" s="1550"/>
      <c r="BC22" s="1570"/>
      <c r="BD22" s="1960"/>
      <c r="BE22" s="1549"/>
      <c r="BF22" s="1549"/>
      <c r="BG22" s="1550"/>
      <c r="BH22" s="1570"/>
      <c r="BI22" s="1960"/>
      <c r="BJ22" s="1549"/>
      <c r="BK22" s="1549"/>
      <c r="BL22" s="1550"/>
      <c r="BM22" s="1570"/>
      <c r="BN22" s="1960"/>
      <c r="BO22" s="1549"/>
      <c r="BP22" s="1549"/>
      <c r="BQ22" s="1550"/>
      <c r="BR22" s="1570"/>
      <c r="BS22" s="1960"/>
      <c r="BT22" s="1549"/>
      <c r="BU22" s="1549"/>
      <c r="BV22" s="1550"/>
      <c r="BW22" s="1570"/>
      <c r="BX22" s="1960"/>
      <c r="BY22" s="1549"/>
      <c r="BZ22" s="1549"/>
      <c r="CA22" s="1550"/>
      <c r="CB22" s="1570"/>
      <c r="CC22" s="1960"/>
      <c r="CD22" s="1549"/>
      <c r="CE22" s="1549"/>
      <c r="CF22" s="1549"/>
      <c r="CG22" s="1961"/>
      <c r="CH22" s="1549"/>
      <c r="CI22" s="1549"/>
      <c r="CJ22" s="1549"/>
      <c r="CK22" s="1549"/>
      <c r="CL22" s="1961"/>
      <c r="CM22" s="1549"/>
      <c r="CN22" s="1549"/>
      <c r="CO22" s="1549"/>
      <c r="CP22" s="1549"/>
      <c r="CQ22" s="1961"/>
      <c r="CR22" s="1549"/>
      <c r="CS22" s="1549"/>
      <c r="CT22" s="1549"/>
      <c r="CU22" s="1549"/>
      <c r="CV22" s="1961"/>
      <c r="CW22" s="1549"/>
      <c r="CX22" s="1549"/>
      <c r="CY22" s="1549"/>
      <c r="CZ22" s="1549"/>
      <c r="DA22" s="1961"/>
      <c r="DB22" s="1549"/>
      <c r="DC22" s="2011"/>
      <c r="DD22" s="2011"/>
      <c r="DE22" s="2011"/>
      <c r="DF22" s="1961"/>
      <c r="DG22" s="2011"/>
      <c r="DH22" s="2011"/>
      <c r="DI22" s="2011">
        <v>7</v>
      </c>
      <c r="DJ22" s="2011">
        <v>14</v>
      </c>
      <c r="DK22" s="1961"/>
      <c r="DL22" s="2011">
        <v>3</v>
      </c>
      <c r="DM22" s="2011">
        <v>5</v>
      </c>
      <c r="DN22" s="2011">
        <v>16</v>
      </c>
      <c r="DO22" s="2011">
        <v>13</v>
      </c>
      <c r="DP22" s="1961">
        <f>SUM(DL22:DO22)</f>
        <v>37</v>
      </c>
      <c r="DQ22" s="2384">
        <v>0</v>
      </c>
      <c r="DR22" s="1549">
        <f t="shared" ref="DR22:DT23" si="11">DQ22</f>
        <v>0</v>
      </c>
      <c r="DS22" s="1549">
        <f t="shared" si="11"/>
        <v>0</v>
      </c>
      <c r="DT22" s="1549">
        <f t="shared" si="11"/>
        <v>0</v>
      </c>
      <c r="DU22" s="1961">
        <f>SUM(DQ22:DT22)</f>
        <v>0</v>
      </c>
      <c r="DV22" s="1552">
        <v>11</v>
      </c>
      <c r="DW22" s="1549">
        <f t="shared" ref="DW22:DY23" si="12">DV22</f>
        <v>11</v>
      </c>
      <c r="DX22" s="1549">
        <f t="shared" si="12"/>
        <v>11</v>
      </c>
      <c r="DY22" s="1549">
        <f t="shared" si="12"/>
        <v>11</v>
      </c>
      <c r="DZ22" s="1961">
        <f>SUM(DV22:DY22)</f>
        <v>44</v>
      </c>
      <c r="EA22" s="1552">
        <v>11</v>
      </c>
      <c r="EB22" s="1549">
        <f t="shared" ref="EB22:EB23" si="13">EA22</f>
        <v>11</v>
      </c>
      <c r="EC22" s="1549">
        <f t="shared" ref="EC22:EC23" si="14">EB22</f>
        <v>11</v>
      </c>
      <c r="ED22" s="1549">
        <f t="shared" ref="ED22:ED23" si="15">EC22</f>
        <v>11</v>
      </c>
      <c r="EE22" s="1961">
        <f>SUM(EA22:ED22)</f>
        <v>44</v>
      </c>
      <c r="EF22" s="33"/>
      <c r="EG22" s="33"/>
      <c r="EH22" s="33"/>
      <c r="EI22" s="33"/>
      <c r="EJ22"/>
      <c r="EK22"/>
      <c r="EL22"/>
      <c r="EM22"/>
      <c r="EN22"/>
      <c r="EO22"/>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c r="FY22" s="33"/>
      <c r="FZ22" s="33"/>
      <c r="GA22" s="33"/>
      <c r="GB22" s="33"/>
      <c r="GC22" s="33"/>
      <c r="GD22" s="33"/>
      <c r="GE22" s="33"/>
      <c r="GF22" s="33"/>
      <c r="GG22" s="33"/>
      <c r="GH22" s="33"/>
      <c r="GI22" s="33"/>
      <c r="GJ22" s="33"/>
      <c r="GK22" s="33"/>
      <c r="GL22" s="33"/>
      <c r="GM22" s="33"/>
      <c r="GN22" s="33"/>
      <c r="GO22" s="33"/>
      <c r="GP22" s="33"/>
      <c r="GQ22" s="33"/>
      <c r="GR22" s="33"/>
      <c r="GS22" s="33"/>
      <c r="GT22" s="33"/>
      <c r="GU22" s="33"/>
      <c r="GV22" s="33"/>
      <c r="GW22" s="33"/>
      <c r="GX22" s="33"/>
      <c r="GY22" s="33"/>
      <c r="GZ22" s="33"/>
      <c r="HA22" s="33"/>
      <c r="HB22" s="33"/>
      <c r="HC22" s="33"/>
      <c r="HD22" s="33"/>
      <c r="HE22" s="33"/>
      <c r="HF22" s="33"/>
      <c r="HG22" s="33"/>
      <c r="HH22" s="33"/>
      <c r="HI22" s="33"/>
      <c r="HJ22" s="33"/>
      <c r="HK22" s="33"/>
      <c r="HL22" s="33"/>
      <c r="HM22" s="33"/>
      <c r="HN22" s="33"/>
      <c r="HO22" s="33"/>
      <c r="HP22" s="33"/>
      <c r="HQ22" s="33"/>
      <c r="HR22" s="33"/>
      <c r="HS22" s="33"/>
      <c r="HT22" s="33"/>
      <c r="HU22" s="33"/>
      <c r="HV22" s="33"/>
      <c r="HW22" s="33"/>
      <c r="HX22" s="33"/>
      <c r="HY22" s="33"/>
      <c r="HZ22" s="33"/>
      <c r="IA22" s="33"/>
      <c r="IB22" s="33"/>
      <c r="IC22" s="33"/>
      <c r="ID22" s="33"/>
    </row>
    <row r="23" spans="2:238" s="1959" customFormat="1" ht="12.75" customHeight="1">
      <c r="B23" s="2031" t="s">
        <v>446</v>
      </c>
      <c r="C23" s="1570"/>
      <c r="D23" s="1570"/>
      <c r="E23" s="1570"/>
      <c r="F23" s="1570"/>
      <c r="G23" s="1570"/>
      <c r="H23" s="1577"/>
      <c r="I23" s="1570"/>
      <c r="J23" s="1570"/>
      <c r="K23" s="1960"/>
      <c r="L23" s="1549"/>
      <c r="M23" s="1549"/>
      <c r="N23" s="1550"/>
      <c r="O23" s="1570"/>
      <c r="P23" s="1960"/>
      <c r="Q23" s="1549"/>
      <c r="R23" s="1549"/>
      <c r="S23" s="1550"/>
      <c r="T23" s="1570"/>
      <c r="U23" s="1960"/>
      <c r="V23" s="1549"/>
      <c r="W23" s="1549"/>
      <c r="X23" s="1550"/>
      <c r="Y23" s="1570"/>
      <c r="Z23" s="1960"/>
      <c r="AA23" s="1549"/>
      <c r="AB23" s="1549"/>
      <c r="AC23" s="1550"/>
      <c r="AD23" s="1570"/>
      <c r="AE23" s="1960"/>
      <c r="AF23" s="1549"/>
      <c r="AG23" s="1549"/>
      <c r="AH23" s="1550"/>
      <c r="AI23" s="1570"/>
      <c r="AJ23" s="1960"/>
      <c r="AK23" s="1549"/>
      <c r="AL23" s="1549"/>
      <c r="AM23" s="1550"/>
      <c r="AN23" s="1570"/>
      <c r="AO23" s="1960"/>
      <c r="AP23" s="1549"/>
      <c r="AQ23" s="1549"/>
      <c r="AR23" s="1550"/>
      <c r="AS23" s="1570"/>
      <c r="AT23" s="1960"/>
      <c r="AU23" s="1549"/>
      <c r="AV23" s="1549"/>
      <c r="AW23" s="1550"/>
      <c r="AX23" s="1570"/>
      <c r="AY23" s="1960"/>
      <c r="AZ23" s="1549"/>
      <c r="BA23" s="1549"/>
      <c r="BB23" s="1550"/>
      <c r="BC23" s="1570"/>
      <c r="BD23" s="1960"/>
      <c r="BE23" s="1549"/>
      <c r="BF23" s="1549"/>
      <c r="BG23" s="1550"/>
      <c r="BH23" s="1570"/>
      <c r="BI23" s="1960"/>
      <c r="BJ23" s="1549"/>
      <c r="BK23" s="1549"/>
      <c r="BL23" s="1550"/>
      <c r="BM23" s="1570"/>
      <c r="BN23" s="1960"/>
      <c r="BO23" s="1549"/>
      <c r="BP23" s="1549"/>
      <c r="BQ23" s="1550"/>
      <c r="BR23" s="1570"/>
      <c r="BS23" s="1960"/>
      <c r="BT23" s="1549"/>
      <c r="BU23" s="1549"/>
      <c r="BV23" s="1550"/>
      <c r="BW23" s="1570"/>
      <c r="BX23" s="1960"/>
      <c r="BY23" s="1549"/>
      <c r="BZ23" s="1549"/>
      <c r="CA23" s="1550"/>
      <c r="CB23" s="1570"/>
      <c r="CC23" s="1960"/>
      <c r="CD23" s="1549"/>
      <c r="CE23" s="1549"/>
      <c r="CF23" s="1549"/>
      <c r="CG23" s="1961"/>
      <c r="CH23" s="1549"/>
      <c r="CI23" s="1549"/>
      <c r="CJ23" s="1549"/>
      <c r="CK23" s="1549"/>
      <c r="CL23" s="1961"/>
      <c r="CM23" s="1549"/>
      <c r="CN23" s="1549"/>
      <c r="CO23" s="1549"/>
      <c r="CP23" s="1549"/>
      <c r="CQ23" s="1961"/>
      <c r="CR23" s="1549"/>
      <c r="CS23" s="1549"/>
      <c r="CT23" s="1549"/>
      <c r="CU23" s="1549"/>
      <c r="CV23" s="1961"/>
      <c r="CW23" s="1549"/>
      <c r="CX23" s="1549"/>
      <c r="CY23" s="1549"/>
      <c r="CZ23" s="1549"/>
      <c r="DA23" s="1961"/>
      <c r="DB23" s="1549"/>
      <c r="DC23" s="2011">
        <v>33</v>
      </c>
      <c r="DD23" s="2011">
        <v>9</v>
      </c>
      <c r="DE23" s="2011">
        <v>25</v>
      </c>
      <c r="DF23" s="1961"/>
      <c r="DG23" s="2011">
        <v>23</v>
      </c>
      <c r="DH23" s="2011">
        <v>21</v>
      </c>
      <c r="DI23" s="2011">
        <v>25</v>
      </c>
      <c r="DJ23" s="2011">
        <v>22</v>
      </c>
      <c r="DK23" s="1961">
        <f>SUM(DG23:DJ23)</f>
        <v>91</v>
      </c>
      <c r="DL23" s="2011">
        <v>20</v>
      </c>
      <c r="DM23" s="2011">
        <v>19</v>
      </c>
      <c r="DN23" s="2011">
        <v>20</v>
      </c>
      <c r="DO23" s="2011">
        <f t="shared" ref="DO23" si="16">DN23</f>
        <v>20</v>
      </c>
      <c r="DP23" s="1961">
        <f>SUM(DL23:DO23)</f>
        <v>79</v>
      </c>
      <c r="DQ23" s="2384">
        <v>21</v>
      </c>
      <c r="DR23" s="1549">
        <f t="shared" si="11"/>
        <v>21</v>
      </c>
      <c r="DS23" s="1549">
        <f t="shared" si="11"/>
        <v>21</v>
      </c>
      <c r="DT23" s="1554">
        <f t="shared" si="11"/>
        <v>21</v>
      </c>
      <c r="DU23" s="1961">
        <f>SUM(DQ23:DT23)</f>
        <v>84</v>
      </c>
      <c r="DV23" s="1552">
        <f>DT23</f>
        <v>21</v>
      </c>
      <c r="DW23" s="1549">
        <f t="shared" si="12"/>
        <v>21</v>
      </c>
      <c r="DX23" s="1549">
        <f t="shared" si="12"/>
        <v>21</v>
      </c>
      <c r="DY23" s="1554">
        <f t="shared" si="12"/>
        <v>21</v>
      </c>
      <c r="DZ23" s="1961">
        <f>SUM(DV23:DY23)</f>
        <v>84</v>
      </c>
      <c r="EA23" s="1552">
        <f>DY23</f>
        <v>21</v>
      </c>
      <c r="EB23" s="1549">
        <f t="shared" si="13"/>
        <v>21</v>
      </c>
      <c r="EC23" s="1549">
        <f t="shared" si="14"/>
        <v>21</v>
      </c>
      <c r="ED23" s="1554">
        <f t="shared" si="15"/>
        <v>21</v>
      </c>
      <c r="EE23" s="1961">
        <f>SUM(EA23:ED23)</f>
        <v>84</v>
      </c>
      <c r="EF23" s="33"/>
      <c r="EG23" s="33"/>
      <c r="EH23" s="33"/>
      <c r="EI23" s="33"/>
      <c r="EJ23"/>
      <c r="EK23"/>
      <c r="EL23"/>
      <c r="EM23"/>
      <c r="EN23"/>
      <c r="EO23"/>
      <c r="EP23" s="33"/>
      <c r="EQ23" s="33"/>
      <c r="ER23" s="33"/>
      <c r="ES23" s="33"/>
      <c r="ET23" s="33"/>
      <c r="EU23" s="33"/>
      <c r="EV23" s="33"/>
      <c r="EW23" s="33"/>
      <c r="EX23" s="33"/>
      <c r="EY23" s="33"/>
      <c r="EZ23" s="33"/>
      <c r="FA23" s="33"/>
      <c r="FB23" s="33"/>
      <c r="FC23" s="33"/>
      <c r="FD23" s="33"/>
      <c r="FE23" s="33"/>
      <c r="FF23" s="33"/>
      <c r="FG23" s="33"/>
      <c r="FH23" s="33"/>
      <c r="FI23" s="33"/>
      <c r="FJ23" s="33"/>
      <c r="FK23" s="33"/>
      <c r="FL23" s="33"/>
      <c r="FM23" s="33"/>
      <c r="FN23" s="33"/>
      <c r="FO23" s="33"/>
      <c r="FP23" s="33"/>
      <c r="FQ23" s="33"/>
      <c r="FR23" s="33"/>
      <c r="FS23" s="33"/>
      <c r="FT23" s="33"/>
      <c r="FU23" s="33"/>
      <c r="FV23" s="33"/>
      <c r="FW23" s="33"/>
      <c r="FX23" s="33"/>
      <c r="FY23" s="33"/>
      <c r="FZ23" s="33"/>
      <c r="GA23" s="33"/>
      <c r="GB23" s="33"/>
      <c r="GC23" s="33"/>
      <c r="GD23" s="33"/>
      <c r="GE23" s="33"/>
      <c r="GF23" s="33"/>
      <c r="GG23" s="33"/>
      <c r="GH23" s="33"/>
      <c r="GI23" s="33"/>
      <c r="GJ23" s="33"/>
      <c r="GK23" s="33"/>
      <c r="GL23" s="33"/>
      <c r="GM23" s="33"/>
      <c r="GN23" s="33"/>
      <c r="GO23" s="33"/>
      <c r="GP23" s="33"/>
      <c r="GQ23" s="33"/>
      <c r="GR23" s="33"/>
      <c r="GS23" s="33"/>
      <c r="GT23" s="33"/>
      <c r="GU23" s="33"/>
      <c r="GV23" s="33"/>
      <c r="GW23" s="33"/>
      <c r="GX23" s="33"/>
      <c r="GY23" s="33"/>
      <c r="GZ23" s="33"/>
      <c r="HA23" s="33"/>
      <c r="HB23" s="33"/>
      <c r="HC23" s="33"/>
      <c r="HD23" s="33"/>
      <c r="HE23" s="33"/>
      <c r="HF23" s="33"/>
      <c r="HG23" s="33"/>
      <c r="HH23" s="33"/>
      <c r="HI23" s="33"/>
      <c r="HJ23" s="33"/>
      <c r="HK23" s="33"/>
      <c r="HL23" s="33"/>
      <c r="HM23" s="33"/>
      <c r="HN23" s="33"/>
      <c r="HO23" s="33"/>
      <c r="HP23" s="33"/>
      <c r="HQ23" s="33"/>
      <c r="HR23" s="33"/>
      <c r="HS23" s="33"/>
      <c r="HT23" s="33"/>
      <c r="HU23" s="33"/>
      <c r="HV23" s="33"/>
      <c r="HW23" s="33"/>
      <c r="HX23" s="33"/>
      <c r="HY23" s="33"/>
      <c r="HZ23" s="33"/>
      <c r="IA23" s="33"/>
      <c r="IB23" s="33"/>
      <c r="IC23" s="33"/>
      <c r="ID23" s="33"/>
    </row>
    <row r="24" spans="2:238" s="1959" customFormat="1" ht="12.75" customHeight="1">
      <c r="B24" s="2031" t="s">
        <v>39</v>
      </c>
      <c r="C24" s="1570"/>
      <c r="D24" s="1570"/>
      <c r="E24" s="1570"/>
      <c r="F24" s="1570"/>
      <c r="G24" s="1570"/>
      <c r="H24" s="1577"/>
      <c r="I24" s="1570"/>
      <c r="J24" s="1570"/>
      <c r="K24" s="1960"/>
      <c r="L24" s="1549"/>
      <c r="M24" s="1549"/>
      <c r="N24" s="1550"/>
      <c r="O24" s="1570"/>
      <c r="P24" s="1960"/>
      <c r="Q24" s="1549"/>
      <c r="R24" s="1549"/>
      <c r="S24" s="1550"/>
      <c r="T24" s="1570"/>
      <c r="U24" s="1960"/>
      <c r="V24" s="1549"/>
      <c r="W24" s="1549"/>
      <c r="X24" s="1550"/>
      <c r="Y24" s="1570"/>
      <c r="Z24" s="1960"/>
      <c r="AA24" s="1549"/>
      <c r="AB24" s="1549"/>
      <c r="AC24" s="1550"/>
      <c r="AD24" s="1570"/>
      <c r="AE24" s="1960"/>
      <c r="AF24" s="1549"/>
      <c r="AG24" s="1549"/>
      <c r="AH24" s="1550"/>
      <c r="AI24" s="1570"/>
      <c r="AJ24" s="1960"/>
      <c r="AK24" s="1549"/>
      <c r="AL24" s="1549"/>
      <c r="AM24" s="1550"/>
      <c r="AN24" s="1570"/>
      <c r="AO24" s="1960"/>
      <c r="AP24" s="1549"/>
      <c r="AQ24" s="1549"/>
      <c r="AR24" s="1550"/>
      <c r="AS24" s="1570"/>
      <c r="AT24" s="1960"/>
      <c r="AU24" s="1549"/>
      <c r="AV24" s="1549"/>
      <c r="AW24" s="1550"/>
      <c r="AX24" s="1570"/>
      <c r="AY24" s="1960"/>
      <c r="AZ24" s="1549"/>
      <c r="BA24" s="1549"/>
      <c r="BB24" s="1550"/>
      <c r="BC24" s="1570"/>
      <c r="BD24" s="1960"/>
      <c r="BE24" s="1549"/>
      <c r="BF24" s="1549"/>
      <c r="BG24" s="1550"/>
      <c r="BH24" s="1570"/>
      <c r="BI24" s="1960"/>
      <c r="BJ24" s="1549"/>
      <c r="BK24" s="1549"/>
      <c r="BL24" s="1550"/>
      <c r="BM24" s="1570"/>
      <c r="BN24" s="1960"/>
      <c r="BO24" s="1549"/>
      <c r="BP24" s="1549"/>
      <c r="BQ24" s="1550"/>
      <c r="BR24" s="1570"/>
      <c r="BS24" s="1960"/>
      <c r="BT24" s="1549"/>
      <c r="BU24" s="1549"/>
      <c r="BV24" s="1550"/>
      <c r="BW24" s="1570"/>
      <c r="BX24" s="1960"/>
      <c r="BY24" s="1549"/>
      <c r="BZ24" s="1549"/>
      <c r="CA24" s="1550"/>
      <c r="CB24" s="1570"/>
      <c r="CC24" s="1960"/>
      <c r="CD24" s="1549"/>
      <c r="CE24" s="1549"/>
      <c r="CF24" s="1549"/>
      <c r="CG24" s="1961"/>
      <c r="CH24" s="1549"/>
      <c r="CI24" s="1549"/>
      <c r="CJ24" s="1549"/>
      <c r="CK24" s="1549"/>
      <c r="CL24" s="1961"/>
      <c r="CM24" s="1549"/>
      <c r="CN24" s="1549"/>
      <c r="CO24" s="1549"/>
      <c r="CP24" s="1549"/>
      <c r="CQ24" s="1961"/>
      <c r="CR24" s="1549"/>
      <c r="CS24" s="1549"/>
      <c r="CT24" s="1549"/>
      <c r="CU24" s="1549"/>
      <c r="CV24" s="1961"/>
      <c r="CW24" s="1549"/>
      <c r="CX24" s="1549"/>
      <c r="CY24" s="1549"/>
      <c r="CZ24" s="1549"/>
      <c r="DA24" s="1961"/>
      <c r="DB24" s="1549"/>
      <c r="DC24" s="2011">
        <f>7-4</f>
        <v>3</v>
      </c>
      <c r="DD24" s="2011">
        <v>1</v>
      </c>
      <c r="DE24" s="2011">
        <v>-4</v>
      </c>
      <c r="DF24" s="1961"/>
      <c r="DG24" s="2011">
        <v>-5</v>
      </c>
      <c r="DH24" s="2011">
        <v>-2</v>
      </c>
      <c r="DI24" s="2011">
        <f>1-5</f>
        <v>-4</v>
      </c>
      <c r="DJ24" s="2011">
        <v>0</v>
      </c>
      <c r="DK24" s="1961"/>
      <c r="DL24" s="2011">
        <v>0</v>
      </c>
      <c r="DM24" s="2011">
        <v>0</v>
      </c>
      <c r="DN24" s="2011">
        <v>0</v>
      </c>
      <c r="DO24" s="2011"/>
      <c r="DP24" s="1962"/>
      <c r="DQ24" s="2011"/>
      <c r="DR24" s="1549"/>
      <c r="DS24" s="1549"/>
      <c r="DT24" s="1554"/>
      <c r="DU24" s="1962"/>
      <c r="DV24" s="1552"/>
      <c r="DW24" s="1549"/>
      <c r="DX24" s="1549"/>
      <c r="DY24" s="1554"/>
      <c r="DZ24" s="1962"/>
      <c r="EA24" s="1552"/>
      <c r="EB24" s="1549"/>
      <c r="EC24" s="1549"/>
      <c r="ED24" s="1554"/>
      <c r="EE24" s="1962"/>
      <c r="EF24" s="33"/>
      <c r="EG24" s="33"/>
      <c r="EH24" s="33"/>
      <c r="EI24" s="33"/>
      <c r="EJ24"/>
      <c r="EK24"/>
      <c r="EL24"/>
      <c r="EM24"/>
      <c r="EN24"/>
      <c r="EO24"/>
      <c r="EP24" s="33"/>
      <c r="EQ24" s="33"/>
      <c r="ER24" s="33"/>
      <c r="ES24" s="33"/>
      <c r="ET24" s="33"/>
      <c r="EU24" s="33"/>
      <c r="EV24" s="33"/>
      <c r="EW24" s="33"/>
      <c r="EX24" s="33"/>
      <c r="EY24" s="33"/>
      <c r="EZ24" s="33"/>
      <c r="FA24" s="33"/>
      <c r="FB24" s="33"/>
      <c r="FC24" s="33"/>
      <c r="FD24" s="33"/>
      <c r="FE24" s="33"/>
      <c r="FF24" s="33"/>
      <c r="FG24" s="33"/>
      <c r="FH24" s="33"/>
      <c r="FI24" s="33"/>
      <c r="FJ24" s="33"/>
      <c r="FK24" s="33"/>
      <c r="FL24" s="33"/>
      <c r="FM24" s="33"/>
      <c r="FN24" s="33"/>
      <c r="FO24" s="33"/>
      <c r="FP24" s="33"/>
      <c r="FQ24" s="33"/>
      <c r="FR24" s="33"/>
      <c r="FS24" s="33"/>
      <c r="FT24" s="33"/>
      <c r="FU24" s="33"/>
      <c r="FV24" s="33"/>
      <c r="FW24" s="33"/>
      <c r="FX24" s="33"/>
      <c r="FY24" s="33"/>
      <c r="FZ24" s="33"/>
      <c r="GA24" s="33"/>
      <c r="GB24" s="33"/>
      <c r="GC24" s="33"/>
      <c r="GD24" s="33"/>
      <c r="GE24" s="33"/>
      <c r="GF24" s="33"/>
      <c r="GG24" s="33"/>
      <c r="GH24" s="33"/>
      <c r="GI24" s="33"/>
      <c r="GJ24" s="33"/>
      <c r="GK24" s="33"/>
      <c r="GL24" s="33"/>
      <c r="GM24" s="33"/>
      <c r="GN24" s="33"/>
      <c r="GO24" s="33"/>
      <c r="GP24" s="33"/>
      <c r="GQ24" s="33"/>
      <c r="GR24" s="33"/>
      <c r="GS24" s="33"/>
      <c r="GT24" s="33"/>
      <c r="GU24" s="33"/>
      <c r="GV24" s="33"/>
      <c r="GW24" s="33"/>
      <c r="GX24" s="33"/>
      <c r="GY24" s="33"/>
      <c r="GZ24" s="33"/>
      <c r="HA24" s="33"/>
      <c r="HB24" s="33"/>
      <c r="HC24" s="33"/>
      <c r="HD24" s="33"/>
      <c r="HE24" s="33"/>
      <c r="HF24" s="33"/>
      <c r="HG24" s="33"/>
      <c r="HH24" s="33"/>
      <c r="HI24" s="33"/>
      <c r="HJ24" s="33"/>
      <c r="HK24" s="33"/>
      <c r="HL24" s="33"/>
      <c r="HM24" s="33"/>
      <c r="HN24" s="33"/>
      <c r="HO24" s="33"/>
      <c r="HP24" s="33"/>
      <c r="HQ24" s="33"/>
      <c r="HR24" s="33"/>
      <c r="HS24" s="33"/>
      <c r="HT24" s="33"/>
      <c r="HU24" s="33"/>
      <c r="HV24" s="33"/>
      <c r="HW24" s="33"/>
      <c r="HX24" s="33"/>
      <c r="HY24" s="33"/>
      <c r="HZ24" s="33"/>
      <c r="IA24" s="33"/>
      <c r="IB24" s="33"/>
      <c r="IC24" s="33"/>
      <c r="ID24" s="33"/>
    </row>
    <row r="25" spans="2:238" s="1959" customFormat="1" ht="12.75" customHeight="1">
      <c r="B25" s="1958" t="s">
        <v>516</v>
      </c>
      <c r="C25" s="1570"/>
      <c r="D25" s="1570"/>
      <c r="E25" s="1570"/>
      <c r="F25" s="1570"/>
      <c r="G25" s="1570"/>
      <c r="H25" s="1577"/>
      <c r="I25" s="1570"/>
      <c r="J25" s="1570"/>
      <c r="K25" s="1960"/>
      <c r="L25" s="1549"/>
      <c r="M25" s="1549"/>
      <c r="N25" s="1550"/>
      <c r="O25" s="1570"/>
      <c r="P25" s="1960"/>
      <c r="Q25" s="1549"/>
      <c r="R25" s="1549"/>
      <c r="S25" s="1550"/>
      <c r="T25" s="1570"/>
      <c r="U25" s="1960"/>
      <c r="V25" s="1549"/>
      <c r="W25" s="1549"/>
      <c r="X25" s="1550"/>
      <c r="Y25" s="1570"/>
      <c r="Z25" s="1960"/>
      <c r="AA25" s="1549"/>
      <c r="AB25" s="1549"/>
      <c r="AC25" s="1550"/>
      <c r="AD25" s="1570"/>
      <c r="AE25" s="1960"/>
      <c r="AF25" s="1549"/>
      <c r="AG25" s="1549"/>
      <c r="AH25" s="1550"/>
      <c r="AI25" s="1570"/>
      <c r="AJ25" s="1960"/>
      <c r="AK25" s="1549"/>
      <c r="AL25" s="1549"/>
      <c r="AM25" s="1550"/>
      <c r="AN25" s="1570"/>
      <c r="AO25" s="1960"/>
      <c r="AP25" s="1549"/>
      <c r="AQ25" s="1549"/>
      <c r="AR25" s="1550"/>
      <c r="AS25" s="1570"/>
      <c r="AT25" s="1960"/>
      <c r="AU25" s="1549"/>
      <c r="AV25" s="1549"/>
      <c r="AW25" s="1550"/>
      <c r="AX25" s="1570"/>
      <c r="AY25" s="1960"/>
      <c r="AZ25" s="1549"/>
      <c r="BA25" s="1549"/>
      <c r="BB25" s="1550"/>
      <c r="BC25" s="1570"/>
      <c r="BD25" s="1960"/>
      <c r="BE25" s="1549"/>
      <c r="BF25" s="1549"/>
      <c r="BG25" s="1550"/>
      <c r="BH25" s="1570"/>
      <c r="BI25" s="1960"/>
      <c r="BJ25" s="1549"/>
      <c r="BK25" s="1549"/>
      <c r="BL25" s="1550"/>
      <c r="BM25" s="1570"/>
      <c r="BN25" s="1960"/>
      <c r="BO25" s="1549"/>
      <c r="BP25" s="1549"/>
      <c r="BQ25" s="1550"/>
      <c r="BR25" s="1570"/>
      <c r="BS25" s="1960"/>
      <c r="BT25" s="1549"/>
      <c r="BU25" s="1549"/>
      <c r="BV25" s="1550"/>
      <c r="BW25" s="1570"/>
      <c r="BX25" s="1960"/>
      <c r="BY25" s="1549"/>
      <c r="BZ25" s="1549"/>
      <c r="CA25" s="1550"/>
      <c r="CB25" s="1570"/>
      <c r="CC25" s="1960"/>
      <c r="CD25" s="1549"/>
      <c r="CE25" s="1549"/>
      <c r="CF25" s="1549"/>
      <c r="CG25" s="1961"/>
      <c r="CH25" s="1549"/>
      <c r="CI25" s="1549"/>
      <c r="CJ25" s="1549"/>
      <c r="CK25" s="1549"/>
      <c r="CL25" s="1961"/>
      <c r="CM25" s="1549"/>
      <c r="CN25" s="1549"/>
      <c r="CO25" s="1549"/>
      <c r="CP25" s="1549"/>
      <c r="CQ25" s="1961"/>
      <c r="CR25" s="1549"/>
      <c r="CS25" s="1549"/>
      <c r="CT25" s="1549"/>
      <c r="CU25" s="1549"/>
      <c r="CV25" s="1961"/>
      <c r="CW25" s="1549"/>
      <c r="CX25" s="1549"/>
      <c r="CY25" s="1549"/>
      <c r="CZ25" s="1549"/>
      <c r="DA25" s="1961"/>
      <c r="DB25" s="1549"/>
      <c r="DC25" s="1549">
        <f t="shared" ref="DC25" si="17">DC20+SUM(DC22:DC24)</f>
        <v>117</v>
      </c>
      <c r="DD25" s="1549">
        <f t="shared" ref="DD25" si="18">DD20+SUM(DD22:DD24)</f>
        <v>172</v>
      </c>
      <c r="DE25" s="1549">
        <f t="shared" ref="DE25" si="19">DE20+SUM(DE22:DE24)</f>
        <v>154</v>
      </c>
      <c r="DF25" s="1961">
        <f>SUM(DB25:DE25)</f>
        <v>443</v>
      </c>
      <c r="DG25" s="1549">
        <f t="shared" ref="DG25" si="20">DG20+SUM(DG22:DG24)</f>
        <v>161</v>
      </c>
      <c r="DH25" s="1549">
        <f>DH20+SUM(DH22:DH24)</f>
        <v>153</v>
      </c>
      <c r="DI25" s="1549">
        <f t="shared" ref="DI25:DJ25" si="21">DI20+SUM(DI22:DI24)</f>
        <v>171</v>
      </c>
      <c r="DJ25" s="1549">
        <f t="shared" si="21"/>
        <v>158</v>
      </c>
      <c r="DK25" s="1961">
        <f>SUM(DG25:DJ25)</f>
        <v>643</v>
      </c>
      <c r="DL25" s="1549">
        <f t="shared" ref="DL25:DM25" si="22">DL20+SUM(DL22:DL24)</f>
        <v>166</v>
      </c>
      <c r="DM25" s="1549">
        <f t="shared" si="22"/>
        <v>147</v>
      </c>
      <c r="DN25" s="1549">
        <f t="shared" ref="DN25" si="23">DN20+SUM(DN22:DN24)</f>
        <v>152</v>
      </c>
      <c r="DO25" s="1549">
        <f>DO20+SUM(DO22:DO24)</f>
        <v>136</v>
      </c>
      <c r="DP25" s="1962">
        <f>SUM(DL25:DO25)</f>
        <v>601</v>
      </c>
      <c r="DQ25" s="1549">
        <f>DQ20+SUM(DQ22:DQ24)</f>
        <v>147</v>
      </c>
      <c r="DR25" s="1549">
        <f t="shared" ref="DR25:DT25" si="24">DR20+SUM(DR22:DR23)</f>
        <v>159.33739500000001</v>
      </c>
      <c r="DS25" s="1549">
        <f t="shared" si="24"/>
        <v>163.00357500000001</v>
      </c>
      <c r="DT25" s="1554">
        <f t="shared" si="24"/>
        <v>150.44802500000009</v>
      </c>
      <c r="DU25" s="1962">
        <f>SUM(DQ25:DT25)</f>
        <v>619.78899500000011</v>
      </c>
      <c r="DV25" s="1552">
        <f t="shared" ref="DV25:DY25" si="25">DV20+SUM(DV22:DV23)</f>
        <v>159.88999999999999</v>
      </c>
      <c r="DW25" s="1549">
        <f t="shared" si="25"/>
        <v>172.41245592499996</v>
      </c>
      <c r="DX25" s="1549">
        <f t="shared" si="25"/>
        <v>176.13362862499997</v>
      </c>
      <c r="DY25" s="1554">
        <f t="shared" si="25"/>
        <v>163.38974537500008</v>
      </c>
      <c r="DZ25" s="1962">
        <f>SUM(DV25:DY25)</f>
        <v>671.82582992499999</v>
      </c>
      <c r="EA25" s="1552">
        <f t="shared" ref="EA25:ED25" si="26">EA20+SUM(EA22:EA23)</f>
        <v>161.80835000000002</v>
      </c>
      <c r="EB25" s="1549">
        <f t="shared" si="26"/>
        <v>174.51864276387505</v>
      </c>
      <c r="EC25" s="1549">
        <f t="shared" si="26"/>
        <v>178.295633054375</v>
      </c>
      <c r="ED25" s="1554">
        <f t="shared" si="26"/>
        <v>165.36059155562498</v>
      </c>
      <c r="EE25" s="1962">
        <f>SUM(EA25:ED25)</f>
        <v>679.98321737387505</v>
      </c>
      <c r="EF25" s="33"/>
      <c r="EG25" s="33"/>
      <c r="EH25" s="33"/>
      <c r="EI25" s="33"/>
      <c r="EJ25"/>
      <c r="EK25"/>
      <c r="EL25"/>
      <c r="EM25"/>
      <c r="EN25"/>
      <c r="EO25"/>
      <c r="EP25" s="33"/>
      <c r="EQ25" s="33"/>
      <c r="ER25" s="33"/>
      <c r="ES25" s="33"/>
      <c r="ET25" s="33"/>
      <c r="EU25" s="33"/>
      <c r="EV25" s="33"/>
      <c r="EW25" s="33"/>
      <c r="EX25" s="33"/>
      <c r="EY25" s="33"/>
      <c r="EZ25" s="33"/>
      <c r="FA25" s="33"/>
      <c r="FB25" s="33"/>
      <c r="FC25" s="33"/>
      <c r="FD25" s="33"/>
      <c r="FE25" s="33"/>
      <c r="FF25" s="33"/>
      <c r="FG25" s="33"/>
      <c r="FH25" s="33"/>
      <c r="FI25" s="33"/>
      <c r="FJ25" s="33"/>
      <c r="FK25" s="33"/>
      <c r="FL25" s="33"/>
      <c r="FM25" s="33"/>
      <c r="FN25" s="33"/>
      <c r="FO25" s="33"/>
      <c r="FP25" s="33"/>
      <c r="FQ25" s="33"/>
      <c r="FR25" s="33"/>
      <c r="FS25" s="33"/>
      <c r="FT25" s="33"/>
      <c r="FU25" s="33"/>
      <c r="FV25" s="33"/>
      <c r="FW25" s="33"/>
      <c r="FX25" s="33"/>
      <c r="FY25" s="33"/>
      <c r="FZ25" s="33"/>
      <c r="GA25" s="33"/>
      <c r="GB25" s="33"/>
      <c r="GC25" s="33"/>
      <c r="GD25" s="33"/>
      <c r="GE25" s="33"/>
      <c r="GF25" s="33"/>
      <c r="GG25" s="33"/>
      <c r="GH25" s="33"/>
      <c r="GI25" s="33"/>
      <c r="GJ25" s="33"/>
      <c r="GK25" s="33"/>
      <c r="GL25" s="33"/>
      <c r="GM25" s="33"/>
      <c r="GN25" s="33"/>
      <c r="GO25" s="33"/>
      <c r="GP25" s="33"/>
      <c r="GQ25" s="33"/>
      <c r="GR25" s="33"/>
      <c r="GS25" s="33"/>
      <c r="GT25" s="33"/>
      <c r="GU25" s="33"/>
      <c r="GV25" s="33"/>
      <c r="GW25" s="33"/>
      <c r="GX25" s="33"/>
      <c r="GY25" s="33"/>
      <c r="GZ25" s="33"/>
      <c r="HA25" s="33"/>
      <c r="HB25" s="33"/>
      <c r="HC25" s="33"/>
      <c r="HD25" s="33"/>
      <c r="HE25" s="33"/>
      <c r="HF25" s="33"/>
      <c r="HG25" s="33"/>
      <c r="HH25" s="33"/>
      <c r="HI25" s="33"/>
      <c r="HJ25" s="33"/>
      <c r="HK25" s="33"/>
      <c r="HL25" s="33"/>
      <c r="HM25" s="33"/>
      <c r="HN25" s="33"/>
      <c r="HO25" s="33"/>
      <c r="HP25" s="33"/>
      <c r="HQ25" s="33"/>
      <c r="HR25" s="33"/>
      <c r="HS25" s="33"/>
      <c r="HT25" s="33"/>
      <c r="HU25" s="33"/>
      <c r="HV25" s="33"/>
      <c r="HW25" s="33"/>
      <c r="HX25" s="33"/>
      <c r="HY25" s="33"/>
      <c r="HZ25" s="33"/>
      <c r="IA25" s="33"/>
      <c r="IB25" s="33"/>
      <c r="IC25" s="33"/>
      <c r="ID25" s="33"/>
    </row>
    <row r="26" spans="2:238" s="1959" customFormat="1" ht="12.75" customHeight="1">
      <c r="B26" s="1958" t="s">
        <v>445</v>
      </c>
      <c r="C26" s="1570"/>
      <c r="D26" s="1570"/>
      <c r="E26" s="1570"/>
      <c r="F26" s="1570"/>
      <c r="G26" s="1570"/>
      <c r="H26" s="1577"/>
      <c r="I26" s="1570"/>
      <c r="J26" s="1570"/>
      <c r="K26" s="1960"/>
      <c r="L26" s="1549"/>
      <c r="M26" s="1549"/>
      <c r="N26" s="1550"/>
      <c r="O26" s="1570"/>
      <c r="P26" s="1960"/>
      <c r="Q26" s="1549"/>
      <c r="R26" s="1549"/>
      <c r="S26" s="1550"/>
      <c r="T26" s="1570"/>
      <c r="U26" s="1960"/>
      <c r="V26" s="1549"/>
      <c r="W26" s="1549"/>
      <c r="X26" s="1550"/>
      <c r="Y26" s="1570"/>
      <c r="Z26" s="1960"/>
      <c r="AA26" s="1549"/>
      <c r="AB26" s="1549"/>
      <c r="AC26" s="1550"/>
      <c r="AD26" s="1570"/>
      <c r="AE26" s="1960"/>
      <c r="AF26" s="1549"/>
      <c r="AG26" s="1549"/>
      <c r="AH26" s="1550"/>
      <c r="AI26" s="1570"/>
      <c r="AJ26" s="1960"/>
      <c r="AK26" s="1549"/>
      <c r="AL26" s="1549"/>
      <c r="AM26" s="1550"/>
      <c r="AN26" s="1570"/>
      <c r="AO26" s="1960"/>
      <c r="AP26" s="1549"/>
      <c r="AQ26" s="1549"/>
      <c r="AR26" s="1550"/>
      <c r="AS26" s="1570"/>
      <c r="AT26" s="1960"/>
      <c r="AU26" s="1549"/>
      <c r="AV26" s="1549"/>
      <c r="AW26" s="1550"/>
      <c r="AX26" s="1570"/>
      <c r="AY26" s="1960"/>
      <c r="AZ26" s="1549"/>
      <c r="BA26" s="1549"/>
      <c r="BB26" s="1550"/>
      <c r="BC26" s="1570"/>
      <c r="BD26" s="1960"/>
      <c r="BE26" s="1549"/>
      <c r="BF26" s="1549"/>
      <c r="BG26" s="1550"/>
      <c r="BH26" s="1570"/>
      <c r="BI26" s="1960"/>
      <c r="BJ26" s="1549"/>
      <c r="BK26" s="1549"/>
      <c r="BL26" s="1550"/>
      <c r="BM26" s="1570"/>
      <c r="BN26" s="1960"/>
      <c r="BO26" s="1549"/>
      <c r="BP26" s="1549"/>
      <c r="BQ26" s="1550"/>
      <c r="BR26" s="1570"/>
      <c r="BS26" s="1960"/>
      <c r="BT26" s="1549"/>
      <c r="BU26" s="1549"/>
      <c r="BV26" s="1550"/>
      <c r="BW26" s="1570"/>
      <c r="BX26" s="1960"/>
      <c r="BY26" s="1549"/>
      <c r="BZ26" s="1549"/>
      <c r="CA26" s="1550"/>
      <c r="CB26" s="1570"/>
      <c r="CC26" s="1960"/>
      <c r="CD26" s="1549"/>
      <c r="CE26" s="1549"/>
      <c r="CF26" s="1549"/>
      <c r="CG26" s="1961"/>
      <c r="CH26" s="1549"/>
      <c r="CI26" s="1549"/>
      <c r="CJ26" s="1549"/>
      <c r="CK26" s="1549"/>
      <c r="CL26" s="1961"/>
      <c r="CM26" s="1549"/>
      <c r="CN26" s="1549"/>
      <c r="CO26" s="1549"/>
      <c r="CP26" s="1549"/>
      <c r="CQ26" s="1961"/>
      <c r="CR26" s="1549"/>
      <c r="CS26" s="1549"/>
      <c r="CT26" s="1549"/>
      <c r="CU26" s="1549"/>
      <c r="CV26" s="1961"/>
      <c r="CW26" s="1549"/>
      <c r="CX26" s="1549"/>
      <c r="CY26" s="1549"/>
      <c r="CZ26" s="1549"/>
      <c r="DA26" s="1961"/>
      <c r="DB26" s="1549"/>
      <c r="DC26" s="1549">
        <f>DC18-SUM(DC22:DC24)</f>
        <v>270</v>
      </c>
      <c r="DD26" s="1549">
        <f t="shared" ref="DD26:DZ26" si="27">DD18-SUM(DD22:DD24)</f>
        <v>388</v>
      </c>
      <c r="DE26" s="1549">
        <f t="shared" si="27"/>
        <v>385</v>
      </c>
      <c r="DF26" s="1961">
        <f t="shared" si="27"/>
        <v>1110</v>
      </c>
      <c r="DG26" s="1549">
        <f t="shared" si="27"/>
        <v>396</v>
      </c>
      <c r="DH26" s="1549">
        <f t="shared" si="27"/>
        <v>382</v>
      </c>
      <c r="DI26" s="1549">
        <f t="shared" si="27"/>
        <v>366</v>
      </c>
      <c r="DJ26" s="1549">
        <f t="shared" si="27"/>
        <v>344</v>
      </c>
      <c r="DK26" s="1961">
        <f t="shared" si="27"/>
        <v>1498</v>
      </c>
      <c r="DL26" s="1549">
        <f t="shared" si="27"/>
        <v>336</v>
      </c>
      <c r="DM26" s="1549">
        <f t="shared" si="27"/>
        <v>338</v>
      </c>
      <c r="DN26" s="1549">
        <f t="shared" si="27"/>
        <v>339</v>
      </c>
      <c r="DO26" s="1549">
        <f t="shared" si="27"/>
        <v>350</v>
      </c>
      <c r="DP26" s="1962">
        <f t="shared" si="27"/>
        <v>1363</v>
      </c>
      <c r="DQ26" s="1549">
        <f t="shared" ref="DQ26" si="28">DQ18-SUM(DQ22:DQ24)</f>
        <v>375</v>
      </c>
      <c r="DR26" s="1549">
        <f t="shared" si="27"/>
        <v>355.4249299999999</v>
      </c>
      <c r="DS26" s="1549">
        <f t="shared" si="27"/>
        <v>359.62499999999994</v>
      </c>
      <c r="DT26" s="2216">
        <f t="shared" si="27"/>
        <v>367.74499999999995</v>
      </c>
      <c r="DU26" s="1962">
        <f t="shared" si="27"/>
        <v>1457.7949299999998</v>
      </c>
      <c r="DV26" s="1552">
        <f t="shared" si="27"/>
        <v>369.93999999999994</v>
      </c>
      <c r="DW26" s="1549">
        <f t="shared" si="27"/>
        <v>350.07130394999984</v>
      </c>
      <c r="DX26" s="1549">
        <f t="shared" si="27"/>
        <v>354.33437499999997</v>
      </c>
      <c r="DY26" s="2216">
        <f t="shared" si="27"/>
        <v>362.57617499999992</v>
      </c>
      <c r="DZ26" s="1962">
        <f t="shared" si="27"/>
        <v>1436.9218539499996</v>
      </c>
      <c r="EA26" s="1552">
        <f t="shared" ref="EA26:EE26" si="29">EA18-SUM(EA22:EA24)</f>
        <v>375.96909999999991</v>
      </c>
      <c r="EB26" s="1549">
        <f t="shared" si="29"/>
        <v>355.80237350924983</v>
      </c>
      <c r="EC26" s="1549">
        <f t="shared" si="29"/>
        <v>360.12939062499993</v>
      </c>
      <c r="ED26" s="2216">
        <f t="shared" si="29"/>
        <v>368.49481762499988</v>
      </c>
      <c r="EE26" s="1962">
        <f t="shared" si="29"/>
        <v>1460.3956817592498</v>
      </c>
      <c r="EF26" s="33"/>
      <c r="EG26" s="33"/>
      <c r="EH26" s="33"/>
      <c r="EI26" s="33"/>
      <c r="EJ26"/>
      <c r="EK26"/>
      <c r="EL26"/>
      <c r="EM26"/>
      <c r="EN26"/>
      <c r="EO26"/>
      <c r="EP26" s="33"/>
      <c r="EQ26" s="33"/>
      <c r="ER26" s="33"/>
      <c r="ES26" s="33"/>
      <c r="ET26" s="33"/>
      <c r="EU26" s="33"/>
      <c r="EV26" s="33"/>
      <c r="EW26" s="33"/>
      <c r="EX26" s="33"/>
      <c r="EY26" s="33"/>
      <c r="EZ26" s="33"/>
      <c r="FA26" s="33"/>
      <c r="FB26" s="33"/>
      <c r="FC26" s="33"/>
      <c r="FD26" s="33"/>
      <c r="FE26" s="33"/>
      <c r="FF26" s="33"/>
      <c r="FG26" s="33"/>
      <c r="FH26" s="33"/>
      <c r="FI26" s="33"/>
      <c r="FJ26" s="33"/>
      <c r="FK26" s="33"/>
      <c r="FL26" s="33"/>
      <c r="FM26" s="33"/>
      <c r="FN26" s="33"/>
      <c r="FO26" s="33"/>
      <c r="FP26" s="33"/>
      <c r="FQ26" s="33"/>
      <c r="FR26" s="33"/>
      <c r="FS26" s="33"/>
      <c r="FT26" s="33"/>
      <c r="FU26" s="33"/>
      <c r="FV26" s="33"/>
      <c r="FW26" s="33"/>
      <c r="FX26" s="33"/>
      <c r="FY26" s="33"/>
      <c r="FZ26" s="33"/>
      <c r="GA26" s="33"/>
      <c r="GB26" s="33"/>
      <c r="GC26" s="33"/>
      <c r="GD26" s="33"/>
      <c r="GE26" s="33"/>
      <c r="GF26" s="33"/>
      <c r="GG26" s="33"/>
      <c r="GH26" s="33"/>
      <c r="GI26" s="33"/>
      <c r="GJ26" s="33"/>
      <c r="GK26" s="33"/>
      <c r="GL26" s="33"/>
      <c r="GM26" s="33"/>
      <c r="GN26" s="33"/>
      <c r="GO26" s="33"/>
      <c r="GP26" s="33"/>
      <c r="GQ26" s="33"/>
      <c r="GR26" s="33"/>
      <c r="GS26" s="33"/>
      <c r="GT26" s="33"/>
      <c r="GU26" s="33"/>
      <c r="GV26" s="33"/>
      <c r="GW26" s="33"/>
      <c r="GX26" s="33"/>
      <c r="GY26" s="33"/>
      <c r="GZ26" s="33"/>
      <c r="HA26" s="33"/>
      <c r="HB26" s="33"/>
      <c r="HC26" s="33"/>
      <c r="HD26" s="33"/>
      <c r="HE26" s="33"/>
      <c r="HF26" s="33"/>
      <c r="HG26" s="33"/>
      <c r="HH26" s="33"/>
      <c r="HI26" s="33"/>
      <c r="HJ26" s="33"/>
      <c r="HK26" s="33"/>
      <c r="HL26" s="33"/>
      <c r="HM26" s="33"/>
      <c r="HN26" s="33"/>
      <c r="HO26" s="33"/>
      <c r="HP26" s="33"/>
      <c r="HQ26" s="33"/>
      <c r="HR26" s="33"/>
      <c r="HS26" s="33"/>
      <c r="HT26" s="33"/>
      <c r="HU26" s="33"/>
      <c r="HV26" s="33"/>
      <c r="HW26" s="33"/>
      <c r="HX26" s="33"/>
      <c r="HY26" s="33"/>
      <c r="HZ26" s="33"/>
      <c r="IA26" s="33"/>
      <c r="IB26" s="33"/>
      <c r="IC26" s="33"/>
      <c r="ID26" s="33"/>
    </row>
    <row r="27" spans="2:238" s="1959" customFormat="1" ht="12.75" customHeight="1" thickBot="1">
      <c r="B27" s="2065"/>
      <c r="C27" s="2066"/>
      <c r="D27" s="2066"/>
      <c r="E27" s="2066"/>
      <c r="F27" s="2066"/>
      <c r="G27" s="2066"/>
      <c r="H27" s="2067"/>
      <c r="I27" s="2066"/>
      <c r="J27" s="2066"/>
      <c r="K27" s="2068"/>
      <c r="L27" s="2069"/>
      <c r="M27" s="2069"/>
      <c r="N27" s="2070"/>
      <c r="O27" s="2066"/>
      <c r="P27" s="2068"/>
      <c r="Q27" s="2069"/>
      <c r="R27" s="2069"/>
      <c r="S27" s="2070"/>
      <c r="T27" s="2066"/>
      <c r="U27" s="2068"/>
      <c r="V27" s="2069"/>
      <c r="W27" s="2069"/>
      <c r="X27" s="2070"/>
      <c r="Y27" s="2066"/>
      <c r="Z27" s="2068"/>
      <c r="AA27" s="2069"/>
      <c r="AB27" s="2069"/>
      <c r="AC27" s="2070"/>
      <c r="AD27" s="2066"/>
      <c r="AE27" s="2068"/>
      <c r="AF27" s="2069"/>
      <c r="AG27" s="2069"/>
      <c r="AH27" s="2070"/>
      <c r="AI27" s="2066"/>
      <c r="AJ27" s="2068"/>
      <c r="AK27" s="2069"/>
      <c r="AL27" s="2069"/>
      <c r="AM27" s="2070"/>
      <c r="AN27" s="2066"/>
      <c r="AO27" s="2068"/>
      <c r="AP27" s="2069"/>
      <c r="AQ27" s="2069"/>
      <c r="AR27" s="2070"/>
      <c r="AS27" s="2066"/>
      <c r="AT27" s="2068"/>
      <c r="AU27" s="2069"/>
      <c r="AV27" s="2069"/>
      <c r="AW27" s="2070"/>
      <c r="AX27" s="2066"/>
      <c r="AY27" s="2068"/>
      <c r="AZ27" s="2069"/>
      <c r="BA27" s="2069"/>
      <c r="BB27" s="2070"/>
      <c r="BC27" s="2066"/>
      <c r="BD27" s="2068"/>
      <c r="BE27" s="2069"/>
      <c r="BF27" s="2069"/>
      <c r="BG27" s="2070"/>
      <c r="BH27" s="2066"/>
      <c r="BI27" s="2068"/>
      <c r="BJ27" s="2069"/>
      <c r="BK27" s="2069"/>
      <c r="BL27" s="2070"/>
      <c r="BM27" s="2066"/>
      <c r="BN27" s="2068"/>
      <c r="BO27" s="2069"/>
      <c r="BP27" s="2069"/>
      <c r="BQ27" s="2070"/>
      <c r="BR27" s="2066"/>
      <c r="BS27" s="2068"/>
      <c r="BT27" s="2069"/>
      <c r="BU27" s="2069"/>
      <c r="BV27" s="2070"/>
      <c r="BW27" s="2066"/>
      <c r="BX27" s="2068"/>
      <c r="BY27" s="2069"/>
      <c r="BZ27" s="2069"/>
      <c r="CA27" s="2070"/>
      <c r="CB27" s="2066"/>
      <c r="CC27" s="2068"/>
      <c r="CD27" s="2069"/>
      <c r="CE27" s="2069"/>
      <c r="CF27" s="2069"/>
      <c r="CG27" s="2071"/>
      <c r="CH27" s="2069"/>
      <c r="CI27" s="2069"/>
      <c r="CJ27" s="2069"/>
      <c r="CK27" s="2069"/>
      <c r="CL27" s="2071"/>
      <c r="CM27" s="2069"/>
      <c r="CN27" s="2069"/>
      <c r="CO27" s="2069"/>
      <c r="CP27" s="2069"/>
      <c r="CQ27" s="2071"/>
      <c r="CR27" s="2069"/>
      <c r="CS27" s="2069"/>
      <c r="CT27" s="2069"/>
      <c r="CU27" s="2069"/>
      <c r="CV27" s="2071"/>
      <c r="CW27" s="2069"/>
      <c r="CX27" s="2069"/>
      <c r="CY27" s="2069"/>
      <c r="CZ27" s="2069"/>
      <c r="DA27" s="2071"/>
      <c r="DB27" s="2069"/>
      <c r="DC27" s="2069"/>
      <c r="DD27" s="2069"/>
      <c r="DE27" s="2069"/>
      <c r="DF27" s="2071"/>
      <c r="DG27" s="2069"/>
      <c r="DH27" s="2069"/>
      <c r="DI27" s="2069"/>
      <c r="DJ27" s="2069"/>
      <c r="DK27" s="2072"/>
      <c r="DL27" s="2069"/>
      <c r="DM27" s="2069"/>
      <c r="DN27" s="2069"/>
      <c r="DO27" s="2069"/>
      <c r="DP27" s="2072"/>
      <c r="DQ27" s="2069"/>
      <c r="DR27" s="2069"/>
      <c r="DS27" s="2069"/>
      <c r="DT27" s="2074"/>
      <c r="DU27" s="2072"/>
      <c r="DV27" s="2073"/>
      <c r="DW27" s="2069"/>
      <c r="DX27" s="2069"/>
      <c r="DY27" s="2074"/>
      <c r="DZ27" s="2072"/>
      <c r="EA27" s="2073"/>
      <c r="EB27" s="2069"/>
      <c r="EC27" s="2069"/>
      <c r="ED27" s="2074"/>
      <c r="EE27" s="2072"/>
      <c r="EF27" s="33"/>
      <c r="EG27" s="33"/>
      <c r="EH27" s="33"/>
      <c r="EI27" s="33"/>
      <c r="EJ27"/>
      <c r="EK27"/>
      <c r="EL27"/>
      <c r="EM27"/>
      <c r="EN27"/>
      <c r="EO27"/>
      <c r="EP27" s="33"/>
      <c r="EQ27" s="33"/>
      <c r="ER27" s="33"/>
      <c r="ES27" s="33"/>
      <c r="ET27" s="33"/>
      <c r="EU27" s="33"/>
      <c r="EV27" s="33"/>
      <c r="EW27" s="33"/>
      <c r="EX27" s="33"/>
      <c r="EY27" s="33"/>
      <c r="EZ27" s="33"/>
      <c r="FA27" s="33"/>
      <c r="FB27" s="33"/>
      <c r="FC27" s="33"/>
      <c r="FD27" s="33"/>
      <c r="FE27" s="33"/>
      <c r="FF27" s="33"/>
      <c r="FG27" s="33"/>
      <c r="FH27" s="33"/>
      <c r="FI27" s="33"/>
      <c r="FJ27" s="33"/>
      <c r="FK27" s="33"/>
      <c r="FL27" s="33"/>
      <c r="FM27" s="33"/>
      <c r="FN27" s="33"/>
      <c r="FO27" s="33"/>
      <c r="FP27" s="33"/>
      <c r="FQ27" s="33"/>
      <c r="FR27" s="33"/>
      <c r="FS27" s="33"/>
      <c r="FT27" s="33"/>
      <c r="FU27" s="33"/>
      <c r="FV27" s="33"/>
      <c r="FW27" s="33"/>
      <c r="FX27" s="33"/>
      <c r="FY27" s="33"/>
      <c r="FZ27" s="33"/>
      <c r="GA27" s="33"/>
      <c r="GB27" s="33"/>
      <c r="GC27" s="33"/>
      <c r="GD27" s="33"/>
      <c r="GE27" s="33"/>
      <c r="GF27" s="33"/>
      <c r="GG27" s="33"/>
      <c r="GH27" s="33"/>
      <c r="GI27" s="33"/>
      <c r="GJ27" s="33"/>
      <c r="GK27" s="33"/>
      <c r="GL27" s="33"/>
      <c r="GM27" s="33"/>
      <c r="GN27" s="33"/>
      <c r="GO27" s="33"/>
      <c r="GP27" s="33"/>
      <c r="GQ27" s="33"/>
      <c r="GR27" s="33"/>
      <c r="GS27" s="33"/>
      <c r="GT27" s="33"/>
      <c r="GU27" s="33"/>
      <c r="GV27" s="33"/>
      <c r="GW27" s="33"/>
      <c r="GX27" s="33"/>
      <c r="GY27" s="33"/>
      <c r="GZ27" s="33"/>
      <c r="HA27" s="33"/>
      <c r="HB27" s="33"/>
      <c r="HC27" s="33"/>
      <c r="HD27" s="33"/>
      <c r="HE27" s="33"/>
      <c r="HF27" s="33"/>
      <c r="HG27" s="33"/>
      <c r="HH27" s="33"/>
      <c r="HI27" s="33"/>
      <c r="HJ27" s="33"/>
      <c r="HK27" s="33"/>
      <c r="HL27" s="33"/>
      <c r="HM27" s="33"/>
      <c r="HN27" s="33"/>
      <c r="HO27" s="33"/>
      <c r="HP27" s="33"/>
      <c r="HQ27" s="33"/>
      <c r="HR27" s="33"/>
      <c r="HS27" s="33"/>
      <c r="HT27" s="33"/>
      <c r="HU27" s="33"/>
      <c r="HV27" s="33"/>
      <c r="HW27" s="33"/>
      <c r="HX27" s="33"/>
      <c r="HY27" s="33"/>
      <c r="HZ27" s="33"/>
      <c r="IA27" s="33"/>
      <c r="IB27" s="33"/>
      <c r="IC27" s="33"/>
      <c r="ID27" s="33"/>
    </row>
    <row r="28" spans="2:238" ht="12.75" customHeight="1">
      <c r="DG28" s="2125"/>
      <c r="DH28" s="2147"/>
      <c r="DI28" s="2155"/>
      <c r="DJ28" s="2162"/>
      <c r="DL28" s="2177"/>
      <c r="DM28" s="2183"/>
      <c r="DN28" s="2206"/>
      <c r="DQ28" s="2338"/>
      <c r="DU28" s="1689"/>
    </row>
    <row r="29" spans="2:238" ht="12.75" customHeight="1" thickBot="1">
      <c r="DG29" s="2125"/>
      <c r="DH29" s="2147"/>
      <c r="DI29" s="2155"/>
      <c r="DJ29" s="2162"/>
      <c r="DL29" s="2177"/>
      <c r="DM29" s="2183"/>
      <c r="DN29" s="2206"/>
      <c r="DQ29" s="2338"/>
    </row>
    <row r="30" spans="2:238" s="93" customFormat="1" ht="12.75" customHeight="1" thickBot="1">
      <c r="B30" s="1983" t="s">
        <v>521</v>
      </c>
      <c r="C30" s="1984"/>
      <c r="D30" s="1984"/>
      <c r="E30" s="1985"/>
      <c r="F30" s="1985"/>
      <c r="G30" s="1985"/>
      <c r="H30" s="1985"/>
      <c r="I30" s="1985"/>
      <c r="J30" s="1985"/>
      <c r="K30" s="1986"/>
      <c r="L30" s="1986"/>
      <c r="M30" s="1986"/>
      <c r="N30" s="1986"/>
      <c r="O30" s="1985"/>
      <c r="P30" s="1986"/>
      <c r="Q30" s="1986"/>
      <c r="R30" s="1986"/>
      <c r="S30" s="1986"/>
      <c r="T30" s="1985"/>
      <c r="U30" s="1986"/>
      <c r="V30" s="1986"/>
      <c r="W30" s="1986"/>
      <c r="X30" s="1986"/>
      <c r="Y30" s="1985"/>
      <c r="Z30" s="1986"/>
      <c r="AA30" s="1986"/>
      <c r="AB30" s="1986"/>
      <c r="AC30" s="1986"/>
      <c r="AD30" s="1985"/>
      <c r="AE30" s="1986"/>
      <c r="AF30" s="1986"/>
      <c r="AG30" s="1986"/>
      <c r="AH30" s="1986"/>
      <c r="AI30" s="1985"/>
      <c r="AJ30" s="1986"/>
      <c r="AK30" s="1986"/>
      <c r="AL30" s="1986"/>
      <c r="AM30" s="1986"/>
      <c r="AN30" s="1985"/>
      <c r="AO30" s="1986"/>
      <c r="AP30" s="1986"/>
      <c r="AQ30" s="1986"/>
      <c r="AR30" s="1986"/>
      <c r="AS30" s="1985"/>
      <c r="AT30" s="1986"/>
      <c r="AU30" s="1986"/>
      <c r="AV30" s="1986"/>
      <c r="AW30" s="1986"/>
      <c r="AX30" s="1985"/>
      <c r="AY30" s="1986"/>
      <c r="AZ30" s="1986"/>
      <c r="BA30" s="1986"/>
      <c r="BB30" s="1986"/>
      <c r="BC30" s="1985"/>
      <c r="BD30" s="1986"/>
      <c r="BE30" s="1986"/>
      <c r="BF30" s="1986"/>
      <c r="BG30" s="1986"/>
      <c r="BH30" s="1985"/>
      <c r="BI30" s="1986"/>
      <c r="BJ30" s="1986"/>
      <c r="BK30" s="1986"/>
      <c r="BL30" s="1986"/>
      <c r="BM30" s="1985"/>
      <c r="BN30" s="1986"/>
      <c r="BO30" s="1986"/>
      <c r="BP30" s="1986"/>
      <c r="BQ30" s="1986"/>
      <c r="BR30" s="1985"/>
      <c r="BS30" s="1986"/>
      <c r="BT30" s="1986"/>
      <c r="BU30" s="1986"/>
      <c r="BV30" s="1986"/>
      <c r="BW30" s="1985"/>
      <c r="BX30" s="1986"/>
      <c r="BY30" s="1986"/>
      <c r="BZ30" s="1986"/>
      <c r="CA30" s="1986"/>
      <c r="CB30" s="1985"/>
      <c r="CC30" s="1986"/>
      <c r="CD30" s="1986"/>
      <c r="CE30" s="1986"/>
      <c r="CF30" s="1986"/>
      <c r="CG30" s="1985"/>
      <c r="CH30" s="1986"/>
      <c r="CI30" s="1987"/>
      <c r="CJ30" s="1987"/>
      <c r="CK30" s="1987"/>
      <c r="CL30" s="1985"/>
      <c r="CM30" s="1988"/>
      <c r="CN30" s="1988"/>
      <c r="CO30" s="1988"/>
      <c r="CP30" s="1988"/>
      <c r="CQ30" s="1990"/>
      <c r="CR30" s="1988"/>
      <c r="CS30" s="1989"/>
      <c r="CT30" s="1989"/>
      <c r="CU30" s="1989"/>
      <c r="CV30" s="1990"/>
      <c r="CW30" s="1988"/>
      <c r="CX30" s="1989"/>
      <c r="CY30" s="1989"/>
      <c r="CZ30" s="1989"/>
      <c r="DA30" s="1990"/>
      <c r="DB30" s="1988"/>
      <c r="DC30" s="1989"/>
      <c r="DD30" s="1989"/>
      <c r="DE30" s="1989"/>
      <c r="DF30" s="2086"/>
      <c r="DG30" s="1989"/>
      <c r="DH30" s="1989"/>
      <c r="DI30" s="1989"/>
      <c r="DJ30" s="1989"/>
      <c r="DK30" s="2090"/>
      <c r="DL30" s="1989"/>
      <c r="DM30" s="1989"/>
      <c r="DN30" s="1989"/>
      <c r="DO30" s="1989"/>
      <c r="DP30" s="2090"/>
      <c r="DQ30" s="1989"/>
      <c r="DR30" s="1989"/>
      <c r="DS30" s="1989"/>
      <c r="DT30" s="1989"/>
      <c r="DU30" s="2090"/>
      <c r="DV30" s="1989"/>
      <c r="DW30" s="1989"/>
      <c r="DX30" s="1989"/>
      <c r="DY30" s="1989"/>
      <c r="DZ30" s="2090"/>
      <c r="EA30" s="1989"/>
      <c r="EB30" s="1989"/>
      <c r="EC30" s="1989"/>
      <c r="ED30" s="1989"/>
      <c r="EE30" s="209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row>
    <row r="31" spans="2:238" s="93" customFormat="1" ht="12.75" customHeight="1">
      <c r="B31" s="1991" t="s">
        <v>522</v>
      </c>
      <c r="C31" s="1992"/>
      <c r="D31" s="1992"/>
      <c r="E31" s="1993"/>
      <c r="F31" s="1993"/>
      <c r="G31" s="1993"/>
      <c r="H31" s="1993"/>
      <c r="I31" s="1993"/>
      <c r="J31" s="1993"/>
      <c r="K31" s="1994"/>
      <c r="L31" s="1994"/>
      <c r="M31" s="1994"/>
      <c r="N31" s="1994"/>
      <c r="O31" s="1993"/>
      <c r="P31" s="1994"/>
      <c r="Q31" s="1994"/>
      <c r="R31" s="1994"/>
      <c r="S31" s="1994"/>
      <c r="T31" s="1993"/>
      <c r="U31" s="1994"/>
      <c r="V31" s="1994"/>
      <c r="W31" s="1994"/>
      <c r="X31" s="1994"/>
      <c r="Y31" s="1993"/>
      <c r="Z31" s="1994"/>
      <c r="AA31" s="1994"/>
      <c r="AB31" s="1994"/>
      <c r="AC31" s="1994"/>
      <c r="AD31" s="1993"/>
      <c r="AE31" s="1994"/>
      <c r="AF31" s="1994"/>
      <c r="AG31" s="1994"/>
      <c r="AH31" s="1994"/>
      <c r="AI31" s="1993"/>
      <c r="AJ31" s="1994"/>
      <c r="AK31" s="1994"/>
      <c r="AL31" s="1994"/>
      <c r="AM31" s="1994"/>
      <c r="AN31" s="1993"/>
      <c r="AO31" s="1994"/>
      <c r="AP31" s="1994"/>
      <c r="AQ31" s="1994"/>
      <c r="AR31" s="1994"/>
      <c r="AS31" s="1993"/>
      <c r="AT31" s="1994"/>
      <c r="AU31" s="1994"/>
      <c r="AV31" s="1994"/>
      <c r="AW31" s="1994"/>
      <c r="AX31" s="1993"/>
      <c r="AY31" s="1994"/>
      <c r="AZ31" s="1994"/>
      <c r="BA31" s="1994"/>
      <c r="BB31" s="1994"/>
      <c r="BC31" s="1993"/>
      <c r="BD31" s="1994"/>
      <c r="BE31" s="1994"/>
      <c r="BF31" s="1994"/>
      <c r="BG31" s="1994"/>
      <c r="BH31" s="1993"/>
      <c r="BI31" s="1994"/>
      <c r="BJ31" s="1994"/>
      <c r="BK31" s="1994"/>
      <c r="BL31" s="1994"/>
      <c r="BM31" s="1993"/>
      <c r="BN31" s="1994"/>
      <c r="BO31" s="1994"/>
      <c r="BP31" s="1994"/>
      <c r="BQ31" s="1994"/>
      <c r="BR31" s="1993"/>
      <c r="BS31" s="1994"/>
      <c r="BT31" s="1994"/>
      <c r="BU31" s="1994"/>
      <c r="BV31" s="1994"/>
      <c r="BW31" s="1993"/>
      <c r="BX31" s="1994"/>
      <c r="BY31" s="1994"/>
      <c r="BZ31" s="1994"/>
      <c r="CA31" s="1994"/>
      <c r="CB31" s="1993"/>
      <c r="CC31" s="1994"/>
      <c r="CD31" s="1994"/>
      <c r="CE31" s="1994"/>
      <c r="CF31" s="1994"/>
      <c r="CG31" s="1993"/>
      <c r="CH31" s="1994"/>
      <c r="CI31" s="1995"/>
      <c r="CJ31" s="1995"/>
      <c r="CK31" s="1995"/>
      <c r="CL31" s="1993"/>
      <c r="CM31" s="1996"/>
      <c r="CN31" s="1996"/>
      <c r="CO31" s="1996"/>
      <c r="CP31" s="1996"/>
      <c r="CQ31" s="1997"/>
      <c r="CR31" s="1996"/>
      <c r="CS31" s="1998"/>
      <c r="CT31" s="1998"/>
      <c r="CU31" s="1998"/>
      <c r="CV31" s="1997"/>
      <c r="CW31" s="1996"/>
      <c r="CX31" s="1998"/>
      <c r="CY31" s="1998"/>
      <c r="CZ31" s="1998"/>
      <c r="DA31" s="1997"/>
      <c r="DB31" s="1996"/>
      <c r="DC31" s="1998"/>
      <c r="DD31" s="1998"/>
      <c r="DE31" s="1998"/>
      <c r="DF31" s="2087"/>
      <c r="DG31" s="1998"/>
      <c r="DH31" s="1998"/>
      <c r="DI31" s="1998"/>
      <c r="DJ31" s="1998"/>
      <c r="DK31" s="2091"/>
      <c r="DL31" s="1998"/>
      <c r="DM31" s="1998"/>
      <c r="DN31" s="1998"/>
      <c r="DO31" s="1998"/>
      <c r="DP31" s="2091"/>
      <c r="DQ31" s="1998"/>
      <c r="DR31" s="1998"/>
      <c r="DS31" s="1998"/>
      <c r="DT31" s="1998"/>
      <c r="DU31" s="2091"/>
      <c r="DV31" s="1998"/>
      <c r="DW31" s="1998"/>
      <c r="DX31" s="1998"/>
      <c r="DY31" s="1998"/>
      <c r="DZ31" s="2091"/>
      <c r="EA31" s="1998"/>
      <c r="EB31" s="1998"/>
      <c r="EC31" s="1998"/>
      <c r="ED31" s="1998"/>
      <c r="EE31" s="2091"/>
      <c r="EF31" s="1957"/>
      <c r="EG31" s="1957"/>
      <c r="EH31" s="1957"/>
      <c r="EI31" s="1957"/>
      <c r="EJ31"/>
      <c r="EK31"/>
      <c r="EL31"/>
      <c r="EM31"/>
      <c r="EN31"/>
      <c r="EO31"/>
      <c r="EP31" s="1957"/>
      <c r="EQ31" s="1957"/>
      <c r="ER31" s="1957"/>
      <c r="ES31" s="1957"/>
      <c r="ET31" s="1957"/>
      <c r="EU31" s="1957"/>
      <c r="EV31" s="1957"/>
      <c r="EW31" s="1957"/>
      <c r="EX31" s="1957"/>
      <c r="EY31" s="1957"/>
      <c r="EZ31" s="1957"/>
      <c r="FA31" s="1957"/>
      <c r="FB31" s="1957"/>
      <c r="FC31" s="1957"/>
      <c r="FD31" s="1957"/>
      <c r="FE31" s="1957"/>
      <c r="FF31" s="1957"/>
      <c r="FG31" s="1957"/>
      <c r="FH31" s="1957"/>
      <c r="FI31" s="1957"/>
      <c r="FJ31" s="1957"/>
      <c r="FK31" s="1957"/>
      <c r="FL31" s="1957"/>
      <c r="FM31" s="1957"/>
      <c r="FN31" s="1957"/>
      <c r="FO31" s="1957"/>
      <c r="FP31" s="1957"/>
      <c r="FQ31" s="1957"/>
      <c r="FR31" s="1957"/>
      <c r="FS31" s="1957"/>
      <c r="FT31" s="1957"/>
      <c r="FU31" s="1957"/>
      <c r="FV31" s="1957"/>
      <c r="FW31" s="1957"/>
      <c r="FX31" s="1957"/>
      <c r="FY31" s="1957"/>
      <c r="FZ31" s="1957"/>
      <c r="GA31" s="1957"/>
      <c r="GB31" s="1957"/>
      <c r="GC31" s="1957"/>
      <c r="GD31" s="1957"/>
      <c r="GE31" s="1957"/>
      <c r="GF31" s="1957"/>
      <c r="GG31" s="1957"/>
      <c r="GH31" s="1957"/>
      <c r="GI31" s="1957"/>
      <c r="GJ31" s="1957"/>
      <c r="GK31" s="1957"/>
      <c r="GL31" s="1957"/>
      <c r="GM31" s="1957"/>
      <c r="GN31" s="1957"/>
      <c r="GO31" s="1957"/>
      <c r="GP31" s="1957"/>
      <c r="GQ31" s="1957"/>
      <c r="GR31" s="1957"/>
      <c r="GS31" s="1957"/>
      <c r="GT31" s="1957"/>
      <c r="GU31" s="1957"/>
      <c r="GV31" s="1957"/>
      <c r="GW31" s="1957"/>
      <c r="GX31" s="1957"/>
      <c r="GY31" s="1957"/>
      <c r="GZ31" s="1957"/>
      <c r="HA31" s="1957"/>
      <c r="HB31" s="1957"/>
      <c r="HC31" s="1957"/>
      <c r="HD31" s="1957"/>
      <c r="HE31" s="1957"/>
      <c r="HF31" s="1957"/>
      <c r="HG31" s="1957"/>
      <c r="HH31" s="1957"/>
      <c r="HI31" s="1957"/>
      <c r="HJ31" s="1957"/>
      <c r="HK31" s="1957"/>
      <c r="HL31" s="1957"/>
      <c r="HM31" s="1957"/>
      <c r="HN31" s="1957"/>
      <c r="HO31" s="1957"/>
      <c r="HP31" s="1957"/>
      <c r="HQ31" s="1957"/>
      <c r="HR31" s="1957"/>
      <c r="HS31" s="1957"/>
      <c r="HT31" s="1957"/>
      <c r="HU31" s="1957"/>
      <c r="HV31" s="1957"/>
      <c r="HW31" s="1957"/>
      <c r="HX31" s="1957"/>
      <c r="HY31" s="1957"/>
      <c r="HZ31" s="1957"/>
      <c r="IA31" s="1957"/>
      <c r="IB31" s="1957"/>
      <c r="IC31" s="1957"/>
      <c r="ID31" s="1957"/>
    </row>
    <row r="32" spans="2:238" ht="12.75" customHeight="1">
      <c r="B32" s="1977" t="s">
        <v>420</v>
      </c>
      <c r="C32" s="1569"/>
      <c r="D32" s="1569"/>
      <c r="E32" s="1569"/>
      <c r="F32" s="1569"/>
      <c r="G32" s="1569"/>
      <c r="H32" s="1569"/>
      <c r="I32" s="1569"/>
      <c r="J32" s="1569"/>
      <c r="K32" s="1569"/>
      <c r="L32" s="1569"/>
      <c r="M32" s="1569"/>
      <c r="N32" s="1569"/>
      <c r="O32" s="1569"/>
      <c r="P32" s="1569"/>
      <c r="Q32" s="1569"/>
      <c r="R32" s="1569"/>
      <c r="S32" s="1569"/>
      <c r="T32" s="1569"/>
      <c r="U32" s="1569"/>
      <c r="V32" s="1569"/>
      <c r="W32" s="1569"/>
      <c r="X32" s="1569"/>
      <c r="Y32" s="1569"/>
      <c r="Z32" s="1569"/>
      <c r="AA32" s="1569"/>
      <c r="AB32" s="1569"/>
      <c r="AC32" s="1569"/>
      <c r="AD32" s="1569"/>
      <c r="AE32" s="1569"/>
      <c r="AF32" s="1569"/>
      <c r="AG32" s="1569"/>
      <c r="AH32" s="1569"/>
      <c r="AI32" s="1569"/>
      <c r="AJ32" s="1569"/>
      <c r="AK32" s="1569"/>
      <c r="AL32" s="1569"/>
      <c r="AM32" s="1569"/>
      <c r="AN32" s="1569"/>
      <c r="AO32" s="1569"/>
      <c r="AP32" s="1569"/>
      <c r="AQ32" s="1569"/>
      <c r="AR32" s="1569"/>
      <c r="AS32" s="1569"/>
      <c r="AT32" s="1569"/>
      <c r="AU32" s="1569"/>
      <c r="AV32" s="1569"/>
      <c r="AW32" s="1569"/>
      <c r="AX32" s="1569"/>
      <c r="AY32" s="1569"/>
      <c r="AZ32" s="1569"/>
      <c r="BA32" s="1569"/>
      <c r="BB32" s="1569"/>
      <c r="BC32" s="1569"/>
      <c r="BD32" s="1569"/>
      <c r="BE32" s="1569"/>
      <c r="BF32" s="1569"/>
      <c r="BG32" s="1569"/>
      <c r="BH32" s="1569"/>
      <c r="BI32" s="1569"/>
      <c r="BJ32" s="1569"/>
      <c r="BK32" s="1569"/>
      <c r="BL32" s="1569"/>
      <c r="BM32" s="1569"/>
      <c r="BN32" s="1569"/>
      <c r="BO32" s="1569"/>
      <c r="BP32" s="1569"/>
      <c r="BQ32" s="1569"/>
      <c r="BR32" s="1569"/>
      <c r="BS32" s="1569"/>
      <c r="BT32" s="1569"/>
      <c r="BU32" s="1569"/>
      <c r="BV32" s="1569"/>
      <c r="BW32" s="1569"/>
      <c r="BX32" s="1569"/>
      <c r="BY32" s="1569"/>
      <c r="BZ32" s="1569"/>
      <c r="CA32" s="1569"/>
      <c r="CB32" s="1569"/>
      <c r="CC32" s="1569"/>
      <c r="CD32" s="1569"/>
      <c r="CE32" s="1569"/>
      <c r="CF32" s="1569"/>
      <c r="CG32" s="1569"/>
      <c r="CH32" s="1569"/>
      <c r="CI32" s="1569"/>
      <c r="CJ32" s="1569"/>
      <c r="CK32" s="1569"/>
      <c r="CL32" s="1569"/>
      <c r="CM32" s="1569"/>
      <c r="CN32" s="1569"/>
      <c r="CO32" s="1569"/>
      <c r="CP32" s="1569"/>
      <c r="CQ32" s="1569"/>
      <c r="CR32" s="1569"/>
      <c r="CS32" s="1569"/>
      <c r="CT32" s="1569"/>
      <c r="CU32" s="1569"/>
      <c r="CV32" s="1569"/>
      <c r="CW32" s="1569"/>
      <c r="CX32" s="1569"/>
      <c r="CY32" s="1569"/>
      <c r="CZ32" s="1569"/>
      <c r="DA32" s="1569"/>
      <c r="DB32" s="1569"/>
      <c r="DC32" s="1569"/>
      <c r="DD32" s="1569"/>
      <c r="DE32" s="1569"/>
      <c r="DF32" s="1900"/>
      <c r="DG32" s="1569"/>
      <c r="DH32" s="1569"/>
      <c r="DI32" s="1980">
        <f t="shared" ref="DI32:DQ32" si="30">DI12/DD12-1</f>
        <v>8.172796263864468E-3</v>
      </c>
      <c r="DJ32" s="1980">
        <f t="shared" si="30"/>
        <v>-4.8780487804878092E-2</v>
      </c>
      <c r="DK32" s="2088">
        <f t="shared" si="30"/>
        <v>0.47368421052631571</v>
      </c>
      <c r="DL32" s="2184">
        <f t="shared" si="30"/>
        <v>-6.2259800153727896E-2</v>
      </c>
      <c r="DM32" s="1980">
        <f t="shared" si="30"/>
        <v>-0.1237888075934348</v>
      </c>
      <c r="DN32" s="1980">
        <f t="shared" si="30"/>
        <v>-7.7205172746574013E-2</v>
      </c>
      <c r="DO32" s="1980">
        <f t="shared" si="30"/>
        <v>-1.4245014245014564E-3</v>
      </c>
      <c r="DP32" s="2088">
        <f>DP12/DK12-1</f>
        <v>-6.6663391629003699E-2</v>
      </c>
      <c r="DQ32" s="1980">
        <f t="shared" si="30"/>
        <v>5.9016393442622883E-2</v>
      </c>
      <c r="DR32" s="1980">
        <f t="shared" ref="DR32:DT32" si="31">0.06/4</f>
        <v>1.4999999999999999E-2</v>
      </c>
      <c r="DS32" s="1980">
        <f t="shared" si="31"/>
        <v>1.4999999999999999E-2</v>
      </c>
      <c r="DT32" s="1980">
        <f t="shared" si="31"/>
        <v>1.4999999999999999E-2</v>
      </c>
      <c r="DU32" s="2088">
        <f>DU12/DP12-1</f>
        <v>2.6305858203063304E-2</v>
      </c>
      <c r="DV32" s="1980">
        <f>0.06/4</f>
        <v>1.4999999999999999E-2</v>
      </c>
      <c r="DW32" s="1980">
        <f t="shared" ref="DW32:DY32" si="32">0.06/4</f>
        <v>1.4999999999999999E-2</v>
      </c>
      <c r="DX32" s="1980">
        <f t="shared" si="32"/>
        <v>1.4999999999999999E-2</v>
      </c>
      <c r="DY32" s="1980">
        <f t="shared" si="32"/>
        <v>1.4999999999999999E-2</v>
      </c>
      <c r="DZ32" s="2088">
        <f>DZ12/DU12-1</f>
        <v>1.4999999999999902E-2</v>
      </c>
      <c r="EA32" s="1980">
        <f>0.06/4</f>
        <v>1.4999999999999999E-2</v>
      </c>
      <c r="EB32" s="1980">
        <f t="shared" ref="EB32:ED32" si="33">0.06/4</f>
        <v>1.4999999999999999E-2</v>
      </c>
      <c r="EC32" s="1980">
        <f t="shared" si="33"/>
        <v>1.4999999999999999E-2</v>
      </c>
      <c r="ED32" s="1980">
        <f t="shared" si="33"/>
        <v>1.4999999999999999E-2</v>
      </c>
      <c r="EE32" s="2088">
        <f>EE12/DZ12-1</f>
        <v>1.4999999999999902E-2</v>
      </c>
    </row>
    <row r="33" spans="1:135" ht="12.75" customHeight="1">
      <c r="B33" s="1978" t="s">
        <v>541</v>
      </c>
      <c r="C33" s="1569"/>
      <c r="D33" s="1569"/>
      <c r="E33" s="1569"/>
      <c r="F33" s="1569"/>
      <c r="G33" s="1569"/>
      <c r="H33" s="1569"/>
      <c r="I33" s="1569"/>
      <c r="J33" s="1569"/>
      <c r="K33" s="1569"/>
      <c r="L33" s="1569"/>
      <c r="M33" s="1569"/>
      <c r="N33" s="1569"/>
      <c r="O33" s="1569"/>
      <c r="P33" s="1569"/>
      <c r="Q33" s="1569"/>
      <c r="R33" s="1569"/>
      <c r="S33" s="1569"/>
      <c r="T33" s="1569"/>
      <c r="U33" s="1569"/>
      <c r="V33" s="1569"/>
      <c r="W33" s="1569"/>
      <c r="X33" s="1569"/>
      <c r="Y33" s="1569"/>
      <c r="Z33" s="1569"/>
      <c r="AA33" s="1569"/>
      <c r="AB33" s="1569"/>
      <c r="AC33" s="1569"/>
      <c r="AD33" s="1569"/>
      <c r="AE33" s="1569"/>
      <c r="AF33" s="1569"/>
      <c r="AG33" s="1569"/>
      <c r="AH33" s="1569"/>
      <c r="AI33" s="1569"/>
      <c r="AJ33" s="1569"/>
      <c r="AK33" s="1569"/>
      <c r="AL33" s="1569"/>
      <c r="AM33" s="1569"/>
      <c r="AN33" s="1569"/>
      <c r="AO33" s="1569"/>
      <c r="AP33" s="1569"/>
      <c r="AQ33" s="1569"/>
      <c r="AR33" s="1569"/>
      <c r="AS33" s="1569"/>
      <c r="AT33" s="1569"/>
      <c r="AU33" s="1569"/>
      <c r="AV33" s="1569"/>
      <c r="AW33" s="1569"/>
      <c r="AX33" s="1569"/>
      <c r="AY33" s="1569"/>
      <c r="AZ33" s="1569"/>
      <c r="BA33" s="1569"/>
      <c r="BB33" s="1569"/>
      <c r="BC33" s="1569"/>
      <c r="BD33" s="1569"/>
      <c r="BE33" s="1569"/>
      <c r="BF33" s="1569"/>
      <c r="BG33" s="1569"/>
      <c r="BH33" s="1569"/>
      <c r="BI33" s="1569"/>
      <c r="BJ33" s="1569"/>
      <c r="BK33" s="1569"/>
      <c r="BL33" s="1569"/>
      <c r="BM33" s="1569"/>
      <c r="BN33" s="1569"/>
      <c r="BO33" s="1569"/>
      <c r="BP33" s="1569"/>
      <c r="BQ33" s="1569"/>
      <c r="BR33" s="1569"/>
      <c r="BS33" s="1569"/>
      <c r="BT33" s="1569"/>
      <c r="BU33" s="1569"/>
      <c r="BV33" s="1569"/>
      <c r="BW33" s="1569"/>
      <c r="BX33" s="1569"/>
      <c r="BY33" s="1569"/>
      <c r="BZ33" s="1569"/>
      <c r="CA33" s="1569"/>
      <c r="CB33" s="1569"/>
      <c r="CC33" s="1569"/>
      <c r="CD33" s="1569"/>
      <c r="CE33" s="1569"/>
      <c r="CF33" s="1569"/>
      <c r="CG33" s="1569"/>
      <c r="CH33" s="1569"/>
      <c r="CI33" s="1569"/>
      <c r="CJ33" s="1569"/>
      <c r="CK33" s="1569"/>
      <c r="CL33" s="1569"/>
      <c r="CM33" s="1569"/>
      <c r="CN33" s="1569"/>
      <c r="CO33" s="1569"/>
      <c r="CP33" s="1569"/>
      <c r="CQ33" s="1569"/>
      <c r="CR33" s="1569"/>
      <c r="CS33" s="1569"/>
      <c r="CT33" s="1569"/>
      <c r="CU33" s="1569"/>
      <c r="CV33" s="1569"/>
      <c r="CW33" s="1569"/>
      <c r="CX33" s="1569"/>
      <c r="CY33" s="1569"/>
      <c r="CZ33" s="1569"/>
      <c r="DA33" s="1569"/>
      <c r="DB33" s="1569"/>
      <c r="DC33" s="1569"/>
      <c r="DD33" s="1569"/>
      <c r="DE33" s="1569"/>
      <c r="DF33" s="1900"/>
      <c r="DG33" s="1569"/>
      <c r="DH33" s="1569"/>
      <c r="DI33" s="1980">
        <f>DI14/DD14-1</f>
        <v>-4.1071428571428537E-2</v>
      </c>
      <c r="DJ33" s="1980">
        <f>DJ14/DE14-1</f>
        <v>-6.8645640074211478E-2</v>
      </c>
      <c r="DK33" s="2088">
        <f t="shared" ref="DK33:DP33" si="34">DK14/DF14-1</f>
        <v>0.43405114401076705</v>
      </c>
      <c r="DL33" s="2184">
        <f>DL14/DG14-1</f>
        <v>-9.8743267504488363E-2</v>
      </c>
      <c r="DM33" s="1980">
        <f>DM14/DH14-1</f>
        <v>-9.3457943925233655E-2</v>
      </c>
      <c r="DN33" s="1980">
        <f>DN14/DI14-1</f>
        <v>-8.5661080074487916E-2</v>
      </c>
      <c r="DO33" s="1980">
        <f>DO14/DJ14-1</f>
        <v>-3.1872509960159334E-2</v>
      </c>
      <c r="DP33" s="2088">
        <f t="shared" si="34"/>
        <v>-7.8366963866729256E-2</v>
      </c>
      <c r="DQ33" s="1980">
        <f>DQ14/DL14-1</f>
        <v>3.9840637450199168E-2</v>
      </c>
      <c r="DR33" s="1980">
        <f t="shared" ref="DR33:DZ33" si="35">DR14/DM14-1</f>
        <v>6.1365618556700863E-2</v>
      </c>
      <c r="DS33" s="1980">
        <f t="shared" si="35"/>
        <v>6.4416649694500894E-2</v>
      </c>
      <c r="DT33" s="1980">
        <f t="shared" si="35"/>
        <v>6.624079218106993E-2</v>
      </c>
      <c r="DU33" s="2088">
        <f t="shared" si="35"/>
        <v>5.783295570264757E-2</v>
      </c>
      <c r="DV33" s="1980">
        <f t="shared" si="35"/>
        <v>1.4999999999999902E-2</v>
      </c>
      <c r="DW33" s="1980">
        <f t="shared" si="35"/>
        <v>1.499999999999968E-2</v>
      </c>
      <c r="DX33" s="1980">
        <f t="shared" si="35"/>
        <v>1.4999999999999902E-2</v>
      </c>
      <c r="DY33" s="1980">
        <f t="shared" si="35"/>
        <v>1.4999999999999902E-2</v>
      </c>
      <c r="DZ33" s="2088">
        <f t="shared" si="35"/>
        <v>1.4999999999999902E-2</v>
      </c>
      <c r="EA33" s="1980">
        <f t="shared" ref="EA33" si="36">EA14/DV14-1</f>
        <v>1.4999999999999902E-2</v>
      </c>
      <c r="EB33" s="1980">
        <f t="shared" ref="EB33" si="37">EB14/DW14-1</f>
        <v>1.5000000000000124E-2</v>
      </c>
      <c r="EC33" s="1980">
        <f t="shared" ref="EC33" si="38">EC14/DX14-1</f>
        <v>1.4999999999999902E-2</v>
      </c>
      <c r="ED33" s="1980">
        <f t="shared" ref="ED33" si="39">ED14/DY14-1</f>
        <v>1.499999999999968E-2</v>
      </c>
      <c r="EE33" s="2088">
        <f t="shared" ref="EE33" si="40">EE14/DZ14-1</f>
        <v>1.4999999999999902E-2</v>
      </c>
    </row>
    <row r="34" spans="1:135" ht="12.75" customHeight="1">
      <c r="B34" s="1978" t="s">
        <v>538</v>
      </c>
      <c r="C34" s="1569"/>
      <c r="D34" s="1569"/>
      <c r="E34" s="1569"/>
      <c r="F34" s="1569"/>
      <c r="G34" s="1569"/>
      <c r="H34" s="1569"/>
      <c r="I34" s="1569"/>
      <c r="J34" s="1569"/>
      <c r="K34" s="1569"/>
      <c r="L34" s="1569"/>
      <c r="M34" s="1569"/>
      <c r="N34" s="1569"/>
      <c r="O34" s="1569"/>
      <c r="P34" s="1569"/>
      <c r="Q34" s="1569"/>
      <c r="R34" s="1569"/>
      <c r="S34" s="1569"/>
      <c r="T34" s="1569"/>
      <c r="U34" s="1569"/>
      <c r="V34" s="1569"/>
      <c r="W34" s="1569"/>
      <c r="X34" s="1569"/>
      <c r="Y34" s="1569"/>
      <c r="Z34" s="1569"/>
      <c r="AA34" s="1569"/>
      <c r="AB34" s="1569"/>
      <c r="AC34" s="1569"/>
      <c r="AD34" s="1569"/>
      <c r="AE34" s="1569"/>
      <c r="AF34" s="1569"/>
      <c r="AG34" s="1569"/>
      <c r="AH34" s="1569"/>
      <c r="AI34" s="1569"/>
      <c r="AJ34" s="1569"/>
      <c r="AK34" s="1569"/>
      <c r="AL34" s="1569"/>
      <c r="AM34" s="1569"/>
      <c r="AN34" s="1569"/>
      <c r="AO34" s="1569"/>
      <c r="AP34" s="1569"/>
      <c r="AQ34" s="1569"/>
      <c r="AR34" s="1569"/>
      <c r="AS34" s="1569"/>
      <c r="AT34" s="1569"/>
      <c r="AU34" s="1569"/>
      <c r="AV34" s="1569"/>
      <c r="AW34" s="1569"/>
      <c r="AX34" s="1569"/>
      <c r="AY34" s="1569"/>
      <c r="AZ34" s="1569"/>
      <c r="BA34" s="1569"/>
      <c r="BB34" s="1569"/>
      <c r="BC34" s="1569"/>
      <c r="BD34" s="1569"/>
      <c r="BE34" s="1569"/>
      <c r="BF34" s="1569"/>
      <c r="BG34" s="1569"/>
      <c r="BH34" s="1569"/>
      <c r="BI34" s="1569"/>
      <c r="BJ34" s="1569"/>
      <c r="BK34" s="1569"/>
      <c r="BL34" s="1569"/>
      <c r="BM34" s="1569"/>
      <c r="BN34" s="1569"/>
      <c r="BO34" s="1569"/>
      <c r="BP34" s="1569"/>
      <c r="BQ34" s="1569"/>
      <c r="BR34" s="1569"/>
      <c r="BS34" s="1569"/>
      <c r="BT34" s="1569"/>
      <c r="BU34" s="1569"/>
      <c r="BV34" s="1569"/>
      <c r="BW34" s="1569"/>
      <c r="BX34" s="1569"/>
      <c r="BY34" s="1569"/>
      <c r="BZ34" s="1569"/>
      <c r="CA34" s="1569"/>
      <c r="CB34" s="1569"/>
      <c r="CC34" s="1569"/>
      <c r="CD34" s="1569"/>
      <c r="CE34" s="1569"/>
      <c r="CF34" s="1569"/>
      <c r="CG34" s="1569"/>
      <c r="CH34" s="1569"/>
      <c r="CI34" s="1569"/>
      <c r="CJ34" s="1569"/>
      <c r="CK34" s="1569"/>
      <c r="CL34" s="1569"/>
      <c r="CM34" s="1569"/>
      <c r="CN34" s="1569"/>
      <c r="CO34" s="1569"/>
      <c r="CP34" s="1569"/>
      <c r="CQ34" s="1569"/>
      <c r="CR34" s="1569"/>
      <c r="CS34" s="1569"/>
      <c r="CT34" s="1569"/>
      <c r="CU34" s="1569"/>
      <c r="CV34" s="1569"/>
      <c r="CW34" s="1569"/>
      <c r="CX34" s="1569"/>
      <c r="CY34" s="1569"/>
      <c r="CZ34" s="1569"/>
      <c r="DA34" s="1569"/>
      <c r="DB34" s="1569"/>
      <c r="DC34" s="1569"/>
      <c r="DD34" s="1569"/>
      <c r="DE34" s="1569"/>
      <c r="DF34" s="1900"/>
      <c r="DG34" s="1569"/>
      <c r="DH34" s="1569"/>
      <c r="DI34" s="1980">
        <f t="shared" ref="DI34:DQ34" si="41">DI16/DD16-1</f>
        <v>-4.1071428571428537E-2</v>
      </c>
      <c r="DJ34" s="1980">
        <f t="shared" si="41"/>
        <v>-6.8645640074211478E-2</v>
      </c>
      <c r="DK34" s="2088">
        <f t="shared" si="41"/>
        <v>0.29936547554308257</v>
      </c>
      <c r="DL34" s="2184">
        <f t="shared" si="41"/>
        <v>-9.8743267504488363E-2</v>
      </c>
      <c r="DM34" s="1980">
        <f t="shared" si="41"/>
        <v>-9.3457943925233655E-2</v>
      </c>
      <c r="DN34" s="1980">
        <f t="shared" si="41"/>
        <v>-9.6834264432029804E-2</v>
      </c>
      <c r="DO34" s="1980">
        <f t="shared" si="41"/>
        <v>-3.1872509960159334E-2</v>
      </c>
      <c r="DP34" s="2088">
        <f t="shared" ref="DP34:DZ34" si="42">DP16/DK16-1</f>
        <v>-0.10848842487517019</v>
      </c>
      <c r="DQ34" s="1980">
        <f t="shared" si="41"/>
        <v>3.9840637450199168E-2</v>
      </c>
      <c r="DR34" s="1980">
        <f t="shared" si="42"/>
        <v>6.1365618556700863E-2</v>
      </c>
      <c r="DS34" s="1980">
        <f t="shared" si="42"/>
        <v>7.7584690721649308E-2</v>
      </c>
      <c r="DT34" s="1980">
        <f t="shared" si="42"/>
        <v>6.624079218106993E-2</v>
      </c>
      <c r="DU34" s="2088">
        <f t="shared" si="42"/>
        <v>5.783295570264757E-2</v>
      </c>
      <c r="DV34" s="1980">
        <f t="shared" si="42"/>
        <v>1.4999999999999902E-2</v>
      </c>
      <c r="DW34" s="1980">
        <f t="shared" si="42"/>
        <v>1.499999999999968E-2</v>
      </c>
      <c r="DX34" s="1980">
        <f t="shared" si="42"/>
        <v>1.4999999999999902E-2</v>
      </c>
      <c r="DY34" s="1980">
        <f t="shared" si="42"/>
        <v>1.4999999999999902E-2</v>
      </c>
      <c r="DZ34" s="2088">
        <f t="shared" si="42"/>
        <v>1.4999999999999902E-2</v>
      </c>
      <c r="EA34" s="1980">
        <f t="shared" ref="EA34" si="43">EA16/DV16-1</f>
        <v>1.4999999999999902E-2</v>
      </c>
      <c r="EB34" s="1980">
        <f t="shared" ref="EB34" si="44">EB16/DW16-1</f>
        <v>1.5000000000000124E-2</v>
      </c>
      <c r="EC34" s="1980">
        <f t="shared" ref="EC34" si="45">EC16/DX16-1</f>
        <v>1.4999999999999902E-2</v>
      </c>
      <c r="ED34" s="1980">
        <f t="shared" ref="ED34" si="46">ED16/DY16-1</f>
        <v>1.499999999999968E-2</v>
      </c>
      <c r="EE34" s="2088">
        <f t="shared" ref="EE34" si="47">EE16/DZ16-1</f>
        <v>1.4999999999999902E-2</v>
      </c>
    </row>
    <row r="35" spans="1:135" ht="12.75" customHeight="1">
      <c r="B35" s="1978" t="s">
        <v>233</v>
      </c>
      <c r="C35" s="1569"/>
      <c r="D35" s="1569"/>
      <c r="E35" s="1569"/>
      <c r="F35" s="1569"/>
      <c r="G35" s="1569"/>
      <c r="H35" s="1569"/>
      <c r="I35" s="1569"/>
      <c r="J35" s="1569"/>
      <c r="K35" s="1569"/>
      <c r="L35" s="1569"/>
      <c r="M35" s="1569"/>
      <c r="N35" s="1569"/>
      <c r="O35" s="1569"/>
      <c r="P35" s="1569"/>
      <c r="Q35" s="1569"/>
      <c r="R35" s="1569"/>
      <c r="S35" s="1569"/>
      <c r="T35" s="1569"/>
      <c r="U35" s="1569"/>
      <c r="V35" s="1569"/>
      <c r="W35" s="1569"/>
      <c r="X35" s="1569"/>
      <c r="Y35" s="1569"/>
      <c r="Z35" s="1569"/>
      <c r="AA35" s="1569"/>
      <c r="AB35" s="1569"/>
      <c r="AC35" s="1569"/>
      <c r="AD35" s="1569"/>
      <c r="AE35" s="1569"/>
      <c r="AF35" s="1569"/>
      <c r="AG35" s="1569"/>
      <c r="AH35" s="1569"/>
      <c r="AI35" s="1569"/>
      <c r="AJ35" s="1569"/>
      <c r="AK35" s="1569"/>
      <c r="AL35" s="1569"/>
      <c r="AM35" s="1569"/>
      <c r="AN35" s="1569"/>
      <c r="AO35" s="1569"/>
      <c r="AP35" s="1569"/>
      <c r="AQ35" s="1569"/>
      <c r="AR35" s="1569"/>
      <c r="AS35" s="1569"/>
      <c r="AT35" s="1569"/>
      <c r="AU35" s="1569"/>
      <c r="AV35" s="1569"/>
      <c r="AW35" s="1569"/>
      <c r="AX35" s="1569"/>
      <c r="AY35" s="1569"/>
      <c r="AZ35" s="1569"/>
      <c r="BA35" s="1569"/>
      <c r="BB35" s="1569"/>
      <c r="BC35" s="1569"/>
      <c r="BD35" s="1569"/>
      <c r="BE35" s="1569"/>
      <c r="BF35" s="1569"/>
      <c r="BG35" s="1569"/>
      <c r="BH35" s="1569"/>
      <c r="BI35" s="1569"/>
      <c r="BJ35" s="1569"/>
      <c r="BK35" s="1569"/>
      <c r="BL35" s="1569"/>
      <c r="BM35" s="1569"/>
      <c r="BN35" s="1569"/>
      <c r="BO35" s="1569"/>
      <c r="BP35" s="1569"/>
      <c r="BQ35" s="1569"/>
      <c r="BR35" s="1569"/>
      <c r="BS35" s="1569"/>
      <c r="BT35" s="1569"/>
      <c r="BU35" s="1569"/>
      <c r="BV35" s="1569"/>
      <c r="BW35" s="1569"/>
      <c r="BX35" s="1569"/>
      <c r="BY35" s="1569"/>
      <c r="BZ35" s="1569"/>
      <c r="CA35" s="1569"/>
      <c r="CB35" s="1569"/>
      <c r="CC35" s="1569"/>
      <c r="CD35" s="1569"/>
      <c r="CE35" s="1569"/>
      <c r="CF35" s="1569"/>
      <c r="CG35" s="1569"/>
      <c r="CH35" s="1569"/>
      <c r="CI35" s="1569"/>
      <c r="CJ35" s="1569"/>
      <c r="CK35" s="1569"/>
      <c r="CL35" s="1569"/>
      <c r="CM35" s="1569"/>
      <c r="CN35" s="1569"/>
      <c r="CO35" s="1569"/>
      <c r="CP35" s="1569"/>
      <c r="CQ35" s="1569"/>
      <c r="CR35" s="1569"/>
      <c r="CS35" s="1569"/>
      <c r="CT35" s="1569"/>
      <c r="CU35" s="1569"/>
      <c r="CV35" s="1569"/>
      <c r="CW35" s="1569"/>
      <c r="CX35" s="1569"/>
      <c r="CY35" s="1569"/>
      <c r="CZ35" s="1569"/>
      <c r="DA35" s="1569"/>
      <c r="DB35" s="1569"/>
      <c r="DC35" s="1569"/>
      <c r="DD35" s="1569"/>
      <c r="DE35" s="1569"/>
      <c r="DF35" s="1900"/>
      <c r="DG35" s="1569"/>
      <c r="DH35" s="1569"/>
      <c r="DI35" s="1980">
        <f>DI18/DD18-1</f>
        <v>-1.0050251256281451E-2</v>
      </c>
      <c r="DJ35" s="1980">
        <f>DJ18/DE18-1</f>
        <v>-6.4039408866995107E-2</v>
      </c>
      <c r="DK35" s="2088">
        <f t="shared" ref="DK35:DP35" si="48">DK18/DF18-1</f>
        <v>0.43153153153153156</v>
      </c>
      <c r="DL35" s="2184">
        <f>DL18/DG18-1</f>
        <v>-0.13285024154589375</v>
      </c>
      <c r="DM35" s="1980">
        <f>DM18/DH18-1</f>
        <v>-9.7256857855361645E-2</v>
      </c>
      <c r="DN35" s="1980">
        <f>DN18/DI18-1</f>
        <v>-4.8223350253807085E-2</v>
      </c>
      <c r="DO35" s="1980">
        <f>DO18/DJ18-1</f>
        <v>7.8947368421051767E-3</v>
      </c>
      <c r="DP35" s="2088">
        <f t="shared" si="48"/>
        <v>-6.9225928256765212E-2</v>
      </c>
      <c r="DQ35" s="1980">
        <f>DQ18/DL18-1</f>
        <v>0.10306406685236769</v>
      </c>
      <c r="DR35" s="1980">
        <f t="shared" ref="DR35:DZ35" si="49">DR18/DM18-1</f>
        <v>3.9847872928176598E-2</v>
      </c>
      <c r="DS35" s="1980">
        <f t="shared" si="49"/>
        <v>1.4999999999999902E-2</v>
      </c>
      <c r="DT35" s="1980">
        <f t="shared" si="49"/>
        <v>1.4999999999999902E-2</v>
      </c>
      <c r="DU35" s="2088">
        <f t="shared" si="49"/>
        <v>4.2457694388099876E-2</v>
      </c>
      <c r="DV35" s="1980">
        <f t="shared" si="49"/>
        <v>1.4999999999999902E-2</v>
      </c>
      <c r="DW35" s="1980">
        <f t="shared" si="49"/>
        <v>1.4999999999999902E-2</v>
      </c>
      <c r="DX35" s="1980">
        <f t="shared" si="49"/>
        <v>1.5000000000000124E-2</v>
      </c>
      <c r="DY35" s="1980">
        <f t="shared" si="49"/>
        <v>1.4999999999999902E-2</v>
      </c>
      <c r="DZ35" s="2088">
        <f t="shared" si="49"/>
        <v>1.4999999999999902E-2</v>
      </c>
      <c r="EA35" s="1980">
        <f t="shared" ref="EA35" si="50">EA18/DV18-1</f>
        <v>1.4999999999999902E-2</v>
      </c>
      <c r="EB35" s="1980">
        <f t="shared" ref="EB35" si="51">EB18/DW18-1</f>
        <v>1.4999999999999902E-2</v>
      </c>
      <c r="EC35" s="1980">
        <f t="shared" ref="EC35" si="52">EC18/DX18-1</f>
        <v>1.4999999999999902E-2</v>
      </c>
      <c r="ED35" s="1980">
        <f t="shared" ref="ED35" si="53">ED18/DY18-1</f>
        <v>1.4999999999999902E-2</v>
      </c>
      <c r="EE35" s="2088">
        <f t="shared" ref="EE35" si="54">EE18/DZ18-1</f>
        <v>1.5000000000000124E-2</v>
      </c>
    </row>
    <row r="36" spans="1:135" ht="12.75" customHeight="1">
      <c r="B36" s="1978" t="s">
        <v>211</v>
      </c>
      <c r="C36" s="1569"/>
      <c r="D36" s="1569"/>
      <c r="E36" s="1569"/>
      <c r="F36" s="1569"/>
      <c r="G36" s="1569"/>
      <c r="H36" s="1569"/>
      <c r="I36" s="1569"/>
      <c r="J36" s="1569"/>
      <c r="K36" s="1569"/>
      <c r="L36" s="1569"/>
      <c r="M36" s="1569"/>
      <c r="N36" s="1569"/>
      <c r="O36" s="1569"/>
      <c r="P36" s="1569"/>
      <c r="Q36" s="1569"/>
      <c r="R36" s="1569"/>
      <c r="S36" s="1569"/>
      <c r="T36" s="1569"/>
      <c r="U36" s="1569"/>
      <c r="V36" s="1569"/>
      <c r="W36" s="1569"/>
      <c r="X36" s="1569"/>
      <c r="Y36" s="1569"/>
      <c r="Z36" s="1569"/>
      <c r="AA36" s="1569"/>
      <c r="AB36" s="1569"/>
      <c r="AC36" s="1569"/>
      <c r="AD36" s="1569"/>
      <c r="AE36" s="1569"/>
      <c r="AF36" s="1569"/>
      <c r="AG36" s="1569"/>
      <c r="AH36" s="1569"/>
      <c r="AI36" s="1569"/>
      <c r="AJ36" s="1569"/>
      <c r="AK36" s="1569"/>
      <c r="AL36" s="1569"/>
      <c r="AM36" s="1569"/>
      <c r="AN36" s="1569"/>
      <c r="AO36" s="1569"/>
      <c r="AP36" s="1569"/>
      <c r="AQ36" s="1569"/>
      <c r="AR36" s="1569"/>
      <c r="AS36" s="1569"/>
      <c r="AT36" s="1569"/>
      <c r="AU36" s="1569"/>
      <c r="AV36" s="1569"/>
      <c r="AW36" s="1569"/>
      <c r="AX36" s="1569"/>
      <c r="AY36" s="1569"/>
      <c r="AZ36" s="1569"/>
      <c r="BA36" s="1569"/>
      <c r="BB36" s="1569"/>
      <c r="BC36" s="1569"/>
      <c r="BD36" s="1569"/>
      <c r="BE36" s="1569"/>
      <c r="BF36" s="1569"/>
      <c r="BG36" s="1569"/>
      <c r="BH36" s="1569"/>
      <c r="BI36" s="1569"/>
      <c r="BJ36" s="1569"/>
      <c r="BK36" s="1569"/>
      <c r="BL36" s="1569"/>
      <c r="BM36" s="1569"/>
      <c r="BN36" s="1569"/>
      <c r="BO36" s="1569"/>
      <c r="BP36" s="1569"/>
      <c r="BQ36" s="1569"/>
      <c r="BR36" s="1569"/>
      <c r="BS36" s="1569"/>
      <c r="BT36" s="1569"/>
      <c r="BU36" s="1569"/>
      <c r="BV36" s="1569"/>
      <c r="BW36" s="1569"/>
      <c r="BX36" s="1569"/>
      <c r="BY36" s="1569"/>
      <c r="BZ36" s="1569"/>
      <c r="CA36" s="1569"/>
      <c r="CB36" s="1569"/>
      <c r="CC36" s="1569"/>
      <c r="CD36" s="1569"/>
      <c r="CE36" s="1569"/>
      <c r="CF36" s="1569"/>
      <c r="CG36" s="1569"/>
      <c r="CH36" s="1569"/>
      <c r="CI36" s="1569"/>
      <c r="CJ36" s="1569"/>
      <c r="CK36" s="1569"/>
      <c r="CL36" s="1569"/>
      <c r="CM36" s="1569"/>
      <c r="CN36" s="1569"/>
      <c r="CO36" s="1569"/>
      <c r="CP36" s="1569"/>
      <c r="CQ36" s="1569"/>
      <c r="CR36" s="1569"/>
      <c r="CS36" s="1569"/>
      <c r="CT36" s="1569"/>
      <c r="CU36" s="1569"/>
      <c r="CV36" s="1569"/>
      <c r="CW36" s="1569"/>
      <c r="CX36" s="1569"/>
      <c r="CY36" s="1569"/>
      <c r="CZ36" s="1569"/>
      <c r="DA36" s="1569"/>
      <c r="DB36" s="1569"/>
      <c r="DC36" s="1569"/>
      <c r="DD36" s="1569"/>
      <c r="DE36" s="1569"/>
      <c r="DF36" s="1900"/>
      <c r="DG36" s="1569"/>
      <c r="DH36" s="1569"/>
      <c r="DI36" s="1980">
        <f>DI25/DD25-1</f>
        <v>-5.8139534883721034E-3</v>
      </c>
      <c r="DJ36" s="1980">
        <f>DJ25/DE25-1</f>
        <v>2.5974025974025983E-2</v>
      </c>
      <c r="DK36" s="2088">
        <f t="shared" ref="DK36:DP36" si="55">DK25/DF25-1</f>
        <v>0.45146726862302478</v>
      </c>
      <c r="DL36" s="2184">
        <f>DL25/DG25-1</f>
        <v>3.105590062111796E-2</v>
      </c>
      <c r="DM36" s="1980">
        <f>DM25/DH25-1</f>
        <v>-3.9215686274509776E-2</v>
      </c>
      <c r="DN36" s="1980">
        <f>DN25/DI25-1</f>
        <v>-0.11111111111111116</v>
      </c>
      <c r="DO36" s="1980">
        <f>DO25/DJ25-1</f>
        <v>-0.13924050632911389</v>
      </c>
      <c r="DP36" s="2088">
        <f t="shared" si="55"/>
        <v>-6.5318818040435489E-2</v>
      </c>
      <c r="DQ36" s="1980">
        <f>DQ25/DL25-1</f>
        <v>-0.11445783132530118</v>
      </c>
      <c r="DR36" s="1980">
        <f t="shared" ref="DR36:DZ36" si="56">DR25/DM25-1</f>
        <v>8.3927857142857221E-2</v>
      </c>
      <c r="DS36" s="1980">
        <f t="shared" si="56"/>
        <v>7.2391940789473752E-2</v>
      </c>
      <c r="DT36" s="1980">
        <f t="shared" si="56"/>
        <v>0.10623547794117716</v>
      </c>
      <c r="DU36" s="2088">
        <f t="shared" si="56"/>
        <v>3.1262886855241367E-2</v>
      </c>
      <c r="DV36" s="1980">
        <f t="shared" si="56"/>
        <v>8.7687074829931877E-2</v>
      </c>
      <c r="DW36" s="1980">
        <f t="shared" si="56"/>
        <v>8.2058960013749127E-2</v>
      </c>
      <c r="DX36" s="1980">
        <f t="shared" si="56"/>
        <v>8.055070954732102E-2</v>
      </c>
      <c r="DY36" s="1980">
        <f t="shared" si="56"/>
        <v>8.6021204831369324E-2</v>
      </c>
      <c r="DZ36" s="2088">
        <f t="shared" si="56"/>
        <v>8.3958952715834867E-2</v>
      </c>
      <c r="EA36" s="1980">
        <f t="shared" ref="EA36" si="57">EA25/DV25-1</f>
        <v>1.1997936081056038E-2</v>
      </c>
      <c r="EB36" s="1980">
        <f t="shared" ref="EB36" si="58">EB25/DW25-1</f>
        <v>1.2215978408145256E-2</v>
      </c>
      <c r="EC36" s="1980">
        <f t="shared" ref="EC36" si="59">EC25/DX25-1</f>
        <v>1.227479639324347E-2</v>
      </c>
      <c r="ED36" s="1980">
        <f t="shared" ref="ED36" si="60">ED25/DY25-1</f>
        <v>1.206223913319393E-2</v>
      </c>
      <c r="EE36" s="2088">
        <f t="shared" ref="EE36" si="61">EE25/DZ25-1</f>
        <v>1.2142116431852257E-2</v>
      </c>
    </row>
    <row r="37" spans="1:135" ht="12.75" customHeight="1">
      <c r="B37" s="1895"/>
      <c r="C37" s="1569"/>
      <c r="D37" s="1569"/>
      <c r="E37" s="1569"/>
      <c r="F37" s="1569"/>
      <c r="G37" s="1569"/>
      <c r="H37" s="1569"/>
      <c r="I37" s="1569"/>
      <c r="J37" s="1569"/>
      <c r="K37" s="1569"/>
      <c r="L37" s="1569"/>
      <c r="M37" s="1569"/>
      <c r="N37" s="1569"/>
      <c r="O37" s="1569"/>
      <c r="P37" s="1569"/>
      <c r="Q37" s="1569"/>
      <c r="R37" s="1569"/>
      <c r="S37" s="1569"/>
      <c r="T37" s="1569"/>
      <c r="U37" s="1569"/>
      <c r="V37" s="1569"/>
      <c r="W37" s="1569"/>
      <c r="X37" s="1569"/>
      <c r="Y37" s="1569"/>
      <c r="Z37" s="1569"/>
      <c r="AA37" s="1569"/>
      <c r="AB37" s="1569"/>
      <c r="AC37" s="1569"/>
      <c r="AD37" s="1569"/>
      <c r="AE37" s="1569"/>
      <c r="AF37" s="1569"/>
      <c r="AG37" s="1569"/>
      <c r="AH37" s="1569"/>
      <c r="AI37" s="1569"/>
      <c r="AJ37" s="1569"/>
      <c r="AK37" s="1569"/>
      <c r="AL37" s="1569"/>
      <c r="AM37" s="1569"/>
      <c r="AN37" s="1569"/>
      <c r="AO37" s="1569"/>
      <c r="AP37" s="1569"/>
      <c r="AQ37" s="1569"/>
      <c r="AR37" s="1569"/>
      <c r="AS37" s="1569"/>
      <c r="AT37" s="1569"/>
      <c r="AU37" s="1569"/>
      <c r="AV37" s="1569"/>
      <c r="AW37" s="1569"/>
      <c r="AX37" s="1569"/>
      <c r="AY37" s="1569"/>
      <c r="AZ37" s="1569"/>
      <c r="BA37" s="1569"/>
      <c r="BB37" s="1569"/>
      <c r="BC37" s="1569"/>
      <c r="BD37" s="1569"/>
      <c r="BE37" s="1569"/>
      <c r="BF37" s="1569"/>
      <c r="BG37" s="1569"/>
      <c r="BH37" s="1569"/>
      <c r="BI37" s="1569"/>
      <c r="BJ37" s="1569"/>
      <c r="BK37" s="1569"/>
      <c r="BL37" s="1569"/>
      <c r="BM37" s="1569"/>
      <c r="BN37" s="1569"/>
      <c r="BO37" s="1569"/>
      <c r="BP37" s="1569"/>
      <c r="BQ37" s="1569"/>
      <c r="BR37" s="1569"/>
      <c r="BS37" s="1569"/>
      <c r="BT37" s="1569"/>
      <c r="BU37" s="1569"/>
      <c r="BV37" s="1569"/>
      <c r="BW37" s="1569"/>
      <c r="BX37" s="1569"/>
      <c r="BY37" s="1569"/>
      <c r="BZ37" s="1569"/>
      <c r="CA37" s="1569"/>
      <c r="CB37" s="1569"/>
      <c r="CC37" s="1569"/>
      <c r="CD37" s="1569"/>
      <c r="CE37" s="1569"/>
      <c r="CF37" s="1569"/>
      <c r="CG37" s="1569"/>
      <c r="CH37" s="1569"/>
      <c r="CI37" s="1569"/>
      <c r="CJ37" s="1569"/>
      <c r="CK37" s="1569"/>
      <c r="CL37" s="1569"/>
      <c r="CM37" s="1569"/>
      <c r="CN37" s="1569"/>
      <c r="CO37" s="1569"/>
      <c r="CP37" s="1569"/>
      <c r="CQ37" s="1569"/>
      <c r="CR37" s="1569"/>
      <c r="CS37" s="1569"/>
      <c r="CT37" s="1569"/>
      <c r="CU37" s="1569"/>
      <c r="CV37" s="1569"/>
      <c r="CW37" s="1569"/>
      <c r="CX37" s="1569"/>
      <c r="CY37" s="1569"/>
      <c r="CZ37" s="1569"/>
      <c r="DA37" s="1569"/>
      <c r="DB37" s="1569"/>
      <c r="DC37" s="1569"/>
      <c r="DD37" s="1569"/>
      <c r="DE37" s="1569"/>
      <c r="DF37" s="1900"/>
      <c r="DG37" s="1569"/>
      <c r="DH37" s="1569"/>
      <c r="DI37" s="1569"/>
      <c r="DJ37" s="1569"/>
      <c r="DK37" s="1900"/>
      <c r="DL37" s="1895"/>
      <c r="DM37" s="1569"/>
      <c r="DN37" s="1569"/>
      <c r="DO37" s="1569"/>
      <c r="DP37" s="1900"/>
      <c r="DQ37" s="1569"/>
      <c r="DR37" s="1569"/>
      <c r="DS37" s="1569"/>
      <c r="DT37" s="1569"/>
      <c r="DU37" s="1900"/>
      <c r="DV37" s="1569"/>
      <c r="DW37" s="1569"/>
      <c r="DX37" s="1569"/>
      <c r="DY37" s="1569"/>
      <c r="DZ37" s="1900"/>
      <c r="EA37" s="1569"/>
      <c r="EB37" s="1569"/>
      <c r="EC37" s="1569"/>
      <c r="ED37" s="1569"/>
      <c r="EE37" s="1900"/>
    </row>
    <row r="38" spans="1:135" ht="12.75" customHeight="1">
      <c r="B38" s="1979" t="s">
        <v>405</v>
      </c>
      <c r="C38" s="1569"/>
      <c r="D38" s="1569"/>
      <c r="E38" s="1569"/>
      <c r="F38" s="1569"/>
      <c r="G38" s="1569"/>
      <c r="H38" s="1569"/>
      <c r="I38" s="1569"/>
      <c r="J38" s="1569"/>
      <c r="K38" s="1569"/>
      <c r="L38" s="1569"/>
      <c r="M38" s="1569"/>
      <c r="N38" s="1569"/>
      <c r="O38" s="1569"/>
      <c r="P38" s="1569"/>
      <c r="Q38" s="1569"/>
      <c r="R38" s="1569"/>
      <c r="S38" s="1569"/>
      <c r="T38" s="1569"/>
      <c r="U38" s="1569"/>
      <c r="V38" s="1569"/>
      <c r="W38" s="1569"/>
      <c r="X38" s="1569"/>
      <c r="Y38" s="1569"/>
      <c r="Z38" s="1569"/>
      <c r="AA38" s="1569"/>
      <c r="AB38" s="1569"/>
      <c r="AC38" s="1569"/>
      <c r="AD38" s="1569"/>
      <c r="AE38" s="1569"/>
      <c r="AF38" s="1569"/>
      <c r="AG38" s="1569"/>
      <c r="AH38" s="1569"/>
      <c r="AI38" s="1569"/>
      <c r="AJ38" s="1569"/>
      <c r="AK38" s="1569"/>
      <c r="AL38" s="1569"/>
      <c r="AM38" s="1569"/>
      <c r="AN38" s="1569"/>
      <c r="AO38" s="1569"/>
      <c r="AP38" s="1569"/>
      <c r="AQ38" s="1569"/>
      <c r="AR38" s="1569"/>
      <c r="AS38" s="1569"/>
      <c r="AT38" s="1569"/>
      <c r="AU38" s="1569"/>
      <c r="AV38" s="1569"/>
      <c r="AW38" s="1569"/>
      <c r="AX38" s="1569"/>
      <c r="AY38" s="1569"/>
      <c r="AZ38" s="1569"/>
      <c r="BA38" s="1569"/>
      <c r="BB38" s="1569"/>
      <c r="BC38" s="1569"/>
      <c r="BD38" s="1569"/>
      <c r="BE38" s="1569"/>
      <c r="BF38" s="1569"/>
      <c r="BG38" s="1569"/>
      <c r="BH38" s="1569"/>
      <c r="BI38" s="1569"/>
      <c r="BJ38" s="1569"/>
      <c r="BK38" s="1569"/>
      <c r="BL38" s="1569"/>
      <c r="BM38" s="1569"/>
      <c r="BN38" s="1569"/>
      <c r="BO38" s="1569"/>
      <c r="BP38" s="1569"/>
      <c r="BQ38" s="1569"/>
      <c r="BR38" s="1569"/>
      <c r="BS38" s="1569"/>
      <c r="BT38" s="1569"/>
      <c r="BU38" s="1569"/>
      <c r="BV38" s="1569"/>
      <c r="BW38" s="1569"/>
      <c r="BX38" s="1569"/>
      <c r="BY38" s="1569"/>
      <c r="BZ38" s="1569"/>
      <c r="CA38" s="1569"/>
      <c r="CB38" s="1569"/>
      <c r="CC38" s="1569"/>
      <c r="CD38" s="1569"/>
      <c r="CE38" s="1569"/>
      <c r="CF38" s="1569"/>
      <c r="CG38" s="1569"/>
      <c r="CH38" s="1569"/>
      <c r="CI38" s="1569"/>
      <c r="CJ38" s="1569"/>
      <c r="CK38" s="1569"/>
      <c r="CL38" s="1569"/>
      <c r="CM38" s="1569"/>
      <c r="CN38" s="1569"/>
      <c r="CO38" s="1569"/>
      <c r="CP38" s="1569"/>
      <c r="CQ38" s="1569"/>
      <c r="CR38" s="1569"/>
      <c r="CS38" s="1569"/>
      <c r="CT38" s="1569"/>
      <c r="CU38" s="1569"/>
      <c r="CV38" s="1569"/>
      <c r="CW38" s="1569"/>
      <c r="CX38" s="1569"/>
      <c r="CY38" s="1569"/>
      <c r="CZ38" s="1569"/>
      <c r="DA38" s="1569"/>
      <c r="DB38" s="1569"/>
      <c r="DC38" s="1569"/>
      <c r="DD38" s="1569"/>
      <c r="DE38" s="1569"/>
      <c r="DF38" s="1900"/>
      <c r="DG38" s="1569"/>
      <c r="DH38" s="1569"/>
      <c r="DI38" s="1569"/>
      <c r="DJ38" s="1569"/>
      <c r="DK38" s="1900"/>
      <c r="DL38" s="1895"/>
      <c r="DM38" s="1569"/>
      <c r="DN38" s="1569"/>
      <c r="DO38" s="1569"/>
      <c r="DP38" s="1900"/>
      <c r="DQ38" s="1569"/>
      <c r="DR38" s="1569"/>
      <c r="DS38" s="1569"/>
      <c r="DT38" s="1569"/>
      <c r="DU38" s="1900"/>
      <c r="DV38" s="1569"/>
      <c r="DW38" s="1569"/>
      <c r="DX38" s="1569"/>
      <c r="DY38" s="1569"/>
      <c r="DZ38" s="1900"/>
      <c r="EA38" s="1569"/>
      <c r="EB38" s="1569"/>
      <c r="EC38" s="1569"/>
      <c r="ED38" s="1569"/>
      <c r="EE38" s="1900"/>
    </row>
    <row r="39" spans="1:135" ht="12.75" customHeight="1">
      <c r="B39" s="1978" t="s">
        <v>541</v>
      </c>
      <c r="C39" s="1569"/>
      <c r="D39" s="1569"/>
      <c r="E39" s="1569"/>
      <c r="F39" s="1569"/>
      <c r="G39" s="1569"/>
      <c r="H39" s="1569"/>
      <c r="I39" s="1569"/>
      <c r="J39" s="1569"/>
      <c r="K39" s="1569"/>
      <c r="L39" s="1569"/>
      <c r="M39" s="1569"/>
      <c r="N39" s="1569"/>
      <c r="O39" s="1569"/>
      <c r="P39" s="1569"/>
      <c r="Q39" s="1569"/>
      <c r="R39" s="1569"/>
      <c r="S39" s="1569"/>
      <c r="T39" s="1569"/>
      <c r="U39" s="1569"/>
      <c r="V39" s="1569"/>
      <c r="W39" s="1569"/>
      <c r="X39" s="1569"/>
      <c r="Y39" s="1569"/>
      <c r="Z39" s="1569"/>
      <c r="AA39" s="1569"/>
      <c r="AB39" s="1569"/>
      <c r="AC39" s="1569"/>
      <c r="AD39" s="1569"/>
      <c r="AE39" s="1569"/>
      <c r="AF39" s="1569"/>
      <c r="AG39" s="1569"/>
      <c r="AH39" s="1569"/>
      <c r="AI39" s="1569"/>
      <c r="AJ39" s="1569"/>
      <c r="AK39" s="1569"/>
      <c r="AL39" s="1569"/>
      <c r="AM39" s="1569"/>
      <c r="AN39" s="1569"/>
      <c r="AO39" s="1569"/>
      <c r="AP39" s="1569"/>
      <c r="AQ39" s="1569"/>
      <c r="AR39" s="1569"/>
      <c r="AS39" s="1569"/>
      <c r="AT39" s="1569"/>
      <c r="AU39" s="1569"/>
      <c r="AV39" s="1569"/>
      <c r="AW39" s="1569"/>
      <c r="AX39" s="1569"/>
      <c r="AY39" s="1569"/>
      <c r="AZ39" s="1569"/>
      <c r="BA39" s="1569"/>
      <c r="BB39" s="1569"/>
      <c r="BC39" s="1569"/>
      <c r="BD39" s="1569"/>
      <c r="BE39" s="1569"/>
      <c r="BF39" s="1569"/>
      <c r="BG39" s="1569"/>
      <c r="BH39" s="1569"/>
      <c r="BI39" s="1569"/>
      <c r="BJ39" s="1569"/>
      <c r="BK39" s="1569"/>
      <c r="BL39" s="1569"/>
      <c r="BM39" s="1569"/>
      <c r="BN39" s="1569"/>
      <c r="BO39" s="1569"/>
      <c r="BP39" s="1569"/>
      <c r="BQ39" s="1569"/>
      <c r="BR39" s="1569"/>
      <c r="BS39" s="1569"/>
      <c r="BT39" s="1569"/>
      <c r="BU39" s="1569"/>
      <c r="BV39" s="1569"/>
      <c r="BW39" s="1569"/>
      <c r="BX39" s="1569"/>
      <c r="BY39" s="1569"/>
      <c r="BZ39" s="1569"/>
      <c r="CA39" s="1569"/>
      <c r="CB39" s="1569"/>
      <c r="CC39" s="1569"/>
      <c r="CD39" s="1569"/>
      <c r="CE39" s="1569"/>
      <c r="CF39" s="1569"/>
      <c r="CG39" s="1569"/>
      <c r="CH39" s="1569"/>
      <c r="CI39" s="1569"/>
      <c r="CJ39" s="1569"/>
      <c r="CK39" s="1569"/>
      <c r="CL39" s="1569"/>
      <c r="CM39" s="1569"/>
      <c r="CN39" s="1569"/>
      <c r="CO39" s="1569"/>
      <c r="CP39" s="1569"/>
      <c r="CQ39" s="1569"/>
      <c r="CR39" s="1569"/>
      <c r="CS39" s="1569"/>
      <c r="CT39" s="1569"/>
      <c r="CU39" s="1569"/>
      <c r="CV39" s="1569"/>
      <c r="CW39" s="1569"/>
      <c r="CX39" s="1569"/>
      <c r="CY39" s="1569"/>
      <c r="CZ39" s="1569"/>
      <c r="DA39" s="1569"/>
      <c r="DB39" s="1569"/>
      <c r="DC39" s="1980">
        <f t="shared" ref="DC39:DH39" si="62">DC14/DC12</f>
        <v>0.11031927023945268</v>
      </c>
      <c r="DD39" s="1980">
        <f t="shared" si="62"/>
        <v>0.10897061685152754</v>
      </c>
      <c r="DE39" s="1980">
        <f t="shared" si="62"/>
        <v>0.1043360433604336</v>
      </c>
      <c r="DF39" s="2088">
        <f t="shared" si="62"/>
        <v>0.10757981611525375</v>
      </c>
      <c r="DG39" s="1980">
        <f t="shared" si="62"/>
        <v>0.10703305149884704</v>
      </c>
      <c r="DH39" s="1980">
        <f t="shared" si="62"/>
        <v>0.10579394898160965</v>
      </c>
      <c r="DI39" s="1980">
        <f t="shared" ref="DI39:DJ39" si="63">DI14/DI12</f>
        <v>0.10364794441227562</v>
      </c>
      <c r="DJ39" s="1980">
        <f t="shared" si="63"/>
        <v>0.10215710215710215</v>
      </c>
      <c r="DK39" s="2088">
        <f>DK14/DK12</f>
        <v>0.1046865788956573</v>
      </c>
      <c r="DL39" s="2184">
        <f t="shared" ref="DL39:DM39" si="64">DL14/DL12</f>
        <v>0.10286885245901639</v>
      </c>
      <c r="DM39" s="1980">
        <f t="shared" si="64"/>
        <v>0.10945610471676823</v>
      </c>
      <c r="DN39" s="1980">
        <f t="shared" ref="DN39:DO39" si="65">DN14/DN12</f>
        <v>0.102698180297009</v>
      </c>
      <c r="DO39" s="1980">
        <f t="shared" si="65"/>
        <v>9.9042184634196048E-2</v>
      </c>
      <c r="DP39" s="2088">
        <f>DP14/DP12</f>
        <v>0.10337386178219907</v>
      </c>
      <c r="DQ39" s="1980">
        <f t="shared" ref="DQ39" si="66">DQ14/DQ12</f>
        <v>0.1010061919504644</v>
      </c>
      <c r="DR39" s="1980">
        <f>DM39+0.005</f>
        <v>0.11445610471676823</v>
      </c>
      <c r="DS39" s="1980">
        <f t="shared" ref="DS39:DT39" si="67">DN39+0.005</f>
        <v>0.10769818029700901</v>
      </c>
      <c r="DT39" s="1980">
        <f t="shared" si="67"/>
        <v>0.10404218463419605</v>
      </c>
      <c r="DU39" s="2088">
        <f>DU14/DU12</f>
        <v>0.10654940423210985</v>
      </c>
      <c r="DV39" s="1980">
        <f>DQ39</f>
        <v>0.1010061919504644</v>
      </c>
      <c r="DW39" s="1980">
        <f>DR39</f>
        <v>0.11445610471676823</v>
      </c>
      <c r="DX39" s="1980">
        <f>DS39</f>
        <v>0.10769818029700901</v>
      </c>
      <c r="DY39" s="1980">
        <f>DT39</f>
        <v>0.10404218463419605</v>
      </c>
      <c r="DZ39" s="2088">
        <f>DZ14/DZ12</f>
        <v>0.10654940423210986</v>
      </c>
      <c r="EA39" s="1980">
        <f>DV39</f>
        <v>0.1010061919504644</v>
      </c>
      <c r="EB39" s="1980">
        <f>DW39</f>
        <v>0.11445610471676823</v>
      </c>
      <c r="EC39" s="1980">
        <f>DX39</f>
        <v>0.10769818029700901</v>
      </c>
      <c r="ED39" s="1980">
        <f>DY39</f>
        <v>0.10404218463419605</v>
      </c>
      <c r="EE39" s="2088">
        <f>EE14/EE12</f>
        <v>0.10654940423210987</v>
      </c>
    </row>
    <row r="40" spans="1:135" ht="12.75" customHeight="1">
      <c r="B40" s="1978" t="s">
        <v>538</v>
      </c>
      <c r="C40" s="1569"/>
      <c r="D40" s="1569"/>
      <c r="E40" s="1569"/>
      <c r="F40" s="1569"/>
      <c r="G40" s="1569"/>
      <c r="H40" s="1569"/>
      <c r="I40" s="1569"/>
      <c r="J40" s="1569"/>
      <c r="K40" s="1569"/>
      <c r="L40" s="1569"/>
      <c r="M40" s="1569"/>
      <c r="N40" s="1569"/>
      <c r="O40" s="1569"/>
      <c r="P40" s="1569"/>
      <c r="Q40" s="1569"/>
      <c r="R40" s="1569"/>
      <c r="S40" s="1569"/>
      <c r="T40" s="1569"/>
      <c r="U40" s="1569"/>
      <c r="V40" s="1569"/>
      <c r="W40" s="1569"/>
      <c r="X40" s="1569"/>
      <c r="Y40" s="1569"/>
      <c r="Z40" s="1569"/>
      <c r="AA40" s="1569"/>
      <c r="AB40" s="1569"/>
      <c r="AC40" s="1569"/>
      <c r="AD40" s="1569"/>
      <c r="AE40" s="1569"/>
      <c r="AF40" s="1569"/>
      <c r="AG40" s="1569"/>
      <c r="AH40" s="1569"/>
      <c r="AI40" s="1569"/>
      <c r="AJ40" s="1569"/>
      <c r="AK40" s="1569"/>
      <c r="AL40" s="1569"/>
      <c r="AM40" s="1569"/>
      <c r="AN40" s="1569"/>
      <c r="AO40" s="1569"/>
      <c r="AP40" s="1569"/>
      <c r="AQ40" s="1569"/>
      <c r="AR40" s="1569"/>
      <c r="AS40" s="1569"/>
      <c r="AT40" s="1569"/>
      <c r="AU40" s="1569"/>
      <c r="AV40" s="1569"/>
      <c r="AW40" s="1569"/>
      <c r="AX40" s="1569"/>
      <c r="AY40" s="1569"/>
      <c r="AZ40" s="1569"/>
      <c r="BA40" s="1569"/>
      <c r="BB40" s="1569"/>
      <c r="BC40" s="1569"/>
      <c r="BD40" s="1569"/>
      <c r="BE40" s="1569"/>
      <c r="BF40" s="1569"/>
      <c r="BG40" s="1569"/>
      <c r="BH40" s="1569"/>
      <c r="BI40" s="1569"/>
      <c r="BJ40" s="1569"/>
      <c r="BK40" s="1569"/>
      <c r="BL40" s="1569"/>
      <c r="BM40" s="1569"/>
      <c r="BN40" s="1569"/>
      <c r="BO40" s="1569"/>
      <c r="BP40" s="1569"/>
      <c r="BQ40" s="1569"/>
      <c r="BR40" s="1569"/>
      <c r="BS40" s="1569"/>
      <c r="BT40" s="1569"/>
      <c r="BU40" s="1569"/>
      <c r="BV40" s="1569"/>
      <c r="BW40" s="1569"/>
      <c r="BX40" s="1569"/>
      <c r="BY40" s="1569"/>
      <c r="BZ40" s="1569"/>
      <c r="CA40" s="1569"/>
      <c r="CB40" s="1569"/>
      <c r="CC40" s="1569"/>
      <c r="CD40" s="1569"/>
      <c r="CE40" s="1569"/>
      <c r="CF40" s="1569"/>
      <c r="CG40" s="1569"/>
      <c r="CH40" s="1569"/>
      <c r="CI40" s="1569"/>
      <c r="CJ40" s="1569"/>
      <c r="CK40" s="1569"/>
      <c r="CL40" s="1569"/>
      <c r="CM40" s="1569"/>
      <c r="CN40" s="1569"/>
      <c r="CO40" s="1569"/>
      <c r="CP40" s="1569"/>
      <c r="CQ40" s="1569"/>
      <c r="CR40" s="1569"/>
      <c r="CS40" s="1569"/>
      <c r="CT40" s="1569"/>
      <c r="CU40" s="1569"/>
      <c r="CV40" s="1569"/>
      <c r="CW40" s="1569"/>
      <c r="CX40" s="1569"/>
      <c r="CY40" s="1569"/>
      <c r="CZ40" s="1569"/>
      <c r="DA40" s="1569"/>
      <c r="DB40" s="1569"/>
      <c r="DC40" s="1980">
        <f t="shared" ref="DC40:DK40" si="68">DC16/DC12</f>
        <v>0.11031927023945268</v>
      </c>
      <c r="DD40" s="1980">
        <f t="shared" si="68"/>
        <v>0.10897061685152754</v>
      </c>
      <c r="DE40" s="1980">
        <f>DE16/DE12</f>
        <v>0.1043360433604336</v>
      </c>
      <c r="DF40" s="2088">
        <f t="shared" si="68"/>
        <v>0.12274255578635511</v>
      </c>
      <c r="DG40" s="1980">
        <f>DG16/DG12</f>
        <v>0.10703305149884704</v>
      </c>
      <c r="DH40" s="1980">
        <f>DH16/DH12</f>
        <v>0.10579394898160965</v>
      </c>
      <c r="DI40" s="1980">
        <f>DI16/DI12</f>
        <v>0.10364794441227562</v>
      </c>
      <c r="DJ40" s="1980">
        <f>DJ16/DJ12</f>
        <v>0.10215710215710215</v>
      </c>
      <c r="DK40" s="2088">
        <f t="shared" si="68"/>
        <v>0.10822361957162507</v>
      </c>
      <c r="DL40" s="2184">
        <f>DL16/DL12</f>
        <v>0.10286885245901639</v>
      </c>
      <c r="DM40" s="1980">
        <f>DM16/DM12</f>
        <v>0.10945610471676823</v>
      </c>
      <c r="DN40" s="1980">
        <f>DN16/DN12</f>
        <v>0.10144321271700481</v>
      </c>
      <c r="DO40" s="1980">
        <f>DO16/DO12</f>
        <v>9.9042184634196048E-2</v>
      </c>
      <c r="DP40" s="2088">
        <f t="shared" ref="DP40:DU40" si="69">DP16/DP12</f>
        <v>0.10337386178219907</v>
      </c>
      <c r="DQ40" s="1980">
        <f>DQ16/DQ12</f>
        <v>0.1010061919504644</v>
      </c>
      <c r="DR40" s="1980">
        <f t="shared" si="69"/>
        <v>0.11445610471676823</v>
      </c>
      <c r="DS40" s="1980">
        <f t="shared" si="69"/>
        <v>0.10769818029700901</v>
      </c>
      <c r="DT40" s="1980">
        <f t="shared" si="69"/>
        <v>0.10404218463419607</v>
      </c>
      <c r="DU40" s="2088">
        <f t="shared" si="69"/>
        <v>0.10654940423210985</v>
      </c>
      <c r="DV40" s="1980">
        <f t="shared" ref="DV40:DZ40" si="70">DV16/DV12</f>
        <v>0.1010061919504644</v>
      </c>
      <c r="DW40" s="1980">
        <f t="shared" si="70"/>
        <v>0.11445610471676822</v>
      </c>
      <c r="DX40" s="1980">
        <f t="shared" si="70"/>
        <v>0.10769818029700901</v>
      </c>
      <c r="DY40" s="1980">
        <f t="shared" si="70"/>
        <v>0.10404218463419607</v>
      </c>
      <c r="DZ40" s="2088">
        <f t="shared" si="70"/>
        <v>0.10654940423210986</v>
      </c>
      <c r="EA40" s="1980">
        <f t="shared" ref="EA40:EE40" si="71">EA16/EA12</f>
        <v>0.1010061919504644</v>
      </c>
      <c r="EB40" s="1980">
        <f t="shared" si="71"/>
        <v>0.11445610471676824</v>
      </c>
      <c r="EC40" s="1980">
        <f t="shared" si="71"/>
        <v>0.10769818029700901</v>
      </c>
      <c r="ED40" s="1980">
        <f t="shared" si="71"/>
        <v>0.10404218463419604</v>
      </c>
      <c r="EE40" s="2088">
        <f t="shared" si="71"/>
        <v>0.10654940423210987</v>
      </c>
    </row>
    <row r="41" spans="1:135" s="1569" customFormat="1">
      <c r="A41" s="277"/>
      <c r="B41" s="1978" t="s">
        <v>233</v>
      </c>
      <c r="CG41" s="1272"/>
      <c r="CL41" s="1272"/>
      <c r="CQ41" s="1272"/>
      <c r="CV41" s="1272"/>
      <c r="CW41" s="1980"/>
      <c r="CX41" s="1980"/>
      <c r="CY41" s="1980"/>
      <c r="CZ41" s="1980"/>
      <c r="DA41" s="1980"/>
      <c r="DB41" s="1980"/>
      <c r="DC41" s="1980">
        <f t="shared" ref="DC41:DH41" si="72">DC18/DC12</f>
        <v>8.722919042189281E-2</v>
      </c>
      <c r="DD41" s="1980">
        <f t="shared" si="72"/>
        <v>7.7446974119478498E-2</v>
      </c>
      <c r="DE41" s="1980">
        <f t="shared" si="72"/>
        <v>7.8590785907859076E-2</v>
      </c>
      <c r="DF41" s="2088">
        <f t="shared" si="72"/>
        <v>8.0359082024180115E-2</v>
      </c>
      <c r="DG41" s="1980">
        <f t="shared" si="72"/>
        <v>7.9554189085318985E-2</v>
      </c>
      <c r="DH41" s="1980">
        <f t="shared" si="72"/>
        <v>7.929602531144947E-2</v>
      </c>
      <c r="DI41" s="1980">
        <f t="shared" ref="DI41:DJ41" si="73">DI18/DI12</f>
        <v>7.6047095155375416E-2</v>
      </c>
      <c r="DJ41" s="1980">
        <f t="shared" si="73"/>
        <v>7.7330077330077324E-2</v>
      </c>
      <c r="DK41" s="2088">
        <f>DK18/DK12</f>
        <v>7.8060522696011006E-2</v>
      </c>
      <c r="DL41" s="2184">
        <f t="shared" ref="DL41:DM41" si="74">DL18/DL12</f>
        <v>7.3565573770491804E-2</v>
      </c>
      <c r="DM41" s="1980">
        <f t="shared" si="74"/>
        <v>8.1697133829835247E-2</v>
      </c>
      <c r="DN41" s="1980">
        <f t="shared" ref="DN41:DO41" si="75">DN18/DN12</f>
        <v>7.8435473750261456E-2</v>
      </c>
      <c r="DO41" s="1980">
        <f t="shared" si="75"/>
        <v>7.8051762787854084E-2</v>
      </c>
      <c r="DP41" s="2088">
        <f>DP18/DP12</f>
        <v>7.7846202431706937E-2</v>
      </c>
      <c r="DQ41" s="1980">
        <f t="shared" ref="DQ41" si="76">DQ18/DQ12</f>
        <v>7.6625386996904021E-2</v>
      </c>
      <c r="DR41" s="1980">
        <f>DM41+0.002</f>
        <v>8.3697133829835249E-2</v>
      </c>
      <c r="DS41" s="1980">
        <f t="shared" ref="DR41:DT42" si="77">DN41</f>
        <v>7.8435473750261456E-2</v>
      </c>
      <c r="DT41" s="1980">
        <f t="shared" si="77"/>
        <v>7.8051762787854084E-2</v>
      </c>
      <c r="DU41" s="2088">
        <f>DU18/DU12</f>
        <v>7.9071333418979692E-2</v>
      </c>
      <c r="DV41" s="1980">
        <f t="shared" ref="DV41:DV42" si="78">DQ41</f>
        <v>7.6625386996904021E-2</v>
      </c>
      <c r="DW41" s="1980">
        <f t="shared" ref="DW41:DW42" si="79">DR41</f>
        <v>8.3697133829835249E-2</v>
      </c>
      <c r="DX41" s="1980">
        <f t="shared" ref="DX41:DX42" si="80">DS41</f>
        <v>7.8435473750261456E-2</v>
      </c>
      <c r="DY41" s="1980">
        <f t="shared" ref="DY41:DY42" si="81">DT41</f>
        <v>7.8051762787854084E-2</v>
      </c>
      <c r="DZ41" s="2088">
        <f>DZ18/DZ12</f>
        <v>7.9071333418979692E-2</v>
      </c>
      <c r="EA41" s="1980">
        <f t="shared" ref="EA41:EA42" si="82">DV41</f>
        <v>7.6625386996904021E-2</v>
      </c>
      <c r="EB41" s="1980">
        <f t="shared" ref="EB41:EB42" si="83">DW41</f>
        <v>8.3697133829835249E-2</v>
      </c>
      <c r="EC41" s="1980">
        <f t="shared" ref="EC41:EC42" si="84">DX41</f>
        <v>7.8435473750261456E-2</v>
      </c>
      <c r="ED41" s="1980">
        <f t="shared" ref="ED41:ED42" si="85">DY41</f>
        <v>7.8051762787854084E-2</v>
      </c>
      <c r="EE41" s="2088">
        <f>EE18/EE12</f>
        <v>7.9071333418979706E-2</v>
      </c>
    </row>
    <row r="42" spans="1:135" ht="12" thickBot="1">
      <c r="B42" s="1981" t="s">
        <v>211</v>
      </c>
      <c r="C42" s="1897"/>
      <c r="D42" s="1897"/>
      <c r="E42" s="1897"/>
      <c r="F42" s="1897"/>
      <c r="G42" s="1897"/>
      <c r="H42" s="1897"/>
      <c r="I42" s="1897"/>
      <c r="J42" s="1897"/>
      <c r="K42" s="1897"/>
      <c r="L42" s="1897"/>
      <c r="M42" s="1897"/>
      <c r="N42" s="1897"/>
      <c r="O42" s="1897"/>
      <c r="P42" s="1897"/>
      <c r="Q42" s="1897"/>
      <c r="R42" s="1897"/>
      <c r="S42" s="1897"/>
      <c r="T42" s="1897"/>
      <c r="U42" s="1897"/>
      <c r="V42" s="1897"/>
      <c r="W42" s="1897"/>
      <c r="X42" s="1897"/>
      <c r="Y42" s="1897"/>
      <c r="Z42" s="1897"/>
      <c r="AA42" s="1897"/>
      <c r="AB42" s="1897"/>
      <c r="AC42" s="1897"/>
      <c r="AD42" s="1897"/>
      <c r="AE42" s="1897"/>
      <c r="AF42" s="1897"/>
      <c r="AG42" s="1897"/>
      <c r="AH42" s="1897"/>
      <c r="AI42" s="1897"/>
      <c r="AJ42" s="1897"/>
      <c r="AK42" s="1897"/>
      <c r="AL42" s="1897"/>
      <c r="AM42" s="1897"/>
      <c r="AN42" s="1897"/>
      <c r="AO42" s="1897"/>
      <c r="AP42" s="1897"/>
      <c r="AQ42" s="1897"/>
      <c r="AR42" s="1897"/>
      <c r="AS42" s="1897"/>
      <c r="AT42" s="1897"/>
      <c r="AU42" s="1897"/>
      <c r="AV42" s="1897"/>
      <c r="AW42" s="1897"/>
      <c r="AX42" s="1897"/>
      <c r="AY42" s="1897"/>
      <c r="AZ42" s="1897"/>
      <c r="BA42" s="1897"/>
      <c r="BB42" s="1897"/>
      <c r="BC42" s="1897"/>
      <c r="BD42" s="1897"/>
      <c r="BE42" s="1897"/>
      <c r="BF42" s="1897"/>
      <c r="BG42" s="1897"/>
      <c r="BH42" s="1897"/>
      <c r="BI42" s="1897"/>
      <c r="BJ42" s="1897"/>
      <c r="BK42" s="1897"/>
      <c r="BL42" s="1897"/>
      <c r="BM42" s="1897"/>
      <c r="BN42" s="1897"/>
      <c r="BO42" s="1897"/>
      <c r="BP42" s="1897"/>
      <c r="BQ42" s="1897"/>
      <c r="BR42" s="1897"/>
      <c r="BS42" s="1897"/>
      <c r="BT42" s="1897"/>
      <c r="BU42" s="1897"/>
      <c r="BV42" s="1897"/>
      <c r="BW42" s="1897"/>
      <c r="BX42" s="1897"/>
      <c r="BY42" s="1897"/>
      <c r="BZ42" s="1897"/>
      <c r="CA42" s="1897"/>
      <c r="CB42" s="1897"/>
      <c r="CC42" s="1897"/>
      <c r="CD42" s="1897"/>
      <c r="CE42" s="1897"/>
      <c r="CF42" s="1897"/>
      <c r="CG42" s="1897"/>
      <c r="CH42" s="1897"/>
      <c r="CI42" s="1897"/>
      <c r="CJ42" s="1897"/>
      <c r="CK42" s="1897"/>
      <c r="CL42" s="1897"/>
      <c r="CM42" s="1897"/>
      <c r="CN42" s="1897"/>
      <c r="CO42" s="1897"/>
      <c r="CP42" s="1897"/>
      <c r="CQ42" s="1897"/>
      <c r="CR42" s="1897"/>
      <c r="CS42" s="1897"/>
      <c r="CT42" s="1897"/>
      <c r="CU42" s="1897"/>
      <c r="CV42" s="1897"/>
      <c r="CW42" s="1982"/>
      <c r="CX42" s="1982"/>
      <c r="CY42" s="1982"/>
      <c r="CZ42" s="1982"/>
      <c r="DA42" s="1982"/>
      <c r="DB42" s="1982"/>
      <c r="DC42" s="1982">
        <f t="shared" ref="DC42:DK42" si="86">DC25/DC12</f>
        <v>3.3352337514253136E-2</v>
      </c>
      <c r="DD42" s="1982">
        <f t="shared" si="86"/>
        <v>3.3469546604397743E-2</v>
      </c>
      <c r="DE42" s="1982">
        <f>DE25/DE12</f>
        <v>2.9810298102981029E-2</v>
      </c>
      <c r="DF42" s="2089">
        <f t="shared" si="86"/>
        <v>3.2071237240280895E-2</v>
      </c>
      <c r="DG42" s="1982">
        <f>DG25/DG12</f>
        <v>3.0937740199846273E-2</v>
      </c>
      <c r="DH42" s="1982">
        <f>DH25/DH12</f>
        <v>3.0255091951750048E-2</v>
      </c>
      <c r="DI42" s="1982">
        <f>DI25/DI12</f>
        <v>3.3005211349160395E-2</v>
      </c>
      <c r="DJ42" s="1982">
        <f>DJ25/DJ12</f>
        <v>3.2153032153032154E-2</v>
      </c>
      <c r="DK42" s="2089">
        <f t="shared" si="86"/>
        <v>3.1587738258989979E-2</v>
      </c>
      <c r="DL42" s="2185">
        <f t="shared" ref="DL42:DQ42" si="87">DL25/DL12</f>
        <v>3.4016393442622951E-2</v>
      </c>
      <c r="DM42" s="1982">
        <f t="shared" si="87"/>
        <v>3.3175355450236969E-2</v>
      </c>
      <c r="DN42" s="1982">
        <f t="shared" si="87"/>
        <v>3.1792512026772642E-2</v>
      </c>
      <c r="DO42" s="1982">
        <f t="shared" si="87"/>
        <v>2.7715508457305891E-2</v>
      </c>
      <c r="DP42" s="2089">
        <f t="shared" si="87"/>
        <v>3.1633243854939735E-2</v>
      </c>
      <c r="DQ42" s="1982">
        <f t="shared" si="87"/>
        <v>2.8444272445820432E-2</v>
      </c>
      <c r="DR42" s="1982">
        <f t="shared" si="77"/>
        <v>3.3175355450236969E-2</v>
      </c>
      <c r="DS42" s="1982">
        <f t="shared" si="77"/>
        <v>3.1792512026772642E-2</v>
      </c>
      <c r="DT42" s="1982">
        <f t="shared" si="77"/>
        <v>2.7715508457305891E-2</v>
      </c>
      <c r="DU42" s="2089">
        <f>DU25/DU12</f>
        <v>3.1786031539913905E-2</v>
      </c>
      <c r="DV42" s="1982">
        <f t="shared" si="78"/>
        <v>2.8444272445820432E-2</v>
      </c>
      <c r="DW42" s="1982">
        <f t="shared" si="79"/>
        <v>3.3175355450236969E-2</v>
      </c>
      <c r="DX42" s="1982">
        <f t="shared" si="80"/>
        <v>3.1792512026772642E-2</v>
      </c>
      <c r="DY42" s="1982">
        <f t="shared" si="81"/>
        <v>2.7715508457305891E-2</v>
      </c>
      <c r="DZ42" s="2089">
        <f>DZ25/DZ12</f>
        <v>3.3945569910342442E-2</v>
      </c>
      <c r="EA42" s="1982">
        <f t="shared" si="82"/>
        <v>2.8444272445820432E-2</v>
      </c>
      <c r="EB42" s="1982">
        <f t="shared" si="83"/>
        <v>3.3175355450236969E-2</v>
      </c>
      <c r="EC42" s="1982">
        <f t="shared" si="84"/>
        <v>3.1792512026772642E-2</v>
      </c>
      <c r="ED42" s="1982">
        <f t="shared" si="85"/>
        <v>2.7715508457305891E-2</v>
      </c>
      <c r="EE42" s="2089">
        <f>EE25/EE12</f>
        <v>3.3849991105950154E-2</v>
      </c>
    </row>
    <row r="43" spans="1:135">
      <c r="CW43" s="1689"/>
      <c r="CX43" s="1689"/>
      <c r="CY43" s="1689"/>
      <c r="CZ43" s="1689"/>
      <c r="DA43" s="1689"/>
      <c r="DB43" s="1689"/>
      <c r="DC43" s="1689"/>
      <c r="DD43" s="1689"/>
      <c r="DE43" s="1689"/>
      <c r="DG43" s="1689"/>
      <c r="DK43" s="1689"/>
      <c r="DL43" s="1689"/>
      <c r="DM43" s="1689"/>
      <c r="DN43" s="1689"/>
      <c r="DO43" s="1689"/>
      <c r="DP43" s="1689"/>
      <c r="DQ43" s="1689"/>
      <c r="DR43" s="1689"/>
      <c r="DS43" s="1689"/>
      <c r="DT43" s="1689"/>
      <c r="DU43" s="1689"/>
      <c r="DV43" s="1689"/>
      <c r="DW43" s="1689"/>
      <c r="DX43" s="1689"/>
      <c r="DY43" s="1689"/>
      <c r="DZ43" s="1689"/>
      <c r="EA43" s="1689"/>
      <c r="EB43" s="1689"/>
      <c r="EC43" s="1689"/>
      <c r="ED43" s="1689"/>
      <c r="EE43" s="1689"/>
    </row>
    <row r="44" spans="1:135">
      <c r="DV44"/>
      <c r="DW44"/>
      <c r="DX44"/>
      <c r="DY44"/>
      <c r="DZ44"/>
      <c r="EA44"/>
      <c r="EB44"/>
      <c r="EC44"/>
      <c r="ED44"/>
      <c r="EE44"/>
    </row>
    <row r="45" spans="1:135">
      <c r="DG45" s="2125"/>
      <c r="DQ45" s="2338"/>
    </row>
    <row r="46" spans="1:135">
      <c r="CX46" s="1523"/>
      <c r="CY46" s="1524"/>
      <c r="CZ46" s="1280"/>
      <c r="DA46" s="1280"/>
      <c r="DG46" s="2125"/>
      <c r="DQ46" s="2338"/>
    </row>
    <row r="47" spans="1:135" hidden="1" outlineLevel="1">
      <c r="B47" t="s">
        <v>542</v>
      </c>
      <c r="CX47" s="1523"/>
      <c r="CY47" s="1524"/>
      <c r="CZ47" s="1280"/>
      <c r="DA47" s="1280"/>
      <c r="DC47" s="2014">
        <f>DC12+'International Retail'!DC13</f>
        <v>5525</v>
      </c>
      <c r="DD47" s="2014">
        <f>DD12+'International Retail'!DD13</f>
        <v>8370</v>
      </c>
      <c r="DE47" s="2014">
        <f>DE12+'International Retail'!DE13</f>
        <v>8575</v>
      </c>
      <c r="DF47" s="2014">
        <f>DF12+'International Retail'!DF13</f>
        <v>22470</v>
      </c>
      <c r="DG47" s="2014">
        <f>DG12+'International Retail'!DG13</f>
        <v>8663</v>
      </c>
      <c r="DH47" s="2014">
        <f>DH12+'International Retail'!DH13</f>
        <v>8684</v>
      </c>
      <c r="DI47" s="2014">
        <f>DI12+'International Retail'!DI13</f>
        <v>8313</v>
      </c>
      <c r="DJ47" s="2014">
        <f>DJ12+'International Retail'!DJ13</f>
        <v>7889</v>
      </c>
      <c r="DK47" s="2014">
        <f>DK12+'International Retail'!DK13</f>
        <v>33549</v>
      </c>
      <c r="DL47" s="2014">
        <f>DL12+'International Retail'!DL13</f>
        <v>7842</v>
      </c>
      <c r="DM47" s="2014">
        <f>DM12+'International Retail'!DM13</f>
        <v>7532</v>
      </c>
      <c r="DN47" s="2014">
        <f>DN12+'International Retail'!DN13</f>
        <v>7590</v>
      </c>
      <c r="DO47" s="2014">
        <f>DO12+'International Retail'!DO13</f>
        <v>7848</v>
      </c>
      <c r="DP47" s="2014">
        <f>DP12+'International Retail'!DP13</f>
        <v>30812</v>
      </c>
      <c r="DQ47" s="2014">
        <f>DQ12+'International Retail'!DQ13</f>
        <v>8251</v>
      </c>
      <c r="DR47" s="2014">
        <f>DR12+'International Retail'!DR13</f>
        <v>7979.5147862431304</v>
      </c>
      <c r="DS47" s="2014">
        <f>DS12+'International Retail'!DS13</f>
        <v>7961.3100303560668</v>
      </c>
      <c r="DT47" s="2014">
        <f>DT12+'International Retail'!DT13</f>
        <v>8143.8780395738468</v>
      </c>
      <c r="DU47" s="2014">
        <f>DU12+'International Retail'!DU13</f>
        <v>32335.702856173048</v>
      </c>
      <c r="DV47" s="2014">
        <f>DV12+'International Retail'!DV13</f>
        <v>8441.8969488648418</v>
      </c>
      <c r="DW47" s="2014">
        <f>DW12+'International Retail'!DW13</f>
        <v>8175.7535855411388</v>
      </c>
      <c r="DX47" s="2014">
        <f>DX12+'International Retail'!DX13</f>
        <v>8149.0293533480808</v>
      </c>
      <c r="DY47" s="2014">
        <f>DY12+'International Retail'!DY13</f>
        <v>8335.4999762391762</v>
      </c>
      <c r="DZ47" s="2014">
        <f>DZ12+'International Retail'!DZ13</f>
        <v>33102.179863993239</v>
      </c>
      <c r="EA47" s="2014">
        <f>EA12+'International Retail'!EA13</f>
        <v>8638.6786003819216</v>
      </c>
      <c r="EB47" s="2014">
        <f>EB12+'International Retail'!EB13</f>
        <v>8377.5970791144082</v>
      </c>
      <c r="EC47" s="2014">
        <f>EC12+'International Retail'!EC13</f>
        <v>8341.9385175672942</v>
      </c>
      <c r="ED47" s="2014">
        <f>ED12+'International Retail'!ED13</f>
        <v>8532.4103749938113</v>
      </c>
      <c r="EE47" s="2014">
        <f>EE12+'International Retail'!EE13</f>
        <v>33890.62457205743</v>
      </c>
    </row>
    <row r="48" spans="1:135" hidden="1" outlineLevel="1">
      <c r="B48" t="s">
        <v>232</v>
      </c>
      <c r="CX48" s="1523"/>
      <c r="CY48" s="1524"/>
      <c r="CZ48" s="1280"/>
      <c r="DA48" s="1280"/>
      <c r="DC48" s="2014">
        <f>DC16+'International Retail'!DC15</f>
        <v>1140</v>
      </c>
      <c r="DD48" s="2014">
        <f>DD16+'International Retail'!DD15</f>
        <v>1953</v>
      </c>
      <c r="DE48" s="2014">
        <f>DE16+'International Retail'!DE15</f>
        <v>2016</v>
      </c>
      <c r="DF48" s="2014">
        <f>DF16+'International Retail'!DF15</f>
        <v>5318.4429230769229</v>
      </c>
      <c r="DG48" s="2014">
        <f>DG16+'International Retail'!DG15</f>
        <v>2062</v>
      </c>
      <c r="DH48" s="2014">
        <f>DH16+'International Retail'!DH15</f>
        <v>2051</v>
      </c>
      <c r="DI48" s="2014">
        <f>DI16+'International Retail'!DI15</f>
        <v>1899</v>
      </c>
      <c r="DJ48" s="2014">
        <f>DJ16+'International Retail'!DJ15</f>
        <v>1775</v>
      </c>
      <c r="DK48" s="2014">
        <f>DK16+'International Retail'!DK15</f>
        <v>7859</v>
      </c>
      <c r="DL48" s="2014">
        <f>DL16+'International Retail'!DL15</f>
        <v>1677</v>
      </c>
      <c r="DM48" s="2014">
        <f>DM16+'International Retail'!DM15</f>
        <v>1689</v>
      </c>
      <c r="DN48" s="2014">
        <f>DN16+'International Retail'!DN15</f>
        <v>1633</v>
      </c>
      <c r="DO48" s="2014">
        <f>DO16+'International Retail'!DO15</f>
        <v>1712</v>
      </c>
      <c r="DP48" s="2014">
        <f>DP16+'International Retail'!DP15</f>
        <v>6717</v>
      </c>
      <c r="DQ48" s="2014">
        <f>DQ16+'International Retail'!DQ15</f>
        <v>1746</v>
      </c>
      <c r="DR48" s="2014">
        <f>DR16+'International Retail'!DR15</f>
        <v>1866.7094203359334</v>
      </c>
      <c r="DS48" s="2014">
        <f>DS16+'International Retail'!DS15</f>
        <v>1793.0689790045446</v>
      </c>
      <c r="DT48" s="2014">
        <f>DT16+'International Retail'!DT15</f>
        <v>1836.8508782871595</v>
      </c>
      <c r="DU48" s="2014">
        <f>DU16+'International Retail'!DU15</f>
        <v>7242.6292776276377</v>
      </c>
      <c r="DV48" s="2014">
        <f>DV16+'International Retail'!DV15</f>
        <v>1798.8424506683639</v>
      </c>
      <c r="DW48" s="2014">
        <f>DW16+'International Retail'!DW15</f>
        <v>1924.4299833808147</v>
      </c>
      <c r="DX48" s="2014">
        <f>DX16+'International Retail'!DX15</f>
        <v>1847.8781586067009</v>
      </c>
      <c r="DY48" s="2014">
        <f>DY16+'International Retail'!DY15</f>
        <v>1893.3606551316241</v>
      </c>
      <c r="DZ48" s="2014">
        <f>DZ16+'International Retail'!DZ15</f>
        <v>7464.5112477875036</v>
      </c>
      <c r="EA48" s="2014">
        <f>EA16+'International Retail'!EA15</f>
        <v>1853.6770217377466</v>
      </c>
      <c r="EB48" s="2014">
        <f>EB16+'International Retail'!EB15</f>
        <v>1984.049563253212</v>
      </c>
      <c r="EC48" s="2014">
        <f>EC16+'International Retail'!EC15</f>
        <v>1904.4797183332571</v>
      </c>
      <c r="ED48" s="2014">
        <f>ED16+'International Retail'!ED15</f>
        <v>1951.7244462269232</v>
      </c>
      <c r="EE48" s="2014">
        <f>EE16+'International Retail'!EE15</f>
        <v>7693.9307495511393</v>
      </c>
    </row>
    <row r="49" spans="2:135" hidden="1" outlineLevel="1">
      <c r="B49" t="s">
        <v>298</v>
      </c>
      <c r="CX49" s="1523"/>
      <c r="CY49" s="1524"/>
      <c r="CZ49" s="1280"/>
      <c r="DA49" s="1280"/>
      <c r="DC49" s="1237">
        <f>DC48/DC47</f>
        <v>0.20633484162895926</v>
      </c>
      <c r="DD49" s="1237">
        <f t="shared" ref="DD49:DP49" si="88">DD48/DD47</f>
        <v>0.23333333333333334</v>
      </c>
      <c r="DE49" s="1237">
        <f t="shared" si="88"/>
        <v>0.23510204081632652</v>
      </c>
      <c r="DF49" s="1237">
        <f t="shared" si="88"/>
        <v>0.23669082879737086</v>
      </c>
      <c r="DG49" s="1237">
        <f t="shared" ref="DG49" si="89">DG48/DG47</f>
        <v>0.23802377929123861</v>
      </c>
      <c r="DH49" s="1237">
        <f t="shared" si="88"/>
        <v>0.2361814831874712</v>
      </c>
      <c r="DI49" s="1237">
        <f t="shared" si="88"/>
        <v>0.22843738722482859</v>
      </c>
      <c r="DJ49" s="1237">
        <f t="shared" si="88"/>
        <v>0.22499683103054888</v>
      </c>
      <c r="DK49" s="1237">
        <f t="shared" si="88"/>
        <v>0.23425437419893291</v>
      </c>
      <c r="DL49" s="1237">
        <f t="shared" si="88"/>
        <v>0.21384850803366487</v>
      </c>
      <c r="DM49" s="1237">
        <f t="shared" si="88"/>
        <v>0.22424322889006904</v>
      </c>
      <c r="DN49" s="1237">
        <f t="shared" si="88"/>
        <v>0.21515151515151515</v>
      </c>
      <c r="DO49" s="1237">
        <f t="shared" si="88"/>
        <v>0.21814475025484201</v>
      </c>
      <c r="DP49" s="1237">
        <f t="shared" si="88"/>
        <v>0.2179994807217967</v>
      </c>
      <c r="DQ49" s="1237">
        <f t="shared" ref="DQ49" si="90">DQ48/DQ47</f>
        <v>0.21161071385286631</v>
      </c>
      <c r="DR49" s="1237">
        <f t="shared" ref="DR49:DZ49" si="91">DR48/DR47</f>
        <v>0.23393771054277435</v>
      </c>
      <c r="DS49" s="1237">
        <f t="shared" si="91"/>
        <v>0.22522285555614147</v>
      </c>
      <c r="DT49" s="1237">
        <f t="shared" si="91"/>
        <v>0.22554990010426021</v>
      </c>
      <c r="DU49" s="1237">
        <f t="shared" si="91"/>
        <v>0.22398242926224143</v>
      </c>
      <c r="DV49" s="1237">
        <f t="shared" si="91"/>
        <v>0.21308509942309226</v>
      </c>
      <c r="DW49" s="1237">
        <f t="shared" si="91"/>
        <v>0.2353825813420036</v>
      </c>
      <c r="DX49" s="1237">
        <f t="shared" si="91"/>
        <v>0.22676052306125127</v>
      </c>
      <c r="DY49" s="1237">
        <f t="shared" si="91"/>
        <v>0.22714422176579185</v>
      </c>
      <c r="DZ49" s="1237">
        <f t="shared" si="91"/>
        <v>0.22549908430371968</v>
      </c>
      <c r="EA49" s="1237">
        <f t="shared" ref="EA49:EE49" si="92">EA48/EA47</f>
        <v>0.21457876921775912</v>
      </c>
      <c r="EB49" s="1237">
        <f t="shared" si="92"/>
        <v>0.23682800026268927</v>
      </c>
      <c r="EC49" s="1237">
        <f t="shared" si="92"/>
        <v>0.22830181669675603</v>
      </c>
      <c r="ED49" s="1237">
        <f t="shared" si="92"/>
        <v>0.22874244913804193</v>
      </c>
      <c r="EE49" s="1237">
        <f t="shared" si="92"/>
        <v>0.22702239473906682</v>
      </c>
    </row>
    <row r="50" spans="2:135" hidden="1" outlineLevel="1">
      <c r="B50" t="s">
        <v>543</v>
      </c>
      <c r="CX50" s="1523"/>
      <c r="CY50" s="1524"/>
      <c r="CZ50" s="1280"/>
      <c r="DA50" s="1280"/>
      <c r="DC50" s="2014">
        <f>DC18+'International Retail'!DC19</f>
        <v>1051</v>
      </c>
      <c r="DD50" s="2014">
        <f>DD18+'International Retail'!DD19</f>
        <v>1586</v>
      </c>
      <c r="DE50" s="2014">
        <f>DE18+'International Retail'!DE19</f>
        <v>1641</v>
      </c>
      <c r="DF50" s="2014">
        <f>DF18+'International Retail'!DF19</f>
        <v>4278</v>
      </c>
      <c r="DG50" s="2014">
        <f>DG18+'International Retail'!DG19</f>
        <v>1617</v>
      </c>
      <c r="DH50" s="2014">
        <f>DH18+'International Retail'!DH19</f>
        <v>1582</v>
      </c>
      <c r="DI50" s="2014">
        <f>DI18+'International Retail'!DI19</f>
        <v>1533</v>
      </c>
      <c r="DJ50" s="2014">
        <f>DJ18+'International Retail'!DJ19</f>
        <v>1448</v>
      </c>
      <c r="DK50" s="2014">
        <f>DK18+'International Retail'!DK19</f>
        <v>6180</v>
      </c>
      <c r="DL50" s="2014">
        <f>DL18+'International Retail'!DL19</f>
        <v>1352</v>
      </c>
      <c r="DM50" s="2014">
        <f>DM18+'International Retail'!DM19</f>
        <v>1368</v>
      </c>
      <c r="DN50" s="2014">
        <f>DN18+'International Retail'!DN19</f>
        <v>1381</v>
      </c>
      <c r="DO50" s="2014">
        <f>DO18+'International Retail'!DO19</f>
        <v>1390</v>
      </c>
      <c r="DP50" s="2014">
        <f>DP18+'International Retail'!DP19</f>
        <v>5491</v>
      </c>
      <c r="DQ50" s="2014">
        <f>DQ18+'International Retail'!DQ19</f>
        <v>1436</v>
      </c>
      <c r="DR50" s="2014">
        <f>DR18+'International Retail'!DR19</f>
        <v>1523.4521041039309</v>
      </c>
      <c r="DS50" s="2014">
        <f>DS18+'International Retail'!DS19</f>
        <v>1478.3773614584738</v>
      </c>
      <c r="DT50" s="2014">
        <f>DT18+'International Retail'!DT19</f>
        <v>1456.0350444760047</v>
      </c>
      <c r="DU50" s="2014">
        <f>DU18+'International Retail'!DU19</f>
        <v>5893.8645100384092</v>
      </c>
      <c r="DV50" s="2014">
        <f>DV18+'International Retail'!DV19</f>
        <v>1480.1858731169104</v>
      </c>
      <c r="DW50" s="2014">
        <f>DW18+'International Retail'!DW19</f>
        <v>1571.5190423572321</v>
      </c>
      <c r="DX50" s="2014">
        <f>DX18+'International Retail'!DX19</f>
        <v>1524.6719971993668</v>
      </c>
      <c r="DY50" s="2014">
        <f>DY18+'International Retail'!DY19</f>
        <v>1501.3126826063003</v>
      </c>
      <c r="DZ50" s="2014">
        <f>DZ18+'International Retail'!DZ19</f>
        <v>6077.6895952798104</v>
      </c>
      <c r="EA50" s="2014">
        <f>EA18+'International Retail'!EA19</f>
        <v>1526.053703437301</v>
      </c>
      <c r="EB50" s="2014">
        <f>EB18+'International Retail'!EB19</f>
        <v>1621.1835856212879</v>
      </c>
      <c r="EC50" s="2014">
        <f>EC18+'International Retail'!EC19</f>
        <v>1572.4994120844003</v>
      </c>
      <c r="ED50" s="2014">
        <f>ED18+'International Retail'!ED19</f>
        <v>1548.0840151093853</v>
      </c>
      <c r="EE50" s="2014">
        <f>EE18+'International Retail'!EE19</f>
        <v>6267.820716252375</v>
      </c>
    </row>
    <row r="51" spans="2:135" hidden="1" outlineLevel="1">
      <c r="B51" t="s">
        <v>544</v>
      </c>
      <c r="CX51" s="1280"/>
      <c r="CY51" s="1237"/>
      <c r="CZ51" s="1280"/>
      <c r="DA51" s="1280"/>
      <c r="DB51" s="1575"/>
      <c r="DC51" s="1689">
        <f>DC50/DC47</f>
        <v>0.1902262443438914</v>
      </c>
      <c r="DD51" s="1689">
        <f t="shared" ref="DD51:DP51" si="93">DD50/DD47</f>
        <v>0.18948626045400238</v>
      </c>
      <c r="DE51" s="1689">
        <f t="shared" si="93"/>
        <v>0.19137026239067056</v>
      </c>
      <c r="DF51" s="1689">
        <f t="shared" si="93"/>
        <v>0.1903871829105474</v>
      </c>
      <c r="DG51" s="1689">
        <f t="shared" ref="DG51" si="94">DG50/DG47</f>
        <v>0.18665589287775597</v>
      </c>
      <c r="DH51" s="1689">
        <f t="shared" si="93"/>
        <v>0.18217411331183786</v>
      </c>
      <c r="DI51" s="1689">
        <f t="shared" si="93"/>
        <v>0.18440996030313966</v>
      </c>
      <c r="DJ51" s="1689">
        <f t="shared" si="93"/>
        <v>0.18354671060970973</v>
      </c>
      <c r="DK51" s="1689">
        <f t="shared" si="93"/>
        <v>0.18420817311991416</v>
      </c>
      <c r="DL51" s="1689">
        <f t="shared" si="93"/>
        <v>0.1724049987248151</v>
      </c>
      <c r="DM51" s="1689">
        <f t="shared" si="93"/>
        <v>0.18162506638343071</v>
      </c>
      <c r="DN51" s="1689">
        <f t="shared" si="93"/>
        <v>0.18194993412384716</v>
      </c>
      <c r="DO51" s="1689">
        <f t="shared" si="93"/>
        <v>0.17711518858307848</v>
      </c>
      <c r="DP51" s="1689">
        <f t="shared" si="93"/>
        <v>0.17820978839413215</v>
      </c>
      <c r="DQ51" s="1689">
        <f t="shared" ref="DQ51" si="95">DQ50/DQ47</f>
        <v>0.17403951036238033</v>
      </c>
      <c r="DR51" s="1689">
        <f t="shared" ref="DR51:DZ51" si="96">DR50/DR47</f>
        <v>0.19092039364729266</v>
      </c>
      <c r="DS51" s="1689">
        <f t="shared" si="96"/>
        <v>0.18569523807281677</v>
      </c>
      <c r="DT51" s="1689">
        <f t="shared" si="96"/>
        <v>0.17878890589970037</v>
      </c>
      <c r="DU51" s="1689">
        <f t="shared" si="96"/>
        <v>0.18227111178791777</v>
      </c>
      <c r="DV51" s="1689">
        <f t="shared" si="96"/>
        <v>0.17533806466518723</v>
      </c>
      <c r="DW51" s="1689">
        <f t="shared" si="96"/>
        <v>0.19221702634683993</v>
      </c>
      <c r="DX51" s="1689">
        <f t="shared" si="96"/>
        <v>0.18709860169701631</v>
      </c>
      <c r="DY51" s="1689">
        <f t="shared" si="96"/>
        <v>0.1801106936459575</v>
      </c>
      <c r="DZ51" s="1689">
        <f t="shared" si="96"/>
        <v>0.18360390826982342</v>
      </c>
      <c r="EA51" s="1689">
        <f t="shared" ref="EA51:EE51" si="97">EA50/EA47</f>
        <v>0.17665360340756667</v>
      </c>
      <c r="EB51" s="1689">
        <f t="shared" si="97"/>
        <v>0.19351415093272334</v>
      </c>
      <c r="EC51" s="1689">
        <f t="shared" si="97"/>
        <v>0.18850527473594689</v>
      </c>
      <c r="ED51" s="1689">
        <f t="shared" si="97"/>
        <v>0.18143571945934542</v>
      </c>
      <c r="EE51" s="1689">
        <f t="shared" si="97"/>
        <v>0.18494261452532057</v>
      </c>
    </row>
    <row r="52" spans="2:135" hidden="1" outlineLevel="1">
      <c r="B52" t="s">
        <v>234</v>
      </c>
      <c r="CW52" s="4"/>
      <c r="CX52" s="1574"/>
      <c r="CY52" s="1237"/>
      <c r="CZ52" s="1237"/>
      <c r="DA52" s="1576"/>
      <c r="DC52">
        <f>DC25+'International Retail'!DC26</f>
        <v>242</v>
      </c>
      <c r="DD52">
        <f>DD25+'International Retail'!DD26</f>
        <v>421</v>
      </c>
      <c r="DE52">
        <f>DE25+'International Retail'!DE26</f>
        <v>396</v>
      </c>
      <c r="DF52">
        <f>DF25+'International Retail'!DF26</f>
        <v>1059</v>
      </c>
      <c r="DG52" s="2125">
        <f>DG25+'International Retail'!DG26</f>
        <v>476</v>
      </c>
      <c r="DH52">
        <f>DH25+'International Retail'!DH26</f>
        <v>488</v>
      </c>
      <c r="DI52">
        <f>DI25+'International Retail'!DI26</f>
        <v>429</v>
      </c>
      <c r="DJ52">
        <f>DJ25+'International Retail'!DJ26</f>
        <v>405</v>
      </c>
      <c r="DK52">
        <f>DK25+'International Retail'!DK26</f>
        <v>1798</v>
      </c>
      <c r="DL52">
        <f>DL25+'International Retail'!DL26</f>
        <v>379</v>
      </c>
      <c r="DM52">
        <f>DM25+'International Retail'!DM26</f>
        <v>389</v>
      </c>
      <c r="DN52">
        <f>DN25+'International Retail'!DN26</f>
        <v>345</v>
      </c>
      <c r="DO52">
        <f>DO25+'International Retail'!DO26</f>
        <v>397</v>
      </c>
      <c r="DP52">
        <f>DP25+'International Retail'!DP26</f>
        <v>1510</v>
      </c>
      <c r="DQ52" s="2338">
        <f>DQ25+'International Retail'!DQ26</f>
        <v>357</v>
      </c>
      <c r="DR52">
        <f>DR25+'International Retail'!DR26</f>
        <v>390.25731623200249</v>
      </c>
      <c r="DS52">
        <f>DS25+'International Retail'!DS26</f>
        <v>361.69161754607086</v>
      </c>
      <c r="DT52">
        <f>DT25+'International Retail'!DT26</f>
        <v>427.81583381115473</v>
      </c>
      <c r="DU52">
        <f>DU25+'International Retail'!DU26</f>
        <v>1536.7647675892281</v>
      </c>
      <c r="DV52" s="2161">
        <f>DV25+'International Retail'!DV26</f>
        <v>376.65657755145332</v>
      </c>
      <c r="DW52" s="2161">
        <f>DW25+'International Retail'!DW26</f>
        <v>410.91094102358267</v>
      </c>
      <c r="DX52" s="2161">
        <f>DX25+'International Retail'!DX26</f>
        <v>381.20616140733404</v>
      </c>
      <c r="DY52" s="2161">
        <f>DY25+'International Retail'!DY26</f>
        <v>450.04797252532376</v>
      </c>
      <c r="DZ52" s="2161">
        <f>DZ25+'International Retail'!DZ26</f>
        <v>1618.8216525076937</v>
      </c>
      <c r="EA52" s="2248">
        <f>EA25+'International Retail'!EA26</f>
        <v>385.62331830044559</v>
      </c>
      <c r="EB52" s="2248">
        <f>EB25+'International Retail'!EB26</f>
        <v>420.8659776319239</v>
      </c>
      <c r="EC52" s="2248">
        <f>EC25+'International Retail'!EC26</f>
        <v>389.98030624885678</v>
      </c>
      <c r="ED52" s="2248">
        <f>ED25+'International Retail'!ED26</f>
        <v>461.64043111753767</v>
      </c>
      <c r="EE52" s="2248">
        <f>EE25+'International Retail'!EE26</f>
        <v>1658.1100332987639</v>
      </c>
    </row>
    <row r="53" spans="2:135" hidden="1" outlineLevel="1">
      <c r="B53" t="s">
        <v>545</v>
      </c>
      <c r="DC53" s="1689">
        <f>DC52/DC47</f>
        <v>4.3800904977375564E-2</v>
      </c>
      <c r="DD53" s="1689">
        <f t="shared" ref="DD53:DP53" si="98">DD52/DD47</f>
        <v>5.0298685782556751E-2</v>
      </c>
      <c r="DE53" s="1689">
        <f t="shared" si="98"/>
        <v>4.6180758017492711E-2</v>
      </c>
      <c r="DF53" s="1689">
        <f t="shared" si="98"/>
        <v>4.7129506008010684E-2</v>
      </c>
      <c r="DG53" s="1689">
        <f t="shared" ref="DG53" si="99">DG52/DG47</f>
        <v>5.4946323444534227E-2</v>
      </c>
      <c r="DH53" s="1689">
        <f t="shared" si="98"/>
        <v>5.6195301704283739E-2</v>
      </c>
      <c r="DI53" s="1689">
        <f t="shared" si="98"/>
        <v>5.1605918440996032E-2</v>
      </c>
      <c r="DJ53" s="1689">
        <f t="shared" si="98"/>
        <v>5.1337305108378757E-2</v>
      </c>
      <c r="DK53" s="1689">
        <f t="shared" si="98"/>
        <v>5.3593251661748484E-2</v>
      </c>
      <c r="DL53" s="1689">
        <f t="shared" si="98"/>
        <v>4.8329507778627899E-2</v>
      </c>
      <c r="DM53" s="1689">
        <f t="shared" si="98"/>
        <v>5.1646309081253318E-2</v>
      </c>
      <c r="DN53" s="1689">
        <f t="shared" si="98"/>
        <v>4.5454545454545456E-2</v>
      </c>
      <c r="DO53" s="1689">
        <f t="shared" si="98"/>
        <v>5.0586136595310909E-2</v>
      </c>
      <c r="DP53" s="1689">
        <f t="shared" si="98"/>
        <v>4.9006880436193688E-2</v>
      </c>
      <c r="DQ53" s="1689">
        <f t="shared" ref="DQ53" si="100">DQ52/DQ47</f>
        <v>4.326748272936614E-2</v>
      </c>
      <c r="DR53" s="1689">
        <f t="shared" ref="DR53:DZ53" si="101">DR52/DR47</f>
        <v>4.8907399345235275E-2</v>
      </c>
      <c r="DS53" s="1689">
        <f t="shared" si="101"/>
        <v>4.5431168509574335E-2</v>
      </c>
      <c r="DT53" s="1689">
        <f t="shared" si="101"/>
        <v>5.2532200474055907E-2</v>
      </c>
      <c r="DU53" s="1689">
        <f t="shared" si="101"/>
        <v>4.7525324389101752E-2</v>
      </c>
      <c r="DV53" s="1689">
        <f t="shared" si="101"/>
        <v>4.4617528481214315E-2</v>
      </c>
      <c r="DW53" s="1689">
        <f t="shared" si="101"/>
        <v>5.0259702267724984E-2</v>
      </c>
      <c r="DX53" s="1689">
        <f t="shared" si="101"/>
        <v>4.6779333449168771E-2</v>
      </c>
      <c r="DY53" s="1689">
        <f t="shared" si="101"/>
        <v>5.3991719010042766E-2</v>
      </c>
      <c r="DZ53" s="1689">
        <f t="shared" si="101"/>
        <v>4.8903777913084215E-2</v>
      </c>
      <c r="EA53" s="1689">
        <f t="shared" ref="EA53:EE53" si="102">EA52/EA47</f>
        <v>4.4639155609215157E-2</v>
      </c>
      <c r="EB53" s="1689">
        <f t="shared" si="102"/>
        <v>5.0237075578766485E-2</v>
      </c>
      <c r="EC53" s="1689">
        <f t="shared" si="102"/>
        <v>4.6749362324787817E-2</v>
      </c>
      <c r="ED53" s="1689">
        <f t="shared" si="102"/>
        <v>5.410433990264709E-2</v>
      </c>
      <c r="EE53" s="1689">
        <f t="shared" si="102"/>
        <v>4.8925331245322147E-2</v>
      </c>
    </row>
    <row r="54" spans="2:135" collapsed="1">
      <c r="CX54" s="1573"/>
    </row>
    <row r="55" spans="2:135">
      <c r="CX55" s="1524"/>
      <c r="CY55" s="1237"/>
      <c r="DQ55" s="1898">
        <f>DQ39-DL39</f>
        <v>-1.8626605085519943E-3</v>
      </c>
      <c r="DR55" s="1898">
        <f t="shared" ref="DR55:DT58" si="103">DR39-DM39</f>
        <v>5.0000000000000044E-3</v>
      </c>
      <c r="DS55" s="1898">
        <f t="shared" si="103"/>
        <v>5.0000000000000044E-3</v>
      </c>
      <c r="DT55" s="1898">
        <f t="shared" si="103"/>
        <v>5.0000000000000044E-3</v>
      </c>
    </row>
    <row r="56" spans="2:135">
      <c r="CX56" s="1524"/>
      <c r="DQ56" s="1898">
        <f t="shared" ref="DQ56:DQ58" si="104">DQ40-DL40</f>
        <v>-1.8626605085519943E-3</v>
      </c>
      <c r="DR56" s="1898">
        <f t="shared" si="103"/>
        <v>5.0000000000000044E-3</v>
      </c>
      <c r="DS56" s="1898">
        <f t="shared" si="103"/>
        <v>6.2549675800041976E-3</v>
      </c>
      <c r="DT56" s="1898">
        <f t="shared" si="103"/>
        <v>5.0000000000000183E-3</v>
      </c>
    </row>
    <row r="57" spans="2:135">
      <c r="CX57" s="1524"/>
      <c r="DQ57" s="1898">
        <f t="shared" si="104"/>
        <v>3.0598132264122169E-3</v>
      </c>
      <c r="DR57" s="1898">
        <f t="shared" si="103"/>
        <v>2.0000000000000018E-3</v>
      </c>
      <c r="DS57" s="1898">
        <f t="shared" si="103"/>
        <v>0</v>
      </c>
      <c r="DT57" s="1898">
        <f t="shared" si="103"/>
        <v>0</v>
      </c>
    </row>
    <row r="58" spans="2:135">
      <c r="CX58" s="1524"/>
      <c r="DQ58" s="1898">
        <f t="shared" si="104"/>
        <v>-5.5721209968025188E-3</v>
      </c>
      <c r="DR58" s="1898">
        <f t="shared" si="103"/>
        <v>0</v>
      </c>
      <c r="DS58" s="1898">
        <f t="shared" si="103"/>
        <v>0</v>
      </c>
      <c r="DT58" s="1898">
        <f t="shared" si="103"/>
        <v>0</v>
      </c>
    </row>
    <row r="62" spans="2:135">
      <c r="DB62" s="1459"/>
    </row>
  </sheetData>
  <pageMargins left="0.75" right="0.75" top="1" bottom="1" header="0.5" footer="0.5"/>
  <pageSetup scale="60" orientation="landscape"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IK262"/>
  <sheetViews>
    <sheetView showGridLines="0" zoomScaleNormal="100" workbookViewId="0">
      <pane xSplit="84" ySplit="7" topLeftCell="CW8" activePane="bottomRight" state="frozen"/>
      <selection pane="topRight" activeCell="CG1" sqref="CG1"/>
      <selection pane="bottomLeft" activeCell="A8" sqref="A8"/>
      <selection pane="bottomRight" activeCell="CW8" sqref="CW8"/>
    </sheetView>
  </sheetViews>
  <sheetFormatPr defaultColWidth="9.83203125" defaultRowHeight="11.25" outlineLevelCol="1"/>
  <cols>
    <col min="1" max="1" width="2.33203125" customWidth="1"/>
    <col min="2" max="2" width="54.1640625" bestFit="1" customWidth="1"/>
    <col min="3" max="3" width="2.33203125" customWidth="1"/>
    <col min="4" max="84" width="0" hidden="1" customWidth="1"/>
    <col min="85" max="85" width="9.33203125" hidden="1" customWidth="1" outlineLevel="1"/>
    <col min="86" max="89" width="9.83203125" hidden="1" customWidth="1" outlineLevel="1"/>
    <col min="90" max="90" width="9.33203125" hidden="1" customWidth="1" outlineLevel="1"/>
    <col min="91" max="94" width="9.83203125" hidden="1" customWidth="1" outlineLevel="1"/>
    <col min="95" max="100" width="9.33203125" hidden="1" customWidth="1" outlineLevel="1"/>
    <col min="101" max="101" width="9.33203125" customWidth="1" collapsed="1"/>
    <col min="102" max="112" width="9.33203125" customWidth="1"/>
    <col min="126" max="130" width="9.83203125" style="2161"/>
    <col min="131" max="135" width="9.83203125" style="2248"/>
  </cols>
  <sheetData>
    <row r="1" spans="1:245">
      <c r="CY1" s="1237"/>
      <c r="CZ1" s="1237"/>
      <c r="DB1" s="1616"/>
      <c r="DC1" s="1954">
        <v>1000</v>
      </c>
      <c r="DD1" s="1689">
        <f>DC1/$DC$3</f>
        <v>0.44444444444444442</v>
      </c>
      <c r="DE1" s="1616">
        <v>2.222</v>
      </c>
      <c r="DF1" s="1955">
        <f>DD1*DE1</f>
        <v>0.98755555555555552</v>
      </c>
      <c r="EI1" s="1178" t="s">
        <v>321</v>
      </c>
      <c r="EJ1" s="1178" t="s">
        <v>322</v>
      </c>
      <c r="EK1" s="1178" t="s">
        <v>65</v>
      </c>
      <c r="EL1" s="1178" t="s">
        <v>183</v>
      </c>
      <c r="EM1" s="1178" t="s">
        <v>184</v>
      </c>
      <c r="EN1" s="1178" t="s">
        <v>453</v>
      </c>
    </row>
    <row r="2" spans="1:245">
      <c r="CV2" s="63"/>
      <c r="CW2" s="63"/>
      <c r="CX2" s="63"/>
      <c r="CY2" s="63"/>
      <c r="CZ2" s="63"/>
      <c r="DA2" s="63"/>
      <c r="DB2" s="63"/>
      <c r="DC2" s="391">
        <v>1250</v>
      </c>
      <c r="DD2" s="1689">
        <f>DC2/$DC$3</f>
        <v>0.55555555555555558</v>
      </c>
      <c r="DE2" s="63">
        <v>2.4460000000000002</v>
      </c>
      <c r="DF2" s="1955">
        <f>DD2*DE2</f>
        <v>1.358888888888889</v>
      </c>
      <c r="DG2" s="63"/>
      <c r="DH2" s="63"/>
      <c r="DI2" s="63"/>
      <c r="DJ2" s="63"/>
      <c r="DK2" s="63"/>
      <c r="DL2" s="63"/>
      <c r="DM2" s="63"/>
      <c r="DN2" s="63"/>
      <c r="DO2" s="63"/>
      <c r="DP2" s="63"/>
      <c r="DQ2" s="63"/>
      <c r="DR2" s="63"/>
      <c r="DS2" s="63"/>
      <c r="DT2" s="63"/>
      <c r="DU2" s="63"/>
      <c r="DV2" s="63"/>
      <c r="DW2" s="63"/>
      <c r="DX2" s="63"/>
      <c r="DY2" s="63"/>
      <c r="DZ2" s="63"/>
      <c r="EA2" s="63"/>
      <c r="EB2" s="63"/>
      <c r="EC2" s="63"/>
      <c r="ED2" s="63"/>
      <c r="EE2" s="63"/>
    </row>
    <row r="3" spans="1:245" ht="12" thickBot="1">
      <c r="CT3" s="1"/>
      <c r="CV3" s="1658"/>
      <c r="CW3" s="1658"/>
      <c r="CX3" s="1658"/>
      <c r="CY3" s="1658"/>
      <c r="CZ3" s="1658"/>
      <c r="DA3" s="1658"/>
      <c r="DB3" s="1658"/>
      <c r="DC3" s="391">
        <f>SUM(DC1:DC2)</f>
        <v>2250</v>
      </c>
      <c r="DD3" s="1658"/>
      <c r="DE3" s="1658"/>
      <c r="DF3" s="1956">
        <f>SUM(DF1:DF2)</f>
        <v>2.3464444444444448</v>
      </c>
      <c r="DG3" s="1658"/>
      <c r="DH3" s="1658"/>
    </row>
    <row r="4" spans="1:245" s="54" customFormat="1" ht="18.75">
      <c r="B4" s="508" t="s">
        <v>52</v>
      </c>
      <c r="C4" s="509"/>
      <c r="D4" s="509"/>
      <c r="E4" s="509"/>
      <c r="F4" s="509"/>
      <c r="G4" s="509"/>
      <c r="H4" s="509"/>
      <c r="I4" s="509"/>
      <c r="J4" s="509"/>
      <c r="K4" s="509"/>
      <c r="L4" s="509"/>
      <c r="M4" s="509"/>
      <c r="N4" s="509"/>
      <c r="O4" s="509"/>
      <c r="P4" s="509"/>
      <c r="Q4" s="509"/>
      <c r="R4" s="509"/>
      <c r="S4" s="509"/>
      <c r="T4" s="509"/>
      <c r="U4" s="509"/>
      <c r="V4" s="509"/>
      <c r="W4" s="509"/>
      <c r="X4" s="509"/>
      <c r="Y4" s="509"/>
      <c r="Z4" s="509"/>
      <c r="AA4" s="509"/>
      <c r="AB4" s="509"/>
      <c r="AC4" s="509"/>
      <c r="AD4" s="509"/>
      <c r="AE4" s="509"/>
      <c r="AF4" s="509"/>
      <c r="AG4" s="509"/>
      <c r="AH4" s="509"/>
      <c r="AI4" s="509"/>
      <c r="AJ4" s="509"/>
      <c r="AK4" s="509"/>
      <c r="AL4" s="509"/>
      <c r="AM4" s="509"/>
      <c r="AN4" s="509"/>
      <c r="AO4" s="509"/>
      <c r="AP4" s="509"/>
      <c r="AQ4" s="509"/>
      <c r="AR4" s="509"/>
      <c r="AS4" s="509"/>
      <c r="AT4" s="509"/>
      <c r="AU4" s="509"/>
      <c r="AV4" s="509"/>
      <c r="AW4" s="509"/>
      <c r="AX4" s="509"/>
      <c r="AY4" s="509"/>
      <c r="AZ4" s="509"/>
      <c r="BA4" s="509"/>
      <c r="BB4" s="509"/>
      <c r="BC4" s="509"/>
      <c r="BD4" s="509"/>
      <c r="BE4" s="509"/>
      <c r="BF4" s="509"/>
      <c r="BG4" s="509"/>
      <c r="BH4" s="509"/>
      <c r="BI4" s="509"/>
      <c r="BJ4" s="509"/>
      <c r="BK4" s="509"/>
      <c r="BL4" s="509"/>
      <c r="BM4" s="509"/>
      <c r="BN4" s="509"/>
      <c r="BO4" s="509"/>
      <c r="BP4" s="509"/>
      <c r="BQ4" s="509"/>
      <c r="BR4" s="509"/>
      <c r="BS4" s="509"/>
      <c r="BT4" s="509"/>
      <c r="BU4" s="509"/>
      <c r="BV4" s="509"/>
      <c r="BW4" s="509"/>
      <c r="BX4" s="509"/>
      <c r="BY4" s="509"/>
      <c r="BZ4" s="509"/>
      <c r="CA4" s="509"/>
      <c r="CB4" s="509"/>
      <c r="CC4" s="509"/>
      <c r="CD4" s="509"/>
      <c r="CE4" s="510"/>
      <c r="CF4" s="511"/>
      <c r="CG4" s="512"/>
      <c r="CH4" s="513"/>
      <c r="CI4" s="513"/>
      <c r="CJ4" s="513"/>
      <c r="CK4" s="513"/>
      <c r="CL4" s="514"/>
      <c r="CM4" s="514"/>
      <c r="CN4" s="514"/>
      <c r="CO4" s="514"/>
      <c r="CP4" s="514"/>
      <c r="CQ4" s="515"/>
      <c r="CR4" s="516"/>
      <c r="CS4" s="509"/>
      <c r="CT4" s="517"/>
      <c r="CU4" s="518"/>
      <c r="CV4" s="509"/>
      <c r="CW4" s="517"/>
      <c r="CX4" s="517"/>
      <c r="CY4" s="519"/>
      <c r="CZ4" s="517"/>
      <c r="DA4" s="509"/>
      <c r="DB4" s="517"/>
      <c r="DC4" s="517"/>
      <c r="DD4" s="517"/>
      <c r="DE4" s="517"/>
      <c r="DF4" s="509"/>
      <c r="DG4" s="509"/>
      <c r="DH4" s="509"/>
      <c r="DI4" s="509"/>
      <c r="DJ4" s="509"/>
      <c r="DK4" s="509"/>
      <c r="DL4" s="509"/>
      <c r="DM4" s="509"/>
      <c r="DN4" s="509"/>
      <c r="DO4" s="509"/>
      <c r="DP4" s="509"/>
      <c r="DQ4" s="509"/>
      <c r="DR4" s="509"/>
      <c r="DS4" s="509"/>
      <c r="DT4" s="509"/>
      <c r="DU4" s="509"/>
      <c r="DV4" s="509"/>
      <c r="DW4" s="509"/>
      <c r="DX4" s="509"/>
      <c r="DY4" s="509"/>
      <c r="DZ4" s="509"/>
      <c r="EA4" s="509"/>
      <c r="EB4" s="509"/>
      <c r="EC4" s="509"/>
      <c r="ED4" s="509"/>
      <c r="EE4" s="509"/>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row>
    <row r="5" spans="1:245" s="54" customFormat="1" ht="12.75" customHeight="1" thickBot="1">
      <c r="B5" s="65" t="s">
        <v>439</v>
      </c>
      <c r="C5" s="66"/>
      <c r="D5" s="66"/>
      <c r="E5" s="66"/>
      <c r="F5" s="66"/>
      <c r="G5" s="66"/>
      <c r="H5" s="66"/>
      <c r="I5" s="66"/>
      <c r="J5" s="66"/>
      <c r="K5" s="66"/>
      <c r="L5" s="66"/>
      <c r="M5" s="66"/>
      <c r="N5" s="66"/>
      <c r="O5" s="66"/>
      <c r="P5" s="66"/>
      <c r="Q5" s="66"/>
      <c r="R5" s="66"/>
      <c r="S5" s="66"/>
      <c r="T5" s="66"/>
      <c r="U5" s="66"/>
      <c r="V5" s="66"/>
      <c r="W5" s="66"/>
      <c r="X5" s="66"/>
      <c r="Y5" s="66"/>
      <c r="Z5" s="66"/>
      <c r="AA5" s="66"/>
      <c r="AB5" s="66"/>
      <c r="AC5" s="66"/>
      <c r="AD5" s="66"/>
      <c r="AE5" s="66"/>
      <c r="AF5" s="66"/>
      <c r="AG5" s="66"/>
      <c r="AH5" s="66"/>
      <c r="AI5" s="66"/>
      <c r="AJ5" s="66"/>
      <c r="AK5" s="66"/>
      <c r="AL5" s="66"/>
      <c r="AM5" s="66"/>
      <c r="AN5" s="66"/>
      <c r="AO5" s="66"/>
      <c r="AP5" s="66"/>
      <c r="AQ5" s="66"/>
      <c r="AR5" s="66"/>
      <c r="AS5" s="66"/>
      <c r="AT5" s="66"/>
      <c r="AU5" s="66"/>
      <c r="AV5" s="66"/>
      <c r="AW5" s="66"/>
      <c r="AX5" s="66"/>
      <c r="AY5" s="66"/>
      <c r="AZ5" s="66"/>
      <c r="BA5" s="66"/>
      <c r="BB5" s="66"/>
      <c r="BC5" s="66"/>
      <c r="BD5" s="66"/>
      <c r="BE5" s="66"/>
      <c r="BF5" s="66"/>
      <c r="BG5" s="66"/>
      <c r="BH5" s="66"/>
      <c r="BI5" s="66"/>
      <c r="BJ5" s="66"/>
      <c r="BK5" s="66"/>
      <c r="BL5" s="66"/>
      <c r="BM5" s="66"/>
      <c r="BN5" s="66"/>
      <c r="BO5" s="66"/>
      <c r="BP5" s="66"/>
      <c r="BQ5" s="66"/>
      <c r="BR5" s="66"/>
      <c r="BS5" s="66"/>
      <c r="BT5" s="66"/>
      <c r="BU5" s="66"/>
      <c r="BV5" s="66"/>
      <c r="BW5" s="66"/>
      <c r="BX5" s="66"/>
      <c r="BY5" s="66"/>
      <c r="BZ5" s="66"/>
      <c r="CA5" s="66"/>
      <c r="CB5" s="66"/>
      <c r="CC5" s="66"/>
      <c r="CD5" s="66"/>
      <c r="CE5" s="66"/>
      <c r="CF5" s="66"/>
      <c r="CG5" s="66"/>
      <c r="CH5" s="66"/>
      <c r="CI5" s="66"/>
      <c r="CJ5" s="66"/>
      <c r="CK5" s="66"/>
      <c r="CL5" s="66"/>
      <c r="CM5" s="66"/>
      <c r="CN5" s="66"/>
      <c r="CO5" s="66"/>
      <c r="CP5" s="66"/>
      <c r="CQ5" s="66"/>
      <c r="CR5" s="66"/>
      <c r="CS5" s="66"/>
      <c r="CT5" s="66"/>
      <c r="CU5" s="66"/>
      <c r="CV5" s="66"/>
      <c r="CW5" s="67"/>
      <c r="CX5" s="67"/>
      <c r="CY5" s="67"/>
      <c r="CZ5" s="67"/>
      <c r="DA5" s="66"/>
      <c r="DB5" s="67"/>
      <c r="DC5" s="66"/>
      <c r="DD5" s="66"/>
      <c r="DE5" s="67"/>
      <c r="DF5" s="66"/>
      <c r="DG5" s="66"/>
      <c r="DH5" s="66"/>
      <c r="DI5" s="66"/>
      <c r="DJ5" s="66"/>
      <c r="DK5" s="66"/>
      <c r="DL5" s="66"/>
      <c r="DM5" s="66"/>
      <c r="DN5" s="66"/>
      <c r="DO5" s="66"/>
      <c r="DP5" s="66"/>
      <c r="DQ5" s="66"/>
      <c r="DR5" s="66"/>
      <c r="DS5" s="66"/>
      <c r="DT5" s="66"/>
      <c r="DU5" s="66"/>
      <c r="DV5" s="66"/>
      <c r="DW5" s="66"/>
      <c r="DX5" s="66"/>
      <c r="DY5" s="66"/>
      <c r="DZ5" s="66"/>
      <c r="EA5" s="66"/>
      <c r="EB5" s="66"/>
      <c r="EC5" s="66"/>
      <c r="ED5" s="66"/>
      <c r="EE5" s="66"/>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row>
    <row r="6" spans="1:245" s="69" customFormat="1" ht="12.75" customHeight="1" thickBot="1">
      <c r="A6" s="68"/>
      <c r="B6" s="520" t="s">
        <v>440</v>
      </c>
      <c r="C6" s="521"/>
      <c r="D6" s="522"/>
      <c r="E6" s="522"/>
      <c r="F6" s="522"/>
      <c r="G6" s="522"/>
      <c r="H6" s="522"/>
      <c r="I6" s="522"/>
      <c r="J6" s="522"/>
      <c r="K6" s="527" t="s">
        <v>143</v>
      </c>
      <c r="L6" s="528"/>
      <c r="M6" s="528"/>
      <c r="N6" s="528"/>
      <c r="O6" s="529"/>
      <c r="P6" s="527" t="s">
        <v>143</v>
      </c>
      <c r="Q6" s="528"/>
      <c r="R6" s="528"/>
      <c r="S6" s="528"/>
      <c r="T6" s="529"/>
      <c r="U6" s="527" t="s">
        <v>143</v>
      </c>
      <c r="V6" s="528"/>
      <c r="W6" s="528"/>
      <c r="X6" s="528"/>
      <c r="Y6" s="529"/>
      <c r="Z6" s="527" t="s">
        <v>143</v>
      </c>
      <c r="AA6" s="528"/>
      <c r="AB6" s="528"/>
      <c r="AC6" s="528"/>
      <c r="AD6" s="529"/>
      <c r="AE6" s="527" t="s">
        <v>143</v>
      </c>
      <c r="AF6" s="528"/>
      <c r="AG6" s="528"/>
      <c r="AH6" s="528"/>
      <c r="AI6" s="529"/>
      <c r="AJ6" s="527" t="s">
        <v>143</v>
      </c>
      <c r="AK6" s="528"/>
      <c r="AL6" s="528"/>
      <c r="AM6" s="528"/>
      <c r="AN6" s="529"/>
      <c r="AO6" s="527" t="s">
        <v>143</v>
      </c>
      <c r="AP6" s="528"/>
      <c r="AQ6" s="528"/>
      <c r="AR6" s="528"/>
      <c r="AS6" s="529"/>
      <c r="AT6" s="527" t="s">
        <v>143</v>
      </c>
      <c r="AU6" s="528"/>
      <c r="AV6" s="528"/>
      <c r="AW6" s="528"/>
      <c r="AX6" s="529"/>
      <c r="AY6" s="527" t="s">
        <v>143</v>
      </c>
      <c r="AZ6" s="528"/>
      <c r="BA6" s="528"/>
      <c r="BB6" s="528"/>
      <c r="BC6" s="529"/>
      <c r="BD6" s="527" t="s">
        <v>143</v>
      </c>
      <c r="BE6" s="528"/>
      <c r="BF6" s="528"/>
      <c r="BG6" s="528"/>
      <c r="BH6" s="529"/>
      <c r="BI6" s="527" t="s">
        <v>143</v>
      </c>
      <c r="BJ6" s="528"/>
      <c r="BK6" s="528"/>
      <c r="BL6" s="528"/>
      <c r="BM6" s="529"/>
      <c r="BN6" s="527" t="s">
        <v>143</v>
      </c>
      <c r="BO6" s="528"/>
      <c r="BP6" s="528"/>
      <c r="BQ6" s="528"/>
      <c r="BR6" s="529"/>
      <c r="BS6" s="527" t="s">
        <v>143</v>
      </c>
      <c r="BT6" s="528"/>
      <c r="BU6" s="528"/>
      <c r="BV6" s="528"/>
      <c r="BW6" s="529"/>
      <c r="BX6" s="527" t="s">
        <v>143</v>
      </c>
      <c r="BY6" s="528"/>
      <c r="BZ6" s="528"/>
      <c r="CA6" s="528"/>
      <c r="CB6" s="529"/>
      <c r="CC6" s="527" t="s">
        <v>143</v>
      </c>
      <c r="CD6" s="528"/>
      <c r="CE6" s="528"/>
      <c r="CF6" s="528"/>
      <c r="CG6" s="529"/>
      <c r="CH6" s="528" t="s">
        <v>143</v>
      </c>
      <c r="CI6" s="528"/>
      <c r="CJ6" s="528"/>
      <c r="CK6" s="528"/>
      <c r="CL6" s="529"/>
      <c r="CM6" s="528" t="s">
        <v>143</v>
      </c>
      <c r="CN6" s="528"/>
      <c r="CO6" s="528"/>
      <c r="CP6" s="528"/>
      <c r="CQ6" s="529"/>
      <c r="CR6" s="528" t="s">
        <v>143</v>
      </c>
      <c r="CS6" s="528"/>
      <c r="CT6" s="528"/>
      <c r="CU6" s="528"/>
      <c r="CV6" s="529"/>
      <c r="CW6" s="528" t="s">
        <v>143</v>
      </c>
      <c r="CX6" s="528"/>
      <c r="CY6" s="528"/>
      <c r="CZ6" s="528"/>
      <c r="DA6" s="529"/>
      <c r="DB6" s="528" t="s">
        <v>143</v>
      </c>
      <c r="DC6" s="528"/>
      <c r="DD6" s="528"/>
      <c r="DE6" s="528"/>
      <c r="DF6" s="529"/>
      <c r="DG6" s="528" t="s">
        <v>143</v>
      </c>
      <c r="DH6" s="528"/>
      <c r="DI6" s="528"/>
      <c r="DJ6" s="528"/>
      <c r="DK6" s="529"/>
      <c r="DL6" s="528" t="s">
        <v>143</v>
      </c>
      <c r="DM6" s="528"/>
      <c r="DN6" s="528"/>
      <c r="DO6" s="528"/>
      <c r="DP6" s="529"/>
      <c r="DQ6" s="528" t="s">
        <v>143</v>
      </c>
      <c r="DR6" s="528"/>
      <c r="DS6" s="528"/>
      <c r="DT6" s="528"/>
      <c r="DU6" s="529"/>
      <c r="DV6" s="528" t="s">
        <v>143</v>
      </c>
      <c r="DW6" s="528"/>
      <c r="DX6" s="528"/>
      <c r="DY6" s="528"/>
      <c r="DZ6" s="529"/>
      <c r="EA6" s="528" t="s">
        <v>143</v>
      </c>
      <c r="EB6" s="528"/>
      <c r="EC6" s="528"/>
      <c r="ED6" s="528"/>
      <c r="EE6" s="529"/>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row>
    <row r="7" spans="1:245" s="69" customFormat="1" ht="12.75" customHeight="1" thickBot="1">
      <c r="A7" s="68"/>
      <c r="B7" s="523" t="s">
        <v>406</v>
      </c>
      <c r="C7" s="524"/>
      <c r="D7" s="525">
        <v>1989</v>
      </c>
      <c r="E7" s="525">
        <f t="shared" ref="E7:J7" si="0">D7+1</f>
        <v>1990</v>
      </c>
      <c r="F7" s="525">
        <f t="shared" si="0"/>
        <v>1991</v>
      </c>
      <c r="G7" s="525">
        <f t="shared" si="0"/>
        <v>1992</v>
      </c>
      <c r="H7" s="525">
        <f t="shared" si="0"/>
        <v>1993</v>
      </c>
      <c r="I7" s="525">
        <f t="shared" si="0"/>
        <v>1994</v>
      </c>
      <c r="J7" s="526">
        <f t="shared" si="0"/>
        <v>1995</v>
      </c>
      <c r="K7" s="531" t="s">
        <v>144</v>
      </c>
      <c r="L7" s="532" t="s">
        <v>145</v>
      </c>
      <c r="M7" s="532" t="s">
        <v>146</v>
      </c>
      <c r="N7" s="533" t="s">
        <v>147</v>
      </c>
      <c r="O7" s="534">
        <f>J7+1</f>
        <v>1996</v>
      </c>
      <c r="P7" s="531" t="s">
        <v>144</v>
      </c>
      <c r="Q7" s="532" t="s">
        <v>145</v>
      </c>
      <c r="R7" s="532" t="s">
        <v>146</v>
      </c>
      <c r="S7" s="533" t="s">
        <v>147</v>
      </c>
      <c r="T7" s="534">
        <f>O7+1</f>
        <v>1997</v>
      </c>
      <c r="U7" s="531" t="s">
        <v>144</v>
      </c>
      <c r="V7" s="532" t="s">
        <v>145</v>
      </c>
      <c r="W7" s="532" t="s">
        <v>146</v>
      </c>
      <c r="X7" s="533" t="s">
        <v>147</v>
      </c>
      <c r="Y7" s="534">
        <f>T7+1</f>
        <v>1998</v>
      </c>
      <c r="Z7" s="531" t="s">
        <v>144</v>
      </c>
      <c r="AA7" s="532" t="s">
        <v>145</v>
      </c>
      <c r="AB7" s="532" t="s">
        <v>146</v>
      </c>
      <c r="AC7" s="533" t="s">
        <v>147</v>
      </c>
      <c r="AD7" s="534">
        <f>Y7+1</f>
        <v>1999</v>
      </c>
      <c r="AE7" s="531" t="s">
        <v>144</v>
      </c>
      <c r="AF7" s="532" t="s">
        <v>145</v>
      </c>
      <c r="AG7" s="532" t="s">
        <v>146</v>
      </c>
      <c r="AH7" s="533" t="s">
        <v>147</v>
      </c>
      <c r="AI7" s="534">
        <f>AD7+1</f>
        <v>2000</v>
      </c>
      <c r="AJ7" s="531" t="s">
        <v>144</v>
      </c>
      <c r="AK7" s="532" t="s">
        <v>145</v>
      </c>
      <c r="AL7" s="532" t="s">
        <v>146</v>
      </c>
      <c r="AM7" s="533" t="s">
        <v>147</v>
      </c>
      <c r="AN7" s="534">
        <f>AI7+1</f>
        <v>2001</v>
      </c>
      <c r="AO7" s="531" t="s">
        <v>144</v>
      </c>
      <c r="AP7" s="532" t="s">
        <v>145</v>
      </c>
      <c r="AQ7" s="532" t="s">
        <v>146</v>
      </c>
      <c r="AR7" s="533" t="s">
        <v>147</v>
      </c>
      <c r="AS7" s="534">
        <f>AN7+1</f>
        <v>2002</v>
      </c>
      <c r="AT7" s="531" t="s">
        <v>144</v>
      </c>
      <c r="AU7" s="532" t="s">
        <v>145</v>
      </c>
      <c r="AV7" s="532" t="s">
        <v>146</v>
      </c>
      <c r="AW7" s="533" t="s">
        <v>147</v>
      </c>
      <c r="AX7" s="534">
        <f>AS7+1</f>
        <v>2003</v>
      </c>
      <c r="AY7" s="531" t="s">
        <v>144</v>
      </c>
      <c r="AZ7" s="532" t="s">
        <v>145</v>
      </c>
      <c r="BA7" s="532" t="s">
        <v>146</v>
      </c>
      <c r="BB7" s="533" t="s">
        <v>147</v>
      </c>
      <c r="BC7" s="534">
        <f>AX7+1</f>
        <v>2004</v>
      </c>
      <c r="BD7" s="531" t="s">
        <v>144</v>
      </c>
      <c r="BE7" s="532" t="s">
        <v>145</v>
      </c>
      <c r="BF7" s="532" t="s">
        <v>146</v>
      </c>
      <c r="BG7" s="533" t="s">
        <v>147</v>
      </c>
      <c r="BH7" s="534">
        <f>BC7+1</f>
        <v>2005</v>
      </c>
      <c r="BI7" s="531" t="s">
        <v>144</v>
      </c>
      <c r="BJ7" s="532" t="s">
        <v>145</v>
      </c>
      <c r="BK7" s="532" t="s">
        <v>146</v>
      </c>
      <c r="BL7" s="533" t="s">
        <v>147</v>
      </c>
      <c r="BM7" s="534">
        <f>BH7+1</f>
        <v>2006</v>
      </c>
      <c r="BN7" s="531" t="s">
        <v>144</v>
      </c>
      <c r="BO7" s="532" t="s">
        <v>145</v>
      </c>
      <c r="BP7" s="532" t="s">
        <v>146</v>
      </c>
      <c r="BQ7" s="533" t="s">
        <v>147</v>
      </c>
      <c r="BR7" s="534">
        <f>BM7+1</f>
        <v>2007</v>
      </c>
      <c r="BS7" s="531" t="s">
        <v>144</v>
      </c>
      <c r="BT7" s="532" t="s">
        <v>145</v>
      </c>
      <c r="BU7" s="532" t="s">
        <v>146</v>
      </c>
      <c r="BV7" s="533" t="s">
        <v>147</v>
      </c>
      <c r="BW7" s="534">
        <f>BR7+1</f>
        <v>2008</v>
      </c>
      <c r="BX7" s="531" t="s">
        <v>144</v>
      </c>
      <c r="BY7" s="532" t="s">
        <v>145</v>
      </c>
      <c r="BZ7" s="532" t="s">
        <v>146</v>
      </c>
      <c r="CA7" s="533" t="s">
        <v>147</v>
      </c>
      <c r="CB7" s="534">
        <f>BW7+1</f>
        <v>2009</v>
      </c>
      <c r="CC7" s="531" t="s">
        <v>144</v>
      </c>
      <c r="CD7" s="532" t="s">
        <v>145</v>
      </c>
      <c r="CE7" s="532" t="s">
        <v>146</v>
      </c>
      <c r="CF7" s="532" t="s">
        <v>147</v>
      </c>
      <c r="CG7" s="534">
        <f>CB7+1</f>
        <v>2010</v>
      </c>
      <c r="CH7" s="532" t="s">
        <v>144</v>
      </c>
      <c r="CI7" s="532" t="s">
        <v>145</v>
      </c>
      <c r="CJ7" s="532" t="s">
        <v>146</v>
      </c>
      <c r="CK7" s="532" t="s">
        <v>147</v>
      </c>
      <c r="CL7" s="534">
        <f>CG7+1</f>
        <v>2011</v>
      </c>
      <c r="CM7" s="532" t="s">
        <v>144</v>
      </c>
      <c r="CN7" s="532" t="s">
        <v>145</v>
      </c>
      <c r="CO7" s="532" t="s">
        <v>146</v>
      </c>
      <c r="CP7" s="532" t="s">
        <v>147</v>
      </c>
      <c r="CQ7" s="534">
        <f>CL7+1</f>
        <v>2012</v>
      </c>
      <c r="CR7" s="530" t="s">
        <v>144</v>
      </c>
      <c r="CS7" s="530" t="s">
        <v>145</v>
      </c>
      <c r="CT7" s="530" t="s">
        <v>146</v>
      </c>
      <c r="CU7" s="530" t="s">
        <v>147</v>
      </c>
      <c r="CV7" s="534">
        <f>CQ7+1</f>
        <v>2013</v>
      </c>
      <c r="CW7" s="530" t="s">
        <v>144</v>
      </c>
      <c r="CX7" s="530" t="s">
        <v>145</v>
      </c>
      <c r="CY7" s="530" t="s">
        <v>146</v>
      </c>
      <c r="CZ7" s="530" t="s">
        <v>147</v>
      </c>
      <c r="DA7" s="534">
        <f>CV7+1</f>
        <v>2014</v>
      </c>
      <c r="DB7" s="530" t="s">
        <v>144</v>
      </c>
      <c r="DC7" s="530" t="s">
        <v>145</v>
      </c>
      <c r="DD7" s="530" t="s">
        <v>146</v>
      </c>
      <c r="DE7" s="530" t="s">
        <v>147</v>
      </c>
      <c r="DF7" s="534">
        <f>DA7+1</f>
        <v>2015</v>
      </c>
      <c r="DG7" s="530" t="s">
        <v>144</v>
      </c>
      <c r="DH7" s="530" t="s">
        <v>145</v>
      </c>
      <c r="DI7" s="530" t="s">
        <v>146</v>
      </c>
      <c r="DJ7" s="530" t="s">
        <v>147</v>
      </c>
      <c r="DK7" s="534">
        <f>DF7+1</f>
        <v>2016</v>
      </c>
      <c r="DL7" s="530" t="s">
        <v>144</v>
      </c>
      <c r="DM7" s="530" t="s">
        <v>145</v>
      </c>
      <c r="DN7" s="530" t="s">
        <v>146</v>
      </c>
      <c r="DO7" s="530" t="s">
        <v>150</v>
      </c>
      <c r="DP7" s="682">
        <f>DK7+1</f>
        <v>2017</v>
      </c>
      <c r="DQ7" s="530" t="s">
        <v>482</v>
      </c>
      <c r="DR7" s="530" t="s">
        <v>148</v>
      </c>
      <c r="DS7" s="530" t="s">
        <v>149</v>
      </c>
      <c r="DT7" s="530" t="s">
        <v>150</v>
      </c>
      <c r="DU7" s="682">
        <f>DP7+1</f>
        <v>2018</v>
      </c>
      <c r="DV7" s="530" t="s">
        <v>482</v>
      </c>
      <c r="DW7" s="530" t="s">
        <v>148</v>
      </c>
      <c r="DX7" s="530" t="s">
        <v>149</v>
      </c>
      <c r="DY7" s="530" t="s">
        <v>150</v>
      </c>
      <c r="DZ7" s="682">
        <f>DU7+1</f>
        <v>2019</v>
      </c>
      <c r="EA7" s="530" t="s">
        <v>482</v>
      </c>
      <c r="EB7" s="530" t="s">
        <v>148</v>
      </c>
      <c r="EC7" s="530" t="s">
        <v>149</v>
      </c>
      <c r="ED7" s="530" t="s">
        <v>150</v>
      </c>
      <c r="EE7" s="682">
        <f>DZ7+1</f>
        <v>2020</v>
      </c>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row>
    <row r="8" spans="1:245" ht="12" thickBot="1"/>
    <row r="9" spans="1:245" ht="12" thickBot="1">
      <c r="B9" s="1905" t="s">
        <v>401</v>
      </c>
      <c r="C9" s="1916"/>
      <c r="D9" s="1916"/>
      <c r="E9" s="1916"/>
      <c r="F9" s="1916"/>
      <c r="G9" s="1916"/>
      <c r="H9" s="1916"/>
      <c r="I9" s="1916"/>
      <c r="J9" s="1916"/>
      <c r="K9" s="1916"/>
      <c r="L9" s="1916"/>
      <c r="M9" s="1916"/>
      <c r="N9" s="1916"/>
      <c r="O9" s="1916"/>
      <c r="P9" s="1916"/>
      <c r="Q9" s="1916"/>
      <c r="R9" s="1916"/>
      <c r="S9" s="1916"/>
      <c r="T9" s="1916"/>
      <c r="U9" s="1916"/>
      <c r="V9" s="1916"/>
      <c r="W9" s="1916"/>
      <c r="X9" s="1916"/>
      <c r="Y9" s="1916"/>
      <c r="Z9" s="1916"/>
      <c r="AA9" s="1916"/>
      <c r="AB9" s="1916"/>
      <c r="AC9" s="1916"/>
      <c r="AD9" s="1916"/>
      <c r="AE9" s="1916"/>
      <c r="AF9" s="1916"/>
      <c r="AG9" s="1916"/>
      <c r="AH9" s="1916"/>
      <c r="AI9" s="1916"/>
      <c r="AJ9" s="1916"/>
      <c r="AK9" s="1916"/>
      <c r="AL9" s="1916"/>
      <c r="AM9" s="1916"/>
      <c r="AN9" s="1916"/>
      <c r="AO9" s="1916"/>
      <c r="AP9" s="1916"/>
      <c r="AQ9" s="1916"/>
      <c r="AR9" s="1916"/>
      <c r="AS9" s="1916"/>
      <c r="AT9" s="1916"/>
      <c r="AU9" s="1916"/>
      <c r="AV9" s="1916"/>
      <c r="AW9" s="1916"/>
      <c r="AX9" s="1916"/>
      <c r="AY9" s="1916"/>
      <c r="AZ9" s="1916"/>
      <c r="BA9" s="1916"/>
      <c r="BB9" s="1916"/>
      <c r="BC9" s="1916"/>
      <c r="BD9" s="1916"/>
      <c r="BE9" s="1916"/>
      <c r="BF9" s="1916"/>
      <c r="BG9" s="1916"/>
      <c r="BH9" s="1916"/>
      <c r="BI9" s="1916"/>
      <c r="BJ9" s="1916"/>
      <c r="BK9" s="1916"/>
      <c r="BL9" s="1916"/>
      <c r="BM9" s="1916"/>
      <c r="BN9" s="1916"/>
      <c r="BO9" s="1916"/>
      <c r="BP9" s="1916"/>
      <c r="BQ9" s="1916"/>
      <c r="BR9" s="1916"/>
      <c r="BS9" s="1916"/>
      <c r="BT9" s="1916"/>
      <c r="BU9" s="1916"/>
      <c r="BV9" s="1916"/>
      <c r="BW9" s="1916"/>
      <c r="BX9" s="1916"/>
      <c r="BY9" s="1916"/>
      <c r="BZ9" s="1916"/>
      <c r="CA9" s="1916"/>
      <c r="CB9" s="1916"/>
      <c r="CC9" s="1916"/>
      <c r="CD9" s="1916"/>
      <c r="CE9" s="1916"/>
      <c r="CF9" s="1916"/>
      <c r="CG9" s="1916"/>
      <c r="CH9" s="1916"/>
      <c r="CI9" s="1916"/>
      <c r="CJ9" s="1916"/>
      <c r="CK9" s="1916"/>
      <c r="CL9" s="1916"/>
      <c r="CM9" s="1916"/>
      <c r="CN9" s="1916"/>
      <c r="CO9" s="1916"/>
      <c r="CP9" s="1916"/>
      <c r="CQ9" s="1916"/>
      <c r="CR9" s="1916"/>
      <c r="CS9" s="1916"/>
      <c r="CT9" s="1916"/>
      <c r="CU9" s="1916"/>
      <c r="CV9" s="1916"/>
      <c r="CW9" s="1916"/>
      <c r="CX9" s="1916"/>
      <c r="CY9" s="1916"/>
      <c r="CZ9" s="1916"/>
      <c r="DA9" s="1916"/>
      <c r="DB9" s="1916"/>
      <c r="DC9" s="1916"/>
      <c r="DD9" s="1916"/>
      <c r="DE9" s="1916"/>
      <c r="DF9" s="1916"/>
      <c r="DG9" s="1916"/>
      <c r="DH9" s="1916"/>
      <c r="DI9" s="1916"/>
      <c r="DJ9" s="1916"/>
      <c r="DK9" s="1916"/>
      <c r="DL9" s="1916"/>
      <c r="DM9" s="1916"/>
      <c r="DN9" s="1916"/>
      <c r="DO9" s="1916"/>
      <c r="DP9" s="1917"/>
      <c r="DQ9" s="1916"/>
      <c r="DR9" s="1916"/>
      <c r="DS9" s="1916"/>
      <c r="DT9" s="1916"/>
      <c r="DU9" s="1917"/>
      <c r="DV9" s="1916"/>
      <c r="DW9" s="1916"/>
      <c r="DX9" s="1916"/>
      <c r="DY9" s="1916"/>
      <c r="DZ9" s="1917"/>
      <c r="EA9" s="1916"/>
      <c r="EB9" s="1916"/>
      <c r="EC9" s="1916"/>
      <c r="ED9" s="1916"/>
      <c r="EE9" s="1917"/>
    </row>
    <row r="10" spans="1:245">
      <c r="B10" s="1906" t="s">
        <v>281</v>
      </c>
      <c r="C10" s="1918"/>
      <c r="D10" s="1918"/>
      <c r="E10" s="1918"/>
      <c r="F10" s="1918"/>
      <c r="G10" s="1918"/>
      <c r="H10" s="1918"/>
      <c r="I10" s="1918"/>
      <c r="J10" s="1918"/>
      <c r="K10" s="1918"/>
      <c r="L10" s="1918"/>
      <c r="M10" s="1918"/>
      <c r="N10" s="1918"/>
      <c r="O10" s="1918"/>
      <c r="P10" s="1918"/>
      <c r="Q10" s="1918"/>
      <c r="R10" s="1918"/>
      <c r="S10" s="1918"/>
      <c r="T10" s="1918"/>
      <c r="U10" s="1918"/>
      <c r="V10" s="1918"/>
      <c r="W10" s="1918"/>
      <c r="X10" s="1918"/>
      <c r="Y10" s="1918"/>
      <c r="Z10" s="1918"/>
      <c r="AA10" s="1918"/>
      <c r="AB10" s="1918"/>
      <c r="AC10" s="1918"/>
      <c r="AD10" s="1918"/>
      <c r="AE10" s="1918"/>
      <c r="AF10" s="1918"/>
      <c r="AG10" s="1918"/>
      <c r="AH10" s="1918"/>
      <c r="AI10" s="1918"/>
      <c r="AJ10" s="1918"/>
      <c r="AK10" s="1918"/>
      <c r="AL10" s="1918"/>
      <c r="AM10" s="1918"/>
      <c r="AN10" s="1918"/>
      <c r="AO10" s="1918"/>
      <c r="AP10" s="1918"/>
      <c r="AQ10" s="1918"/>
      <c r="AR10" s="1918"/>
      <c r="AS10" s="1918"/>
      <c r="AT10" s="1918"/>
      <c r="AU10" s="1918"/>
      <c r="AV10" s="1918"/>
      <c r="AW10" s="1918"/>
      <c r="AX10" s="1918"/>
      <c r="AY10" s="1918"/>
      <c r="AZ10" s="1918"/>
      <c r="BA10" s="1918"/>
      <c r="BB10" s="1918"/>
      <c r="BC10" s="1918"/>
      <c r="BD10" s="1918"/>
      <c r="BE10" s="1918"/>
      <c r="BF10" s="1918"/>
      <c r="BG10" s="1918"/>
      <c r="BH10" s="1918"/>
      <c r="BI10" s="1918"/>
      <c r="BJ10" s="1918"/>
      <c r="BK10" s="1918"/>
      <c r="BL10" s="1918"/>
      <c r="BM10" s="1918"/>
      <c r="BN10" s="1918"/>
      <c r="BO10" s="1918"/>
      <c r="BP10" s="1918"/>
      <c r="BQ10" s="1918"/>
      <c r="BR10" s="1918"/>
      <c r="BS10" s="1918"/>
      <c r="BT10" s="1918"/>
      <c r="BU10" s="1918"/>
      <c r="BV10" s="1918"/>
      <c r="BW10" s="1918"/>
      <c r="BX10" s="1918"/>
      <c r="BY10" s="1918"/>
      <c r="BZ10" s="1918"/>
      <c r="CA10" s="1918"/>
      <c r="CB10" s="1918"/>
      <c r="CC10" s="1918"/>
      <c r="CD10" s="1918"/>
      <c r="CE10" s="1918"/>
      <c r="CF10" s="1918"/>
      <c r="CG10" s="1918"/>
      <c r="CH10" s="1918"/>
      <c r="CI10" s="1918"/>
      <c r="CJ10" s="1918"/>
      <c r="CK10" s="1918"/>
      <c r="CL10" s="1918"/>
      <c r="CM10" s="1918"/>
      <c r="CN10" s="1918"/>
      <c r="CO10" s="1918"/>
      <c r="CP10" s="1918"/>
      <c r="CQ10" s="1918"/>
      <c r="CR10" s="1918"/>
      <c r="CS10" s="1918"/>
      <c r="CT10" s="1918"/>
      <c r="CU10" s="1918"/>
      <c r="CV10" s="1918"/>
      <c r="CW10" s="1927"/>
      <c r="CX10" s="1927"/>
      <c r="CY10" s="1927"/>
      <c r="CZ10" s="1927"/>
      <c r="DA10" s="1936"/>
      <c r="DB10" s="2047">
        <v>7.4999999999999997E-3</v>
      </c>
      <c r="DC10" s="2047">
        <v>7.4999999999999997E-3</v>
      </c>
      <c r="DD10" s="2047">
        <v>7.4999999999999997E-3</v>
      </c>
      <c r="DE10" s="2047">
        <v>7.4999999999999997E-3</v>
      </c>
      <c r="DF10" s="2048"/>
      <c r="DG10" s="2047">
        <v>3.0000000000000001E-3</v>
      </c>
      <c r="DH10" s="2047">
        <v>3.0000000000000001E-3</v>
      </c>
      <c r="DI10" s="2047">
        <v>3.0000000000000001E-3</v>
      </c>
      <c r="DJ10" s="2047">
        <v>3.0000000000000001E-3</v>
      </c>
      <c r="DK10" s="2048"/>
      <c r="DL10" s="2047">
        <f>DJ10</f>
        <v>3.0000000000000001E-3</v>
      </c>
      <c r="DM10" s="2047">
        <f>DL10</f>
        <v>3.0000000000000001E-3</v>
      </c>
      <c r="DN10" s="2047">
        <f>DM10</f>
        <v>3.0000000000000001E-3</v>
      </c>
      <c r="DO10" s="2047">
        <f>DN10</f>
        <v>3.0000000000000001E-3</v>
      </c>
      <c r="DP10" s="2048"/>
      <c r="DQ10" s="2047">
        <f>DO10</f>
        <v>3.0000000000000001E-3</v>
      </c>
      <c r="DR10" s="2047">
        <f>DQ10</f>
        <v>3.0000000000000001E-3</v>
      </c>
      <c r="DS10" s="2047">
        <f>DR10</f>
        <v>3.0000000000000001E-3</v>
      </c>
      <c r="DT10" s="2047">
        <f>DS10</f>
        <v>3.0000000000000001E-3</v>
      </c>
      <c r="DU10" s="2048"/>
      <c r="DV10" s="2047">
        <f>DT10</f>
        <v>3.0000000000000001E-3</v>
      </c>
      <c r="DW10" s="2047">
        <f>DV10</f>
        <v>3.0000000000000001E-3</v>
      </c>
      <c r="DX10" s="2047">
        <f>DW10</f>
        <v>3.0000000000000001E-3</v>
      </c>
      <c r="DY10" s="2047">
        <f>DX10</f>
        <v>3.0000000000000001E-3</v>
      </c>
      <c r="DZ10" s="2048"/>
      <c r="EA10" s="2047">
        <f>DY10</f>
        <v>3.0000000000000001E-3</v>
      </c>
      <c r="EB10" s="2047">
        <f>EA10</f>
        <v>3.0000000000000001E-3</v>
      </c>
      <c r="EC10" s="2047">
        <f>EB10</f>
        <v>3.0000000000000001E-3</v>
      </c>
      <c r="ED10" s="2047">
        <f>EC10</f>
        <v>3.0000000000000001E-3</v>
      </c>
      <c r="EE10" s="2048"/>
    </row>
    <row r="11" spans="1:245">
      <c r="B11" s="1907" t="s">
        <v>486</v>
      </c>
      <c r="C11" s="1910"/>
      <c r="D11" s="1910"/>
      <c r="E11" s="1910"/>
      <c r="F11" s="1910"/>
      <c r="G11" s="1910"/>
      <c r="H11" s="1910"/>
      <c r="I11" s="1910"/>
      <c r="J11" s="1910"/>
      <c r="K11" s="1910"/>
      <c r="L11" s="1910"/>
      <c r="M11" s="1910"/>
      <c r="N11" s="1910"/>
      <c r="O11" s="1910"/>
      <c r="P11" s="1910"/>
      <c r="Q11" s="1910"/>
      <c r="R11" s="1910"/>
      <c r="S11" s="1910"/>
      <c r="T11" s="1910"/>
      <c r="U11" s="1910"/>
      <c r="V11" s="1910"/>
      <c r="W11" s="1910"/>
      <c r="X11" s="1910"/>
      <c r="Y11" s="1910"/>
      <c r="Z11" s="1910"/>
      <c r="AA11" s="1910"/>
      <c r="AB11" s="1910"/>
      <c r="AC11" s="1910"/>
      <c r="AD11" s="1910"/>
      <c r="AE11" s="1910"/>
      <c r="AF11" s="1910"/>
      <c r="AG11" s="1910"/>
      <c r="AH11" s="1910"/>
      <c r="AI11" s="1910"/>
      <c r="AJ11" s="1910"/>
      <c r="AK11" s="1910"/>
      <c r="AL11" s="1910"/>
      <c r="AM11" s="1910"/>
      <c r="AN11" s="1910"/>
      <c r="AO11" s="1910"/>
      <c r="AP11" s="1910"/>
      <c r="AQ11" s="1910"/>
      <c r="AR11" s="1910"/>
      <c r="AS11" s="1910"/>
      <c r="AT11" s="1910"/>
      <c r="AU11" s="1910"/>
      <c r="AV11" s="1910"/>
      <c r="AW11" s="1910"/>
      <c r="AX11" s="1910"/>
      <c r="AY11" s="1910"/>
      <c r="AZ11" s="1910"/>
      <c r="BA11" s="1910"/>
      <c r="BB11" s="1910"/>
      <c r="BC11" s="1910"/>
      <c r="BD11" s="1910"/>
      <c r="BE11" s="1910"/>
      <c r="BF11" s="1910"/>
      <c r="BG11" s="1910"/>
      <c r="BH11" s="1910"/>
      <c r="BI11" s="1910"/>
      <c r="BJ11" s="1910"/>
      <c r="BK11" s="1910"/>
      <c r="BL11" s="1910"/>
      <c r="BM11" s="1910"/>
      <c r="BN11" s="1910"/>
      <c r="BO11" s="1910"/>
      <c r="BP11" s="1910"/>
      <c r="BQ11" s="1910"/>
      <c r="BR11" s="1910"/>
      <c r="BS11" s="1910"/>
      <c r="BT11" s="1910"/>
      <c r="BU11" s="1910"/>
      <c r="BV11" s="1910"/>
      <c r="BW11" s="1910"/>
      <c r="BX11" s="1910"/>
      <c r="BY11" s="1910"/>
      <c r="BZ11" s="1910"/>
      <c r="CA11" s="1910"/>
      <c r="CB11" s="1910"/>
      <c r="CC11" s="1910"/>
      <c r="CD11" s="1910"/>
      <c r="CE11" s="1910"/>
      <c r="CF11" s="1910"/>
      <c r="CG11" s="1910"/>
      <c r="CH11" s="1910"/>
      <c r="CI11" s="1910"/>
      <c r="CJ11" s="1910"/>
      <c r="CK11" s="1910"/>
      <c r="CL11" s="1910"/>
      <c r="CM11" s="1910"/>
      <c r="CN11" s="1910"/>
      <c r="CO11" s="1910"/>
      <c r="CP11" s="1910"/>
      <c r="CQ11" s="1910"/>
      <c r="CR11" s="1910"/>
      <c r="CS11" s="1910"/>
      <c r="CT11" s="1910"/>
      <c r="CU11" s="1910"/>
      <c r="CV11" s="1910"/>
      <c r="CW11" s="1928"/>
      <c r="CX11" s="1928"/>
      <c r="CY11" s="1928"/>
      <c r="CZ11" s="1928"/>
      <c r="DA11" s="1937"/>
      <c r="DB11" s="1928">
        <f>Model!CZ201</f>
        <v>2646</v>
      </c>
      <c r="DC11" s="1928">
        <f>DB12</f>
        <v>12861</v>
      </c>
      <c r="DD11" s="1928">
        <f>DC12</f>
        <v>3005</v>
      </c>
      <c r="DE11" s="1928">
        <f>DD12</f>
        <v>4449</v>
      </c>
      <c r="DF11" s="1937"/>
      <c r="DG11" s="1928">
        <f>Model!DE201</f>
        <v>3000</v>
      </c>
      <c r="DH11" s="1928">
        <f>DG12</f>
        <v>2570</v>
      </c>
      <c r="DI11" s="1928">
        <f>DH12</f>
        <v>3586</v>
      </c>
      <c r="DJ11" s="1928">
        <f>DI12</f>
        <v>3291</v>
      </c>
      <c r="DK11" s="1937"/>
      <c r="DL11" s="1928">
        <f>Model!DJ201</f>
        <v>9807</v>
      </c>
      <c r="DM11" s="1928">
        <f>DL12</f>
        <v>9598</v>
      </c>
      <c r="DN11" s="1928">
        <f>DM12</f>
        <v>11822</v>
      </c>
      <c r="DO11" s="1928">
        <f>DN12</f>
        <v>12253</v>
      </c>
      <c r="DP11" s="1937"/>
      <c r="DQ11" s="1928">
        <f>Model!DO201</f>
        <v>3301</v>
      </c>
      <c r="DR11" s="1928">
        <f>DQ12</f>
        <v>1830</v>
      </c>
      <c r="DS11" s="1928">
        <f ca="1">DR12</f>
        <v>2463.3248030146187</v>
      </c>
      <c r="DT11" s="1928">
        <f ca="1">DS12</f>
        <v>3836.7679769455222</v>
      </c>
      <c r="DU11" s="1937"/>
      <c r="DV11" s="1928">
        <f ca="1">Model!DT201</f>
        <v>5346.3095262757643</v>
      </c>
      <c r="DW11" s="1928">
        <f ca="1">DV12</f>
        <v>3410.7956759759836</v>
      </c>
      <c r="DX11" s="1928">
        <f ca="1">DW12</f>
        <v>2329.1936827231234</v>
      </c>
      <c r="DY11" s="1928">
        <f ca="1">DX12</f>
        <v>3002.6205224417772</v>
      </c>
      <c r="DZ11" s="1937"/>
      <c r="EA11" s="1928">
        <f ca="1">Model!DY201</f>
        <v>3668.3544707709812</v>
      </c>
      <c r="EB11" s="1928">
        <f ca="1">EA12</f>
        <v>3324.7018414845115</v>
      </c>
      <c r="EC11" s="1928">
        <f ca="1">EB12</f>
        <v>2418.1386572314022</v>
      </c>
      <c r="ED11" s="1928">
        <f ca="1">EC12</f>
        <v>3293.8229958614047</v>
      </c>
      <c r="EE11" s="1937"/>
    </row>
    <row r="12" spans="1:245">
      <c r="B12" s="1907" t="s">
        <v>487</v>
      </c>
      <c r="C12" s="1910"/>
      <c r="D12" s="1910"/>
      <c r="E12" s="1910"/>
      <c r="F12" s="1910"/>
      <c r="G12" s="1910"/>
      <c r="H12" s="1910"/>
      <c r="I12" s="1910"/>
      <c r="J12" s="1910"/>
      <c r="K12" s="1910"/>
      <c r="L12" s="1910"/>
      <c r="M12" s="1910"/>
      <c r="N12" s="1910"/>
      <c r="O12" s="1910"/>
      <c r="P12" s="1910"/>
      <c r="Q12" s="1910"/>
      <c r="R12" s="1910"/>
      <c r="S12" s="1910"/>
      <c r="T12" s="1910"/>
      <c r="U12" s="1910"/>
      <c r="V12" s="1910"/>
      <c r="W12" s="1910"/>
      <c r="X12" s="1910"/>
      <c r="Y12" s="1910"/>
      <c r="Z12" s="1910"/>
      <c r="AA12" s="1910"/>
      <c r="AB12" s="1910"/>
      <c r="AC12" s="1910"/>
      <c r="AD12" s="1910"/>
      <c r="AE12" s="1910"/>
      <c r="AF12" s="1910"/>
      <c r="AG12" s="1910"/>
      <c r="AH12" s="1910"/>
      <c r="AI12" s="1910"/>
      <c r="AJ12" s="1910"/>
      <c r="AK12" s="1910"/>
      <c r="AL12" s="1910"/>
      <c r="AM12" s="1910"/>
      <c r="AN12" s="1910"/>
      <c r="AO12" s="1910"/>
      <c r="AP12" s="1910"/>
      <c r="AQ12" s="1910"/>
      <c r="AR12" s="1910"/>
      <c r="AS12" s="1910"/>
      <c r="AT12" s="1910"/>
      <c r="AU12" s="1910"/>
      <c r="AV12" s="1910"/>
      <c r="AW12" s="1910"/>
      <c r="AX12" s="1910"/>
      <c r="AY12" s="1910"/>
      <c r="AZ12" s="1910"/>
      <c r="BA12" s="1910"/>
      <c r="BB12" s="1910"/>
      <c r="BC12" s="1910"/>
      <c r="BD12" s="1910"/>
      <c r="BE12" s="1910"/>
      <c r="BF12" s="1910"/>
      <c r="BG12" s="1910"/>
      <c r="BH12" s="1910"/>
      <c r="BI12" s="1910"/>
      <c r="BJ12" s="1910"/>
      <c r="BK12" s="1910"/>
      <c r="BL12" s="1910"/>
      <c r="BM12" s="1910"/>
      <c r="BN12" s="1910"/>
      <c r="BO12" s="1910"/>
      <c r="BP12" s="1910"/>
      <c r="BQ12" s="1910"/>
      <c r="BR12" s="1910"/>
      <c r="BS12" s="1910"/>
      <c r="BT12" s="1910"/>
      <c r="BU12" s="1910"/>
      <c r="BV12" s="1910"/>
      <c r="BW12" s="1910"/>
      <c r="BX12" s="1910"/>
      <c r="BY12" s="1910"/>
      <c r="BZ12" s="1910"/>
      <c r="CA12" s="1910"/>
      <c r="CB12" s="1910"/>
      <c r="CC12" s="1910"/>
      <c r="CD12" s="1910"/>
      <c r="CE12" s="1910"/>
      <c r="CF12" s="1910"/>
      <c r="CG12" s="1910"/>
      <c r="CH12" s="1910"/>
      <c r="CI12" s="1910"/>
      <c r="CJ12" s="1910"/>
      <c r="CK12" s="1910"/>
      <c r="CL12" s="1910"/>
      <c r="CM12" s="1910"/>
      <c r="CN12" s="1910"/>
      <c r="CO12" s="1910"/>
      <c r="CP12" s="1910"/>
      <c r="CQ12" s="1910"/>
      <c r="CR12" s="1910"/>
      <c r="CS12" s="1910"/>
      <c r="CT12" s="1910"/>
      <c r="CU12" s="1910"/>
      <c r="CV12" s="1910"/>
      <c r="CW12" s="1928"/>
      <c r="CX12" s="1928"/>
      <c r="CY12" s="1928"/>
      <c r="CZ12" s="1928"/>
      <c r="DA12" s="1937"/>
      <c r="DB12" s="1928">
        <f>Model!DB201</f>
        <v>12861</v>
      </c>
      <c r="DC12" s="1928">
        <f>Model!DC201</f>
        <v>3005</v>
      </c>
      <c r="DD12" s="1928">
        <f>Model!DD201</f>
        <v>4449</v>
      </c>
      <c r="DE12" s="1928">
        <f>Model!DE201</f>
        <v>3000</v>
      </c>
      <c r="DF12" s="1937"/>
      <c r="DG12" s="1928">
        <f>Model!DG201</f>
        <v>2570</v>
      </c>
      <c r="DH12" s="1928">
        <f>Model!DH201</f>
        <v>3586</v>
      </c>
      <c r="DI12" s="1928">
        <f>Model!DI201</f>
        <v>3291</v>
      </c>
      <c r="DJ12" s="1928">
        <f>Model!DJ201</f>
        <v>9807</v>
      </c>
      <c r="DK12" s="1937"/>
      <c r="DL12" s="1928">
        <f>Model!DL201</f>
        <v>9598</v>
      </c>
      <c r="DM12" s="1928">
        <f>Model!DM201</f>
        <v>11822</v>
      </c>
      <c r="DN12" s="1928">
        <f>Model!DN201</f>
        <v>12253</v>
      </c>
      <c r="DO12" s="1928">
        <f>Model!DO201</f>
        <v>3301</v>
      </c>
      <c r="DP12" s="1937"/>
      <c r="DQ12" s="1928">
        <f>Model!DQ201</f>
        <v>1830</v>
      </c>
      <c r="DR12" s="1928">
        <f ca="1">Model!DR201</f>
        <v>2463.3248030146187</v>
      </c>
      <c r="DS12" s="1928">
        <f ca="1">Model!DS201</f>
        <v>3836.7679769455222</v>
      </c>
      <c r="DT12" s="1928">
        <f ca="1">Model!DT201</f>
        <v>5346.3095262757643</v>
      </c>
      <c r="DU12" s="1937"/>
      <c r="DV12" s="1928">
        <f ca="1">Model!DV201</f>
        <v>3410.7956759759836</v>
      </c>
      <c r="DW12" s="1928">
        <f ca="1">Model!DW201</f>
        <v>2329.1936827231234</v>
      </c>
      <c r="DX12" s="1928">
        <f ca="1">Model!DX201</f>
        <v>3002.6205224417772</v>
      </c>
      <c r="DY12" s="1928">
        <f ca="1">Model!DY201</f>
        <v>3668.3544707709812</v>
      </c>
      <c r="DZ12" s="1937"/>
      <c r="EA12" s="1928">
        <f ca="1">Model!EA201</f>
        <v>3324.7018414845115</v>
      </c>
      <c r="EB12" s="1928">
        <f ca="1">Model!EB201</f>
        <v>2418.1386572314022</v>
      </c>
      <c r="EC12" s="1928">
        <f ca="1">Model!EC201</f>
        <v>3293.8229958614047</v>
      </c>
      <c r="ED12" s="1928">
        <f ca="1">Model!ED201</f>
        <v>3793.5578751984767</v>
      </c>
      <c r="EE12" s="1937"/>
    </row>
    <row r="13" spans="1:245">
      <c r="B13" s="1907"/>
      <c r="C13" s="1910"/>
      <c r="D13" s="1910"/>
      <c r="E13" s="1910"/>
      <c r="F13" s="1910"/>
      <c r="G13" s="1910"/>
      <c r="H13" s="1910"/>
      <c r="I13" s="1910"/>
      <c r="J13" s="1910"/>
      <c r="K13" s="1910"/>
      <c r="L13" s="1910"/>
      <c r="M13" s="1910"/>
      <c r="N13" s="1910"/>
      <c r="O13" s="1910"/>
      <c r="P13" s="1910"/>
      <c r="Q13" s="1910"/>
      <c r="R13" s="1910"/>
      <c r="S13" s="1910"/>
      <c r="T13" s="1910"/>
      <c r="U13" s="1910"/>
      <c r="V13" s="1910"/>
      <c r="W13" s="1910"/>
      <c r="X13" s="1910"/>
      <c r="Y13" s="1910"/>
      <c r="Z13" s="1910"/>
      <c r="AA13" s="1910"/>
      <c r="AB13" s="1910"/>
      <c r="AC13" s="1910"/>
      <c r="AD13" s="1910"/>
      <c r="AE13" s="1910"/>
      <c r="AF13" s="1910"/>
      <c r="AG13" s="1910"/>
      <c r="AH13" s="1910"/>
      <c r="AI13" s="1910"/>
      <c r="AJ13" s="1910"/>
      <c r="AK13" s="1910"/>
      <c r="AL13" s="1910"/>
      <c r="AM13" s="1910"/>
      <c r="AN13" s="1910"/>
      <c r="AO13" s="1910"/>
      <c r="AP13" s="1910"/>
      <c r="AQ13" s="1910"/>
      <c r="AR13" s="1910"/>
      <c r="AS13" s="1910"/>
      <c r="AT13" s="1910"/>
      <c r="AU13" s="1910"/>
      <c r="AV13" s="1910"/>
      <c r="AW13" s="1910"/>
      <c r="AX13" s="1910"/>
      <c r="AY13" s="1910"/>
      <c r="AZ13" s="1910"/>
      <c r="BA13" s="1910"/>
      <c r="BB13" s="1910"/>
      <c r="BC13" s="1910"/>
      <c r="BD13" s="1910"/>
      <c r="BE13" s="1910"/>
      <c r="BF13" s="1910"/>
      <c r="BG13" s="1910"/>
      <c r="BH13" s="1910"/>
      <c r="BI13" s="1910"/>
      <c r="BJ13" s="1910"/>
      <c r="BK13" s="1910"/>
      <c r="BL13" s="1910"/>
      <c r="BM13" s="1910"/>
      <c r="BN13" s="1910"/>
      <c r="BO13" s="1910"/>
      <c r="BP13" s="1910"/>
      <c r="BQ13" s="1910"/>
      <c r="BR13" s="1910"/>
      <c r="BS13" s="1910"/>
      <c r="BT13" s="1910"/>
      <c r="BU13" s="1910"/>
      <c r="BV13" s="1910"/>
      <c r="BW13" s="1910"/>
      <c r="BX13" s="1910"/>
      <c r="BY13" s="1910"/>
      <c r="BZ13" s="1910"/>
      <c r="CA13" s="1910"/>
      <c r="CB13" s="1910"/>
      <c r="CC13" s="1910"/>
      <c r="CD13" s="1910"/>
      <c r="CE13" s="1910"/>
      <c r="CF13" s="1910"/>
      <c r="CG13" s="1910"/>
      <c r="CH13" s="1910"/>
      <c r="CI13" s="1910"/>
      <c r="CJ13" s="1910"/>
      <c r="CK13" s="1910"/>
      <c r="CL13" s="1910"/>
      <c r="CM13" s="1910"/>
      <c r="CN13" s="1910"/>
      <c r="CO13" s="1910"/>
      <c r="CP13" s="1910"/>
      <c r="CQ13" s="1910"/>
      <c r="CR13" s="1910"/>
      <c r="CS13" s="1910"/>
      <c r="CT13" s="1910"/>
      <c r="CU13" s="1910"/>
      <c r="CV13" s="1910"/>
      <c r="CW13" s="1928"/>
      <c r="CX13" s="1928"/>
      <c r="CY13" s="1928"/>
      <c r="CZ13" s="1928"/>
      <c r="DA13" s="1937"/>
      <c r="DB13" s="1928"/>
      <c r="DC13" s="1928"/>
      <c r="DD13" s="1928"/>
      <c r="DE13" s="1928"/>
      <c r="DF13" s="1937"/>
      <c r="DG13" s="1928"/>
      <c r="DH13" s="1928"/>
      <c r="DI13" s="1928"/>
      <c r="DJ13" s="1928"/>
      <c r="DK13" s="1937"/>
      <c r="DL13" s="1928"/>
      <c r="DM13" s="1928"/>
      <c r="DN13" s="1928"/>
      <c r="DO13" s="1928"/>
      <c r="DP13" s="1937"/>
      <c r="DQ13" s="1928"/>
      <c r="DR13" s="1928"/>
      <c r="DS13" s="1928"/>
      <c r="DT13" s="1928"/>
      <c r="DU13" s="1937"/>
      <c r="DV13" s="1928"/>
      <c r="DW13" s="1928"/>
      <c r="DX13" s="1928"/>
      <c r="DY13" s="1928"/>
      <c r="DZ13" s="1937"/>
      <c r="EA13" s="1928"/>
      <c r="EB13" s="1928"/>
      <c r="EC13" s="1928"/>
      <c r="ED13" s="1928"/>
      <c r="EE13" s="1937"/>
    </row>
    <row r="14" spans="1:245">
      <c r="B14" s="1907" t="s">
        <v>488</v>
      </c>
      <c r="C14" s="1910"/>
      <c r="D14" s="1910"/>
      <c r="E14" s="1910"/>
      <c r="F14" s="1910"/>
      <c r="G14" s="1910"/>
      <c r="H14" s="1910"/>
      <c r="I14" s="1910"/>
      <c r="J14" s="1910"/>
      <c r="K14" s="1910"/>
      <c r="L14" s="1910"/>
      <c r="M14" s="1910"/>
      <c r="N14" s="1910"/>
      <c r="O14" s="1910"/>
      <c r="P14" s="1910"/>
      <c r="Q14" s="1910"/>
      <c r="R14" s="1910"/>
      <c r="S14" s="1910"/>
      <c r="T14" s="1910"/>
      <c r="U14" s="1910"/>
      <c r="V14" s="1910"/>
      <c r="W14" s="1910"/>
      <c r="X14" s="1910"/>
      <c r="Y14" s="1910"/>
      <c r="Z14" s="1910"/>
      <c r="AA14" s="1910"/>
      <c r="AB14" s="1910"/>
      <c r="AC14" s="1910"/>
      <c r="AD14" s="1910"/>
      <c r="AE14" s="1910"/>
      <c r="AF14" s="1910"/>
      <c r="AG14" s="1910"/>
      <c r="AH14" s="1910"/>
      <c r="AI14" s="1910"/>
      <c r="AJ14" s="1910"/>
      <c r="AK14" s="1910"/>
      <c r="AL14" s="1910"/>
      <c r="AM14" s="1910"/>
      <c r="AN14" s="1910"/>
      <c r="AO14" s="1910"/>
      <c r="AP14" s="1910"/>
      <c r="AQ14" s="1910"/>
      <c r="AR14" s="1910"/>
      <c r="AS14" s="1910"/>
      <c r="AT14" s="1910"/>
      <c r="AU14" s="1910"/>
      <c r="AV14" s="1910"/>
      <c r="AW14" s="1910"/>
      <c r="AX14" s="1910"/>
      <c r="AY14" s="1910"/>
      <c r="AZ14" s="1910"/>
      <c r="BA14" s="1910"/>
      <c r="BB14" s="1910"/>
      <c r="BC14" s="1910"/>
      <c r="BD14" s="1910"/>
      <c r="BE14" s="1910"/>
      <c r="BF14" s="1910"/>
      <c r="BG14" s="1910"/>
      <c r="BH14" s="1910"/>
      <c r="BI14" s="1910"/>
      <c r="BJ14" s="1910"/>
      <c r="BK14" s="1910"/>
      <c r="BL14" s="1910"/>
      <c r="BM14" s="1910"/>
      <c r="BN14" s="1910"/>
      <c r="BO14" s="1910"/>
      <c r="BP14" s="1910"/>
      <c r="BQ14" s="1910"/>
      <c r="BR14" s="1910"/>
      <c r="BS14" s="1910"/>
      <c r="BT14" s="1910"/>
      <c r="BU14" s="1910"/>
      <c r="BV14" s="1910"/>
      <c r="BW14" s="1910"/>
      <c r="BX14" s="1910"/>
      <c r="BY14" s="1910"/>
      <c r="BZ14" s="1910"/>
      <c r="CA14" s="1910"/>
      <c r="CB14" s="1910"/>
      <c r="CC14" s="1910"/>
      <c r="CD14" s="1910"/>
      <c r="CE14" s="1910"/>
      <c r="CF14" s="1910"/>
      <c r="CG14" s="1910"/>
      <c r="CH14" s="1910"/>
      <c r="CI14" s="1910"/>
      <c r="CJ14" s="1910"/>
      <c r="CK14" s="1910"/>
      <c r="CL14" s="1910"/>
      <c r="CM14" s="1910"/>
      <c r="CN14" s="1910"/>
      <c r="CO14" s="1910"/>
      <c r="CP14" s="1910"/>
      <c r="CQ14" s="1910"/>
      <c r="CR14" s="1910"/>
      <c r="CS14" s="1910"/>
      <c r="CT14" s="1910"/>
      <c r="CU14" s="1910"/>
      <c r="CV14" s="1910"/>
      <c r="CW14" s="1928"/>
      <c r="CX14" s="1928"/>
      <c r="CY14" s="1928"/>
      <c r="CZ14" s="1928"/>
      <c r="DA14" s="1937"/>
      <c r="DB14" s="1928">
        <f>AVERAGE(DB11:DB12)*(DB10/4)</f>
        <v>14.537812499999999</v>
      </c>
      <c r="DC14" s="1928">
        <f>AVERAGE(DC11:DC12)*(DC10/4)</f>
        <v>14.874374999999999</v>
      </c>
      <c r="DD14" s="1928">
        <f>AVERAGE(DD11:DD12)*(DD10/4)</f>
        <v>6.9881250000000001</v>
      </c>
      <c r="DE14" s="1928">
        <f>AVERAGE(DE11:DE12)*(DE10/4)</f>
        <v>6.9834375</v>
      </c>
      <c r="DF14" s="1937">
        <f>SUM(DB14:DE14)</f>
        <v>43.383749999999999</v>
      </c>
      <c r="DG14" s="1928">
        <f>AVERAGE(DG11:DG12)*(DG10/4)</f>
        <v>2.0887500000000001</v>
      </c>
      <c r="DH14" s="1928">
        <f>AVERAGE(DH11:DH12)*(DH10/4)</f>
        <v>2.3085</v>
      </c>
      <c r="DI14" s="1928">
        <f>AVERAGE(DI11:DI12)*(DI10/4)</f>
        <v>2.578875</v>
      </c>
      <c r="DJ14" s="1928">
        <f>AVERAGE(DJ11:DJ12)*(DJ10/4)</f>
        <v>4.9117500000000005</v>
      </c>
      <c r="DK14" s="1937">
        <f>SUM(DG14:DJ14)</f>
        <v>11.887875000000001</v>
      </c>
      <c r="DL14" s="1928">
        <f>AVERAGE(DL11:DL12)*(DL10/4)</f>
        <v>7.2768750000000004</v>
      </c>
      <c r="DM14" s="1928">
        <f>AVERAGE(DM11:DM12)*(DM10/4)</f>
        <v>8.0325000000000006</v>
      </c>
      <c r="DN14" s="1928">
        <f>AVERAGE(DN11:DN12)*(DN10/4)</f>
        <v>9.0281250000000011</v>
      </c>
      <c r="DO14" s="1928">
        <f>AVERAGE(DO11:DO12)*(DO10/4)</f>
        <v>5.8327499999999999</v>
      </c>
      <c r="DP14" s="1937">
        <f>SUM(DL14:DO14)</f>
        <v>30.170250000000003</v>
      </c>
      <c r="DQ14" s="1928">
        <f>AVERAGE(DQ11:DQ12)*(DQ10/4)</f>
        <v>1.9241250000000001</v>
      </c>
      <c r="DR14" s="1928">
        <f ca="1">AVERAGE(DR11:DR12)*(DR10/4)</f>
        <v>1.6099968011304822</v>
      </c>
      <c r="DS14" s="1928">
        <f ca="1">AVERAGE(DS11:DS12)*(DS10/4)</f>
        <v>2.3625347924850533</v>
      </c>
      <c r="DT14" s="1928">
        <f ca="1">AVERAGE(DT11:DT12)*(DT10/4)</f>
        <v>3.4436540637079824</v>
      </c>
      <c r="DU14" s="1937">
        <f ca="1">SUM(DQ14:DT14)</f>
        <v>9.3403106573235171</v>
      </c>
      <c r="DV14" s="1928">
        <f ca="1">AVERAGE(DV11:DV12)*(DV10/4)</f>
        <v>3.2839144508444051</v>
      </c>
      <c r="DW14" s="1928">
        <f ca="1">AVERAGE(DW11:DW12)*(DW10/4)</f>
        <v>2.1524960095121655</v>
      </c>
      <c r="DX14" s="1928">
        <f ca="1">AVERAGE(DX11:DX12)*(DX10/4)</f>
        <v>1.9994303269368379</v>
      </c>
      <c r="DY14" s="1928">
        <f ca="1">AVERAGE(DY11:DY12)*(DY10/4)</f>
        <v>2.5016156224547843</v>
      </c>
      <c r="DZ14" s="1937">
        <f ca="1">SUM(DV14:DY14)</f>
        <v>9.9374564097481937</v>
      </c>
      <c r="EA14" s="1928">
        <f ca="1">AVERAGE(EA11:EA12)*(EA10/4)</f>
        <v>2.6223961170958097</v>
      </c>
      <c r="EB14" s="1928">
        <f ca="1">AVERAGE(EB11:EB12)*(EB10/4)</f>
        <v>2.1535651870184678</v>
      </c>
      <c r="EC14" s="1928">
        <f ca="1">AVERAGE(EC11:EC12)*(EC10/4)</f>
        <v>2.1419856199098026</v>
      </c>
      <c r="ED14" s="1928">
        <f ca="1">AVERAGE(ED11:ED12)*(ED10/4)</f>
        <v>2.6577678266474556</v>
      </c>
      <c r="EE14" s="1937">
        <f ca="1">SUM(EA14:ED14)</f>
        <v>9.5757147506715352</v>
      </c>
    </row>
    <row r="15" spans="1:245">
      <c r="B15" s="1907" t="s">
        <v>489</v>
      </c>
      <c r="C15" s="1910"/>
      <c r="D15" s="1910"/>
      <c r="E15" s="1910"/>
      <c r="F15" s="1910"/>
      <c r="G15" s="1910"/>
      <c r="H15" s="1910"/>
      <c r="I15" s="1910"/>
      <c r="J15" s="1910"/>
      <c r="K15" s="1910"/>
      <c r="L15" s="1910"/>
      <c r="M15" s="1910"/>
      <c r="N15" s="1910"/>
      <c r="O15" s="1910"/>
      <c r="P15" s="1910"/>
      <c r="Q15" s="1910"/>
      <c r="R15" s="1910"/>
      <c r="S15" s="1910"/>
      <c r="T15" s="1910"/>
      <c r="U15" s="1910"/>
      <c r="V15" s="1910"/>
      <c r="W15" s="1910"/>
      <c r="X15" s="1910"/>
      <c r="Y15" s="1910"/>
      <c r="Z15" s="1910"/>
      <c r="AA15" s="1910"/>
      <c r="AB15" s="1910"/>
      <c r="AC15" s="1910"/>
      <c r="AD15" s="1910"/>
      <c r="AE15" s="1910"/>
      <c r="AF15" s="1910"/>
      <c r="AG15" s="1910"/>
      <c r="AH15" s="1910"/>
      <c r="AI15" s="1910"/>
      <c r="AJ15" s="1910"/>
      <c r="AK15" s="1910"/>
      <c r="AL15" s="1910"/>
      <c r="AM15" s="1910"/>
      <c r="AN15" s="1910"/>
      <c r="AO15" s="1910"/>
      <c r="AP15" s="1910"/>
      <c r="AQ15" s="1910"/>
      <c r="AR15" s="1910"/>
      <c r="AS15" s="1910"/>
      <c r="AT15" s="1910"/>
      <c r="AU15" s="1910"/>
      <c r="AV15" s="1910"/>
      <c r="AW15" s="1910"/>
      <c r="AX15" s="1910"/>
      <c r="AY15" s="1910"/>
      <c r="AZ15" s="1910"/>
      <c r="BA15" s="1910"/>
      <c r="BB15" s="1910"/>
      <c r="BC15" s="1910"/>
      <c r="BD15" s="1910"/>
      <c r="BE15" s="1910"/>
      <c r="BF15" s="1910"/>
      <c r="BG15" s="1910"/>
      <c r="BH15" s="1910"/>
      <c r="BI15" s="1910"/>
      <c r="BJ15" s="1910"/>
      <c r="BK15" s="1910"/>
      <c r="BL15" s="1910"/>
      <c r="BM15" s="1910"/>
      <c r="BN15" s="1910"/>
      <c r="BO15" s="1910"/>
      <c r="BP15" s="1910"/>
      <c r="BQ15" s="1910"/>
      <c r="BR15" s="1910"/>
      <c r="BS15" s="1910"/>
      <c r="BT15" s="1910"/>
      <c r="BU15" s="1910"/>
      <c r="BV15" s="1910"/>
      <c r="BW15" s="1910"/>
      <c r="BX15" s="1910"/>
      <c r="BY15" s="1910"/>
      <c r="BZ15" s="1910"/>
      <c r="CA15" s="1910"/>
      <c r="CB15" s="1910"/>
      <c r="CC15" s="1910"/>
      <c r="CD15" s="1910"/>
      <c r="CE15" s="1910"/>
      <c r="CF15" s="1910"/>
      <c r="CG15" s="1910"/>
      <c r="CH15" s="1910"/>
      <c r="CI15" s="1910"/>
      <c r="CJ15" s="1910"/>
      <c r="CK15" s="1910"/>
      <c r="CL15" s="1910"/>
      <c r="CM15" s="1910"/>
      <c r="CN15" s="1910"/>
      <c r="CO15" s="1910"/>
      <c r="CP15" s="1910"/>
      <c r="CQ15" s="1910"/>
      <c r="CR15" s="1910"/>
      <c r="CS15" s="1910"/>
      <c r="CT15" s="1910"/>
      <c r="CU15" s="1910"/>
      <c r="CV15" s="1910"/>
      <c r="CW15" s="1928"/>
      <c r="CX15" s="1928"/>
      <c r="CY15" s="1928"/>
      <c r="CZ15" s="1928"/>
      <c r="DA15" s="1937"/>
      <c r="DB15" s="1928">
        <f>-Model!DB24</f>
        <v>1.6537500000000001</v>
      </c>
      <c r="DC15" s="1928">
        <f>-Model!DC24</f>
        <v>6.3689157487381776</v>
      </c>
      <c r="DD15" s="1928">
        <f>-Model!DD24</f>
        <v>0</v>
      </c>
      <c r="DE15" s="1928">
        <f>-Model!DE24</f>
        <v>0</v>
      </c>
      <c r="DF15" s="1937">
        <f>SUM(DB15:DE15)</f>
        <v>8.0226657487381772</v>
      </c>
      <c r="DG15" s="1928">
        <f>-Model!DG24</f>
        <v>0</v>
      </c>
      <c r="DH15" s="1928">
        <f>-Model!DH24</f>
        <v>0</v>
      </c>
      <c r="DI15" s="1928">
        <f>-Model!DI24</f>
        <v>0</v>
      </c>
      <c r="DJ15" s="1928">
        <f>-Model!DJ24</f>
        <v>0</v>
      </c>
      <c r="DK15" s="1937">
        <f>SUM(DG15:DJ15)</f>
        <v>0</v>
      </c>
      <c r="DL15" s="1928">
        <f>-Model!DL24</f>
        <v>-1</v>
      </c>
      <c r="DM15" s="1928">
        <f>-Model!DM24</f>
        <v>-1</v>
      </c>
      <c r="DN15" s="1928">
        <f>-Model!DN24</f>
        <v>-1</v>
      </c>
      <c r="DO15" s="1928">
        <f>-Model!DO24</f>
        <v>-1</v>
      </c>
      <c r="DP15" s="1937">
        <f>SUM(DL15:DO15)</f>
        <v>-4</v>
      </c>
      <c r="DQ15" s="1928">
        <f>-Model!DQ24</f>
        <v>-1</v>
      </c>
      <c r="DR15" s="1928">
        <f ca="1">-Model!DR24</f>
        <v>1.6099968011304822</v>
      </c>
      <c r="DS15" s="1928">
        <f ca="1">-Model!DS24</f>
        <v>2.3625347924850533</v>
      </c>
      <c r="DT15" s="1928">
        <f ca="1">-Model!DT24</f>
        <v>3.4436540637079824</v>
      </c>
      <c r="DU15" s="1937">
        <f ca="1">SUM(DQ15:DT15)</f>
        <v>6.4161856573235179</v>
      </c>
      <c r="DV15" s="1928">
        <f ca="1">-Model!DV24</f>
        <v>3.2839144508444051</v>
      </c>
      <c r="DW15" s="1928">
        <f ca="1">-Model!DW24</f>
        <v>2.1524960095121655</v>
      </c>
      <c r="DX15" s="1928">
        <f ca="1">-Model!DX24</f>
        <v>1.9994303269368379</v>
      </c>
      <c r="DY15" s="1928">
        <f ca="1">-Model!DY24</f>
        <v>2.5016156224547843</v>
      </c>
      <c r="DZ15" s="1937">
        <f ca="1">SUM(DV15:DY15)</f>
        <v>9.9374564097481937</v>
      </c>
      <c r="EA15" s="1928">
        <f ca="1">-Model!EA24</f>
        <v>2.6223961170958097</v>
      </c>
      <c r="EB15" s="1928">
        <f ca="1">-Model!EB24</f>
        <v>2.1535651870184678</v>
      </c>
      <c r="EC15" s="1928">
        <f ca="1">-Model!EC24</f>
        <v>2.1419856199098026</v>
      </c>
      <c r="ED15" s="1928">
        <f ca="1">-Model!ED24</f>
        <v>2.6577678266474556</v>
      </c>
      <c r="EE15" s="1937">
        <f ca="1">SUM(EA15:ED15)</f>
        <v>9.5757147506715352</v>
      </c>
    </row>
    <row r="16" spans="1:245">
      <c r="B16" s="1908" t="s">
        <v>465</v>
      </c>
      <c r="C16" s="1920"/>
      <c r="D16" s="1920"/>
      <c r="E16" s="1920"/>
      <c r="F16" s="1920"/>
      <c r="G16" s="1920"/>
      <c r="H16" s="1920"/>
      <c r="I16" s="1920"/>
      <c r="J16" s="1920"/>
      <c r="K16" s="1920"/>
      <c r="L16" s="1920"/>
      <c r="M16" s="1920"/>
      <c r="N16" s="1920"/>
      <c r="O16" s="1920"/>
      <c r="P16" s="1920"/>
      <c r="Q16" s="1920"/>
      <c r="R16" s="1920"/>
      <c r="S16" s="1920"/>
      <c r="T16" s="1920"/>
      <c r="U16" s="1920"/>
      <c r="V16" s="1920"/>
      <c r="W16" s="1920"/>
      <c r="X16" s="1920"/>
      <c r="Y16" s="1920"/>
      <c r="Z16" s="1920"/>
      <c r="AA16" s="1920"/>
      <c r="AB16" s="1920"/>
      <c r="AC16" s="1920"/>
      <c r="AD16" s="1920"/>
      <c r="AE16" s="1920"/>
      <c r="AF16" s="1920"/>
      <c r="AG16" s="1920"/>
      <c r="AH16" s="1920"/>
      <c r="AI16" s="1920"/>
      <c r="AJ16" s="1920"/>
      <c r="AK16" s="1920"/>
      <c r="AL16" s="1920"/>
      <c r="AM16" s="1920"/>
      <c r="AN16" s="1920"/>
      <c r="AO16" s="1920"/>
      <c r="AP16" s="1920"/>
      <c r="AQ16" s="1920"/>
      <c r="AR16" s="1920"/>
      <c r="AS16" s="1920"/>
      <c r="AT16" s="1920"/>
      <c r="AU16" s="1920"/>
      <c r="AV16" s="1920"/>
      <c r="AW16" s="1920"/>
      <c r="AX16" s="1920"/>
      <c r="AY16" s="1920"/>
      <c r="AZ16" s="1920"/>
      <c r="BA16" s="1920"/>
      <c r="BB16" s="1920"/>
      <c r="BC16" s="1920"/>
      <c r="BD16" s="1920"/>
      <c r="BE16" s="1920"/>
      <c r="BF16" s="1920"/>
      <c r="BG16" s="1920"/>
      <c r="BH16" s="1920"/>
      <c r="BI16" s="1920"/>
      <c r="BJ16" s="1920"/>
      <c r="BK16" s="1920"/>
      <c r="BL16" s="1920"/>
      <c r="BM16" s="1920"/>
      <c r="BN16" s="1920"/>
      <c r="BO16" s="1920"/>
      <c r="BP16" s="1920"/>
      <c r="BQ16" s="1920"/>
      <c r="BR16" s="1920"/>
      <c r="BS16" s="1920"/>
      <c r="BT16" s="1920"/>
      <c r="BU16" s="1920"/>
      <c r="BV16" s="1920"/>
      <c r="BW16" s="1920"/>
      <c r="BX16" s="1920"/>
      <c r="BY16" s="1920"/>
      <c r="BZ16" s="1920"/>
      <c r="CA16" s="1920"/>
      <c r="CB16" s="1920"/>
      <c r="CC16" s="1920"/>
      <c r="CD16" s="1920"/>
      <c r="CE16" s="1920"/>
      <c r="CF16" s="1920"/>
      <c r="CG16" s="1920"/>
      <c r="CH16" s="1920"/>
      <c r="CI16" s="1920"/>
      <c r="CJ16" s="1920"/>
      <c r="CK16" s="1920"/>
      <c r="CL16" s="1920"/>
      <c r="CM16" s="1920"/>
      <c r="CN16" s="1920"/>
      <c r="CO16" s="1920"/>
      <c r="CP16" s="1920"/>
      <c r="CQ16" s="1920"/>
      <c r="CR16" s="1920"/>
      <c r="CS16" s="1920"/>
      <c r="CT16" s="1920"/>
      <c r="CU16" s="1920"/>
      <c r="CV16" s="1920"/>
      <c r="CW16" s="1930"/>
      <c r="CX16" s="1930"/>
      <c r="CY16" s="1930"/>
      <c r="CZ16" s="1930"/>
      <c r="DA16" s="1940"/>
      <c r="DB16" s="1930"/>
      <c r="DC16" s="1930"/>
      <c r="DD16" s="1930"/>
      <c r="DE16" s="1930"/>
      <c r="DF16" s="1940"/>
      <c r="DG16" s="1930"/>
      <c r="DH16" s="1930"/>
      <c r="DI16" s="1930"/>
      <c r="DJ16" s="1930"/>
      <c r="DK16" s="1940"/>
      <c r="DL16" s="1930"/>
      <c r="DM16" s="1930"/>
      <c r="DN16" s="1930"/>
      <c r="DO16" s="1930"/>
      <c r="DP16" s="1940"/>
      <c r="DQ16" s="1930"/>
      <c r="DR16" s="1930"/>
      <c r="DS16" s="1930"/>
      <c r="DT16" s="1930"/>
      <c r="DU16" s="1940"/>
      <c r="DV16" s="1930"/>
      <c r="DW16" s="1930"/>
      <c r="DX16" s="1930"/>
      <c r="DY16" s="1930"/>
      <c r="DZ16" s="1940"/>
      <c r="EA16" s="1930"/>
      <c r="EB16" s="1930"/>
      <c r="EC16" s="1930"/>
      <c r="ED16" s="1930"/>
      <c r="EE16" s="1940"/>
    </row>
    <row r="17" spans="2:135" ht="12" thickBot="1">
      <c r="B17" s="1909"/>
      <c r="C17" s="1921"/>
      <c r="D17" s="1921"/>
      <c r="E17" s="1921"/>
      <c r="F17" s="1921"/>
      <c r="G17" s="1921"/>
      <c r="H17" s="1921"/>
      <c r="I17" s="1921"/>
      <c r="J17" s="1921"/>
      <c r="K17" s="1921"/>
      <c r="L17" s="1921"/>
      <c r="M17" s="1921"/>
      <c r="N17" s="1921"/>
      <c r="O17" s="1921"/>
      <c r="P17" s="1921"/>
      <c r="Q17" s="1921"/>
      <c r="R17" s="1921"/>
      <c r="S17" s="1921"/>
      <c r="T17" s="1921"/>
      <c r="U17" s="1921"/>
      <c r="V17" s="1921"/>
      <c r="W17" s="1921"/>
      <c r="X17" s="1921"/>
      <c r="Y17" s="1921"/>
      <c r="Z17" s="1921"/>
      <c r="AA17" s="1921"/>
      <c r="AB17" s="1921"/>
      <c r="AC17" s="1921"/>
      <c r="AD17" s="1921"/>
      <c r="AE17" s="1921"/>
      <c r="AF17" s="1921"/>
      <c r="AG17" s="1921"/>
      <c r="AH17" s="1921"/>
      <c r="AI17" s="1921"/>
      <c r="AJ17" s="1921"/>
      <c r="AK17" s="1921"/>
      <c r="AL17" s="1921"/>
      <c r="AM17" s="1921"/>
      <c r="AN17" s="1921"/>
      <c r="AO17" s="1921"/>
      <c r="AP17" s="1921"/>
      <c r="AQ17" s="1921"/>
      <c r="AR17" s="1921"/>
      <c r="AS17" s="1921"/>
      <c r="AT17" s="1921"/>
      <c r="AU17" s="1921"/>
      <c r="AV17" s="1921"/>
      <c r="AW17" s="1921"/>
      <c r="AX17" s="1921"/>
      <c r="AY17" s="1921"/>
      <c r="AZ17" s="1921"/>
      <c r="BA17" s="1921"/>
      <c r="BB17" s="1921"/>
      <c r="BC17" s="1921"/>
      <c r="BD17" s="1921"/>
      <c r="BE17" s="1921"/>
      <c r="BF17" s="1921"/>
      <c r="BG17" s="1921"/>
      <c r="BH17" s="1921"/>
      <c r="BI17" s="1921"/>
      <c r="BJ17" s="1921"/>
      <c r="BK17" s="1921"/>
      <c r="BL17" s="1921"/>
      <c r="BM17" s="1921"/>
      <c r="BN17" s="1921"/>
      <c r="BO17" s="1921"/>
      <c r="BP17" s="1921"/>
      <c r="BQ17" s="1921"/>
      <c r="BR17" s="1921"/>
      <c r="BS17" s="1921"/>
      <c r="BT17" s="1921"/>
      <c r="BU17" s="1921"/>
      <c r="BV17" s="1921"/>
      <c r="BW17" s="1921"/>
      <c r="BX17" s="1921"/>
      <c r="BY17" s="1921"/>
      <c r="BZ17" s="1921"/>
      <c r="CA17" s="1921"/>
      <c r="CB17" s="1921"/>
      <c r="CC17" s="1921"/>
      <c r="CD17" s="1921"/>
      <c r="CE17" s="1921"/>
      <c r="CF17" s="1921"/>
      <c r="CG17" s="1921"/>
      <c r="CH17" s="1921"/>
      <c r="CI17" s="1921"/>
      <c r="CJ17" s="1921"/>
      <c r="CK17" s="1921"/>
      <c r="CL17" s="1921"/>
      <c r="CM17" s="1921"/>
      <c r="CN17" s="1921"/>
      <c r="CO17" s="1921"/>
      <c r="CP17" s="1921"/>
      <c r="CQ17" s="1921"/>
      <c r="CR17" s="1921"/>
      <c r="CS17" s="1921"/>
      <c r="CT17" s="1921"/>
      <c r="CU17" s="1921"/>
      <c r="CV17" s="1921"/>
      <c r="CW17" s="1931"/>
      <c r="CX17" s="1931"/>
      <c r="CY17" s="1931"/>
      <c r="CZ17" s="1931"/>
      <c r="DA17" s="1938"/>
      <c r="DB17" s="1931"/>
      <c r="DC17" s="1931"/>
      <c r="DD17" s="1931"/>
      <c r="DE17" s="1931"/>
      <c r="DF17" s="1938"/>
      <c r="DG17" s="1931"/>
      <c r="DH17" s="1931"/>
      <c r="DI17" s="1931"/>
      <c r="DJ17" s="1931"/>
      <c r="DK17" s="1938"/>
      <c r="DL17" s="1931"/>
      <c r="DM17" s="1931"/>
      <c r="DN17" s="1931"/>
      <c r="DO17" s="1931"/>
      <c r="DP17" s="1938"/>
      <c r="DQ17" s="1931"/>
      <c r="DR17" s="1931"/>
      <c r="DS17" s="1931"/>
      <c r="DT17" s="1931"/>
      <c r="DU17" s="1938"/>
      <c r="DV17" s="1931"/>
      <c r="DW17" s="1931"/>
      <c r="DX17" s="1931"/>
      <c r="DY17" s="1931"/>
      <c r="DZ17" s="1938"/>
      <c r="EA17" s="1931"/>
      <c r="EB17" s="1931"/>
      <c r="EC17" s="1931"/>
      <c r="ED17" s="1931"/>
      <c r="EE17" s="1938"/>
    </row>
    <row r="18" spans="2:135" ht="12" thickBot="1">
      <c r="B18" s="1910"/>
      <c r="C18" s="1910"/>
      <c r="D18" s="1910"/>
      <c r="E18" s="1910"/>
      <c r="F18" s="1910"/>
      <c r="G18" s="1910"/>
      <c r="H18" s="1910"/>
      <c r="I18" s="1910"/>
      <c r="J18" s="1910"/>
      <c r="K18" s="1910"/>
      <c r="L18" s="1910"/>
      <c r="M18" s="1910"/>
      <c r="N18" s="1910"/>
      <c r="O18" s="1910"/>
      <c r="P18" s="1910"/>
      <c r="Q18" s="1910"/>
      <c r="R18" s="1910"/>
      <c r="S18" s="1910"/>
      <c r="T18" s="1910"/>
      <c r="U18" s="1910"/>
      <c r="V18" s="1910"/>
      <c r="W18" s="1910"/>
      <c r="X18" s="1910"/>
      <c r="Y18" s="1910"/>
      <c r="Z18" s="1910"/>
      <c r="AA18" s="1910"/>
      <c r="AB18" s="1910"/>
      <c r="AC18" s="1910"/>
      <c r="AD18" s="1910"/>
      <c r="AE18" s="1910"/>
      <c r="AF18" s="1910"/>
      <c r="AG18" s="1910"/>
      <c r="AH18" s="1910"/>
      <c r="AI18" s="1910"/>
      <c r="AJ18" s="1910"/>
      <c r="AK18" s="1910"/>
      <c r="AL18" s="1910"/>
      <c r="AM18" s="1910"/>
      <c r="AN18" s="1910"/>
      <c r="AO18" s="1910"/>
      <c r="AP18" s="1910"/>
      <c r="AQ18" s="1910"/>
      <c r="AR18" s="1910"/>
      <c r="AS18" s="1910"/>
      <c r="AT18" s="1910"/>
      <c r="AU18" s="1910"/>
      <c r="AV18" s="1910"/>
      <c r="AW18" s="1910"/>
      <c r="AX18" s="1910"/>
      <c r="AY18" s="1910"/>
      <c r="AZ18" s="1910"/>
      <c r="BA18" s="1910"/>
      <c r="BB18" s="1910"/>
      <c r="BC18" s="1910"/>
      <c r="BD18" s="1910"/>
      <c r="BE18" s="1910"/>
      <c r="BF18" s="1910"/>
      <c r="BG18" s="1910"/>
      <c r="BH18" s="1910"/>
      <c r="BI18" s="1910"/>
      <c r="BJ18" s="1910"/>
      <c r="BK18" s="1910"/>
      <c r="BL18" s="1910"/>
      <c r="BM18" s="1910"/>
      <c r="BN18" s="1910"/>
      <c r="BO18" s="1910"/>
      <c r="BP18" s="1910"/>
      <c r="BQ18" s="1910"/>
      <c r="BR18" s="1910"/>
      <c r="BS18" s="1910"/>
      <c r="BT18" s="1910"/>
      <c r="BU18" s="1910"/>
      <c r="BV18" s="1910"/>
      <c r="BW18" s="1910"/>
      <c r="BX18" s="1910"/>
      <c r="BY18" s="1910"/>
      <c r="BZ18" s="1910"/>
      <c r="CA18" s="1910"/>
      <c r="CB18" s="1910"/>
      <c r="CC18" s="1910"/>
      <c r="CD18" s="1910"/>
      <c r="CE18" s="1910"/>
      <c r="CF18" s="1910"/>
      <c r="CG18" s="1910"/>
      <c r="CH18" s="1910"/>
      <c r="CI18" s="1910"/>
      <c r="CJ18" s="1910"/>
      <c r="CK18" s="1910"/>
      <c r="CL18" s="1910"/>
      <c r="CM18" s="1910"/>
      <c r="CN18" s="1910"/>
      <c r="CO18" s="1910"/>
      <c r="CP18" s="1910"/>
      <c r="CQ18" s="1910"/>
      <c r="CR18" s="1910"/>
      <c r="CS18" s="1910"/>
      <c r="CT18" s="1910"/>
      <c r="CU18" s="1910"/>
      <c r="CV18" s="1910"/>
      <c r="CW18" s="1928"/>
      <c r="CX18" s="1928"/>
      <c r="CY18" s="1928"/>
      <c r="CZ18" s="1928"/>
      <c r="DA18" s="1928"/>
      <c r="DB18" s="1928"/>
      <c r="DC18" s="1928"/>
      <c r="DD18" s="1928"/>
      <c r="DE18" s="1928"/>
      <c r="DF18" s="1928"/>
      <c r="DG18" s="1928"/>
      <c r="DH18" s="1928"/>
      <c r="DI18" s="1928"/>
      <c r="DJ18" s="1928"/>
      <c r="DK18" s="1928"/>
      <c r="DL18" s="1928"/>
      <c r="DM18" s="1928"/>
      <c r="DN18" s="1928"/>
      <c r="DO18" s="1928"/>
      <c r="DP18" s="1929"/>
      <c r="DQ18" s="1928"/>
      <c r="DR18" s="1928"/>
      <c r="DS18" s="1928"/>
      <c r="DT18" s="1928"/>
      <c r="DU18" s="1929"/>
      <c r="DV18" s="1928"/>
      <c r="DW18" s="1928"/>
      <c r="DX18" s="1928"/>
      <c r="DY18" s="1928"/>
      <c r="DZ18" s="1929"/>
      <c r="EA18" s="1928"/>
      <c r="EB18" s="1928"/>
      <c r="EC18" s="1928"/>
      <c r="ED18" s="1928"/>
      <c r="EE18" s="1929"/>
    </row>
    <row r="19" spans="2:135" ht="12" thickBot="1">
      <c r="B19" s="1905" t="s">
        <v>400</v>
      </c>
      <c r="C19" s="1916"/>
      <c r="D19" s="1916"/>
      <c r="E19" s="1916"/>
      <c r="F19" s="1916"/>
      <c r="G19" s="1916"/>
      <c r="H19" s="1916"/>
      <c r="I19" s="1916"/>
      <c r="J19" s="1916"/>
      <c r="K19" s="1916"/>
      <c r="L19" s="1916"/>
      <c r="M19" s="1916"/>
      <c r="N19" s="1916"/>
      <c r="O19" s="1916"/>
      <c r="P19" s="1916"/>
      <c r="Q19" s="1916"/>
      <c r="R19" s="1916"/>
      <c r="S19" s="1916"/>
      <c r="T19" s="1916"/>
      <c r="U19" s="1916"/>
      <c r="V19" s="1916"/>
      <c r="W19" s="1916"/>
      <c r="X19" s="1916"/>
      <c r="Y19" s="1916"/>
      <c r="Z19" s="1916"/>
      <c r="AA19" s="1916"/>
      <c r="AB19" s="1916"/>
      <c r="AC19" s="1916"/>
      <c r="AD19" s="1916"/>
      <c r="AE19" s="1916"/>
      <c r="AF19" s="1916"/>
      <c r="AG19" s="1916"/>
      <c r="AH19" s="1916"/>
      <c r="AI19" s="1916"/>
      <c r="AJ19" s="1916"/>
      <c r="AK19" s="1916"/>
      <c r="AL19" s="1916"/>
      <c r="AM19" s="1916"/>
      <c r="AN19" s="1916"/>
      <c r="AO19" s="1916"/>
      <c r="AP19" s="1916"/>
      <c r="AQ19" s="1916"/>
      <c r="AR19" s="1916"/>
      <c r="AS19" s="1916"/>
      <c r="AT19" s="1916"/>
      <c r="AU19" s="1916"/>
      <c r="AV19" s="1916"/>
      <c r="AW19" s="1916"/>
      <c r="AX19" s="1916"/>
      <c r="AY19" s="1916"/>
      <c r="AZ19" s="1916"/>
      <c r="BA19" s="1916"/>
      <c r="BB19" s="1916"/>
      <c r="BC19" s="1916"/>
      <c r="BD19" s="1916"/>
      <c r="BE19" s="1916"/>
      <c r="BF19" s="1916"/>
      <c r="BG19" s="1916"/>
      <c r="BH19" s="1916"/>
      <c r="BI19" s="1916"/>
      <c r="BJ19" s="1916"/>
      <c r="BK19" s="1916"/>
      <c r="BL19" s="1916"/>
      <c r="BM19" s="1916"/>
      <c r="BN19" s="1916"/>
      <c r="BO19" s="1916"/>
      <c r="BP19" s="1916"/>
      <c r="BQ19" s="1916"/>
      <c r="BR19" s="1916"/>
      <c r="BS19" s="1916"/>
      <c r="BT19" s="1916"/>
      <c r="BU19" s="1916"/>
      <c r="BV19" s="1916"/>
      <c r="BW19" s="1916"/>
      <c r="BX19" s="1916"/>
      <c r="BY19" s="1916"/>
      <c r="BZ19" s="1916"/>
      <c r="CA19" s="1916"/>
      <c r="CB19" s="1916"/>
      <c r="CC19" s="1916"/>
      <c r="CD19" s="1916"/>
      <c r="CE19" s="1916"/>
      <c r="CF19" s="1916"/>
      <c r="CG19" s="1916"/>
      <c r="CH19" s="1916"/>
      <c r="CI19" s="1916"/>
      <c r="CJ19" s="1916"/>
      <c r="CK19" s="1916"/>
      <c r="CL19" s="1916"/>
      <c r="CM19" s="1916"/>
      <c r="CN19" s="1916"/>
      <c r="CO19" s="1916"/>
      <c r="CP19" s="1916"/>
      <c r="CQ19" s="1916"/>
      <c r="CR19" s="1916"/>
      <c r="CS19" s="1916"/>
      <c r="CT19" s="1916"/>
      <c r="CU19" s="1916"/>
      <c r="CV19" s="1916"/>
      <c r="CW19" s="1932"/>
      <c r="CX19" s="1932"/>
      <c r="CY19" s="1932"/>
      <c r="CZ19" s="1932"/>
      <c r="DA19" s="1932"/>
      <c r="DB19" s="1932"/>
      <c r="DC19" s="1932"/>
      <c r="DD19" s="1932"/>
      <c r="DE19" s="1932"/>
      <c r="DF19" s="1932"/>
      <c r="DG19" s="1932"/>
      <c r="DH19" s="1932"/>
      <c r="DI19" s="1932"/>
      <c r="DJ19" s="1932"/>
      <c r="DK19" s="1932"/>
      <c r="DL19" s="1932"/>
      <c r="DM19" s="1932"/>
      <c r="DN19" s="1932"/>
      <c r="DO19" s="1932"/>
      <c r="DP19" s="1933"/>
      <c r="DQ19" s="1932"/>
      <c r="DR19" s="1932"/>
      <c r="DS19" s="1932"/>
      <c r="DT19" s="1932"/>
      <c r="DU19" s="1933"/>
      <c r="DV19" s="1932"/>
      <c r="DW19" s="1932"/>
      <c r="DX19" s="1932"/>
      <c r="DY19" s="1932"/>
      <c r="DZ19" s="1933"/>
      <c r="EA19" s="1932"/>
      <c r="EB19" s="1932"/>
      <c r="EC19" s="1932"/>
      <c r="ED19" s="1932"/>
      <c r="EE19" s="1933"/>
    </row>
    <row r="20" spans="2:135">
      <c r="B20" s="1906" t="s">
        <v>490</v>
      </c>
      <c r="C20" s="1918"/>
      <c r="D20" s="1918"/>
      <c r="E20" s="1918"/>
      <c r="F20" s="1918"/>
      <c r="G20" s="1918"/>
      <c r="H20" s="1918"/>
      <c r="I20" s="1918"/>
      <c r="J20" s="1918"/>
      <c r="K20" s="1918"/>
      <c r="L20" s="1918"/>
      <c r="M20" s="1918"/>
      <c r="N20" s="1918"/>
      <c r="O20" s="1918"/>
      <c r="P20" s="1918"/>
      <c r="Q20" s="1918"/>
      <c r="R20" s="1918"/>
      <c r="S20" s="1918"/>
      <c r="T20" s="1918"/>
      <c r="U20" s="1918"/>
      <c r="V20" s="1918"/>
      <c r="W20" s="1918"/>
      <c r="X20" s="1918"/>
      <c r="Y20" s="1918"/>
      <c r="Z20" s="1918"/>
      <c r="AA20" s="1918"/>
      <c r="AB20" s="1918"/>
      <c r="AC20" s="1918"/>
      <c r="AD20" s="1918"/>
      <c r="AE20" s="1918"/>
      <c r="AF20" s="1918"/>
      <c r="AG20" s="1918"/>
      <c r="AH20" s="1918"/>
      <c r="AI20" s="1918"/>
      <c r="AJ20" s="1918"/>
      <c r="AK20" s="1918"/>
      <c r="AL20" s="1918"/>
      <c r="AM20" s="1918"/>
      <c r="AN20" s="1918"/>
      <c r="AO20" s="1918"/>
      <c r="AP20" s="1918"/>
      <c r="AQ20" s="1918"/>
      <c r="AR20" s="1918"/>
      <c r="AS20" s="1918"/>
      <c r="AT20" s="1918"/>
      <c r="AU20" s="1918"/>
      <c r="AV20" s="1918"/>
      <c r="AW20" s="1918"/>
      <c r="AX20" s="1918"/>
      <c r="AY20" s="1918"/>
      <c r="AZ20" s="1918"/>
      <c r="BA20" s="1918"/>
      <c r="BB20" s="1918"/>
      <c r="BC20" s="1918"/>
      <c r="BD20" s="1918"/>
      <c r="BE20" s="1918"/>
      <c r="BF20" s="1918"/>
      <c r="BG20" s="1918"/>
      <c r="BH20" s="1918"/>
      <c r="BI20" s="1918"/>
      <c r="BJ20" s="1918"/>
      <c r="BK20" s="1918"/>
      <c r="BL20" s="1918"/>
      <c r="BM20" s="1918"/>
      <c r="BN20" s="1918"/>
      <c r="BO20" s="1918"/>
      <c r="BP20" s="1918"/>
      <c r="BQ20" s="1918"/>
      <c r="BR20" s="1918"/>
      <c r="BS20" s="1918"/>
      <c r="BT20" s="1918"/>
      <c r="BU20" s="1918"/>
      <c r="BV20" s="1918"/>
      <c r="BW20" s="1918"/>
      <c r="BX20" s="1918"/>
      <c r="BY20" s="1918"/>
      <c r="BZ20" s="1918"/>
      <c r="CA20" s="1918"/>
      <c r="CB20" s="1918"/>
      <c r="CC20" s="1918"/>
      <c r="CD20" s="1918"/>
      <c r="CE20" s="1918"/>
      <c r="CF20" s="1918"/>
      <c r="CG20" s="1918"/>
      <c r="CH20" s="1918"/>
      <c r="CI20" s="1918"/>
      <c r="CJ20" s="1918"/>
      <c r="CK20" s="1918"/>
      <c r="CL20" s="1918"/>
      <c r="CM20" s="1918"/>
      <c r="CN20" s="1918"/>
      <c r="CO20" s="1918"/>
      <c r="CP20" s="1918"/>
      <c r="CQ20" s="1918"/>
      <c r="CR20" s="1918"/>
      <c r="CS20" s="1918"/>
      <c r="CT20" s="1918"/>
      <c r="CU20" s="1918"/>
      <c r="CV20" s="1918"/>
      <c r="CW20" s="1927"/>
      <c r="CX20" s="1927"/>
      <c r="CY20" s="1927"/>
      <c r="CZ20" s="1927"/>
      <c r="DA20" s="1927"/>
      <c r="DB20" s="1927">
        <f>DB44+DB51+DB58+DB65+DB72+DB79+DB86+DB93+DB100+DB107+DB114+DB128+DB135+DB142+DB149+DB163</f>
        <v>0</v>
      </c>
      <c r="DC20" s="1927">
        <f>DC44+DC51+DC58+DC65+DC72+DC79+DC86+DC93+DC100+DC107+DC114+DC128+DC135+DC142+DC149+DC163</f>
        <v>0</v>
      </c>
      <c r="DD20" s="1927">
        <f>DD44+DD51+DD58+DD65+DD72+DD79+DD86+DD93+DD100+DD107+DD114+DD128+DD135+DD142+DD149+DD163</f>
        <v>0</v>
      </c>
      <c r="DE20" s="1927">
        <f>DE44+DE51+DE58+DE65+DE72+DE79+DE86+DE93+DE100+DE107+DE114+DE128+DE135+DE142+DE149+DE163</f>
        <v>121.9154375</v>
      </c>
      <c r="DF20" s="1936">
        <f>SUM(DB20:DE20)</f>
        <v>121.9154375</v>
      </c>
      <c r="DG20" s="1927">
        <f>DG44+DG51+DG58+DG65+DG72+DG79+DG86+DG93+DG100+DG107+DG114+DG128+DG135+DG142+DG149+DG163+DG166</f>
        <v>142.12131249999999</v>
      </c>
      <c r="DH20" s="1927">
        <f>DH44+DH51+DH58+DH65+DH72+DH79+DH86+DH93+DH100+DH107+DH114+DH128+DH135+DH142+DH149+DH163+DH166</f>
        <v>142.30806250000001</v>
      </c>
      <c r="DI20" s="1927">
        <f>DI44+DI51+DI58+DI65+DI72+DI79+DI86+DI93+DI100+DI107+DI114+DI128+DI135+DI142+DI149+DI163+DI166</f>
        <v>140.954125</v>
      </c>
      <c r="DJ20" s="1927">
        <f>DJ44+DJ51+DJ58+DJ65+DJ72+DJ79+DJ86+DJ93+DJ100+DJ107+DJ114+DJ128+DJ135+DJ142+DJ149+DJ163+DJ166</f>
        <v>139.41343749999999</v>
      </c>
      <c r="DK20" s="1936">
        <f>SUM(DG20:DJ20)</f>
        <v>564.79693750000001</v>
      </c>
      <c r="DL20" s="1927">
        <f>DL44+DL51+DL58+DL65+DL72+DL79+DL86+DL93+DL100+DL107+DL114+DL128+DL135+DL142+DL149+DL163+DL166</f>
        <v>139.41343749999999</v>
      </c>
      <c r="DM20" s="1927">
        <f>DM44+DM51+DM58+DM65+DM72+DM79+DM86+DM93+DM100+DM107+DM114+DM128+DM135+DM142+DM149+DM163+DM166</f>
        <v>139.41343749999999</v>
      </c>
      <c r="DN20" s="1927">
        <f>DN44+DN51+DN58+DN65+DN72+DN79+DN86+DN93+DN100+DN107+DN114+DN128+DN135+DN142+DN149+DN163+DN166</f>
        <v>136.06759375000001</v>
      </c>
      <c r="DO20" s="1927">
        <f>DO44+DO51+DO58+DO65+DO72+DO79+DO86+DO93+DO100+DO107+DO114+DO128+DO135+DO142+DO149+DO163+DO166</f>
        <v>132.72174999999999</v>
      </c>
      <c r="DP20" s="1936">
        <f>SUM(DL20:DO20)</f>
        <v>547.61621874999992</v>
      </c>
      <c r="DQ20" s="1927">
        <f>DQ44+DQ51+DQ58+DQ65+DQ72+DQ79+DQ86+DQ93+DQ100+DQ107+DQ114+DQ128+DQ135+DQ142+DQ149+DQ163+DQ166</f>
        <v>132.72174999999999</v>
      </c>
      <c r="DR20" s="1927">
        <f>DR44+DR51+DR58+DR65+DR72+DR79+DR86+DR93+DR100+DR107+DR114+DR128+DR135+DR142+DR149+DR163+DR166</f>
        <v>132.72174999999999</v>
      </c>
      <c r="DS20" s="1927">
        <f>DS44+DS51+DS58+DS65+DS72+DS79+DS86+DS93+DS100+DS107+DS114+DS128+DS135+DS142+DS149+DS163+DS166</f>
        <v>132.72174999999999</v>
      </c>
      <c r="DT20" s="1927">
        <f>DT44+DT51+DT58+DT65+DT72+DT79+DT86+DT93+DT100+DT107+DT114+DT128+DT135+DT142+DT149+DT163+DT166</f>
        <v>132.72174999999999</v>
      </c>
      <c r="DU20" s="1936">
        <f>SUM(DQ20:DT20)</f>
        <v>530.88699999999994</v>
      </c>
      <c r="DV20" s="1927">
        <f>DV44+DV51+DV58+DV65+DV72+DV79+DV86+DV93+DV100+DV107+DV114+DV128+DV135+DV142+DV149+DV163+DV166</f>
        <v>126.889375</v>
      </c>
      <c r="DW20" s="1927">
        <f>DW44+DW51+DW58+DW65+DW72+DW79+DW86+DW93+DW100+DW107+DW114+DW128+DW135+DW142+DW149+DW163+DW166</f>
        <v>121.057</v>
      </c>
      <c r="DX20" s="1927">
        <f>DX44+DX51+DX58+DX65+DX72+DX79+DX86+DX93+DX100+DX107+DX114+DX128+DX135+DX142+DX149+DX163+DX166</f>
        <v>121.057</v>
      </c>
      <c r="DY20" s="1927">
        <f>DY44+DY51+DY58+DY65+DY72+DY79+DY86+DY93+DY100+DY107+DY114+DY128+DY135+DY142+DY149+DY163+DY166</f>
        <v>121.057</v>
      </c>
      <c r="DZ20" s="1936">
        <f>SUM(DV20:DY20)</f>
        <v>490.06037500000002</v>
      </c>
      <c r="EA20" s="1927">
        <f>EA44+EA51+EA58+EA65+EA72+EA79+EA86+EA93+EA100+EA107+EA114+EA128+EA135+EA142+EA149+EA163+EA166</f>
        <v>119.416375</v>
      </c>
      <c r="EB20" s="1927">
        <f>EB44+EB51+EB58+EB65+EB72+EB79+EB86+EB93+EB100+EB107+EB114+EB128+EB135+EB142+EB149+EB163+EB166</f>
        <v>117.77575</v>
      </c>
      <c r="EC20" s="1927">
        <f>EC44+EC51+EC58+EC65+EC72+EC79+EC86+EC93+EC100+EC107+EC114+EC128+EC135+EC142+EC149+EC163+EC166</f>
        <v>117.77575</v>
      </c>
      <c r="ED20" s="1927">
        <f>ED44+ED51+ED58+ED65+ED72+ED79+ED86+ED93+ED100+ED107+ED114+ED128+ED135+ED142+ED149+ED163+ED166</f>
        <v>117.77575</v>
      </c>
      <c r="EE20" s="1936">
        <f>SUM(EA20:ED20)</f>
        <v>472.74362500000001</v>
      </c>
    </row>
    <row r="21" spans="2:135">
      <c r="B21" s="1907" t="s">
        <v>491</v>
      </c>
      <c r="C21" s="1910"/>
      <c r="D21" s="1910"/>
      <c r="E21" s="1910"/>
      <c r="F21" s="1910"/>
      <c r="G21" s="1910"/>
      <c r="H21" s="1910"/>
      <c r="I21" s="1910"/>
      <c r="J21" s="1910"/>
      <c r="K21" s="1910"/>
      <c r="L21" s="1910"/>
      <c r="M21" s="1910"/>
      <c r="N21" s="1910"/>
      <c r="O21" s="1910"/>
      <c r="P21" s="1910"/>
      <c r="Q21" s="1910"/>
      <c r="R21" s="1910"/>
      <c r="S21" s="1910"/>
      <c r="T21" s="1910"/>
      <c r="U21" s="1910"/>
      <c r="V21" s="1910"/>
      <c r="W21" s="1910"/>
      <c r="X21" s="1910"/>
      <c r="Y21" s="1910"/>
      <c r="Z21" s="1910"/>
      <c r="AA21" s="1910"/>
      <c r="AB21" s="1910"/>
      <c r="AC21" s="1910"/>
      <c r="AD21" s="1910"/>
      <c r="AE21" s="1910"/>
      <c r="AF21" s="1910"/>
      <c r="AG21" s="1910"/>
      <c r="AH21" s="1910"/>
      <c r="AI21" s="1910"/>
      <c r="AJ21" s="1910"/>
      <c r="AK21" s="1910"/>
      <c r="AL21" s="1910"/>
      <c r="AM21" s="1910"/>
      <c r="AN21" s="1910"/>
      <c r="AO21" s="1910"/>
      <c r="AP21" s="1910"/>
      <c r="AQ21" s="1910"/>
      <c r="AR21" s="1910"/>
      <c r="AS21" s="1910"/>
      <c r="AT21" s="1910"/>
      <c r="AU21" s="1910"/>
      <c r="AV21" s="1910"/>
      <c r="AW21" s="1910"/>
      <c r="AX21" s="1910"/>
      <c r="AY21" s="1910"/>
      <c r="AZ21" s="1910"/>
      <c r="BA21" s="1910"/>
      <c r="BB21" s="1910"/>
      <c r="BC21" s="1910"/>
      <c r="BD21" s="1910"/>
      <c r="BE21" s="1910"/>
      <c r="BF21" s="1910"/>
      <c r="BG21" s="1910"/>
      <c r="BH21" s="1910"/>
      <c r="BI21" s="1910"/>
      <c r="BJ21" s="1910"/>
      <c r="BK21" s="1910"/>
      <c r="BL21" s="1910"/>
      <c r="BM21" s="1910"/>
      <c r="BN21" s="1910"/>
      <c r="BO21" s="1910"/>
      <c r="BP21" s="1910"/>
      <c r="BQ21" s="1910"/>
      <c r="BR21" s="1910"/>
      <c r="BS21" s="1910"/>
      <c r="BT21" s="1910"/>
      <c r="BU21" s="1910"/>
      <c r="BV21" s="1910"/>
      <c r="BW21" s="1910"/>
      <c r="BX21" s="1910"/>
      <c r="BY21" s="1910"/>
      <c r="BZ21" s="1910"/>
      <c r="CA21" s="1910"/>
      <c r="CB21" s="1910"/>
      <c r="CC21" s="1910"/>
      <c r="CD21" s="1910"/>
      <c r="CE21" s="1910"/>
      <c r="CF21" s="1910"/>
      <c r="CG21" s="1910"/>
      <c r="CH21" s="1910"/>
      <c r="CI21" s="1910"/>
      <c r="CJ21" s="1910"/>
      <c r="CK21" s="1910"/>
      <c r="CL21" s="1910"/>
      <c r="CM21" s="1910"/>
      <c r="CN21" s="1910"/>
      <c r="CO21" s="1910"/>
      <c r="CP21" s="1910"/>
      <c r="CQ21" s="1910"/>
      <c r="CR21" s="1910"/>
      <c r="CS21" s="1910"/>
      <c r="CT21" s="1910"/>
      <c r="CU21" s="1910"/>
      <c r="CV21" s="1910"/>
      <c r="CW21" s="1928"/>
      <c r="CX21" s="1928"/>
      <c r="CY21" s="1928"/>
      <c r="CZ21" s="1928"/>
      <c r="DA21" s="1928"/>
      <c r="DB21" s="1928"/>
      <c r="DC21" s="1928"/>
      <c r="DD21" s="1928"/>
      <c r="DE21" s="1928"/>
      <c r="DF21" s="1937"/>
      <c r="DG21" s="1928"/>
      <c r="DH21" s="1928"/>
      <c r="DI21" s="1928"/>
      <c r="DJ21" s="1928"/>
      <c r="DK21" s="1937"/>
      <c r="DL21" s="1928"/>
      <c r="DM21" s="1928"/>
      <c r="DN21" s="1928"/>
      <c r="DO21" s="1928"/>
      <c r="DP21" s="1937"/>
      <c r="DQ21" s="1928"/>
      <c r="DR21" s="1928"/>
      <c r="DS21" s="1928"/>
      <c r="DT21" s="1928"/>
      <c r="DU21" s="1937"/>
      <c r="DV21" s="1928"/>
      <c r="DW21" s="1928"/>
      <c r="DX21" s="1928"/>
      <c r="DY21" s="1928"/>
      <c r="DZ21" s="1937"/>
      <c r="EA21" s="1928"/>
      <c r="EB21" s="1928"/>
      <c r="EC21" s="1928"/>
      <c r="ED21" s="1928"/>
      <c r="EE21" s="1937"/>
    </row>
    <row r="22" spans="2:135">
      <c r="B22" s="1908" t="s">
        <v>465</v>
      </c>
      <c r="C22" s="1920"/>
      <c r="D22" s="1920"/>
      <c r="E22" s="1920"/>
      <c r="F22" s="1920"/>
      <c r="G22" s="1920"/>
      <c r="H22" s="1920"/>
      <c r="I22" s="1920"/>
      <c r="J22" s="1920"/>
      <c r="K22" s="1920"/>
      <c r="L22" s="1920"/>
      <c r="M22" s="1920"/>
      <c r="N22" s="1920"/>
      <c r="O22" s="1920"/>
      <c r="P22" s="1920"/>
      <c r="Q22" s="1920"/>
      <c r="R22" s="1920"/>
      <c r="S22" s="1920"/>
      <c r="T22" s="1920"/>
      <c r="U22" s="1920"/>
      <c r="V22" s="1920"/>
      <c r="W22" s="1920"/>
      <c r="X22" s="1920"/>
      <c r="Y22" s="1920"/>
      <c r="Z22" s="1920"/>
      <c r="AA22" s="1920"/>
      <c r="AB22" s="1920"/>
      <c r="AC22" s="1920"/>
      <c r="AD22" s="1920"/>
      <c r="AE22" s="1920"/>
      <c r="AF22" s="1920"/>
      <c r="AG22" s="1920"/>
      <c r="AH22" s="1920"/>
      <c r="AI22" s="1920"/>
      <c r="AJ22" s="1920"/>
      <c r="AK22" s="1920"/>
      <c r="AL22" s="1920"/>
      <c r="AM22" s="1920"/>
      <c r="AN22" s="1920"/>
      <c r="AO22" s="1920"/>
      <c r="AP22" s="1920"/>
      <c r="AQ22" s="1920"/>
      <c r="AR22" s="1920"/>
      <c r="AS22" s="1920"/>
      <c r="AT22" s="1920"/>
      <c r="AU22" s="1920"/>
      <c r="AV22" s="1920"/>
      <c r="AW22" s="1920"/>
      <c r="AX22" s="1920"/>
      <c r="AY22" s="1920"/>
      <c r="AZ22" s="1920"/>
      <c r="BA22" s="1920"/>
      <c r="BB22" s="1920"/>
      <c r="BC22" s="1920"/>
      <c r="BD22" s="1920"/>
      <c r="BE22" s="1920"/>
      <c r="BF22" s="1920"/>
      <c r="BG22" s="1920"/>
      <c r="BH22" s="1920"/>
      <c r="BI22" s="1920"/>
      <c r="BJ22" s="1920"/>
      <c r="BK22" s="1920"/>
      <c r="BL22" s="1920"/>
      <c r="BM22" s="1920"/>
      <c r="BN22" s="1920"/>
      <c r="BO22" s="1920"/>
      <c r="BP22" s="1920"/>
      <c r="BQ22" s="1920"/>
      <c r="BR22" s="1920"/>
      <c r="BS22" s="1920"/>
      <c r="BT22" s="1920"/>
      <c r="BU22" s="1920"/>
      <c r="BV22" s="1920"/>
      <c r="BW22" s="1920"/>
      <c r="BX22" s="1920"/>
      <c r="BY22" s="1920"/>
      <c r="BZ22" s="1920"/>
      <c r="CA22" s="1920"/>
      <c r="CB22" s="1920"/>
      <c r="CC22" s="1920"/>
      <c r="CD22" s="1920"/>
      <c r="CE22" s="1920"/>
      <c r="CF22" s="1920"/>
      <c r="CG22" s="1920"/>
      <c r="CH22" s="1920"/>
      <c r="CI22" s="1920"/>
      <c r="CJ22" s="1920"/>
      <c r="CK22" s="1920"/>
      <c r="CL22" s="1920"/>
      <c r="CM22" s="1920"/>
      <c r="CN22" s="1920"/>
      <c r="CO22" s="1920"/>
      <c r="CP22" s="1920"/>
      <c r="CQ22" s="1920"/>
      <c r="CR22" s="1920"/>
      <c r="CS22" s="1920"/>
      <c r="CT22" s="1920"/>
      <c r="CU22" s="1920"/>
      <c r="CV22" s="1920"/>
      <c r="CW22" s="1930"/>
      <c r="CX22" s="1930"/>
      <c r="CY22" s="1930"/>
      <c r="CZ22" s="1930"/>
      <c r="DA22" s="1930"/>
      <c r="DB22" s="1930"/>
      <c r="DC22" s="1930"/>
      <c r="DD22" s="1930"/>
      <c r="DE22" s="1930"/>
      <c r="DF22" s="1940"/>
      <c r="DG22" s="1930"/>
      <c r="DH22" s="1930"/>
      <c r="DI22" s="1930"/>
      <c r="DJ22" s="1930"/>
      <c r="DK22" s="1940"/>
      <c r="DL22" s="1930"/>
      <c r="DM22" s="1930"/>
      <c r="DN22" s="1930"/>
      <c r="DO22" s="1930"/>
      <c r="DP22" s="1940"/>
      <c r="DQ22" s="1930"/>
      <c r="DR22" s="1930"/>
      <c r="DS22" s="1930"/>
      <c r="DT22" s="1930"/>
      <c r="DU22" s="1940"/>
      <c r="DV22" s="1930"/>
      <c r="DW22" s="1930"/>
      <c r="DX22" s="1930"/>
      <c r="DY22" s="1930"/>
      <c r="DZ22" s="1940"/>
      <c r="EA22" s="1930"/>
      <c r="EB22" s="1930"/>
      <c r="EC22" s="1930"/>
      <c r="ED22" s="1930"/>
      <c r="EE22" s="1940"/>
    </row>
    <row r="23" spans="2:135" ht="12" thickBot="1">
      <c r="B23" s="1909"/>
      <c r="C23" s="1921"/>
      <c r="D23" s="1921"/>
      <c r="E23" s="1921"/>
      <c r="F23" s="1921"/>
      <c r="G23" s="1921"/>
      <c r="H23" s="1921"/>
      <c r="I23" s="1921"/>
      <c r="J23" s="1921"/>
      <c r="K23" s="1921"/>
      <c r="L23" s="1921"/>
      <c r="M23" s="1921"/>
      <c r="N23" s="1921"/>
      <c r="O23" s="1921"/>
      <c r="P23" s="1921"/>
      <c r="Q23" s="1921"/>
      <c r="R23" s="1921"/>
      <c r="S23" s="1921"/>
      <c r="T23" s="1921"/>
      <c r="U23" s="1921"/>
      <c r="V23" s="1921"/>
      <c r="W23" s="1921"/>
      <c r="X23" s="1921"/>
      <c r="Y23" s="1921"/>
      <c r="Z23" s="1921"/>
      <c r="AA23" s="1921"/>
      <c r="AB23" s="1921"/>
      <c r="AC23" s="1921"/>
      <c r="AD23" s="1921"/>
      <c r="AE23" s="1921"/>
      <c r="AF23" s="1921"/>
      <c r="AG23" s="1921"/>
      <c r="AH23" s="1921"/>
      <c r="AI23" s="1921"/>
      <c r="AJ23" s="1921"/>
      <c r="AK23" s="1921"/>
      <c r="AL23" s="1921"/>
      <c r="AM23" s="1921"/>
      <c r="AN23" s="1921"/>
      <c r="AO23" s="1921"/>
      <c r="AP23" s="1921"/>
      <c r="AQ23" s="1921"/>
      <c r="AR23" s="1921"/>
      <c r="AS23" s="1921"/>
      <c r="AT23" s="1921"/>
      <c r="AU23" s="1921"/>
      <c r="AV23" s="1921"/>
      <c r="AW23" s="1921"/>
      <c r="AX23" s="1921"/>
      <c r="AY23" s="1921"/>
      <c r="AZ23" s="1921"/>
      <c r="BA23" s="1921"/>
      <c r="BB23" s="1921"/>
      <c r="BC23" s="1921"/>
      <c r="BD23" s="1921"/>
      <c r="BE23" s="1921"/>
      <c r="BF23" s="1921"/>
      <c r="BG23" s="1921"/>
      <c r="BH23" s="1921"/>
      <c r="BI23" s="1921"/>
      <c r="BJ23" s="1921"/>
      <c r="BK23" s="1921"/>
      <c r="BL23" s="1921"/>
      <c r="BM23" s="1921"/>
      <c r="BN23" s="1921"/>
      <c r="BO23" s="1921"/>
      <c r="BP23" s="1921"/>
      <c r="BQ23" s="1921"/>
      <c r="BR23" s="1921"/>
      <c r="BS23" s="1921"/>
      <c r="BT23" s="1921"/>
      <c r="BU23" s="1921"/>
      <c r="BV23" s="1921"/>
      <c r="BW23" s="1921"/>
      <c r="BX23" s="1921"/>
      <c r="BY23" s="1921"/>
      <c r="BZ23" s="1921"/>
      <c r="CA23" s="1921"/>
      <c r="CB23" s="1921"/>
      <c r="CC23" s="1921"/>
      <c r="CD23" s="1921"/>
      <c r="CE23" s="1921"/>
      <c r="CF23" s="1921"/>
      <c r="CG23" s="1921"/>
      <c r="CH23" s="1921"/>
      <c r="CI23" s="1921"/>
      <c r="CJ23" s="1921"/>
      <c r="CK23" s="1921"/>
      <c r="CL23" s="1921"/>
      <c r="CM23" s="1921"/>
      <c r="CN23" s="1921"/>
      <c r="CO23" s="1921"/>
      <c r="CP23" s="1921"/>
      <c r="CQ23" s="1921"/>
      <c r="CR23" s="1921"/>
      <c r="CS23" s="1921"/>
      <c r="CT23" s="1921"/>
      <c r="CU23" s="1921"/>
      <c r="CV23" s="1921"/>
      <c r="CW23" s="1931"/>
      <c r="CX23" s="1931"/>
      <c r="CY23" s="1931"/>
      <c r="CZ23" s="1931"/>
      <c r="DA23" s="1931"/>
      <c r="DB23" s="1931"/>
      <c r="DC23" s="1931"/>
      <c r="DD23" s="1931"/>
      <c r="DE23" s="1931"/>
      <c r="DF23" s="1938"/>
      <c r="DG23" s="1931"/>
      <c r="DH23" s="1931"/>
      <c r="DI23" s="1931"/>
      <c r="DJ23" s="1931"/>
      <c r="DK23" s="1938"/>
      <c r="DL23" s="1931"/>
      <c r="DM23" s="1931"/>
      <c r="DN23" s="1931"/>
      <c r="DO23" s="1931"/>
      <c r="DP23" s="1938"/>
      <c r="DQ23" s="1931"/>
      <c r="DR23" s="1931"/>
      <c r="DS23" s="1931"/>
      <c r="DT23" s="1931"/>
      <c r="DU23" s="1938"/>
      <c r="DV23" s="1931"/>
      <c r="DW23" s="1931"/>
      <c r="DX23" s="1931"/>
      <c r="DY23" s="1931"/>
      <c r="DZ23" s="1938"/>
      <c r="EA23" s="1931"/>
      <c r="EB23" s="1931"/>
      <c r="EC23" s="1931"/>
      <c r="ED23" s="1931"/>
      <c r="EE23" s="1938"/>
    </row>
    <row r="24" spans="2:135" ht="12" thickBot="1">
      <c r="B24" s="1910"/>
      <c r="C24" s="1910"/>
      <c r="D24" s="1910"/>
      <c r="E24" s="1910"/>
      <c r="F24" s="1910"/>
      <c r="G24" s="1910"/>
      <c r="H24" s="1910"/>
      <c r="I24" s="1910"/>
      <c r="J24" s="1910"/>
      <c r="K24" s="1910"/>
      <c r="L24" s="1910"/>
      <c r="M24" s="1910"/>
      <c r="N24" s="1910"/>
      <c r="O24" s="1910"/>
      <c r="P24" s="1910"/>
      <c r="Q24" s="1910"/>
      <c r="R24" s="1910"/>
      <c r="S24" s="1910"/>
      <c r="T24" s="1910"/>
      <c r="U24" s="1910"/>
      <c r="V24" s="1910"/>
      <c r="W24" s="1910"/>
      <c r="X24" s="1910"/>
      <c r="Y24" s="1910"/>
      <c r="Z24" s="1910"/>
      <c r="AA24" s="1910"/>
      <c r="AB24" s="1910"/>
      <c r="AC24" s="1910"/>
      <c r="AD24" s="1910"/>
      <c r="AE24" s="1910"/>
      <c r="AF24" s="1910"/>
      <c r="AG24" s="1910"/>
      <c r="AH24" s="1910"/>
      <c r="AI24" s="1910"/>
      <c r="AJ24" s="1910"/>
      <c r="AK24" s="1910"/>
      <c r="AL24" s="1910"/>
      <c r="AM24" s="1910"/>
      <c r="AN24" s="1910"/>
      <c r="AO24" s="1910"/>
      <c r="AP24" s="1910"/>
      <c r="AQ24" s="1910"/>
      <c r="AR24" s="1910"/>
      <c r="AS24" s="1910"/>
      <c r="AT24" s="1910"/>
      <c r="AU24" s="1910"/>
      <c r="AV24" s="1910"/>
      <c r="AW24" s="1910"/>
      <c r="AX24" s="1910"/>
      <c r="AY24" s="1910"/>
      <c r="AZ24" s="1910"/>
      <c r="BA24" s="1910"/>
      <c r="BB24" s="1910"/>
      <c r="BC24" s="1910"/>
      <c r="BD24" s="1910"/>
      <c r="BE24" s="1910"/>
      <c r="BF24" s="1910"/>
      <c r="BG24" s="1910"/>
      <c r="BH24" s="1910"/>
      <c r="BI24" s="1910"/>
      <c r="BJ24" s="1910"/>
      <c r="BK24" s="1910"/>
      <c r="BL24" s="1910"/>
      <c r="BM24" s="1910"/>
      <c r="BN24" s="1910"/>
      <c r="BO24" s="1910"/>
      <c r="BP24" s="1910"/>
      <c r="BQ24" s="1910"/>
      <c r="BR24" s="1910"/>
      <c r="BS24" s="1910"/>
      <c r="BT24" s="1910"/>
      <c r="BU24" s="1910"/>
      <c r="BV24" s="1910"/>
      <c r="BW24" s="1910"/>
      <c r="BX24" s="1910"/>
      <c r="BY24" s="1910"/>
      <c r="BZ24" s="1910"/>
      <c r="CA24" s="1910"/>
      <c r="CB24" s="1910"/>
      <c r="CC24" s="1910"/>
      <c r="CD24" s="1910"/>
      <c r="CE24" s="1910"/>
      <c r="CF24" s="1910"/>
      <c r="CG24" s="1910"/>
      <c r="CH24" s="1910"/>
      <c r="CI24" s="1910"/>
      <c r="CJ24" s="1910"/>
      <c r="CK24" s="1910"/>
      <c r="CL24" s="1910"/>
      <c r="CM24" s="1910"/>
      <c r="CN24" s="1910"/>
      <c r="CO24" s="1910"/>
      <c r="CP24" s="1910"/>
      <c r="CQ24" s="1910"/>
      <c r="CR24" s="1910"/>
      <c r="CS24" s="1910"/>
      <c r="CT24" s="1910"/>
      <c r="CU24" s="1910"/>
      <c r="CV24" s="1910"/>
      <c r="CW24" s="1928"/>
      <c r="CX24" s="1928"/>
      <c r="CY24" s="1928"/>
      <c r="CZ24" s="1928"/>
      <c r="DA24" s="1928"/>
      <c r="DB24" s="1928"/>
      <c r="DC24" s="1928"/>
      <c r="DD24" s="1928"/>
      <c r="DE24" s="1928"/>
      <c r="DF24" s="1928"/>
      <c r="DG24" s="1928"/>
      <c r="DH24" s="1928"/>
      <c r="DI24" s="1928"/>
      <c r="DJ24" s="1928"/>
      <c r="DK24" s="1928"/>
      <c r="DL24" s="1928"/>
      <c r="DM24" s="1928"/>
      <c r="DN24" s="1928"/>
      <c r="DO24" s="1928"/>
      <c r="DP24" s="1929"/>
      <c r="DQ24" s="1928"/>
      <c r="DR24" s="1928"/>
      <c r="DS24" s="1928"/>
      <c r="DT24" s="1928"/>
      <c r="DU24" s="1929"/>
      <c r="DV24" s="1928"/>
      <c r="DW24" s="1928"/>
      <c r="DX24" s="1928"/>
      <c r="DY24" s="1928"/>
      <c r="DZ24" s="1929"/>
      <c r="EA24" s="1928"/>
      <c r="EB24" s="1928"/>
      <c r="EC24" s="1928"/>
      <c r="ED24" s="1928"/>
      <c r="EE24" s="1929"/>
    </row>
    <row r="25" spans="2:135" ht="12" thickBot="1">
      <c r="B25" s="1911" t="s">
        <v>492</v>
      </c>
      <c r="C25" s="1922"/>
      <c r="D25" s="1922"/>
      <c r="E25" s="1922"/>
      <c r="F25" s="1922"/>
      <c r="G25" s="1922"/>
      <c r="H25" s="1922"/>
      <c r="I25" s="1922"/>
      <c r="J25" s="1922"/>
      <c r="K25" s="1922"/>
      <c r="L25" s="1922"/>
      <c r="M25" s="1922"/>
      <c r="N25" s="1922"/>
      <c r="O25" s="1922"/>
      <c r="P25" s="1922"/>
      <c r="Q25" s="1922"/>
      <c r="R25" s="1922"/>
      <c r="S25" s="1922"/>
      <c r="T25" s="1922"/>
      <c r="U25" s="1922"/>
      <c r="V25" s="1922"/>
      <c r="W25" s="1922"/>
      <c r="X25" s="1922"/>
      <c r="Y25" s="1922"/>
      <c r="Z25" s="1922"/>
      <c r="AA25" s="1922"/>
      <c r="AB25" s="1922"/>
      <c r="AC25" s="1922"/>
      <c r="AD25" s="1922"/>
      <c r="AE25" s="1922"/>
      <c r="AF25" s="1922"/>
      <c r="AG25" s="1922"/>
      <c r="AH25" s="1922"/>
      <c r="AI25" s="1922"/>
      <c r="AJ25" s="1922"/>
      <c r="AK25" s="1922"/>
      <c r="AL25" s="1922"/>
      <c r="AM25" s="1922"/>
      <c r="AN25" s="1922"/>
      <c r="AO25" s="1922"/>
      <c r="AP25" s="1922"/>
      <c r="AQ25" s="1922"/>
      <c r="AR25" s="1922"/>
      <c r="AS25" s="1922"/>
      <c r="AT25" s="1922"/>
      <c r="AU25" s="1922"/>
      <c r="AV25" s="1922"/>
      <c r="AW25" s="1922"/>
      <c r="AX25" s="1922"/>
      <c r="AY25" s="1922"/>
      <c r="AZ25" s="1922"/>
      <c r="BA25" s="1922"/>
      <c r="BB25" s="1922"/>
      <c r="BC25" s="1922"/>
      <c r="BD25" s="1922"/>
      <c r="BE25" s="1922"/>
      <c r="BF25" s="1922"/>
      <c r="BG25" s="1922"/>
      <c r="BH25" s="1922"/>
      <c r="BI25" s="1922"/>
      <c r="BJ25" s="1922"/>
      <c r="BK25" s="1922"/>
      <c r="BL25" s="1922"/>
      <c r="BM25" s="1922"/>
      <c r="BN25" s="1922"/>
      <c r="BO25" s="1922"/>
      <c r="BP25" s="1922"/>
      <c r="BQ25" s="1922"/>
      <c r="BR25" s="1922"/>
      <c r="BS25" s="1922"/>
      <c r="BT25" s="1922"/>
      <c r="BU25" s="1922"/>
      <c r="BV25" s="1922"/>
      <c r="BW25" s="1922"/>
      <c r="BX25" s="1922"/>
      <c r="BY25" s="1922"/>
      <c r="BZ25" s="1922"/>
      <c r="CA25" s="1922"/>
      <c r="CB25" s="1922"/>
      <c r="CC25" s="1922"/>
      <c r="CD25" s="1922"/>
      <c r="CE25" s="1922"/>
      <c r="CF25" s="1922"/>
      <c r="CG25" s="1922"/>
      <c r="CH25" s="1922"/>
      <c r="CI25" s="1922"/>
      <c r="CJ25" s="1922"/>
      <c r="CK25" s="1922"/>
      <c r="CL25" s="1922"/>
      <c r="CM25" s="1922"/>
      <c r="CN25" s="1922"/>
      <c r="CO25" s="1922"/>
      <c r="CP25" s="1922"/>
      <c r="CQ25" s="1922"/>
      <c r="CR25" s="1922"/>
      <c r="CS25" s="1922"/>
      <c r="CT25" s="1922"/>
      <c r="CU25" s="1922"/>
      <c r="CV25" s="1922"/>
      <c r="CW25" s="1934"/>
      <c r="CX25" s="1934"/>
      <c r="CY25" s="1934"/>
      <c r="CZ25" s="1934"/>
      <c r="DA25" s="1934"/>
      <c r="DB25" s="1934"/>
      <c r="DC25" s="1934"/>
      <c r="DD25" s="1934"/>
      <c r="DE25" s="1934"/>
      <c r="DF25" s="1934"/>
      <c r="DG25" s="1934"/>
      <c r="DH25" s="1934"/>
      <c r="DI25" s="1934"/>
      <c r="DJ25" s="1934"/>
      <c r="DK25" s="1934"/>
      <c r="DL25" s="1934"/>
      <c r="DM25" s="1934"/>
      <c r="DN25" s="1934"/>
      <c r="DO25" s="1934"/>
      <c r="DP25" s="1935"/>
      <c r="DQ25" s="1934"/>
      <c r="DR25" s="1934"/>
      <c r="DS25" s="1934"/>
      <c r="DT25" s="1934"/>
      <c r="DU25" s="1935"/>
      <c r="DV25" s="1934"/>
      <c r="DW25" s="1934"/>
      <c r="DX25" s="1934"/>
      <c r="DY25" s="1934"/>
      <c r="DZ25" s="1935"/>
      <c r="EA25" s="1934"/>
      <c r="EB25" s="1934"/>
      <c r="EC25" s="1934"/>
      <c r="ED25" s="1934"/>
      <c r="EE25" s="1935"/>
    </row>
    <row r="26" spans="2:135">
      <c r="B26" s="1906" t="s">
        <v>493</v>
      </c>
      <c r="C26" s="1918"/>
      <c r="D26" s="1918"/>
      <c r="E26" s="1918"/>
      <c r="F26" s="1918"/>
      <c r="G26" s="1918"/>
      <c r="H26" s="1918"/>
      <c r="I26" s="1918"/>
      <c r="J26" s="1918"/>
      <c r="K26" s="1918"/>
      <c r="L26" s="1918"/>
      <c r="M26" s="1918"/>
      <c r="N26" s="1918"/>
      <c r="O26" s="1918"/>
      <c r="P26" s="1918"/>
      <c r="Q26" s="1918"/>
      <c r="R26" s="1918"/>
      <c r="S26" s="1918"/>
      <c r="T26" s="1918"/>
      <c r="U26" s="1918"/>
      <c r="V26" s="1918"/>
      <c r="W26" s="1918"/>
      <c r="X26" s="1918"/>
      <c r="Y26" s="1918"/>
      <c r="Z26" s="1918"/>
      <c r="AA26" s="1918"/>
      <c r="AB26" s="1918"/>
      <c r="AC26" s="1918"/>
      <c r="AD26" s="1918"/>
      <c r="AE26" s="1918"/>
      <c r="AF26" s="1918"/>
      <c r="AG26" s="1918"/>
      <c r="AH26" s="1918"/>
      <c r="AI26" s="1918"/>
      <c r="AJ26" s="1918"/>
      <c r="AK26" s="1918"/>
      <c r="AL26" s="1918"/>
      <c r="AM26" s="1918"/>
      <c r="AN26" s="1918"/>
      <c r="AO26" s="1918"/>
      <c r="AP26" s="1918"/>
      <c r="AQ26" s="1918"/>
      <c r="AR26" s="1918"/>
      <c r="AS26" s="1918"/>
      <c r="AT26" s="1918"/>
      <c r="AU26" s="1918"/>
      <c r="AV26" s="1918"/>
      <c r="AW26" s="1918"/>
      <c r="AX26" s="1918"/>
      <c r="AY26" s="1918"/>
      <c r="AZ26" s="1918"/>
      <c r="BA26" s="1918"/>
      <c r="BB26" s="1918"/>
      <c r="BC26" s="1918"/>
      <c r="BD26" s="1918"/>
      <c r="BE26" s="1918"/>
      <c r="BF26" s="1918"/>
      <c r="BG26" s="1918"/>
      <c r="BH26" s="1918"/>
      <c r="BI26" s="1918"/>
      <c r="BJ26" s="1918"/>
      <c r="BK26" s="1918"/>
      <c r="BL26" s="1918"/>
      <c r="BM26" s="1918"/>
      <c r="BN26" s="1918"/>
      <c r="BO26" s="1918"/>
      <c r="BP26" s="1918"/>
      <c r="BQ26" s="1918"/>
      <c r="BR26" s="1918"/>
      <c r="BS26" s="1918"/>
      <c r="BT26" s="1918"/>
      <c r="BU26" s="1918"/>
      <c r="BV26" s="1918"/>
      <c r="BW26" s="1918"/>
      <c r="BX26" s="1918"/>
      <c r="BY26" s="1918"/>
      <c r="BZ26" s="1918"/>
      <c r="CA26" s="1918"/>
      <c r="CB26" s="1918"/>
      <c r="CC26" s="1918"/>
      <c r="CD26" s="1918"/>
      <c r="CE26" s="1918"/>
      <c r="CF26" s="1918"/>
      <c r="CG26" s="1918"/>
      <c r="CH26" s="1918"/>
      <c r="CI26" s="1918"/>
      <c r="CJ26" s="1918"/>
      <c r="CK26" s="1918"/>
      <c r="CL26" s="1918"/>
      <c r="CM26" s="1918"/>
      <c r="CN26" s="1918"/>
      <c r="CO26" s="1918"/>
      <c r="CP26" s="1918"/>
      <c r="CQ26" s="1918"/>
      <c r="CR26" s="1918"/>
      <c r="CS26" s="1918"/>
      <c r="CT26" s="1918"/>
      <c r="CU26" s="1918"/>
      <c r="CV26" s="1918"/>
      <c r="CW26" s="1927"/>
      <c r="CX26" s="1927"/>
      <c r="CY26" s="1927">
        <f>CY43+CY50+CY57+CY64+CY71+CY78+CY85+CY92+CY99+CY106+CY113+CY127+CY134+CY141+CY148+CY162</f>
        <v>1248</v>
      </c>
      <c r="CZ26" s="1927"/>
      <c r="DA26" s="1936"/>
      <c r="DB26" s="1927"/>
      <c r="DC26" s="1927"/>
      <c r="DD26" s="1927">
        <f>DD43+DD50+DD57+DD64+DD71+DD78+DD85+DD92+DD99+DD106+DD113+DD127+DD134+DD141+DD148+DD162</f>
        <v>16273</v>
      </c>
      <c r="DE26" s="1927">
        <f>DE43+DE50+DE57+DE64+DE71+DE78+DE85+DE92+DE99+DE106+DE113+DE127+DE134+DE141+DE148+DE162</f>
        <v>14507</v>
      </c>
      <c r="DF26" s="1936"/>
      <c r="DG26" s="1927">
        <f>DG43+DG50+DG57+DG64+DG71+DG78+DG85+DG92+DG99+DG106+DG113+DG127+DG134+DG141+DG148+DG162</f>
        <v>14507</v>
      </c>
      <c r="DH26" s="1927">
        <f>DH43+DH50+DH57+DH64+DH71+DH78+DH85+DH92+DH99+DH106+DH113+DH127+DH134+DH141+DH148+DH162</f>
        <v>14507</v>
      </c>
      <c r="DI26" s="1927">
        <f>DI43+DI50+DI57+DI64+DI71+DI78+DI85+DI92+DI99+DI106+DI113+DI127+DI134+DI141+DI148+DI162</f>
        <v>13760</v>
      </c>
      <c r="DJ26" s="1927">
        <f>DJ43+DJ50+DJ57+DJ64+DJ71+DJ78+DJ85+DJ92+DJ99+DJ106+DJ113+DJ127+DJ134+DJ141+DJ148+DJ162</f>
        <v>13760</v>
      </c>
      <c r="DK26" s="1936"/>
      <c r="DL26" s="1927">
        <f>DL43+DL50+DL57+DL64+DL71+DL78+DL85+DL92+DL99+DL106+DL113+DL127+DL134+DL141+DL148+DL162</f>
        <v>13760</v>
      </c>
      <c r="DM26" s="1927">
        <f>DM43+DM50+DM57+DM64+DM71+DM78+DM85+DM92+DM99+DM106+DM113+DM127+DM134+DM141+DM148+DM162</f>
        <v>13760</v>
      </c>
      <c r="DN26" s="1927">
        <f>DN43+DN50+DN57+DN64+DN71+DN78+DN85+DN92+DN99+DN106+DN113+DN127+DN134+DN141+DN148+DN162+DN120+DN155</f>
        <v>14937</v>
      </c>
      <c r="DO26" s="1927">
        <f>DO43+DO50+DO57+DO64+DO71+DO78+DO85+DO92+DO99+DO106+DO113+DO127+DO134+DO141+DO148+DO162+DO120+DO155</f>
        <v>14937</v>
      </c>
      <c r="DP26" s="1936"/>
      <c r="DQ26" s="1927">
        <f t="shared" ref="DQ26:DT26" si="1">DQ43+DQ50+DQ57+DQ64+DQ71+DQ78+DQ85+DQ92+DQ99+DQ106+DQ113+DQ127+DQ134+DQ141+DQ148+DQ162+DQ120+DQ155</f>
        <v>14937</v>
      </c>
      <c r="DR26" s="1927">
        <f t="shared" si="1"/>
        <v>14937</v>
      </c>
      <c r="DS26" s="1927">
        <f t="shared" si="1"/>
        <v>14937</v>
      </c>
      <c r="DT26" s="1927">
        <f t="shared" si="1"/>
        <v>14937</v>
      </c>
      <c r="DU26" s="1936"/>
      <c r="DV26" s="1927">
        <f t="shared" ref="DV26:DY26" si="2">DV43+DV50+DV57+DV64+DV71+DV78+DV85+DV92+DV99+DV106+DV113+DV127+DV134+DV141+DV148+DV162+DV120+DV155</f>
        <v>13445</v>
      </c>
      <c r="DW26" s="1927">
        <f t="shared" si="2"/>
        <v>13445</v>
      </c>
      <c r="DX26" s="1927">
        <f t="shared" si="2"/>
        <v>13445</v>
      </c>
      <c r="DY26" s="1927">
        <f t="shared" si="2"/>
        <v>13445</v>
      </c>
      <c r="DZ26" s="1936"/>
      <c r="EA26" s="1927">
        <f t="shared" ref="EA26:ED26" si="3">EA43+EA50+EA57+EA64+EA71+EA78+EA85+EA92+EA99+EA106+EA113+EA127+EA134+EA141+EA148+EA162+EA120+EA155</f>
        <v>13195</v>
      </c>
      <c r="EB26" s="1927">
        <f t="shared" si="3"/>
        <v>13195</v>
      </c>
      <c r="EC26" s="1927">
        <f t="shared" si="3"/>
        <v>13195</v>
      </c>
      <c r="ED26" s="1927">
        <f t="shared" si="3"/>
        <v>13195</v>
      </c>
      <c r="EE26" s="1936"/>
    </row>
    <row r="27" spans="2:135">
      <c r="B27" s="1907" t="s">
        <v>494</v>
      </c>
      <c r="C27" s="1910"/>
      <c r="D27" s="1910"/>
      <c r="E27" s="1910"/>
      <c r="F27" s="1910"/>
      <c r="G27" s="1910"/>
      <c r="H27" s="1910"/>
      <c r="I27" s="1910"/>
      <c r="J27" s="1910"/>
      <c r="K27" s="1910"/>
      <c r="L27" s="1910"/>
      <c r="M27" s="1910"/>
      <c r="N27" s="1910"/>
      <c r="O27" s="1910"/>
      <c r="P27" s="1910"/>
      <c r="Q27" s="1910"/>
      <c r="R27" s="1910"/>
      <c r="S27" s="1910"/>
      <c r="T27" s="1910"/>
      <c r="U27" s="1910"/>
      <c r="V27" s="1910"/>
      <c r="W27" s="1910"/>
      <c r="X27" s="1910"/>
      <c r="Y27" s="1910"/>
      <c r="Z27" s="1910"/>
      <c r="AA27" s="1910"/>
      <c r="AB27" s="1910"/>
      <c r="AC27" s="1910"/>
      <c r="AD27" s="1910"/>
      <c r="AE27" s="1910"/>
      <c r="AF27" s="1910"/>
      <c r="AG27" s="1910"/>
      <c r="AH27" s="1910"/>
      <c r="AI27" s="1910"/>
      <c r="AJ27" s="1910"/>
      <c r="AK27" s="1910"/>
      <c r="AL27" s="1910"/>
      <c r="AM27" s="1910"/>
      <c r="AN27" s="1910"/>
      <c r="AO27" s="1910"/>
      <c r="AP27" s="1910"/>
      <c r="AQ27" s="1910"/>
      <c r="AR27" s="1910"/>
      <c r="AS27" s="1910"/>
      <c r="AT27" s="1910"/>
      <c r="AU27" s="1910"/>
      <c r="AV27" s="1910"/>
      <c r="AW27" s="1910"/>
      <c r="AX27" s="1910"/>
      <c r="AY27" s="1910"/>
      <c r="AZ27" s="1910"/>
      <c r="BA27" s="1910"/>
      <c r="BB27" s="1910"/>
      <c r="BC27" s="1910"/>
      <c r="BD27" s="1910"/>
      <c r="BE27" s="1910"/>
      <c r="BF27" s="1910"/>
      <c r="BG27" s="1910"/>
      <c r="BH27" s="1910"/>
      <c r="BI27" s="1910"/>
      <c r="BJ27" s="1910"/>
      <c r="BK27" s="1910"/>
      <c r="BL27" s="1910"/>
      <c r="BM27" s="1910"/>
      <c r="BN27" s="1910"/>
      <c r="BO27" s="1910"/>
      <c r="BP27" s="1910"/>
      <c r="BQ27" s="1910"/>
      <c r="BR27" s="1910"/>
      <c r="BS27" s="1910"/>
      <c r="BT27" s="1910"/>
      <c r="BU27" s="1910"/>
      <c r="BV27" s="1910"/>
      <c r="BW27" s="1910"/>
      <c r="BX27" s="1910"/>
      <c r="BY27" s="1910"/>
      <c r="BZ27" s="1910"/>
      <c r="CA27" s="1910"/>
      <c r="CB27" s="1910"/>
      <c r="CC27" s="1910"/>
      <c r="CD27" s="1910"/>
      <c r="CE27" s="1910"/>
      <c r="CF27" s="1910"/>
      <c r="CG27" s="1910"/>
      <c r="CH27" s="1910"/>
      <c r="CI27" s="1910"/>
      <c r="CJ27" s="1910"/>
      <c r="CK27" s="1910"/>
      <c r="CL27" s="1910"/>
      <c r="CM27" s="1910"/>
      <c r="CN27" s="1910"/>
      <c r="CO27" s="1910"/>
      <c r="CP27" s="1910"/>
      <c r="CQ27" s="1910"/>
      <c r="CR27" s="1910"/>
      <c r="CS27" s="1910"/>
      <c r="CT27" s="1910"/>
      <c r="CU27" s="1910"/>
      <c r="CV27" s="1910"/>
      <c r="CW27" s="1928"/>
      <c r="CX27" s="1928"/>
      <c r="CY27" s="1928"/>
      <c r="CZ27" s="1928"/>
      <c r="DA27" s="1937"/>
      <c r="DB27" s="1928"/>
      <c r="DC27" s="1928"/>
      <c r="DD27" s="1928">
        <f>Model!DD219</f>
        <v>1192</v>
      </c>
      <c r="DE27" s="1928">
        <f>Model!DE219</f>
        <v>1068</v>
      </c>
      <c r="DF27" s="1937"/>
      <c r="DG27" s="1928">
        <f>Model!DG219</f>
        <v>1083</v>
      </c>
      <c r="DH27" s="1928">
        <f>Model!DH219</f>
        <v>1052</v>
      </c>
      <c r="DI27" s="1928">
        <f>Model!DI219</f>
        <v>374</v>
      </c>
      <c r="DJ27" s="1928">
        <f>Model!DJ219</f>
        <v>323</v>
      </c>
      <c r="DK27" s="1937"/>
      <c r="DL27" s="1928">
        <f>Model!DL219</f>
        <v>1095</v>
      </c>
      <c r="DM27" s="1928">
        <f>Model!DM219</f>
        <v>1153</v>
      </c>
      <c r="DN27" s="1928">
        <f>Model!DN219</f>
        <v>4838</v>
      </c>
      <c r="DO27" s="1928">
        <f>Model!DO219</f>
        <v>251</v>
      </c>
      <c r="DP27" s="1937"/>
      <c r="DQ27" s="1928">
        <f>Model!DQ219</f>
        <v>1268</v>
      </c>
      <c r="DR27" s="1928">
        <f>Model!DR219</f>
        <v>1268</v>
      </c>
      <c r="DS27" s="1928">
        <f>Model!DS219</f>
        <v>1268</v>
      </c>
      <c r="DT27" s="1928">
        <f>Model!DT219</f>
        <v>1268</v>
      </c>
      <c r="DU27" s="1937"/>
      <c r="DV27" s="1928">
        <f>Model!DV219</f>
        <v>1268</v>
      </c>
      <c r="DW27" s="1928">
        <f>Model!DW219</f>
        <v>1268</v>
      </c>
      <c r="DX27" s="1928">
        <f>Model!DX219</f>
        <v>1268</v>
      </c>
      <c r="DY27" s="1928">
        <f>Model!DY219</f>
        <v>1268</v>
      </c>
      <c r="DZ27" s="1937"/>
      <c r="EA27" s="1928">
        <f>Model!EA219</f>
        <v>1268</v>
      </c>
      <c r="EB27" s="1928">
        <f>Model!EB219</f>
        <v>1268</v>
      </c>
      <c r="EC27" s="1928">
        <f>Model!EC219</f>
        <v>1268</v>
      </c>
      <c r="ED27" s="1928">
        <f>Model!ED219</f>
        <v>1268</v>
      </c>
      <c r="EE27" s="1937"/>
    </row>
    <row r="28" spans="2:135">
      <c r="B28" s="1907" t="s">
        <v>495</v>
      </c>
      <c r="C28" s="1910"/>
      <c r="D28" s="1910"/>
      <c r="E28" s="1910"/>
      <c r="F28" s="1910"/>
      <c r="G28" s="1910"/>
      <c r="H28" s="1910"/>
      <c r="I28" s="1910"/>
      <c r="J28" s="1910"/>
      <c r="K28" s="1910"/>
      <c r="L28" s="1910"/>
      <c r="M28" s="1910"/>
      <c r="N28" s="1910"/>
      <c r="O28" s="1910"/>
      <c r="P28" s="1910"/>
      <c r="Q28" s="1910"/>
      <c r="R28" s="1910"/>
      <c r="S28" s="1910"/>
      <c r="T28" s="1910"/>
      <c r="U28" s="1910"/>
      <c r="V28" s="1910"/>
      <c r="W28" s="1910"/>
      <c r="X28" s="1910"/>
      <c r="Y28" s="1910"/>
      <c r="Z28" s="1910"/>
      <c r="AA28" s="1910"/>
      <c r="AB28" s="1910"/>
      <c r="AC28" s="1910"/>
      <c r="AD28" s="1910"/>
      <c r="AE28" s="1910"/>
      <c r="AF28" s="1910"/>
      <c r="AG28" s="1910"/>
      <c r="AH28" s="1910"/>
      <c r="AI28" s="1910"/>
      <c r="AJ28" s="1910"/>
      <c r="AK28" s="1910"/>
      <c r="AL28" s="1910"/>
      <c r="AM28" s="1910"/>
      <c r="AN28" s="1910"/>
      <c r="AO28" s="1910"/>
      <c r="AP28" s="1910"/>
      <c r="AQ28" s="1910"/>
      <c r="AR28" s="1910"/>
      <c r="AS28" s="1910"/>
      <c r="AT28" s="1910"/>
      <c r="AU28" s="1910"/>
      <c r="AV28" s="1910"/>
      <c r="AW28" s="1910"/>
      <c r="AX28" s="1910"/>
      <c r="AY28" s="1910"/>
      <c r="AZ28" s="1910"/>
      <c r="BA28" s="1910"/>
      <c r="BB28" s="1910"/>
      <c r="BC28" s="1910"/>
      <c r="BD28" s="1910"/>
      <c r="BE28" s="1910"/>
      <c r="BF28" s="1910"/>
      <c r="BG28" s="1910"/>
      <c r="BH28" s="1910"/>
      <c r="BI28" s="1910"/>
      <c r="BJ28" s="1910"/>
      <c r="BK28" s="1910"/>
      <c r="BL28" s="1910"/>
      <c r="BM28" s="1910"/>
      <c r="BN28" s="1910"/>
      <c r="BO28" s="1910"/>
      <c r="BP28" s="1910"/>
      <c r="BQ28" s="1910"/>
      <c r="BR28" s="1910"/>
      <c r="BS28" s="1910"/>
      <c r="BT28" s="1910"/>
      <c r="BU28" s="1910"/>
      <c r="BV28" s="1910"/>
      <c r="BW28" s="1910"/>
      <c r="BX28" s="1910"/>
      <c r="BY28" s="1910"/>
      <c r="BZ28" s="1910"/>
      <c r="CA28" s="1910"/>
      <c r="CB28" s="1910"/>
      <c r="CC28" s="1910"/>
      <c r="CD28" s="1910"/>
      <c r="CE28" s="1910"/>
      <c r="CF28" s="1910"/>
      <c r="CG28" s="1910"/>
      <c r="CH28" s="1910"/>
      <c r="CI28" s="1910"/>
      <c r="CJ28" s="1910"/>
      <c r="CK28" s="1910"/>
      <c r="CL28" s="1910"/>
      <c r="CM28" s="1910"/>
      <c r="CN28" s="1910"/>
      <c r="CO28" s="1910"/>
      <c r="CP28" s="1910"/>
      <c r="CQ28" s="1910"/>
      <c r="CR28" s="1910"/>
      <c r="CS28" s="1910"/>
      <c r="CT28" s="1910"/>
      <c r="CU28" s="1910"/>
      <c r="CV28" s="1910"/>
      <c r="CW28" s="1928"/>
      <c r="CX28" s="1928"/>
      <c r="CY28" s="1928">
        <f>CY26-CY27</f>
        <v>1248</v>
      </c>
      <c r="CZ28" s="1928"/>
      <c r="DA28" s="1937"/>
      <c r="DB28" s="1928"/>
      <c r="DC28" s="1928"/>
      <c r="DD28" s="1928">
        <f>DD26-DD27</f>
        <v>15081</v>
      </c>
      <c r="DE28" s="1928">
        <f>DE26-DE27</f>
        <v>13439</v>
      </c>
      <c r="DF28" s="1937"/>
      <c r="DG28" s="1928">
        <f>DG26-DG27</f>
        <v>13424</v>
      </c>
      <c r="DH28" s="1928">
        <f>DH26-DH27</f>
        <v>13455</v>
      </c>
      <c r="DI28" s="1928">
        <f>DI26-DI27</f>
        <v>13386</v>
      </c>
      <c r="DJ28" s="1928">
        <f>DJ26-DJ27</f>
        <v>13437</v>
      </c>
      <c r="DK28" s="1937"/>
      <c r="DL28" s="1928">
        <f>DL26-DL27</f>
        <v>12665</v>
      </c>
      <c r="DM28" s="1928">
        <f>DM26-DM27</f>
        <v>12607</v>
      </c>
      <c r="DN28" s="1928">
        <f>DN26-DN27</f>
        <v>10099</v>
      </c>
      <c r="DO28" s="1928">
        <f>DO26-DO27</f>
        <v>14686</v>
      </c>
      <c r="DP28" s="1937"/>
      <c r="DQ28" s="1928">
        <f>DQ26-DQ27</f>
        <v>13669</v>
      </c>
      <c r="DR28" s="1928">
        <f>DR26-DR27</f>
        <v>13669</v>
      </c>
      <c r="DS28" s="1928">
        <f>DS26-DS27</f>
        <v>13669</v>
      </c>
      <c r="DT28" s="1928">
        <f>DT26-DT27</f>
        <v>13669</v>
      </c>
      <c r="DU28" s="1937"/>
      <c r="DV28" s="1928">
        <f>DV26-DV27</f>
        <v>12177</v>
      </c>
      <c r="DW28" s="1928">
        <f>DW26-DW27</f>
        <v>12177</v>
      </c>
      <c r="DX28" s="1928">
        <f>DX26-DX27</f>
        <v>12177</v>
      </c>
      <c r="DY28" s="1928">
        <f>DY26-DY27</f>
        <v>12177</v>
      </c>
      <c r="DZ28" s="1937"/>
      <c r="EA28" s="1928">
        <f>EA26-EA27</f>
        <v>11927</v>
      </c>
      <c r="EB28" s="1928">
        <f>EB26-EB27</f>
        <v>11927</v>
      </c>
      <c r="EC28" s="1928">
        <f>EC26-EC27</f>
        <v>11927</v>
      </c>
      <c r="ED28" s="1928">
        <f>ED26-ED27</f>
        <v>11927</v>
      </c>
      <c r="EE28" s="1937"/>
    </row>
    <row r="29" spans="2:135" ht="12" thickBot="1">
      <c r="B29" s="1909" t="s">
        <v>496</v>
      </c>
      <c r="C29" s="1921"/>
      <c r="D29" s="1921"/>
      <c r="E29" s="1921"/>
      <c r="F29" s="1921"/>
      <c r="G29" s="1921"/>
      <c r="H29" s="1921"/>
      <c r="I29" s="1921"/>
      <c r="J29" s="1921"/>
      <c r="K29" s="1921"/>
      <c r="L29" s="1921"/>
      <c r="M29" s="1921"/>
      <c r="N29" s="1921"/>
      <c r="O29" s="1921"/>
      <c r="P29" s="1921"/>
      <c r="Q29" s="1921"/>
      <c r="R29" s="1921"/>
      <c r="S29" s="1921"/>
      <c r="T29" s="1921"/>
      <c r="U29" s="1921"/>
      <c r="V29" s="1921"/>
      <c r="W29" s="1921"/>
      <c r="X29" s="1921"/>
      <c r="Y29" s="1921"/>
      <c r="Z29" s="1921"/>
      <c r="AA29" s="1921"/>
      <c r="AB29" s="1921"/>
      <c r="AC29" s="1921"/>
      <c r="AD29" s="1921"/>
      <c r="AE29" s="1921"/>
      <c r="AF29" s="1921"/>
      <c r="AG29" s="1921"/>
      <c r="AH29" s="1921"/>
      <c r="AI29" s="1921"/>
      <c r="AJ29" s="1921"/>
      <c r="AK29" s="1921"/>
      <c r="AL29" s="1921"/>
      <c r="AM29" s="1921"/>
      <c r="AN29" s="1921"/>
      <c r="AO29" s="1921"/>
      <c r="AP29" s="1921"/>
      <c r="AQ29" s="1921"/>
      <c r="AR29" s="1921"/>
      <c r="AS29" s="1921"/>
      <c r="AT29" s="1921"/>
      <c r="AU29" s="1921"/>
      <c r="AV29" s="1921"/>
      <c r="AW29" s="1921"/>
      <c r="AX29" s="1921"/>
      <c r="AY29" s="1921"/>
      <c r="AZ29" s="1921"/>
      <c r="BA29" s="1921"/>
      <c r="BB29" s="1921"/>
      <c r="BC29" s="1921"/>
      <c r="BD29" s="1921"/>
      <c r="BE29" s="1921"/>
      <c r="BF29" s="1921"/>
      <c r="BG29" s="1921"/>
      <c r="BH29" s="1921"/>
      <c r="BI29" s="1921"/>
      <c r="BJ29" s="1921"/>
      <c r="BK29" s="1921"/>
      <c r="BL29" s="1921"/>
      <c r="BM29" s="1921"/>
      <c r="BN29" s="1921"/>
      <c r="BO29" s="1921"/>
      <c r="BP29" s="1921"/>
      <c r="BQ29" s="1921"/>
      <c r="BR29" s="1921"/>
      <c r="BS29" s="1921"/>
      <c r="BT29" s="1921"/>
      <c r="BU29" s="1921"/>
      <c r="BV29" s="1921"/>
      <c r="BW29" s="1921"/>
      <c r="BX29" s="1921"/>
      <c r="BY29" s="1921"/>
      <c r="BZ29" s="1921"/>
      <c r="CA29" s="1921"/>
      <c r="CB29" s="1921"/>
      <c r="CC29" s="1921"/>
      <c r="CD29" s="1921"/>
      <c r="CE29" s="1921"/>
      <c r="CF29" s="1921"/>
      <c r="CG29" s="1921"/>
      <c r="CH29" s="1921"/>
      <c r="CI29" s="1921"/>
      <c r="CJ29" s="1921"/>
      <c r="CK29" s="1921"/>
      <c r="CL29" s="1921"/>
      <c r="CM29" s="1921"/>
      <c r="CN29" s="1921"/>
      <c r="CO29" s="1921"/>
      <c r="CP29" s="1921"/>
      <c r="CQ29" s="1921"/>
      <c r="CR29" s="1921"/>
      <c r="CS29" s="1921"/>
      <c r="CT29" s="1921"/>
      <c r="CU29" s="1921"/>
      <c r="CV29" s="1921"/>
      <c r="CW29" s="1931"/>
      <c r="CX29" s="1931"/>
      <c r="CY29" s="1931"/>
      <c r="CZ29" s="1931"/>
      <c r="DA29" s="1938"/>
      <c r="DB29" s="1931"/>
      <c r="DC29" s="1931"/>
      <c r="DD29" s="1931"/>
      <c r="DE29" s="1931"/>
      <c r="DF29" s="1938"/>
      <c r="DG29" s="1931"/>
      <c r="DH29" s="1931"/>
      <c r="DI29" s="1931"/>
      <c r="DJ29" s="1931"/>
      <c r="DK29" s="1938"/>
      <c r="DL29" s="1931"/>
      <c r="DM29" s="1931"/>
      <c r="DN29" s="1931"/>
      <c r="DO29" s="1931"/>
      <c r="DP29" s="1938"/>
      <c r="DQ29" s="1931"/>
      <c r="DR29" s="1931"/>
      <c r="DS29" s="1931"/>
      <c r="DT29" s="1931"/>
      <c r="DU29" s="1938"/>
      <c r="DV29" s="1931"/>
      <c r="DW29" s="1931"/>
      <c r="DX29" s="1931"/>
      <c r="DY29" s="1931"/>
      <c r="DZ29" s="1938"/>
      <c r="EA29" s="1931"/>
      <c r="EB29" s="1931"/>
      <c r="EC29" s="1931"/>
      <c r="ED29" s="1931"/>
      <c r="EE29" s="1938"/>
    </row>
    <row r="30" spans="2:135" ht="12" thickBot="1">
      <c r="B30" s="1912" t="s">
        <v>465</v>
      </c>
      <c r="C30" s="1923"/>
      <c r="D30" s="1923"/>
      <c r="E30" s="1923"/>
      <c r="F30" s="1923"/>
      <c r="G30" s="1923"/>
      <c r="H30" s="1923"/>
      <c r="I30" s="1923"/>
      <c r="J30" s="1923"/>
      <c r="K30" s="1923"/>
      <c r="L30" s="1923"/>
      <c r="M30" s="1923"/>
      <c r="N30" s="1923"/>
      <c r="O30" s="1923"/>
      <c r="P30" s="1923"/>
      <c r="Q30" s="1923"/>
      <c r="R30" s="1923"/>
      <c r="S30" s="1923"/>
      <c r="T30" s="1923"/>
      <c r="U30" s="1923"/>
      <c r="V30" s="1923"/>
      <c r="W30" s="1923"/>
      <c r="X30" s="1923"/>
      <c r="Y30" s="1923"/>
      <c r="Z30" s="1923"/>
      <c r="AA30" s="1923"/>
      <c r="AB30" s="1923"/>
      <c r="AC30" s="1923"/>
      <c r="AD30" s="1923"/>
      <c r="AE30" s="1923"/>
      <c r="AF30" s="1923"/>
      <c r="AG30" s="1923"/>
      <c r="AH30" s="1923"/>
      <c r="AI30" s="1923"/>
      <c r="AJ30" s="1923"/>
      <c r="AK30" s="1923"/>
      <c r="AL30" s="1923"/>
      <c r="AM30" s="1923"/>
      <c r="AN30" s="1923"/>
      <c r="AO30" s="1923"/>
      <c r="AP30" s="1923"/>
      <c r="AQ30" s="1923"/>
      <c r="AR30" s="1923"/>
      <c r="AS30" s="1923"/>
      <c r="AT30" s="1923"/>
      <c r="AU30" s="1923"/>
      <c r="AV30" s="1923"/>
      <c r="AW30" s="1923"/>
      <c r="AX30" s="1923"/>
      <c r="AY30" s="1923"/>
      <c r="AZ30" s="1923"/>
      <c r="BA30" s="1923"/>
      <c r="BB30" s="1923"/>
      <c r="BC30" s="1923"/>
      <c r="BD30" s="1923"/>
      <c r="BE30" s="1923"/>
      <c r="BF30" s="1923"/>
      <c r="BG30" s="1923"/>
      <c r="BH30" s="1923"/>
      <c r="BI30" s="1923"/>
      <c r="BJ30" s="1923"/>
      <c r="BK30" s="1923"/>
      <c r="BL30" s="1923"/>
      <c r="BM30" s="1923"/>
      <c r="BN30" s="1923"/>
      <c r="BO30" s="1923"/>
      <c r="BP30" s="1923"/>
      <c r="BQ30" s="1923"/>
      <c r="BR30" s="1923"/>
      <c r="BS30" s="1923"/>
      <c r="BT30" s="1923"/>
      <c r="BU30" s="1923"/>
      <c r="BV30" s="1923"/>
      <c r="BW30" s="1923"/>
      <c r="BX30" s="1923"/>
      <c r="BY30" s="1923"/>
      <c r="BZ30" s="1923"/>
      <c r="CA30" s="1923"/>
      <c r="CB30" s="1923"/>
      <c r="CC30" s="1923"/>
      <c r="CD30" s="1923"/>
      <c r="CE30" s="1923"/>
      <c r="CF30" s="1923"/>
      <c r="CG30" s="1923"/>
      <c r="CH30" s="1923"/>
      <c r="CI30" s="1923"/>
      <c r="CJ30" s="1923"/>
      <c r="CK30" s="1923"/>
      <c r="CL30" s="1923"/>
      <c r="CM30" s="1923"/>
      <c r="CN30" s="1923"/>
      <c r="CO30" s="1923"/>
      <c r="CP30" s="1923"/>
      <c r="CQ30" s="1923"/>
      <c r="CR30" s="1923"/>
      <c r="CS30" s="1923"/>
      <c r="CT30" s="1923"/>
      <c r="CU30" s="1923"/>
      <c r="CV30" s="1923"/>
      <c r="CW30" s="1923"/>
      <c r="CX30" s="1923"/>
      <c r="CY30" s="1923"/>
      <c r="CZ30" s="1923"/>
      <c r="DA30" s="1939"/>
      <c r="DB30" s="1923"/>
      <c r="DC30" s="1923"/>
      <c r="DD30" s="1923"/>
      <c r="DE30" s="1923"/>
      <c r="DF30" s="1939"/>
      <c r="DG30" s="1923"/>
      <c r="DH30" s="1923"/>
      <c r="DI30" s="1923"/>
      <c r="DJ30" s="1923"/>
      <c r="DK30" s="1939"/>
      <c r="DL30" s="1923"/>
      <c r="DM30" s="1923"/>
      <c r="DN30" s="1923"/>
      <c r="DO30" s="1923"/>
      <c r="DP30" s="1939"/>
      <c r="DQ30" s="1923"/>
      <c r="DR30" s="1923"/>
      <c r="DS30" s="1923"/>
      <c r="DT30" s="1923"/>
      <c r="DU30" s="1939"/>
      <c r="DV30" s="1923"/>
      <c r="DW30" s="1923"/>
      <c r="DX30" s="1923"/>
      <c r="DY30" s="1923"/>
      <c r="DZ30" s="1939"/>
      <c r="EA30" s="1923"/>
      <c r="EB30" s="1923"/>
      <c r="EC30" s="1923"/>
      <c r="ED30" s="1923"/>
      <c r="EE30" s="1939"/>
    </row>
    <row r="31" spans="2:135" ht="12" thickBot="1">
      <c r="B31" s="1910"/>
      <c r="C31" s="1910"/>
      <c r="D31" s="1910"/>
      <c r="E31" s="1910"/>
      <c r="F31" s="1910"/>
      <c r="G31" s="1910"/>
      <c r="H31" s="1910"/>
      <c r="I31" s="1910"/>
      <c r="J31" s="1910"/>
      <c r="K31" s="1910"/>
      <c r="L31" s="1910"/>
      <c r="M31" s="1910"/>
      <c r="N31" s="1910"/>
      <c r="O31" s="1910"/>
      <c r="P31" s="1910"/>
      <c r="Q31" s="1910"/>
      <c r="R31" s="1910"/>
      <c r="S31" s="1910"/>
      <c r="T31" s="1910"/>
      <c r="U31" s="1910"/>
      <c r="V31" s="1910"/>
      <c r="W31" s="1910"/>
      <c r="X31" s="1910"/>
      <c r="Y31" s="1910"/>
      <c r="Z31" s="1910"/>
      <c r="AA31" s="1910"/>
      <c r="AB31" s="1910"/>
      <c r="AC31" s="1910"/>
      <c r="AD31" s="1910"/>
      <c r="AE31" s="1910"/>
      <c r="AF31" s="1910"/>
      <c r="AG31" s="1910"/>
      <c r="AH31" s="1910"/>
      <c r="AI31" s="1910"/>
      <c r="AJ31" s="1910"/>
      <c r="AK31" s="1910"/>
      <c r="AL31" s="1910"/>
      <c r="AM31" s="1910"/>
      <c r="AN31" s="1910"/>
      <c r="AO31" s="1910"/>
      <c r="AP31" s="1910"/>
      <c r="AQ31" s="1910"/>
      <c r="AR31" s="1910"/>
      <c r="AS31" s="1910"/>
      <c r="AT31" s="1910"/>
      <c r="AU31" s="1910"/>
      <c r="AV31" s="1910"/>
      <c r="AW31" s="1910"/>
      <c r="AX31" s="1910"/>
      <c r="AY31" s="1910"/>
      <c r="AZ31" s="1910"/>
      <c r="BA31" s="1910"/>
      <c r="BB31" s="1910"/>
      <c r="BC31" s="1910"/>
      <c r="BD31" s="1910"/>
      <c r="BE31" s="1910"/>
      <c r="BF31" s="1910"/>
      <c r="BG31" s="1910"/>
      <c r="BH31" s="1910"/>
      <c r="BI31" s="1910"/>
      <c r="BJ31" s="1910"/>
      <c r="BK31" s="1910"/>
      <c r="BL31" s="1910"/>
      <c r="BM31" s="1910"/>
      <c r="BN31" s="1910"/>
      <c r="BO31" s="1910"/>
      <c r="BP31" s="1910"/>
      <c r="BQ31" s="1910"/>
      <c r="BR31" s="1910"/>
      <c r="BS31" s="1910"/>
      <c r="BT31" s="1910"/>
      <c r="BU31" s="1910"/>
      <c r="BV31" s="1910"/>
      <c r="BW31" s="1910"/>
      <c r="BX31" s="1910"/>
      <c r="BY31" s="1910"/>
      <c r="BZ31" s="1910"/>
      <c r="CA31" s="1910"/>
      <c r="CB31" s="1910"/>
      <c r="CC31" s="1910"/>
      <c r="CD31" s="1910"/>
      <c r="CE31" s="1910"/>
      <c r="CF31" s="1910"/>
      <c r="CG31" s="1910"/>
      <c r="CH31" s="1910"/>
      <c r="CI31" s="1910"/>
      <c r="CJ31" s="1910"/>
      <c r="CK31" s="1910"/>
      <c r="CL31" s="1910"/>
      <c r="CM31" s="1910"/>
      <c r="CN31" s="1910"/>
      <c r="CO31" s="1910"/>
      <c r="CP31" s="1910"/>
      <c r="CQ31" s="1910"/>
      <c r="CR31" s="1910"/>
      <c r="CS31" s="1910"/>
      <c r="CT31" s="1910"/>
      <c r="CU31" s="1910"/>
      <c r="CV31" s="1910"/>
      <c r="CW31" s="1910"/>
      <c r="CX31" s="1910"/>
      <c r="CY31" s="1910"/>
      <c r="CZ31" s="1910"/>
      <c r="DA31" s="1910"/>
      <c r="DB31" s="1910"/>
      <c r="DC31" s="1910"/>
      <c r="DD31" s="1910"/>
      <c r="DE31" s="1910"/>
      <c r="DF31" s="1910"/>
      <c r="DG31" s="1910"/>
      <c r="DH31" s="1910"/>
      <c r="DI31" s="1910"/>
      <c r="DJ31" s="1910"/>
      <c r="DK31" s="1910"/>
      <c r="DL31" s="1910"/>
      <c r="DM31" s="1910"/>
      <c r="DN31" s="1910"/>
      <c r="DO31" s="1910"/>
      <c r="DP31" s="1919"/>
      <c r="DQ31" s="1910"/>
      <c r="DR31" s="1910"/>
      <c r="DS31" s="1910"/>
      <c r="DT31" s="1910"/>
      <c r="DU31" s="1919"/>
      <c r="DV31" s="1910"/>
      <c r="DW31" s="1910"/>
      <c r="DX31" s="1910"/>
      <c r="DY31" s="1910"/>
      <c r="DZ31" s="1919"/>
      <c r="EA31" s="1910"/>
      <c r="EB31" s="1910"/>
      <c r="EC31" s="1910"/>
      <c r="ED31" s="1910"/>
      <c r="EE31" s="1919"/>
    </row>
    <row r="32" spans="2:135" ht="12" thickBot="1">
      <c r="B32" s="1911" t="s">
        <v>514</v>
      </c>
      <c r="C32" s="1922"/>
      <c r="D32" s="1922"/>
      <c r="E32" s="1922"/>
      <c r="F32" s="1922"/>
      <c r="G32" s="1922"/>
      <c r="H32" s="1922"/>
      <c r="I32" s="1922"/>
      <c r="J32" s="1922"/>
      <c r="K32" s="1922"/>
      <c r="L32" s="1922"/>
      <c r="M32" s="1922"/>
      <c r="N32" s="1922"/>
      <c r="O32" s="1922"/>
      <c r="P32" s="1922"/>
      <c r="Q32" s="1922"/>
      <c r="R32" s="1922"/>
      <c r="S32" s="1922"/>
      <c r="T32" s="1922"/>
      <c r="U32" s="1922"/>
      <c r="V32" s="1922"/>
      <c r="W32" s="1922"/>
      <c r="X32" s="1922"/>
      <c r="Y32" s="1922"/>
      <c r="Z32" s="1922"/>
      <c r="AA32" s="1922"/>
      <c r="AB32" s="1922"/>
      <c r="AC32" s="1922"/>
      <c r="AD32" s="1922"/>
      <c r="AE32" s="1922"/>
      <c r="AF32" s="1922"/>
      <c r="AG32" s="1922"/>
      <c r="AH32" s="1922"/>
      <c r="AI32" s="1922"/>
      <c r="AJ32" s="1922"/>
      <c r="AK32" s="1922"/>
      <c r="AL32" s="1922"/>
      <c r="AM32" s="1922"/>
      <c r="AN32" s="1922"/>
      <c r="AO32" s="1922"/>
      <c r="AP32" s="1922"/>
      <c r="AQ32" s="1922"/>
      <c r="AR32" s="1922"/>
      <c r="AS32" s="1922"/>
      <c r="AT32" s="1922"/>
      <c r="AU32" s="1922"/>
      <c r="AV32" s="1922"/>
      <c r="AW32" s="1922"/>
      <c r="AX32" s="1922"/>
      <c r="AY32" s="1922"/>
      <c r="AZ32" s="1922"/>
      <c r="BA32" s="1922"/>
      <c r="BB32" s="1922"/>
      <c r="BC32" s="1922"/>
      <c r="BD32" s="1922"/>
      <c r="BE32" s="1922"/>
      <c r="BF32" s="1922"/>
      <c r="BG32" s="1922"/>
      <c r="BH32" s="1922"/>
      <c r="BI32" s="1922"/>
      <c r="BJ32" s="1922"/>
      <c r="BK32" s="1922"/>
      <c r="BL32" s="1922"/>
      <c r="BM32" s="1922"/>
      <c r="BN32" s="1922"/>
      <c r="BO32" s="1922"/>
      <c r="BP32" s="1922"/>
      <c r="BQ32" s="1922"/>
      <c r="BR32" s="1922"/>
      <c r="BS32" s="1922"/>
      <c r="BT32" s="1922"/>
      <c r="BU32" s="1922"/>
      <c r="BV32" s="1922"/>
      <c r="BW32" s="1922"/>
      <c r="BX32" s="1922"/>
      <c r="BY32" s="1922"/>
      <c r="BZ32" s="1922"/>
      <c r="CA32" s="1922"/>
      <c r="CB32" s="1922"/>
      <c r="CC32" s="1922"/>
      <c r="CD32" s="1922"/>
      <c r="CE32" s="1922"/>
      <c r="CF32" s="1922"/>
      <c r="CG32" s="1922"/>
      <c r="CH32" s="1922"/>
      <c r="CI32" s="1922"/>
      <c r="CJ32" s="1922"/>
      <c r="CK32" s="1922"/>
      <c r="CL32" s="1922"/>
      <c r="CM32" s="1922"/>
      <c r="CN32" s="1922"/>
      <c r="CO32" s="1922"/>
      <c r="CP32" s="1922"/>
      <c r="CQ32" s="1922"/>
      <c r="CR32" s="1922"/>
      <c r="CS32" s="1922"/>
      <c r="CT32" s="1922"/>
      <c r="CU32" s="1922"/>
      <c r="CV32" s="1922"/>
      <c r="CW32" s="1934"/>
      <c r="CX32" s="1934"/>
      <c r="CY32" s="1934"/>
      <c r="CZ32" s="1934"/>
      <c r="DA32" s="1934"/>
      <c r="DB32" s="1934"/>
      <c r="DC32" s="1934"/>
      <c r="DD32" s="1934"/>
      <c r="DE32" s="1934"/>
      <c r="DF32" s="1934"/>
      <c r="DG32" s="1934"/>
      <c r="DH32" s="1934"/>
      <c r="DI32" s="1934"/>
      <c r="DJ32" s="1934"/>
      <c r="DK32" s="1934"/>
      <c r="DL32" s="1934"/>
      <c r="DM32" s="1934"/>
      <c r="DN32" s="1934"/>
      <c r="DO32" s="1934"/>
      <c r="DP32" s="1935"/>
      <c r="DQ32" s="1934"/>
      <c r="DR32" s="1934"/>
      <c r="DS32" s="1934"/>
      <c r="DT32" s="1934"/>
      <c r="DU32" s="1935"/>
      <c r="DV32" s="1934"/>
      <c r="DW32" s="1934"/>
      <c r="DX32" s="1934"/>
      <c r="DY32" s="1934"/>
      <c r="DZ32" s="1935"/>
      <c r="EA32" s="1934"/>
      <c r="EB32" s="1934"/>
      <c r="EC32" s="1934"/>
      <c r="ED32" s="1934"/>
      <c r="EE32" s="1935"/>
    </row>
    <row r="33" spans="2:135" ht="12" thickBot="1">
      <c r="B33" s="1950" t="s">
        <v>546</v>
      </c>
      <c r="C33" s="1951"/>
      <c r="D33" s="1951"/>
      <c r="E33" s="1951"/>
      <c r="F33" s="1951"/>
      <c r="G33" s="1951"/>
      <c r="H33" s="1951"/>
      <c r="I33" s="1951"/>
      <c r="J33" s="1951"/>
      <c r="K33" s="1951"/>
      <c r="L33" s="1951"/>
      <c r="M33" s="1951"/>
      <c r="N33" s="1951"/>
      <c r="O33" s="1951"/>
      <c r="P33" s="1951"/>
      <c r="Q33" s="1951"/>
      <c r="R33" s="1951"/>
      <c r="S33" s="1951"/>
      <c r="T33" s="1951"/>
      <c r="U33" s="1951"/>
      <c r="V33" s="1951"/>
      <c r="W33" s="1951"/>
      <c r="X33" s="1951"/>
      <c r="Y33" s="1951"/>
      <c r="Z33" s="1951"/>
      <c r="AA33" s="1951"/>
      <c r="AB33" s="1951"/>
      <c r="AC33" s="1951"/>
      <c r="AD33" s="1951"/>
      <c r="AE33" s="1951"/>
      <c r="AF33" s="1951"/>
      <c r="AG33" s="1951"/>
      <c r="AH33" s="1951"/>
      <c r="AI33" s="1951"/>
      <c r="AJ33" s="1951"/>
      <c r="AK33" s="1951"/>
      <c r="AL33" s="1951"/>
      <c r="AM33" s="1951"/>
      <c r="AN33" s="1951"/>
      <c r="AO33" s="1951"/>
      <c r="AP33" s="1951"/>
      <c r="AQ33" s="1951"/>
      <c r="AR33" s="1951"/>
      <c r="AS33" s="1951"/>
      <c r="AT33" s="1951"/>
      <c r="AU33" s="1951"/>
      <c r="AV33" s="1951"/>
      <c r="AW33" s="1951"/>
      <c r="AX33" s="1951"/>
      <c r="AY33" s="1951"/>
      <c r="AZ33" s="1951"/>
      <c r="BA33" s="1951"/>
      <c r="BB33" s="1951"/>
      <c r="BC33" s="1951"/>
      <c r="BD33" s="1951"/>
      <c r="BE33" s="1951"/>
      <c r="BF33" s="1951"/>
      <c r="BG33" s="1951"/>
      <c r="BH33" s="1951"/>
      <c r="BI33" s="1951"/>
      <c r="BJ33" s="1951"/>
      <c r="BK33" s="1951"/>
      <c r="BL33" s="1951"/>
      <c r="BM33" s="1951"/>
      <c r="BN33" s="1951"/>
      <c r="BO33" s="1951"/>
      <c r="BP33" s="1951"/>
      <c r="BQ33" s="1951"/>
      <c r="BR33" s="1951"/>
      <c r="BS33" s="1951"/>
      <c r="BT33" s="1951"/>
      <c r="BU33" s="1951"/>
      <c r="BV33" s="1951"/>
      <c r="BW33" s="1951"/>
      <c r="BX33" s="1951"/>
      <c r="BY33" s="1951"/>
      <c r="BZ33" s="1951"/>
      <c r="CA33" s="1951"/>
      <c r="CB33" s="1951"/>
      <c r="CC33" s="1951"/>
      <c r="CD33" s="1951"/>
      <c r="CE33" s="1951"/>
      <c r="CF33" s="1951"/>
      <c r="CG33" s="1951"/>
      <c r="CH33" s="1951"/>
      <c r="CI33" s="1951"/>
      <c r="CJ33" s="1951"/>
      <c r="CK33" s="1951"/>
      <c r="CL33" s="1951"/>
      <c r="CM33" s="1951"/>
      <c r="CN33" s="1951"/>
      <c r="CO33" s="1951"/>
      <c r="CP33" s="1951"/>
      <c r="CQ33" s="1951"/>
      <c r="CR33" s="1951"/>
      <c r="CS33" s="1951"/>
      <c r="CT33" s="1951"/>
      <c r="CU33" s="1951"/>
      <c r="CV33" s="1951"/>
      <c r="CW33" s="1951"/>
      <c r="CX33" s="1951"/>
      <c r="CY33" s="1951"/>
      <c r="CZ33" s="1951"/>
      <c r="DA33" s="1951"/>
      <c r="DB33" s="1951"/>
      <c r="DC33" s="1951"/>
      <c r="DD33" s="1951"/>
      <c r="DE33" s="1951"/>
      <c r="DF33" s="1951"/>
      <c r="DG33" s="1951"/>
      <c r="DH33" s="1951"/>
      <c r="DI33" s="1951"/>
      <c r="DJ33" s="1951"/>
      <c r="DK33" s="1951"/>
      <c r="DL33" s="1951"/>
      <c r="DM33" s="1951"/>
      <c r="DN33" s="1951"/>
      <c r="DO33" s="1951"/>
      <c r="DP33" s="1952"/>
      <c r="DQ33" s="1951"/>
      <c r="DR33" s="1951"/>
      <c r="DS33" s="1951"/>
      <c r="DT33" s="1951"/>
      <c r="DU33" s="1952"/>
      <c r="DV33" s="1951"/>
      <c r="DW33" s="1951"/>
      <c r="DX33" s="1951"/>
      <c r="DY33" s="1951"/>
      <c r="DZ33" s="1952"/>
      <c r="EA33" s="1951"/>
      <c r="EB33" s="1951"/>
      <c r="EC33" s="1951"/>
      <c r="ED33" s="1951"/>
      <c r="EE33" s="1952"/>
    </row>
    <row r="34" spans="2:135">
      <c r="B34" s="1910"/>
      <c r="C34" s="1910"/>
      <c r="D34" s="1910"/>
      <c r="E34" s="1910"/>
      <c r="F34" s="1910"/>
      <c r="G34" s="1910"/>
      <c r="H34" s="1910"/>
      <c r="I34" s="1910"/>
      <c r="J34" s="1910"/>
      <c r="K34" s="1910"/>
      <c r="L34" s="1910"/>
      <c r="M34" s="1910"/>
      <c r="N34" s="1910"/>
      <c r="O34" s="1910"/>
      <c r="P34" s="1910"/>
      <c r="Q34" s="1910"/>
      <c r="R34" s="1910"/>
      <c r="S34" s="1910"/>
      <c r="T34" s="1910"/>
      <c r="U34" s="1910"/>
      <c r="V34" s="1910"/>
      <c r="W34" s="1910"/>
      <c r="X34" s="1910"/>
      <c r="Y34" s="1910"/>
      <c r="Z34" s="1910"/>
      <c r="AA34" s="1910"/>
      <c r="AB34" s="1910"/>
      <c r="AC34" s="1910"/>
      <c r="AD34" s="1910"/>
      <c r="AE34" s="1910"/>
      <c r="AF34" s="1910"/>
      <c r="AG34" s="1910"/>
      <c r="AH34" s="1910"/>
      <c r="AI34" s="1910"/>
      <c r="AJ34" s="1910"/>
      <c r="AK34" s="1910"/>
      <c r="AL34" s="1910"/>
      <c r="AM34" s="1910"/>
      <c r="AN34" s="1910"/>
      <c r="AO34" s="1910"/>
      <c r="AP34" s="1910"/>
      <c r="AQ34" s="1910"/>
      <c r="AR34" s="1910"/>
      <c r="AS34" s="1910"/>
      <c r="AT34" s="1910"/>
      <c r="AU34" s="1910"/>
      <c r="AV34" s="1910"/>
      <c r="AW34" s="1910"/>
      <c r="AX34" s="1910"/>
      <c r="AY34" s="1910"/>
      <c r="AZ34" s="1910"/>
      <c r="BA34" s="1910"/>
      <c r="BB34" s="1910"/>
      <c r="BC34" s="1910"/>
      <c r="BD34" s="1910"/>
      <c r="BE34" s="1910"/>
      <c r="BF34" s="1910"/>
      <c r="BG34" s="1910"/>
      <c r="BH34" s="1910"/>
      <c r="BI34" s="1910"/>
      <c r="BJ34" s="1910"/>
      <c r="BK34" s="1910"/>
      <c r="BL34" s="1910"/>
      <c r="BM34" s="1910"/>
      <c r="BN34" s="1910"/>
      <c r="BO34" s="1910"/>
      <c r="BP34" s="1910"/>
      <c r="BQ34" s="1910"/>
      <c r="BR34" s="1910"/>
      <c r="BS34" s="1910"/>
      <c r="BT34" s="1910"/>
      <c r="BU34" s="1910"/>
      <c r="BV34" s="1910"/>
      <c r="BW34" s="1910"/>
      <c r="BX34" s="1910"/>
      <c r="BY34" s="1910"/>
      <c r="BZ34" s="1910"/>
      <c r="CA34" s="1910"/>
      <c r="CB34" s="1910"/>
      <c r="CC34" s="1910"/>
      <c r="CD34" s="1910"/>
      <c r="CE34" s="1910"/>
      <c r="CF34" s="1910"/>
      <c r="CG34" s="1910"/>
      <c r="CH34" s="1910"/>
      <c r="CI34" s="1910"/>
      <c r="CJ34" s="1910"/>
      <c r="CK34" s="1910"/>
      <c r="CL34" s="1910"/>
      <c r="CM34" s="1910"/>
      <c r="CN34" s="1910"/>
      <c r="CO34" s="1910"/>
      <c r="CP34" s="1910"/>
      <c r="CQ34" s="1910"/>
      <c r="CR34" s="1910"/>
      <c r="CS34" s="1910"/>
      <c r="CT34" s="1910"/>
      <c r="CU34" s="1910"/>
      <c r="CV34" s="1910"/>
      <c r="CW34" s="1910"/>
      <c r="CX34" s="1910"/>
      <c r="CY34" s="1910"/>
      <c r="CZ34" s="1910"/>
      <c r="DA34" s="1910"/>
      <c r="DB34" s="1910"/>
      <c r="DC34" s="1910"/>
      <c r="DD34" s="1910"/>
      <c r="DE34" s="1910"/>
      <c r="DF34" s="1910"/>
      <c r="DG34" s="1910"/>
      <c r="DH34" s="1910"/>
      <c r="DI34" s="1910"/>
      <c r="DJ34" s="1910"/>
      <c r="DK34" s="1910"/>
      <c r="DL34" s="1910"/>
      <c r="DM34" s="1910"/>
      <c r="DN34" s="1910"/>
      <c r="DO34" s="1910"/>
      <c r="DP34" s="1918"/>
      <c r="DQ34" s="1910"/>
      <c r="DR34" s="1910"/>
      <c r="DS34" s="1910"/>
      <c r="DT34" s="1910"/>
      <c r="DU34" s="1918"/>
      <c r="DV34" s="1910"/>
      <c r="DW34" s="1910"/>
      <c r="DX34" s="1910"/>
      <c r="DY34" s="1910"/>
      <c r="DZ34" s="1918"/>
      <c r="EA34" s="1910"/>
      <c r="EB34" s="1910"/>
      <c r="EC34" s="1910"/>
      <c r="ED34" s="1910"/>
      <c r="EE34" s="1918"/>
    </row>
    <row r="35" spans="2:135" ht="12" thickBot="1">
      <c r="B35" s="1913"/>
      <c r="C35" s="1913"/>
      <c r="D35" s="1913"/>
      <c r="E35" s="1913"/>
      <c r="F35" s="1913"/>
      <c r="G35" s="1913"/>
      <c r="H35" s="1913"/>
      <c r="I35" s="1913"/>
      <c r="J35" s="1913"/>
      <c r="K35" s="1913"/>
      <c r="L35" s="1913"/>
      <c r="M35" s="1913"/>
      <c r="N35" s="1913"/>
      <c r="O35" s="1913"/>
      <c r="P35" s="1913"/>
      <c r="Q35" s="1913"/>
      <c r="R35" s="1913"/>
      <c r="S35" s="1913"/>
      <c r="T35" s="1913"/>
      <c r="U35" s="1913"/>
      <c r="V35" s="1913"/>
      <c r="W35" s="1913"/>
      <c r="X35" s="1913"/>
      <c r="Y35" s="1913"/>
      <c r="Z35" s="1913"/>
      <c r="AA35" s="1913"/>
      <c r="AB35" s="1913"/>
      <c r="AC35" s="1913"/>
      <c r="AD35" s="1913"/>
      <c r="AE35" s="1913"/>
      <c r="AF35" s="1913"/>
      <c r="AG35" s="1913"/>
      <c r="AH35" s="1913"/>
      <c r="AI35" s="1913"/>
      <c r="AJ35" s="1913"/>
      <c r="AK35" s="1913"/>
      <c r="AL35" s="1913"/>
      <c r="AM35" s="1913"/>
      <c r="AN35" s="1913"/>
      <c r="AO35" s="1913"/>
      <c r="AP35" s="1913"/>
      <c r="AQ35" s="1913"/>
      <c r="AR35" s="1913"/>
      <c r="AS35" s="1913"/>
      <c r="AT35" s="1913"/>
      <c r="AU35" s="1913"/>
      <c r="AV35" s="1913"/>
      <c r="AW35" s="1913"/>
      <c r="AX35" s="1913"/>
      <c r="AY35" s="1913"/>
      <c r="AZ35" s="1913"/>
      <c r="BA35" s="1913"/>
      <c r="BB35" s="1913"/>
      <c r="BC35" s="1913"/>
      <c r="BD35" s="1913"/>
      <c r="BE35" s="1913"/>
      <c r="BF35" s="1913"/>
      <c r="BG35" s="1913"/>
      <c r="BH35" s="1913"/>
      <c r="BI35" s="1913"/>
      <c r="BJ35" s="1913"/>
      <c r="BK35" s="1913"/>
      <c r="BL35" s="1913"/>
      <c r="BM35" s="1913"/>
      <c r="BN35" s="1913"/>
      <c r="BO35" s="1913"/>
      <c r="BP35" s="1913"/>
      <c r="BQ35" s="1913"/>
      <c r="BR35" s="1913"/>
      <c r="BS35" s="1913"/>
      <c r="BT35" s="1913"/>
      <c r="BU35" s="1913"/>
      <c r="BV35" s="1913"/>
      <c r="BW35" s="1913"/>
      <c r="BX35" s="1913"/>
      <c r="BY35" s="1913"/>
      <c r="BZ35" s="1913"/>
      <c r="CA35" s="1913"/>
      <c r="CB35" s="1913"/>
      <c r="CC35" s="1913"/>
      <c r="CD35" s="1913"/>
      <c r="CE35" s="1913"/>
      <c r="CF35" s="1913"/>
      <c r="CG35" s="1913"/>
      <c r="CH35" s="1913"/>
      <c r="CI35" s="1913"/>
      <c r="CJ35" s="1913"/>
      <c r="CK35" s="1913"/>
      <c r="CL35" s="1913"/>
      <c r="CM35" s="1913"/>
      <c r="CN35" s="1913"/>
      <c r="CO35" s="1913"/>
      <c r="CP35" s="1913"/>
      <c r="CQ35" s="1913"/>
      <c r="CR35" s="1913"/>
      <c r="CS35" s="1913"/>
      <c r="CT35" s="1913"/>
      <c r="CU35" s="1913"/>
      <c r="CV35" s="1913"/>
      <c r="CW35" s="1913"/>
      <c r="CX35" s="1913"/>
      <c r="CY35" s="1913"/>
      <c r="CZ35" s="1913"/>
      <c r="DA35" s="1913"/>
      <c r="DB35" s="1913"/>
      <c r="DC35" s="1913"/>
      <c r="DD35" s="1913"/>
      <c r="DE35" s="1913"/>
      <c r="DF35" s="1913"/>
      <c r="DG35" s="1913"/>
      <c r="DH35" s="1913"/>
      <c r="DI35" s="1913"/>
      <c r="DJ35" s="1913"/>
      <c r="DK35" s="1913"/>
      <c r="DL35" s="1913"/>
      <c r="DM35" s="1913"/>
      <c r="DN35" s="1913"/>
      <c r="DO35" s="1913"/>
      <c r="DP35" s="1953"/>
      <c r="DQ35" s="1913"/>
      <c r="DR35" s="1913"/>
      <c r="DS35" s="1913"/>
      <c r="DT35" s="1913"/>
      <c r="DU35" s="1953"/>
      <c r="DV35" s="1913"/>
      <c r="DW35" s="1913"/>
      <c r="DX35" s="1913"/>
      <c r="DY35" s="1913"/>
      <c r="DZ35" s="1953"/>
      <c r="EA35" s="1913"/>
      <c r="EB35" s="1913"/>
      <c r="EC35" s="1913"/>
      <c r="ED35" s="1913"/>
      <c r="EE35" s="1953"/>
    </row>
    <row r="36" spans="2:135" ht="13.5" thickBot="1">
      <c r="B36" s="1914" t="s">
        <v>323</v>
      </c>
      <c r="C36" s="1924"/>
      <c r="D36" s="1924"/>
      <c r="E36" s="1924"/>
      <c r="F36" s="1924"/>
      <c r="G36" s="1924"/>
      <c r="H36" s="1924"/>
      <c r="I36" s="1924"/>
      <c r="J36" s="1924"/>
      <c r="K36" s="1924"/>
      <c r="L36" s="1924"/>
      <c r="M36" s="1924"/>
      <c r="N36" s="1924"/>
      <c r="O36" s="1924"/>
      <c r="P36" s="1924"/>
      <c r="Q36" s="1924"/>
      <c r="R36" s="1924"/>
      <c r="S36" s="1924"/>
      <c r="T36" s="1924"/>
      <c r="U36" s="1924"/>
      <c r="V36" s="1924"/>
      <c r="W36" s="1924"/>
      <c r="X36" s="1924"/>
      <c r="Y36" s="1924"/>
      <c r="Z36" s="1924"/>
      <c r="AA36" s="1924"/>
      <c r="AB36" s="1924"/>
      <c r="AC36" s="1924"/>
      <c r="AD36" s="1924"/>
      <c r="AE36" s="1924"/>
      <c r="AF36" s="1924"/>
      <c r="AG36" s="1924"/>
      <c r="AH36" s="1924"/>
      <c r="AI36" s="1924"/>
      <c r="AJ36" s="1924"/>
      <c r="AK36" s="1924"/>
      <c r="AL36" s="1924"/>
      <c r="AM36" s="1924"/>
      <c r="AN36" s="1924"/>
      <c r="AO36" s="1924"/>
      <c r="AP36" s="1924"/>
      <c r="AQ36" s="1924"/>
      <c r="AR36" s="1924"/>
      <c r="AS36" s="1924"/>
      <c r="AT36" s="1924"/>
      <c r="AU36" s="1924"/>
      <c r="AV36" s="1924"/>
      <c r="AW36" s="1924"/>
      <c r="AX36" s="1924"/>
      <c r="AY36" s="1924"/>
      <c r="AZ36" s="1924"/>
      <c r="BA36" s="1924"/>
      <c r="BB36" s="1924"/>
      <c r="BC36" s="1924"/>
      <c r="BD36" s="1924"/>
      <c r="BE36" s="1924"/>
      <c r="BF36" s="1924"/>
      <c r="BG36" s="1924"/>
      <c r="BH36" s="1924"/>
      <c r="BI36" s="1924"/>
      <c r="BJ36" s="1924"/>
      <c r="BK36" s="1924"/>
      <c r="BL36" s="1924"/>
      <c r="BM36" s="1924"/>
      <c r="BN36" s="1924"/>
      <c r="BO36" s="1924"/>
      <c r="BP36" s="1924"/>
      <c r="BQ36" s="1924"/>
      <c r="BR36" s="1924"/>
      <c r="BS36" s="1924"/>
      <c r="BT36" s="1924"/>
      <c r="BU36" s="1924"/>
      <c r="BV36" s="1924"/>
      <c r="BW36" s="1924"/>
      <c r="BX36" s="1924"/>
      <c r="BY36" s="1924"/>
      <c r="BZ36" s="1924"/>
      <c r="CA36" s="1924"/>
      <c r="CB36" s="1924"/>
      <c r="CC36" s="1924"/>
      <c r="CD36" s="1924"/>
      <c r="CE36" s="1924"/>
      <c r="CF36" s="1924"/>
      <c r="CG36" s="1924"/>
      <c r="CH36" s="1924"/>
      <c r="CI36" s="1924"/>
      <c r="CJ36" s="1924"/>
      <c r="CK36" s="1924"/>
      <c r="CL36" s="1924"/>
      <c r="CM36" s="1924"/>
      <c r="CN36" s="1924"/>
      <c r="CO36" s="1924"/>
      <c r="CP36" s="1924"/>
      <c r="CQ36" s="1924"/>
      <c r="CR36" s="1924"/>
      <c r="CS36" s="1924"/>
      <c r="CT36" s="1924"/>
      <c r="CU36" s="1924"/>
      <c r="CV36" s="1924"/>
      <c r="CW36" s="1924"/>
      <c r="CX36" s="1924"/>
      <c r="CY36" s="1924"/>
      <c r="CZ36" s="1924"/>
      <c r="DA36" s="1924"/>
      <c r="DB36" s="1924"/>
      <c r="DC36" s="1924"/>
      <c r="DD36" s="1924"/>
      <c r="DE36" s="1924"/>
      <c r="DF36" s="1924"/>
      <c r="DG36" s="1924"/>
      <c r="DH36" s="1924"/>
      <c r="DI36" s="1924"/>
      <c r="DJ36" s="1924"/>
      <c r="DK36" s="1924"/>
      <c r="DL36" s="1924"/>
      <c r="DM36" s="1924"/>
      <c r="DN36" s="1924"/>
      <c r="DO36" s="1924"/>
      <c r="DP36" s="1925"/>
      <c r="DQ36" s="1924"/>
      <c r="DR36" s="1924"/>
      <c r="DS36" s="1924"/>
      <c r="DT36" s="1924"/>
      <c r="DU36" s="1925"/>
      <c r="DV36" s="1924"/>
      <c r="DW36" s="1924"/>
      <c r="DX36" s="1924"/>
      <c r="DY36" s="1924"/>
      <c r="DZ36" s="1925"/>
      <c r="EA36" s="1924"/>
      <c r="EB36" s="1924"/>
      <c r="EC36" s="1924"/>
      <c r="ED36" s="1924"/>
      <c r="EE36" s="1925"/>
    </row>
    <row r="37" spans="2:135" ht="12" thickBot="1">
      <c r="B37" s="1915" t="s">
        <v>497</v>
      </c>
      <c r="C37" s="1926"/>
      <c r="D37" s="1926"/>
      <c r="E37" s="1926"/>
      <c r="F37" s="1926"/>
      <c r="G37" s="1926"/>
      <c r="H37" s="1926"/>
      <c r="I37" s="1926"/>
      <c r="J37" s="1926"/>
      <c r="K37" s="1926"/>
      <c r="L37" s="1926"/>
      <c r="M37" s="1926"/>
      <c r="N37" s="1926"/>
      <c r="O37" s="1926"/>
      <c r="P37" s="1926"/>
      <c r="Q37" s="1926"/>
      <c r="R37" s="1926"/>
      <c r="S37" s="1926"/>
      <c r="T37" s="1926"/>
      <c r="U37" s="1926"/>
      <c r="V37" s="1926"/>
      <c r="W37" s="1926"/>
      <c r="X37" s="1926"/>
      <c r="Y37" s="1926"/>
      <c r="Z37" s="1926"/>
      <c r="AA37" s="1926"/>
      <c r="AB37" s="1926"/>
      <c r="AC37" s="1926"/>
      <c r="AD37" s="1926"/>
      <c r="AE37" s="1926"/>
      <c r="AF37" s="1926"/>
      <c r="AG37" s="1926"/>
      <c r="AH37" s="1926"/>
      <c r="AI37" s="1926"/>
      <c r="AJ37" s="1926"/>
      <c r="AK37" s="1926"/>
      <c r="AL37" s="1926"/>
      <c r="AM37" s="1926"/>
      <c r="AN37" s="1926"/>
      <c r="AO37" s="1926"/>
      <c r="AP37" s="1926"/>
      <c r="AQ37" s="1926"/>
      <c r="AR37" s="1926"/>
      <c r="AS37" s="1926"/>
      <c r="AT37" s="1926"/>
      <c r="AU37" s="1926"/>
      <c r="AV37" s="1926"/>
      <c r="AW37" s="1926"/>
      <c r="AX37" s="1926"/>
      <c r="AY37" s="1926"/>
      <c r="AZ37" s="1926"/>
      <c r="BA37" s="1926"/>
      <c r="BB37" s="1926"/>
      <c r="BC37" s="1926"/>
      <c r="BD37" s="1926"/>
      <c r="BE37" s="1926"/>
      <c r="BF37" s="1926"/>
      <c r="BG37" s="1926"/>
      <c r="BH37" s="1926"/>
      <c r="BI37" s="1926"/>
      <c r="BJ37" s="1926"/>
      <c r="BK37" s="1926"/>
      <c r="BL37" s="1926"/>
      <c r="BM37" s="1926"/>
      <c r="BN37" s="1926"/>
      <c r="BO37" s="1926"/>
      <c r="BP37" s="1926"/>
      <c r="BQ37" s="1926"/>
      <c r="BR37" s="1926"/>
      <c r="BS37" s="1926"/>
      <c r="BT37" s="1926"/>
      <c r="BU37" s="1926"/>
      <c r="BV37" s="1926"/>
      <c r="BW37" s="1926"/>
      <c r="BX37" s="1926"/>
      <c r="BY37" s="1926"/>
      <c r="BZ37" s="1926"/>
      <c r="CA37" s="1926"/>
      <c r="CB37" s="1926"/>
      <c r="CC37" s="1926"/>
      <c r="CD37" s="1926"/>
      <c r="CE37" s="1926"/>
      <c r="CF37" s="1926"/>
      <c r="CG37" s="1926"/>
      <c r="CH37" s="1926"/>
      <c r="CI37" s="1926"/>
      <c r="CJ37" s="1926"/>
      <c r="CK37" s="1926"/>
      <c r="CL37" s="1926"/>
      <c r="CM37" s="1926"/>
      <c r="CN37" s="1926"/>
      <c r="CO37" s="1926"/>
      <c r="CP37" s="1926"/>
      <c r="CQ37" s="1926"/>
      <c r="CR37" s="1926"/>
      <c r="CS37" s="1926"/>
      <c r="CT37" s="1926"/>
      <c r="CU37" s="1926"/>
      <c r="CV37" s="1926"/>
      <c r="CW37" s="1926"/>
      <c r="CX37" s="1926"/>
      <c r="CY37" s="1926"/>
      <c r="CZ37" s="1926"/>
      <c r="DA37" s="1926"/>
      <c r="DB37" s="1926"/>
      <c r="DC37" s="1926"/>
      <c r="DD37" s="1926"/>
      <c r="DE37" s="1946">
        <v>0.01</v>
      </c>
      <c r="DF37" s="1947"/>
      <c r="DG37" s="1946">
        <v>0.01</v>
      </c>
      <c r="DH37" s="1948">
        <f>DG37+0.001</f>
        <v>1.0999999999999999E-2</v>
      </c>
      <c r="DI37" s="1948">
        <f>DH37+0.001</f>
        <v>1.2E-2</v>
      </c>
      <c r="DJ37" s="1948">
        <f>DI37+0.001</f>
        <v>1.3000000000000001E-2</v>
      </c>
      <c r="DK37" s="1947"/>
      <c r="DL37" s="1948">
        <f>DJ37+0.001</f>
        <v>1.4000000000000002E-2</v>
      </c>
      <c r="DM37" s="1948">
        <f>DL37+0.001</f>
        <v>1.5000000000000003E-2</v>
      </c>
      <c r="DN37" s="1948">
        <f>DL37+0.001</f>
        <v>1.5000000000000003E-2</v>
      </c>
      <c r="DO37" s="1948">
        <f>DM37+0.001</f>
        <v>1.6000000000000004E-2</v>
      </c>
      <c r="DP37" s="1949"/>
      <c r="DQ37" s="1948">
        <f>DO37+0.001</f>
        <v>1.7000000000000005E-2</v>
      </c>
      <c r="DR37" s="1948">
        <f>DQ37+0.001</f>
        <v>1.8000000000000006E-2</v>
      </c>
      <c r="DS37" s="1948">
        <f>DQ37+0.001</f>
        <v>1.8000000000000006E-2</v>
      </c>
      <c r="DT37" s="1948">
        <f>DR37+0.001</f>
        <v>1.9000000000000006E-2</v>
      </c>
      <c r="DU37" s="1949"/>
      <c r="DV37" s="1948">
        <f>DT37+0.001</f>
        <v>2.0000000000000007E-2</v>
      </c>
      <c r="DW37" s="1948">
        <f>DV37+0.001</f>
        <v>2.1000000000000008E-2</v>
      </c>
      <c r="DX37" s="1948">
        <f>DV37+0.001</f>
        <v>2.1000000000000008E-2</v>
      </c>
      <c r="DY37" s="1948">
        <f>DW37+0.001</f>
        <v>2.2000000000000009E-2</v>
      </c>
      <c r="DZ37" s="1949"/>
      <c r="EA37" s="1948">
        <f>DY37+0.001</f>
        <v>2.300000000000001E-2</v>
      </c>
      <c r="EB37" s="1948">
        <f>EA37+0.001</f>
        <v>2.4000000000000011E-2</v>
      </c>
      <c r="EC37" s="1948">
        <f>EA37+0.001</f>
        <v>2.4000000000000011E-2</v>
      </c>
      <c r="ED37" s="1948">
        <f>EB37+0.001</f>
        <v>2.5000000000000012E-2</v>
      </c>
      <c r="EE37" s="1949"/>
    </row>
    <row r="38" spans="2:135" ht="12" thickBot="1"/>
    <row r="39" spans="2:135" ht="12" thickBot="1">
      <c r="B39" s="754" t="s">
        <v>513</v>
      </c>
      <c r="C39" s="684"/>
      <c r="D39" s="684"/>
      <c r="E39" s="684"/>
      <c r="F39" s="684"/>
      <c r="G39" s="684"/>
      <c r="H39" s="684"/>
      <c r="I39" s="684"/>
      <c r="J39" s="684"/>
      <c r="K39" s="684"/>
      <c r="L39" s="684"/>
      <c r="M39" s="684"/>
      <c r="N39" s="684"/>
      <c r="O39" s="684"/>
      <c r="P39" s="684"/>
      <c r="Q39" s="684"/>
      <c r="R39" s="684"/>
      <c r="S39" s="684"/>
      <c r="T39" s="684"/>
      <c r="U39" s="684"/>
      <c r="V39" s="684"/>
      <c r="W39" s="684"/>
      <c r="X39" s="684"/>
      <c r="Y39" s="684"/>
      <c r="Z39" s="684"/>
      <c r="AA39" s="684"/>
      <c r="AB39" s="684"/>
      <c r="AC39" s="684"/>
      <c r="AD39" s="684"/>
      <c r="AE39" s="684"/>
      <c r="AF39" s="684"/>
      <c r="AG39" s="684"/>
      <c r="AH39" s="684"/>
      <c r="AI39" s="684"/>
      <c r="AJ39" s="684"/>
      <c r="AK39" s="684"/>
      <c r="AL39" s="684"/>
      <c r="AM39" s="684"/>
      <c r="AN39" s="684"/>
      <c r="AO39" s="684"/>
      <c r="AP39" s="684"/>
      <c r="AQ39" s="684"/>
      <c r="AR39" s="684"/>
      <c r="AS39" s="684"/>
      <c r="AT39" s="684"/>
      <c r="AU39" s="684"/>
      <c r="AV39" s="684"/>
      <c r="AW39" s="684"/>
      <c r="AX39" s="684"/>
      <c r="AY39" s="684"/>
      <c r="AZ39" s="684"/>
      <c r="BA39" s="684"/>
      <c r="BB39" s="684"/>
      <c r="BC39" s="684"/>
      <c r="BD39" s="684"/>
      <c r="BE39" s="684"/>
      <c r="BF39" s="684"/>
      <c r="BG39" s="684"/>
      <c r="BH39" s="684"/>
      <c r="BI39" s="684"/>
      <c r="BJ39" s="684"/>
      <c r="BK39" s="684"/>
      <c r="BL39" s="684"/>
      <c r="BM39" s="684"/>
      <c r="BN39" s="684"/>
      <c r="BO39" s="684"/>
      <c r="BP39" s="684"/>
      <c r="BQ39" s="684"/>
      <c r="BR39" s="684"/>
      <c r="BS39" s="684"/>
      <c r="BT39" s="684"/>
      <c r="BU39" s="684"/>
      <c r="BV39" s="684"/>
      <c r="BW39" s="684"/>
      <c r="BX39" s="684"/>
      <c r="BY39" s="684"/>
      <c r="BZ39" s="684"/>
      <c r="CA39" s="684"/>
      <c r="CB39" s="684"/>
      <c r="CC39" s="684"/>
      <c r="CD39" s="684"/>
      <c r="CE39" s="684"/>
      <c r="CF39" s="684"/>
      <c r="CG39" s="684"/>
      <c r="CH39" s="684"/>
      <c r="CI39" s="684"/>
      <c r="CJ39" s="684"/>
      <c r="CK39" s="684"/>
      <c r="CL39" s="684"/>
      <c r="CM39" s="684"/>
      <c r="CN39" s="684"/>
      <c r="CO39" s="684"/>
      <c r="CP39" s="684"/>
      <c r="CQ39" s="684"/>
      <c r="CR39" s="684"/>
      <c r="CS39" s="684"/>
      <c r="CT39" s="684"/>
      <c r="CU39" s="684"/>
      <c r="CV39" s="684"/>
      <c r="CW39" s="684"/>
      <c r="CX39" s="684"/>
      <c r="CY39" s="684"/>
      <c r="CZ39" s="684"/>
      <c r="DA39" s="684"/>
      <c r="DB39" s="684"/>
      <c r="DC39" s="684"/>
      <c r="DD39" s="684"/>
      <c r="DE39" s="684"/>
      <c r="DF39" s="684"/>
      <c r="DG39" s="684"/>
      <c r="DH39" s="684"/>
      <c r="DI39" s="684"/>
      <c r="DJ39" s="684"/>
      <c r="DK39" s="684"/>
      <c r="DL39" s="684"/>
      <c r="DM39" s="684"/>
      <c r="DN39" s="684"/>
      <c r="DO39" s="684"/>
      <c r="DP39" s="1894"/>
      <c r="DQ39" s="684"/>
      <c r="DR39" s="684"/>
      <c r="DS39" s="684"/>
      <c r="DT39" s="684"/>
      <c r="DU39" s="1894"/>
      <c r="DV39" s="684"/>
      <c r="DW39" s="684"/>
      <c r="DX39" s="684"/>
      <c r="DY39" s="684"/>
      <c r="DZ39" s="1894"/>
      <c r="EA39" s="684"/>
      <c r="EB39" s="684"/>
      <c r="EC39" s="684"/>
      <c r="ED39" s="684"/>
      <c r="EE39" s="1894"/>
    </row>
    <row r="40" spans="2:135">
      <c r="B40" s="1902" t="s">
        <v>498</v>
      </c>
      <c r="C40" s="1903"/>
      <c r="D40" s="1903"/>
      <c r="E40" s="1903"/>
      <c r="F40" s="1903"/>
      <c r="G40" s="1903"/>
      <c r="H40" s="1903"/>
      <c r="I40" s="1903"/>
      <c r="J40" s="1903"/>
      <c r="K40" s="1903"/>
      <c r="L40" s="1903"/>
      <c r="M40" s="1903"/>
      <c r="N40" s="1903"/>
      <c r="O40" s="1903"/>
      <c r="P40" s="1903"/>
      <c r="Q40" s="1903"/>
      <c r="R40" s="1903"/>
      <c r="S40" s="1903"/>
      <c r="T40" s="1903"/>
      <c r="U40" s="1903"/>
      <c r="V40" s="1903"/>
      <c r="W40" s="1903"/>
      <c r="X40" s="1903"/>
      <c r="Y40" s="1903"/>
      <c r="Z40" s="1903"/>
      <c r="AA40" s="1903"/>
      <c r="AB40" s="1903"/>
      <c r="AC40" s="1903"/>
      <c r="AD40" s="1903"/>
      <c r="AE40" s="1903"/>
      <c r="AF40" s="1903"/>
      <c r="AG40" s="1903"/>
      <c r="AH40" s="1903"/>
      <c r="AI40" s="1903"/>
      <c r="AJ40" s="1903"/>
      <c r="AK40" s="1903"/>
      <c r="AL40" s="1903"/>
      <c r="AM40" s="1903"/>
      <c r="AN40" s="1903"/>
      <c r="AO40" s="1903"/>
      <c r="AP40" s="1903"/>
      <c r="AQ40" s="1903"/>
      <c r="AR40" s="1903"/>
      <c r="AS40" s="1903"/>
      <c r="AT40" s="1903"/>
      <c r="AU40" s="1903"/>
      <c r="AV40" s="1903"/>
      <c r="AW40" s="1903"/>
      <c r="AX40" s="1903"/>
      <c r="AY40" s="1903"/>
      <c r="AZ40" s="1903"/>
      <c r="BA40" s="1903"/>
      <c r="BB40" s="1903"/>
      <c r="BC40" s="1903"/>
      <c r="BD40" s="1903"/>
      <c r="BE40" s="1903"/>
      <c r="BF40" s="1903"/>
      <c r="BG40" s="1903"/>
      <c r="BH40" s="1903"/>
      <c r="BI40" s="1903"/>
      <c r="BJ40" s="1903"/>
      <c r="BK40" s="1903"/>
      <c r="BL40" s="1903"/>
      <c r="BM40" s="1903"/>
      <c r="BN40" s="1903"/>
      <c r="BO40" s="1903"/>
      <c r="BP40" s="1903"/>
      <c r="BQ40" s="1903"/>
      <c r="BR40" s="1903"/>
      <c r="BS40" s="1903"/>
      <c r="BT40" s="1903"/>
      <c r="BU40" s="1903"/>
      <c r="BV40" s="1903"/>
      <c r="BW40" s="1903"/>
      <c r="BX40" s="1903"/>
      <c r="BY40" s="1903"/>
      <c r="BZ40" s="1903"/>
      <c r="CA40" s="1903"/>
      <c r="CB40" s="1903"/>
      <c r="CC40" s="1903"/>
      <c r="CD40" s="1903"/>
      <c r="CE40" s="1903"/>
      <c r="CF40" s="1903"/>
      <c r="CG40" s="1903"/>
      <c r="CH40" s="1903"/>
      <c r="CI40" s="1903"/>
      <c r="CJ40" s="1903"/>
      <c r="CK40" s="1903"/>
      <c r="CL40" s="1903"/>
      <c r="CM40" s="1903"/>
      <c r="CN40" s="1903"/>
      <c r="CO40" s="1903"/>
      <c r="CP40" s="1903"/>
      <c r="CQ40" s="1903"/>
      <c r="CR40" s="1903"/>
      <c r="CS40" s="1903"/>
      <c r="CT40" s="1903"/>
      <c r="CU40" s="1903"/>
      <c r="CV40" s="1903"/>
      <c r="CW40" s="1904"/>
      <c r="CX40" s="1942"/>
      <c r="CY40" s="1942"/>
      <c r="CZ40" s="1942"/>
      <c r="DA40" s="1943"/>
      <c r="DB40" s="1942"/>
      <c r="DC40" s="1942"/>
      <c r="DD40" s="1942"/>
      <c r="DE40" s="1944">
        <f>DE37+0.0045</f>
        <v>1.4499999999999999E-2</v>
      </c>
      <c r="DF40" s="1945"/>
      <c r="DG40" s="1944">
        <f>DG37+0.0045</f>
        <v>1.4499999999999999E-2</v>
      </c>
      <c r="DH40" s="1944">
        <f>DH37+0.0045</f>
        <v>1.55E-2</v>
      </c>
      <c r="DI40" s="1944">
        <f>DI37+0.0045</f>
        <v>1.6500000000000001E-2</v>
      </c>
      <c r="DJ40" s="1944">
        <f>DJ37+0.0045</f>
        <v>1.7500000000000002E-2</v>
      </c>
      <c r="DK40" s="1945"/>
      <c r="DL40" s="1944">
        <f>DL37+0.0045</f>
        <v>1.8500000000000003E-2</v>
      </c>
      <c r="DM40" s="1944">
        <f>DM37+0.0045</f>
        <v>1.9500000000000003E-2</v>
      </c>
      <c r="DN40" s="2213">
        <f>DN37+0.0045</f>
        <v>1.9500000000000003E-2</v>
      </c>
      <c r="DO40" s="1944">
        <f>DO37+0.0045</f>
        <v>2.0500000000000004E-2</v>
      </c>
      <c r="DP40" s="1945"/>
      <c r="DQ40" s="1944">
        <f>DQ37+0.0045</f>
        <v>2.1500000000000005E-2</v>
      </c>
      <c r="DR40" s="1944">
        <f>DR37+0.0045</f>
        <v>2.2500000000000006E-2</v>
      </c>
      <c r="DS40" s="1944">
        <f>DS37+0.0045</f>
        <v>2.2500000000000006E-2</v>
      </c>
      <c r="DT40" s="1944">
        <f>DT37+0.0045</f>
        <v>2.3500000000000007E-2</v>
      </c>
      <c r="DU40" s="1945"/>
      <c r="DV40" s="1944">
        <f>DV37+0.0045</f>
        <v>2.4500000000000008E-2</v>
      </c>
      <c r="DW40" s="1944">
        <f>DW37+0.0045</f>
        <v>2.5500000000000009E-2</v>
      </c>
      <c r="DX40" s="1944">
        <f>DX37+0.0045</f>
        <v>2.5500000000000009E-2</v>
      </c>
      <c r="DY40" s="1944">
        <f>DY37+0.0045</f>
        <v>2.650000000000001E-2</v>
      </c>
      <c r="DZ40" s="1945"/>
      <c r="EA40" s="1944">
        <f>EA37+0.0045</f>
        <v>2.7500000000000011E-2</v>
      </c>
      <c r="EB40" s="1944">
        <f>EB37+0.0045</f>
        <v>2.8500000000000011E-2</v>
      </c>
      <c r="EC40" s="1944">
        <f>EC37+0.0045</f>
        <v>2.8500000000000011E-2</v>
      </c>
      <c r="ED40" s="1944">
        <f>ED37+0.0045</f>
        <v>2.9500000000000012E-2</v>
      </c>
      <c r="EE40" s="1945"/>
    </row>
    <row r="41" spans="2:135">
      <c r="B41" s="1895" t="s">
        <v>483</v>
      </c>
      <c r="C41" s="1569"/>
      <c r="D41" s="1569"/>
      <c r="E41" s="1569"/>
      <c r="F41" s="1569"/>
      <c r="G41" s="1569"/>
      <c r="H41" s="1569"/>
      <c r="I41" s="1569"/>
      <c r="J41" s="1569"/>
      <c r="K41" s="1569"/>
      <c r="L41" s="1569"/>
      <c r="M41" s="1569"/>
      <c r="N41" s="1569"/>
      <c r="O41" s="1569"/>
      <c r="P41" s="1569"/>
      <c r="Q41" s="1569"/>
      <c r="R41" s="1569"/>
      <c r="S41" s="1569"/>
      <c r="T41" s="1569"/>
      <c r="U41" s="1569"/>
      <c r="V41" s="1569"/>
      <c r="W41" s="1569"/>
      <c r="X41" s="1569"/>
      <c r="Y41" s="1569"/>
      <c r="Z41" s="1569"/>
      <c r="AA41" s="1569"/>
      <c r="AB41" s="1569"/>
      <c r="AC41" s="1569"/>
      <c r="AD41" s="1569"/>
      <c r="AE41" s="1569"/>
      <c r="AF41" s="1569"/>
      <c r="AG41" s="1569"/>
      <c r="AH41" s="1569"/>
      <c r="AI41" s="1569"/>
      <c r="AJ41" s="1569"/>
      <c r="AK41" s="1569"/>
      <c r="AL41" s="1569"/>
      <c r="AM41" s="1569"/>
      <c r="AN41" s="1569"/>
      <c r="AO41" s="1569"/>
      <c r="AP41" s="1569"/>
      <c r="AQ41" s="1569"/>
      <c r="AR41" s="1569"/>
      <c r="AS41" s="1569"/>
      <c r="AT41" s="1569"/>
      <c r="AU41" s="1569"/>
      <c r="AV41" s="1569"/>
      <c r="AW41" s="1569"/>
      <c r="AX41" s="1569"/>
      <c r="AY41" s="1569"/>
      <c r="AZ41" s="1569"/>
      <c r="BA41" s="1569"/>
      <c r="BB41" s="1569"/>
      <c r="BC41" s="1569"/>
      <c r="BD41" s="1569"/>
      <c r="BE41" s="1569"/>
      <c r="BF41" s="1569"/>
      <c r="BG41" s="1569"/>
      <c r="BH41" s="1569"/>
      <c r="BI41" s="1569"/>
      <c r="BJ41" s="1569"/>
      <c r="BK41" s="1569"/>
      <c r="BL41" s="1569"/>
      <c r="BM41" s="1569"/>
      <c r="BN41" s="1569"/>
      <c r="BO41" s="1569"/>
      <c r="BP41" s="1569"/>
      <c r="BQ41" s="1569"/>
      <c r="BR41" s="1569"/>
      <c r="BS41" s="1569"/>
      <c r="BT41" s="1569"/>
      <c r="BU41" s="1569"/>
      <c r="BV41" s="1569"/>
      <c r="BW41" s="1569"/>
      <c r="BX41" s="1569"/>
      <c r="BY41" s="1569"/>
      <c r="BZ41" s="1569"/>
      <c r="CA41" s="1569"/>
      <c r="CB41" s="1569"/>
      <c r="CC41" s="1569"/>
      <c r="CD41" s="1569"/>
      <c r="CE41" s="1569"/>
      <c r="CF41" s="1569"/>
      <c r="CG41" s="1569"/>
      <c r="CH41" s="1569"/>
      <c r="CI41" s="1569"/>
      <c r="CJ41" s="1569"/>
      <c r="CK41" s="1569"/>
      <c r="CL41" s="1569"/>
      <c r="CM41" s="1569"/>
      <c r="CN41" s="1569"/>
      <c r="CO41" s="1569"/>
      <c r="CP41" s="1569"/>
      <c r="CQ41" s="1569"/>
      <c r="CR41" s="1569"/>
      <c r="CS41" s="1569"/>
      <c r="CT41" s="1569"/>
      <c r="CU41" s="1569"/>
      <c r="CV41" s="1569"/>
      <c r="CW41" s="1569"/>
      <c r="CX41" s="1569"/>
      <c r="CY41" s="1569"/>
      <c r="CZ41" s="1569"/>
      <c r="DA41" s="1900"/>
      <c r="DB41" s="1569"/>
      <c r="DC41" s="1569"/>
      <c r="DD41" s="1569"/>
      <c r="DE41" s="1569">
        <f>DD43</f>
        <v>747</v>
      </c>
      <c r="DF41" s="1900"/>
      <c r="DG41" s="1569">
        <f>DE43</f>
        <v>747</v>
      </c>
      <c r="DH41" s="1569">
        <f>DG43</f>
        <v>747</v>
      </c>
      <c r="DI41" s="1569">
        <f>DH43</f>
        <v>747</v>
      </c>
      <c r="DJ41" s="1569">
        <f>DI43</f>
        <v>0</v>
      </c>
      <c r="DK41" s="1900"/>
      <c r="DL41" s="1569">
        <f>DJ43</f>
        <v>0</v>
      </c>
      <c r="DM41" s="1569">
        <f>DL43</f>
        <v>0</v>
      </c>
      <c r="DN41" s="38">
        <f>DM43</f>
        <v>0</v>
      </c>
      <c r="DO41" s="1569">
        <f>DN43</f>
        <v>0</v>
      </c>
      <c r="DP41" s="1900"/>
      <c r="DQ41" s="1569">
        <f>DO43</f>
        <v>0</v>
      </c>
      <c r="DR41" s="1569">
        <f>DQ43</f>
        <v>0</v>
      </c>
      <c r="DS41" s="1569">
        <f>DR43</f>
        <v>0</v>
      </c>
      <c r="DT41" s="1569">
        <f>DS43</f>
        <v>0</v>
      </c>
      <c r="DU41" s="1900"/>
      <c r="DV41" s="1569">
        <f>DT43</f>
        <v>0</v>
      </c>
      <c r="DW41" s="1569">
        <f>DV43</f>
        <v>0</v>
      </c>
      <c r="DX41" s="1569">
        <f>DW43</f>
        <v>0</v>
      </c>
      <c r="DY41" s="1569">
        <f>DX43</f>
        <v>0</v>
      </c>
      <c r="DZ41" s="1900"/>
      <c r="EA41" s="1569">
        <f>DY43</f>
        <v>0</v>
      </c>
      <c r="EB41" s="1569">
        <f>EA43</f>
        <v>0</v>
      </c>
      <c r="EC41" s="1569">
        <f>EB43</f>
        <v>0</v>
      </c>
      <c r="ED41" s="1569">
        <f>EC43</f>
        <v>0</v>
      </c>
      <c r="EE41" s="1900"/>
    </row>
    <row r="42" spans="2:135">
      <c r="B42" s="1895" t="s">
        <v>484</v>
      </c>
      <c r="C42" s="1569"/>
      <c r="D42" s="1569"/>
      <c r="E42" s="1569"/>
      <c r="F42" s="1569"/>
      <c r="G42" s="1569"/>
      <c r="H42" s="1569"/>
      <c r="I42" s="1569"/>
      <c r="J42" s="1569"/>
      <c r="K42" s="1569"/>
      <c r="L42" s="1569"/>
      <c r="M42" s="1569"/>
      <c r="N42" s="1569"/>
      <c r="O42" s="1569"/>
      <c r="P42" s="1569"/>
      <c r="Q42" s="1569"/>
      <c r="R42" s="1569"/>
      <c r="S42" s="1569"/>
      <c r="T42" s="1569"/>
      <c r="U42" s="1569"/>
      <c r="V42" s="1569"/>
      <c r="W42" s="1569"/>
      <c r="X42" s="1569"/>
      <c r="Y42" s="1569"/>
      <c r="Z42" s="1569"/>
      <c r="AA42" s="1569"/>
      <c r="AB42" s="1569"/>
      <c r="AC42" s="1569"/>
      <c r="AD42" s="1569"/>
      <c r="AE42" s="1569"/>
      <c r="AF42" s="1569"/>
      <c r="AG42" s="1569"/>
      <c r="AH42" s="1569"/>
      <c r="AI42" s="1569"/>
      <c r="AJ42" s="1569"/>
      <c r="AK42" s="1569"/>
      <c r="AL42" s="1569"/>
      <c r="AM42" s="1569"/>
      <c r="AN42" s="1569"/>
      <c r="AO42" s="1569"/>
      <c r="AP42" s="1569"/>
      <c r="AQ42" s="1569"/>
      <c r="AR42" s="1569"/>
      <c r="AS42" s="1569"/>
      <c r="AT42" s="1569"/>
      <c r="AU42" s="1569"/>
      <c r="AV42" s="1569"/>
      <c r="AW42" s="1569"/>
      <c r="AX42" s="1569"/>
      <c r="AY42" s="1569"/>
      <c r="AZ42" s="1569"/>
      <c r="BA42" s="1569"/>
      <c r="BB42" s="1569"/>
      <c r="BC42" s="1569"/>
      <c r="BD42" s="1569"/>
      <c r="BE42" s="1569"/>
      <c r="BF42" s="1569"/>
      <c r="BG42" s="1569"/>
      <c r="BH42" s="1569"/>
      <c r="BI42" s="1569"/>
      <c r="BJ42" s="1569"/>
      <c r="BK42" s="1569"/>
      <c r="BL42" s="1569"/>
      <c r="BM42" s="1569"/>
      <c r="BN42" s="1569"/>
      <c r="BO42" s="1569"/>
      <c r="BP42" s="1569"/>
      <c r="BQ42" s="1569"/>
      <c r="BR42" s="1569"/>
      <c r="BS42" s="1569"/>
      <c r="BT42" s="1569"/>
      <c r="BU42" s="1569"/>
      <c r="BV42" s="1569"/>
      <c r="BW42" s="1569"/>
      <c r="BX42" s="1569"/>
      <c r="BY42" s="1569"/>
      <c r="BZ42" s="1569"/>
      <c r="CA42" s="1569"/>
      <c r="CB42" s="1569"/>
      <c r="CC42" s="1569"/>
      <c r="CD42" s="1569"/>
      <c r="CE42" s="1569"/>
      <c r="CF42" s="1569"/>
      <c r="CG42" s="1569"/>
      <c r="CH42" s="1569"/>
      <c r="CI42" s="1569"/>
      <c r="CJ42" s="1569"/>
      <c r="CK42" s="1569"/>
      <c r="CL42" s="1569"/>
      <c r="CM42" s="1569"/>
      <c r="CN42" s="1569"/>
      <c r="CO42" s="1569"/>
      <c r="CP42" s="1569"/>
      <c r="CQ42" s="1569"/>
      <c r="CR42" s="1569"/>
      <c r="CS42" s="1569"/>
      <c r="CT42" s="1569"/>
      <c r="CU42" s="1569"/>
      <c r="CV42" s="1569"/>
      <c r="CW42" s="1569"/>
      <c r="CX42" s="1569"/>
      <c r="CY42" s="1569"/>
      <c r="CZ42" s="1569"/>
      <c r="DA42" s="1900"/>
      <c r="DB42" s="1569"/>
      <c r="DC42" s="1569"/>
      <c r="DD42" s="1569"/>
      <c r="DE42" s="1569"/>
      <c r="DF42" s="1900"/>
      <c r="DG42" s="1569"/>
      <c r="DH42" s="1569"/>
      <c r="DI42" s="1569">
        <v>-747</v>
      </c>
      <c r="DJ42" s="1569"/>
      <c r="DK42" s="1900"/>
      <c r="DL42" s="1569"/>
      <c r="DM42" s="1569"/>
      <c r="DN42" s="38"/>
      <c r="DO42" s="1569"/>
      <c r="DP42" s="1900"/>
      <c r="DQ42" s="1569"/>
      <c r="DR42" s="1569"/>
      <c r="DS42" s="1569"/>
      <c r="DT42" s="1569"/>
      <c r="DU42" s="1900"/>
      <c r="DV42" s="1569"/>
      <c r="DW42" s="1569"/>
      <c r="DX42" s="1569"/>
      <c r="DY42" s="1569"/>
      <c r="DZ42" s="1900"/>
      <c r="EA42" s="1569"/>
      <c r="EB42" s="1569"/>
      <c r="EC42" s="1569"/>
      <c r="ED42" s="1569"/>
      <c r="EE42" s="1900"/>
    </row>
    <row r="43" spans="2:135">
      <c r="B43" s="1895" t="s">
        <v>485</v>
      </c>
      <c r="C43" s="1569"/>
      <c r="D43" s="1569"/>
      <c r="E43" s="1569"/>
      <c r="F43" s="1569"/>
      <c r="G43" s="1569"/>
      <c r="H43" s="1569"/>
      <c r="I43" s="1569"/>
      <c r="J43" s="1569"/>
      <c r="K43" s="1569"/>
      <c r="L43" s="1569"/>
      <c r="M43" s="1569"/>
      <c r="N43" s="1569"/>
      <c r="O43" s="1569"/>
      <c r="P43" s="1569"/>
      <c r="Q43" s="1569"/>
      <c r="R43" s="1569"/>
      <c r="S43" s="1569"/>
      <c r="T43" s="1569"/>
      <c r="U43" s="1569"/>
      <c r="V43" s="1569"/>
      <c r="W43" s="1569"/>
      <c r="X43" s="1569"/>
      <c r="Y43" s="1569"/>
      <c r="Z43" s="1569"/>
      <c r="AA43" s="1569"/>
      <c r="AB43" s="1569"/>
      <c r="AC43" s="1569"/>
      <c r="AD43" s="1569"/>
      <c r="AE43" s="1569"/>
      <c r="AF43" s="1569"/>
      <c r="AG43" s="1569"/>
      <c r="AH43" s="1569"/>
      <c r="AI43" s="1569"/>
      <c r="AJ43" s="1569"/>
      <c r="AK43" s="1569"/>
      <c r="AL43" s="1569"/>
      <c r="AM43" s="1569"/>
      <c r="AN43" s="1569"/>
      <c r="AO43" s="1569"/>
      <c r="AP43" s="1569"/>
      <c r="AQ43" s="1569"/>
      <c r="AR43" s="1569"/>
      <c r="AS43" s="1569"/>
      <c r="AT43" s="1569"/>
      <c r="AU43" s="1569"/>
      <c r="AV43" s="1569"/>
      <c r="AW43" s="1569"/>
      <c r="AX43" s="1569"/>
      <c r="AY43" s="1569"/>
      <c r="AZ43" s="1569"/>
      <c r="BA43" s="1569"/>
      <c r="BB43" s="1569"/>
      <c r="BC43" s="1569"/>
      <c r="BD43" s="1569"/>
      <c r="BE43" s="1569"/>
      <c r="BF43" s="1569"/>
      <c r="BG43" s="1569"/>
      <c r="BH43" s="1569"/>
      <c r="BI43" s="1569"/>
      <c r="BJ43" s="1569"/>
      <c r="BK43" s="1569"/>
      <c r="BL43" s="1569"/>
      <c r="BM43" s="1569"/>
      <c r="BN43" s="1569"/>
      <c r="BO43" s="1569"/>
      <c r="BP43" s="1569"/>
      <c r="BQ43" s="1569"/>
      <c r="BR43" s="1569"/>
      <c r="BS43" s="1569"/>
      <c r="BT43" s="1569"/>
      <c r="BU43" s="1569"/>
      <c r="BV43" s="1569"/>
      <c r="BW43" s="1569"/>
      <c r="BX43" s="1569"/>
      <c r="BY43" s="1569"/>
      <c r="BZ43" s="1569"/>
      <c r="CA43" s="1569"/>
      <c r="CB43" s="1569"/>
      <c r="CC43" s="1569"/>
      <c r="CD43" s="1569"/>
      <c r="CE43" s="1569"/>
      <c r="CF43" s="1569"/>
      <c r="CG43" s="1569"/>
      <c r="CH43" s="1569"/>
      <c r="CI43" s="1569"/>
      <c r="CJ43" s="1569"/>
      <c r="CK43" s="1569"/>
      <c r="CL43" s="1569"/>
      <c r="CM43" s="1569"/>
      <c r="CN43" s="1569"/>
      <c r="CO43" s="1569"/>
      <c r="CP43" s="1569"/>
      <c r="CQ43" s="1569"/>
      <c r="CR43" s="1569"/>
      <c r="CS43" s="1569"/>
      <c r="CT43" s="1569"/>
      <c r="CU43" s="1569"/>
      <c r="CV43" s="1569"/>
      <c r="CW43" s="1569"/>
      <c r="CX43" s="1569"/>
      <c r="CY43" s="1569"/>
      <c r="CZ43" s="1569"/>
      <c r="DA43" s="1900"/>
      <c r="DB43" s="1569"/>
      <c r="DC43" s="1569"/>
      <c r="DD43" s="1569">
        <v>747</v>
      </c>
      <c r="DE43" s="1569">
        <f>SUM(DE41:DE42)</f>
        <v>747</v>
      </c>
      <c r="DF43" s="1900"/>
      <c r="DG43" s="1569">
        <f>SUM(DG41:DG42)</f>
        <v>747</v>
      </c>
      <c r="DH43" s="1569">
        <f>SUM(DH41:DH42)</f>
        <v>747</v>
      </c>
      <c r="DI43" s="1569">
        <f>SUM(DI41:DI42)</f>
        <v>0</v>
      </c>
      <c r="DJ43" s="1569">
        <f>SUM(DJ41:DJ42)</f>
        <v>0</v>
      </c>
      <c r="DK43" s="1900"/>
      <c r="DL43" s="1569">
        <f>SUM(DL41:DL42)</f>
        <v>0</v>
      </c>
      <c r="DM43" s="1569">
        <f>SUM(DM41:DM42)</f>
        <v>0</v>
      </c>
      <c r="DN43" s="38">
        <f>SUM(DN41:DN42)</f>
        <v>0</v>
      </c>
      <c r="DO43" s="1569">
        <f>SUM(DO41:DO42)</f>
        <v>0</v>
      </c>
      <c r="DP43" s="1900"/>
      <c r="DQ43" s="1569">
        <f>SUM(DQ41:DQ42)</f>
        <v>0</v>
      </c>
      <c r="DR43" s="1569">
        <f>SUM(DR41:DR42)</f>
        <v>0</v>
      </c>
      <c r="DS43" s="1569">
        <f>SUM(DS41:DS42)</f>
        <v>0</v>
      </c>
      <c r="DT43" s="1569">
        <f>SUM(DT41:DT42)</f>
        <v>0</v>
      </c>
      <c r="DU43" s="1900"/>
      <c r="DV43" s="1569">
        <f>SUM(DV41:DV42)</f>
        <v>0</v>
      </c>
      <c r="DW43" s="1569">
        <f>SUM(DW41:DW42)</f>
        <v>0</v>
      </c>
      <c r="DX43" s="1569">
        <f>SUM(DX41:DX42)</f>
        <v>0</v>
      </c>
      <c r="DY43" s="1569">
        <f>SUM(DY41:DY42)</f>
        <v>0</v>
      </c>
      <c r="DZ43" s="1900"/>
      <c r="EA43" s="1569">
        <f>SUM(EA41:EA42)</f>
        <v>0</v>
      </c>
      <c r="EB43" s="1569">
        <f>SUM(EB41:EB42)</f>
        <v>0</v>
      </c>
      <c r="EC43" s="1569">
        <f>SUM(EC41:EC42)</f>
        <v>0</v>
      </c>
      <c r="ED43" s="1569">
        <f>SUM(ED41:ED42)</f>
        <v>0</v>
      </c>
      <c r="EE43" s="1900"/>
    </row>
    <row r="44" spans="2:135" ht="12" thickBot="1">
      <c r="B44" s="1896" t="s">
        <v>400</v>
      </c>
      <c r="C44" s="1897"/>
      <c r="D44" s="1897"/>
      <c r="E44" s="1897"/>
      <c r="F44" s="1897"/>
      <c r="G44" s="1897"/>
      <c r="H44" s="1897"/>
      <c r="I44" s="1897"/>
      <c r="J44" s="1897"/>
      <c r="K44" s="1897"/>
      <c r="L44" s="1897"/>
      <c r="M44" s="1897"/>
      <c r="N44" s="1897"/>
      <c r="O44" s="1897"/>
      <c r="P44" s="1897"/>
      <c r="Q44" s="1897"/>
      <c r="R44" s="1897"/>
      <c r="S44" s="1897"/>
      <c r="T44" s="1897"/>
      <c r="U44" s="1897"/>
      <c r="V44" s="1897"/>
      <c r="W44" s="1897"/>
      <c r="X44" s="1897"/>
      <c r="Y44" s="1897"/>
      <c r="Z44" s="1897"/>
      <c r="AA44" s="1897"/>
      <c r="AB44" s="1897"/>
      <c r="AC44" s="1897"/>
      <c r="AD44" s="1897"/>
      <c r="AE44" s="1897"/>
      <c r="AF44" s="1897"/>
      <c r="AG44" s="1897"/>
      <c r="AH44" s="1897"/>
      <c r="AI44" s="1897"/>
      <c r="AJ44" s="1897"/>
      <c r="AK44" s="1897"/>
      <c r="AL44" s="1897"/>
      <c r="AM44" s="1897"/>
      <c r="AN44" s="1897"/>
      <c r="AO44" s="1897"/>
      <c r="AP44" s="1897"/>
      <c r="AQ44" s="1897"/>
      <c r="AR44" s="1897"/>
      <c r="AS44" s="1897"/>
      <c r="AT44" s="1897"/>
      <c r="AU44" s="1897"/>
      <c r="AV44" s="1897"/>
      <c r="AW44" s="1897"/>
      <c r="AX44" s="1897"/>
      <c r="AY44" s="1897"/>
      <c r="AZ44" s="1897"/>
      <c r="BA44" s="1897"/>
      <c r="BB44" s="1897"/>
      <c r="BC44" s="1897"/>
      <c r="BD44" s="1897"/>
      <c r="BE44" s="1897"/>
      <c r="BF44" s="1897"/>
      <c r="BG44" s="1897"/>
      <c r="BH44" s="1897"/>
      <c r="BI44" s="1897"/>
      <c r="BJ44" s="1897"/>
      <c r="BK44" s="1897"/>
      <c r="BL44" s="1897"/>
      <c r="BM44" s="1897"/>
      <c r="BN44" s="1897"/>
      <c r="BO44" s="1897"/>
      <c r="BP44" s="1897"/>
      <c r="BQ44" s="1897"/>
      <c r="BR44" s="1897"/>
      <c r="BS44" s="1897"/>
      <c r="BT44" s="1897"/>
      <c r="BU44" s="1897"/>
      <c r="BV44" s="1897"/>
      <c r="BW44" s="1897"/>
      <c r="BX44" s="1897"/>
      <c r="BY44" s="1897"/>
      <c r="BZ44" s="1897"/>
      <c r="CA44" s="1897"/>
      <c r="CB44" s="1897"/>
      <c r="CC44" s="1897"/>
      <c r="CD44" s="1897"/>
      <c r="CE44" s="1897"/>
      <c r="CF44" s="1897"/>
      <c r="CG44" s="1897"/>
      <c r="CH44" s="1897"/>
      <c r="CI44" s="1897"/>
      <c r="CJ44" s="1897"/>
      <c r="CK44" s="1897"/>
      <c r="CL44" s="1897"/>
      <c r="CM44" s="1897"/>
      <c r="CN44" s="1897"/>
      <c r="CO44" s="1897"/>
      <c r="CP44" s="1897"/>
      <c r="CQ44" s="1897"/>
      <c r="CR44" s="1897"/>
      <c r="CS44" s="1897"/>
      <c r="CT44" s="1897"/>
      <c r="CU44" s="1897"/>
      <c r="CV44" s="1897"/>
      <c r="CW44" s="1897"/>
      <c r="CX44" s="1897"/>
      <c r="CY44" s="1897"/>
      <c r="CZ44" s="1897"/>
      <c r="DA44" s="1901"/>
      <c r="DB44" s="1897"/>
      <c r="DC44" s="1897"/>
      <c r="DD44" s="1897"/>
      <c r="DE44" s="1897">
        <f>AVERAGE(DE41,DE43)*(DE40/4)</f>
        <v>2.707875</v>
      </c>
      <c r="DF44" s="1901"/>
      <c r="DG44" s="1897">
        <f>AVERAGE(DG41,DG43)*(DG40/4)</f>
        <v>2.707875</v>
      </c>
      <c r="DH44" s="1897">
        <f>AVERAGE(DH41,DH43)*(DH40/4)</f>
        <v>2.894625</v>
      </c>
      <c r="DI44" s="1897">
        <f>AVERAGE(DI41,DI43)*(DI40/4)</f>
        <v>1.5406875</v>
      </c>
      <c r="DJ44" s="1897">
        <f>AVERAGE(DJ41,DJ43)*(DJ40/4)</f>
        <v>0</v>
      </c>
      <c r="DK44" s="1901"/>
      <c r="DL44" s="1897">
        <f>AVERAGE(DL41,DL43)*(DL40/4)</f>
        <v>0</v>
      </c>
      <c r="DM44" s="1897">
        <f>AVERAGE(DM41,DM43)*(DM40/4)</f>
        <v>0</v>
      </c>
      <c r="DN44" s="2214">
        <f>AVERAGE(DN41,DN43)*(DN40/4)</f>
        <v>0</v>
      </c>
      <c r="DO44" s="1897">
        <f>AVERAGE(DO41,DO43)*(DO40/4)</f>
        <v>0</v>
      </c>
      <c r="DP44" s="1901"/>
      <c r="DQ44" s="1897">
        <f>AVERAGE(DQ41,DQ43)*(DQ40/4)</f>
        <v>0</v>
      </c>
      <c r="DR44" s="1897">
        <f>AVERAGE(DR41,DR43)*(DR40/4)</f>
        <v>0</v>
      </c>
      <c r="DS44" s="1897">
        <f>AVERAGE(DS41,DS43)*(DS40/4)</f>
        <v>0</v>
      </c>
      <c r="DT44" s="1897">
        <f>AVERAGE(DT41,DT43)*(DT40/4)</f>
        <v>0</v>
      </c>
      <c r="DU44" s="1901"/>
      <c r="DV44" s="1897">
        <f>AVERAGE(DV41,DV43)*(DV40/4)</f>
        <v>0</v>
      </c>
      <c r="DW44" s="1897">
        <f>AVERAGE(DW41,DW43)*(DW40/4)</f>
        <v>0</v>
      </c>
      <c r="DX44" s="1897">
        <f>AVERAGE(DX41,DX43)*(DX40/4)</f>
        <v>0</v>
      </c>
      <c r="DY44" s="1897">
        <f>AVERAGE(DY41,DY43)*(DY40/4)</f>
        <v>0</v>
      </c>
      <c r="DZ44" s="1901"/>
      <c r="EA44" s="1897">
        <f>AVERAGE(EA41,EA43)*(EA40/4)</f>
        <v>0</v>
      </c>
      <c r="EB44" s="1897">
        <f>AVERAGE(EB41,EB43)*(EB40/4)</f>
        <v>0</v>
      </c>
      <c r="EC44" s="1897">
        <f>AVERAGE(EC41,EC43)*(EC40/4)</f>
        <v>0</v>
      </c>
      <c r="ED44" s="1897">
        <f>AVERAGE(ED41,ED43)*(ED40/4)</f>
        <v>0</v>
      </c>
      <c r="EE44" s="1901"/>
    </row>
    <row r="45" spans="2:135" ht="12" thickBot="1">
      <c r="B45" s="322"/>
      <c r="DN45" s="2231"/>
    </row>
    <row r="46" spans="2:135" ht="12" thickBot="1">
      <c r="B46" s="754" t="s">
        <v>499</v>
      </c>
      <c r="C46" s="684"/>
      <c r="D46" s="684"/>
      <c r="E46" s="684"/>
      <c r="F46" s="684"/>
      <c r="G46" s="684"/>
      <c r="H46" s="684"/>
      <c r="I46" s="684"/>
      <c r="J46" s="684"/>
      <c r="K46" s="684"/>
      <c r="L46" s="684"/>
      <c r="M46" s="684"/>
      <c r="N46" s="684"/>
      <c r="O46" s="684"/>
      <c r="P46" s="684"/>
      <c r="Q46" s="684"/>
      <c r="R46" s="684"/>
      <c r="S46" s="684"/>
      <c r="T46" s="684"/>
      <c r="U46" s="684"/>
      <c r="V46" s="684"/>
      <c r="W46" s="684"/>
      <c r="X46" s="684"/>
      <c r="Y46" s="684"/>
      <c r="Z46" s="684"/>
      <c r="AA46" s="684"/>
      <c r="AB46" s="684"/>
      <c r="AC46" s="684"/>
      <c r="AD46" s="684"/>
      <c r="AE46" s="684"/>
      <c r="AF46" s="684"/>
      <c r="AG46" s="684"/>
      <c r="AH46" s="684"/>
      <c r="AI46" s="684"/>
      <c r="AJ46" s="684"/>
      <c r="AK46" s="684"/>
      <c r="AL46" s="684"/>
      <c r="AM46" s="684"/>
      <c r="AN46" s="684"/>
      <c r="AO46" s="684"/>
      <c r="AP46" s="684"/>
      <c r="AQ46" s="684"/>
      <c r="AR46" s="684"/>
      <c r="AS46" s="684"/>
      <c r="AT46" s="684"/>
      <c r="AU46" s="684"/>
      <c r="AV46" s="684"/>
      <c r="AW46" s="684"/>
      <c r="AX46" s="684"/>
      <c r="AY46" s="684"/>
      <c r="AZ46" s="684"/>
      <c r="BA46" s="684"/>
      <c r="BB46" s="684"/>
      <c r="BC46" s="684"/>
      <c r="BD46" s="684"/>
      <c r="BE46" s="684"/>
      <c r="BF46" s="684"/>
      <c r="BG46" s="684"/>
      <c r="BH46" s="684"/>
      <c r="BI46" s="684"/>
      <c r="BJ46" s="684"/>
      <c r="BK46" s="684"/>
      <c r="BL46" s="684"/>
      <c r="BM46" s="684"/>
      <c r="BN46" s="684"/>
      <c r="BO46" s="684"/>
      <c r="BP46" s="684"/>
      <c r="BQ46" s="684"/>
      <c r="BR46" s="684"/>
      <c r="BS46" s="684"/>
      <c r="BT46" s="684"/>
      <c r="BU46" s="684"/>
      <c r="BV46" s="684"/>
      <c r="BW46" s="684"/>
      <c r="BX46" s="684"/>
      <c r="BY46" s="684"/>
      <c r="BZ46" s="684"/>
      <c r="CA46" s="684"/>
      <c r="CB46" s="684"/>
      <c r="CC46" s="684"/>
      <c r="CD46" s="684"/>
      <c r="CE46" s="684"/>
      <c r="CF46" s="684"/>
      <c r="CG46" s="684"/>
      <c r="CH46" s="684"/>
      <c r="CI46" s="684"/>
      <c r="CJ46" s="684"/>
      <c r="CK46" s="684"/>
      <c r="CL46" s="684"/>
      <c r="CM46" s="684"/>
      <c r="CN46" s="684"/>
      <c r="CO46" s="684"/>
      <c r="CP46" s="684"/>
      <c r="CQ46" s="684"/>
      <c r="CR46" s="684"/>
      <c r="CS46" s="684"/>
      <c r="CT46" s="684"/>
      <c r="CU46" s="684"/>
      <c r="CV46" s="684"/>
      <c r="CW46" s="684"/>
      <c r="CX46" s="684"/>
      <c r="CY46" s="684"/>
      <c r="CZ46" s="684"/>
      <c r="DA46" s="684"/>
      <c r="DB46" s="684"/>
      <c r="DC46" s="684"/>
      <c r="DD46" s="684"/>
      <c r="DE46" s="684"/>
      <c r="DF46" s="684"/>
      <c r="DG46" s="684"/>
      <c r="DH46" s="684"/>
      <c r="DI46" s="684"/>
      <c r="DJ46" s="684"/>
      <c r="DK46" s="684"/>
      <c r="DL46" s="684"/>
      <c r="DM46" s="684"/>
      <c r="DN46" s="2232"/>
      <c r="DO46" s="684"/>
      <c r="DP46" s="1894"/>
      <c r="DQ46" s="684"/>
      <c r="DR46" s="684"/>
      <c r="DS46" s="684"/>
      <c r="DT46" s="684"/>
      <c r="DU46" s="1894"/>
      <c r="DV46" s="684"/>
      <c r="DW46" s="684"/>
      <c r="DX46" s="684"/>
      <c r="DY46" s="684"/>
      <c r="DZ46" s="1894"/>
      <c r="EA46" s="684"/>
      <c r="EB46" s="684"/>
      <c r="EC46" s="684"/>
      <c r="ED46" s="684"/>
      <c r="EE46" s="1894"/>
    </row>
    <row r="47" spans="2:135">
      <c r="B47" s="1902" t="s">
        <v>498</v>
      </c>
      <c r="C47" s="1903"/>
      <c r="D47" s="1903"/>
      <c r="E47" s="1903"/>
      <c r="F47" s="1903"/>
      <c r="G47" s="1903"/>
      <c r="H47" s="1903"/>
      <c r="I47" s="1903"/>
      <c r="J47" s="1903"/>
      <c r="K47" s="1903"/>
      <c r="L47" s="1903"/>
      <c r="M47" s="1903"/>
      <c r="N47" s="1903"/>
      <c r="O47" s="1903"/>
      <c r="P47" s="1903"/>
      <c r="Q47" s="1903"/>
      <c r="R47" s="1903"/>
      <c r="S47" s="1903"/>
      <c r="T47" s="1903"/>
      <c r="U47" s="1903"/>
      <c r="V47" s="1903"/>
      <c r="W47" s="1903"/>
      <c r="X47" s="1903"/>
      <c r="Y47" s="1903"/>
      <c r="Z47" s="1903"/>
      <c r="AA47" s="1903"/>
      <c r="AB47" s="1903"/>
      <c r="AC47" s="1903"/>
      <c r="AD47" s="1903"/>
      <c r="AE47" s="1903"/>
      <c r="AF47" s="1903"/>
      <c r="AG47" s="1903"/>
      <c r="AH47" s="1903"/>
      <c r="AI47" s="1903"/>
      <c r="AJ47" s="1903"/>
      <c r="AK47" s="1903"/>
      <c r="AL47" s="1903"/>
      <c r="AM47" s="1903"/>
      <c r="AN47" s="1903"/>
      <c r="AO47" s="1903"/>
      <c r="AP47" s="1903"/>
      <c r="AQ47" s="1903"/>
      <c r="AR47" s="1903"/>
      <c r="AS47" s="1903"/>
      <c r="AT47" s="1903"/>
      <c r="AU47" s="1903"/>
      <c r="AV47" s="1903"/>
      <c r="AW47" s="1903"/>
      <c r="AX47" s="1903"/>
      <c r="AY47" s="1903"/>
      <c r="AZ47" s="1903"/>
      <c r="BA47" s="1903"/>
      <c r="BB47" s="1903"/>
      <c r="BC47" s="1903"/>
      <c r="BD47" s="1903"/>
      <c r="BE47" s="1903"/>
      <c r="BF47" s="1903"/>
      <c r="BG47" s="1903"/>
      <c r="BH47" s="1903"/>
      <c r="BI47" s="1903"/>
      <c r="BJ47" s="1903"/>
      <c r="BK47" s="1903"/>
      <c r="BL47" s="1903"/>
      <c r="BM47" s="1903"/>
      <c r="BN47" s="1903"/>
      <c r="BO47" s="1903"/>
      <c r="BP47" s="1903"/>
      <c r="BQ47" s="1903"/>
      <c r="BR47" s="1903"/>
      <c r="BS47" s="1903"/>
      <c r="BT47" s="1903"/>
      <c r="BU47" s="1903"/>
      <c r="BV47" s="1903"/>
      <c r="BW47" s="1903"/>
      <c r="BX47" s="1903"/>
      <c r="BY47" s="1903"/>
      <c r="BZ47" s="1903"/>
      <c r="CA47" s="1903"/>
      <c r="CB47" s="1903"/>
      <c r="CC47" s="1903"/>
      <c r="CD47" s="1903"/>
      <c r="CE47" s="1903"/>
      <c r="CF47" s="1903"/>
      <c r="CG47" s="1903"/>
      <c r="CH47" s="1903"/>
      <c r="CI47" s="1903"/>
      <c r="CJ47" s="1903"/>
      <c r="CK47" s="1903"/>
      <c r="CL47" s="1903"/>
      <c r="CM47" s="1903"/>
      <c r="CN47" s="1903"/>
      <c r="CO47" s="1903"/>
      <c r="CP47" s="1903"/>
      <c r="CQ47" s="1903"/>
      <c r="CR47" s="1903"/>
      <c r="CS47" s="1903"/>
      <c r="CT47" s="1903"/>
      <c r="CU47" s="1903"/>
      <c r="CV47" s="1903"/>
      <c r="CW47" s="1904"/>
      <c r="CX47" s="1942"/>
      <c r="CY47" s="1942"/>
      <c r="CZ47" s="1942"/>
      <c r="DA47" s="1943"/>
      <c r="DB47" s="1942"/>
      <c r="DC47" s="1942"/>
      <c r="DD47" s="1942"/>
      <c r="DE47" s="1944">
        <v>2.35E-2</v>
      </c>
      <c r="DF47" s="1945"/>
      <c r="DG47" s="1944">
        <f>DE47</f>
        <v>2.35E-2</v>
      </c>
      <c r="DH47" s="1944">
        <f>DG47</f>
        <v>2.35E-2</v>
      </c>
      <c r="DI47" s="1944">
        <f>DH47</f>
        <v>2.35E-2</v>
      </c>
      <c r="DJ47" s="1944">
        <f>DI47</f>
        <v>2.35E-2</v>
      </c>
      <c r="DK47" s="1945"/>
      <c r="DL47" s="1944">
        <f>DJ47</f>
        <v>2.35E-2</v>
      </c>
      <c r="DM47" s="1944">
        <f>DL47</f>
        <v>2.35E-2</v>
      </c>
      <c r="DN47" s="2213">
        <f>DM47</f>
        <v>2.35E-2</v>
      </c>
      <c r="DO47" s="1944">
        <f>DN47</f>
        <v>2.35E-2</v>
      </c>
      <c r="DP47" s="1945"/>
      <c r="DQ47" s="1944">
        <f>DO47</f>
        <v>2.35E-2</v>
      </c>
      <c r="DR47" s="1944">
        <f>DQ47</f>
        <v>2.35E-2</v>
      </c>
      <c r="DS47" s="1944">
        <f>DR47</f>
        <v>2.35E-2</v>
      </c>
      <c r="DT47" s="1944">
        <f>DS47</f>
        <v>2.35E-2</v>
      </c>
      <c r="DU47" s="1945"/>
      <c r="DV47" s="1944">
        <f>DT47</f>
        <v>2.35E-2</v>
      </c>
      <c r="DW47" s="1944">
        <f>DV47</f>
        <v>2.35E-2</v>
      </c>
      <c r="DX47" s="1944">
        <f>DW47</f>
        <v>2.35E-2</v>
      </c>
      <c r="DY47" s="1944">
        <f>DX47</f>
        <v>2.35E-2</v>
      </c>
      <c r="DZ47" s="1945"/>
      <c r="EA47" s="1944">
        <f>DY47</f>
        <v>2.35E-2</v>
      </c>
      <c r="EB47" s="1944">
        <f>EA47</f>
        <v>2.35E-2</v>
      </c>
      <c r="EC47" s="1944">
        <f>EB47</f>
        <v>2.35E-2</v>
      </c>
      <c r="ED47" s="1944">
        <f>EC47</f>
        <v>2.35E-2</v>
      </c>
      <c r="EE47" s="1945"/>
    </row>
    <row r="48" spans="2:135">
      <c r="B48" s="1895" t="s">
        <v>483</v>
      </c>
      <c r="C48" s="1569"/>
      <c r="D48" s="1569"/>
      <c r="E48" s="1569"/>
      <c r="F48" s="1569"/>
      <c r="G48" s="1569"/>
      <c r="H48" s="1569"/>
      <c r="I48" s="1569"/>
      <c r="J48" s="1569"/>
      <c r="K48" s="1569"/>
      <c r="L48" s="1569"/>
      <c r="M48" s="1569"/>
      <c r="N48" s="1569"/>
      <c r="O48" s="1569"/>
      <c r="P48" s="1569"/>
      <c r="Q48" s="1569"/>
      <c r="R48" s="1569"/>
      <c r="S48" s="1569"/>
      <c r="T48" s="1569"/>
      <c r="U48" s="1569"/>
      <c r="V48" s="1569"/>
      <c r="W48" s="1569"/>
      <c r="X48" s="1569"/>
      <c r="Y48" s="1569"/>
      <c r="Z48" s="1569"/>
      <c r="AA48" s="1569"/>
      <c r="AB48" s="1569"/>
      <c r="AC48" s="1569"/>
      <c r="AD48" s="1569"/>
      <c r="AE48" s="1569"/>
      <c r="AF48" s="1569"/>
      <c r="AG48" s="1569"/>
      <c r="AH48" s="1569"/>
      <c r="AI48" s="1569"/>
      <c r="AJ48" s="1569"/>
      <c r="AK48" s="1569"/>
      <c r="AL48" s="1569"/>
      <c r="AM48" s="1569"/>
      <c r="AN48" s="1569"/>
      <c r="AO48" s="1569"/>
      <c r="AP48" s="1569"/>
      <c r="AQ48" s="1569"/>
      <c r="AR48" s="1569"/>
      <c r="AS48" s="1569"/>
      <c r="AT48" s="1569"/>
      <c r="AU48" s="1569"/>
      <c r="AV48" s="1569"/>
      <c r="AW48" s="1569"/>
      <c r="AX48" s="1569"/>
      <c r="AY48" s="1569"/>
      <c r="AZ48" s="1569"/>
      <c r="BA48" s="1569"/>
      <c r="BB48" s="1569"/>
      <c r="BC48" s="1569"/>
      <c r="BD48" s="1569"/>
      <c r="BE48" s="1569"/>
      <c r="BF48" s="1569"/>
      <c r="BG48" s="1569"/>
      <c r="BH48" s="1569"/>
      <c r="BI48" s="1569"/>
      <c r="BJ48" s="1569"/>
      <c r="BK48" s="1569"/>
      <c r="BL48" s="1569"/>
      <c r="BM48" s="1569"/>
      <c r="BN48" s="1569"/>
      <c r="BO48" s="1569"/>
      <c r="BP48" s="1569"/>
      <c r="BQ48" s="1569"/>
      <c r="BR48" s="1569"/>
      <c r="BS48" s="1569"/>
      <c r="BT48" s="1569"/>
      <c r="BU48" s="1569"/>
      <c r="BV48" s="1569"/>
      <c r="BW48" s="1569"/>
      <c r="BX48" s="1569"/>
      <c r="BY48" s="1569"/>
      <c r="BZ48" s="1569"/>
      <c r="CA48" s="1569"/>
      <c r="CB48" s="1569"/>
      <c r="CC48" s="1569"/>
      <c r="CD48" s="1569"/>
      <c r="CE48" s="1569"/>
      <c r="CF48" s="1569"/>
      <c r="CG48" s="1569"/>
      <c r="CH48" s="1569"/>
      <c r="CI48" s="1569"/>
      <c r="CJ48" s="1569"/>
      <c r="CK48" s="1569"/>
      <c r="CL48" s="1569"/>
      <c r="CM48" s="1569"/>
      <c r="CN48" s="1569"/>
      <c r="CO48" s="1569"/>
      <c r="CP48" s="1569"/>
      <c r="CQ48" s="1569"/>
      <c r="CR48" s="1569"/>
      <c r="CS48" s="1569"/>
      <c r="CT48" s="1569"/>
      <c r="CU48" s="1569"/>
      <c r="CV48" s="1569"/>
      <c r="CW48" s="1569"/>
      <c r="CX48" s="1569"/>
      <c r="CY48" s="1569"/>
      <c r="CZ48" s="1569"/>
      <c r="DA48" s="1900"/>
      <c r="DB48" s="1569"/>
      <c r="DC48" s="1569"/>
      <c r="DD48" s="1569"/>
      <c r="DE48" s="1569">
        <f>DD50</f>
        <v>2229</v>
      </c>
      <c r="DF48" s="1900"/>
      <c r="DG48" s="1569">
        <f>DE50</f>
        <v>2229</v>
      </c>
      <c r="DH48" s="1569">
        <f>DG50</f>
        <v>2229</v>
      </c>
      <c r="DI48" s="1569">
        <f>DH50</f>
        <v>2229</v>
      </c>
      <c r="DJ48" s="1569">
        <f>DI50</f>
        <v>2229</v>
      </c>
      <c r="DK48" s="1900"/>
      <c r="DL48" s="1569">
        <f>DJ50</f>
        <v>2229</v>
      </c>
      <c r="DM48" s="1569">
        <f>DL50</f>
        <v>2229</v>
      </c>
      <c r="DN48" s="38">
        <f>DM50</f>
        <v>2229</v>
      </c>
      <c r="DO48" s="1569">
        <f>DN50</f>
        <v>1736</v>
      </c>
      <c r="DP48" s="1900"/>
      <c r="DQ48" s="1569">
        <f>DO50</f>
        <v>1736</v>
      </c>
      <c r="DR48" s="1569">
        <f>DQ50</f>
        <v>1736</v>
      </c>
      <c r="DS48" s="1569">
        <f>DR50</f>
        <v>1736</v>
      </c>
      <c r="DT48" s="1569">
        <f>DS50</f>
        <v>1736</v>
      </c>
      <c r="DU48" s="1900"/>
      <c r="DV48" s="1569">
        <f>DT50</f>
        <v>1736</v>
      </c>
      <c r="DW48" s="1569">
        <f>DV50</f>
        <v>1736</v>
      </c>
      <c r="DX48" s="1569">
        <f>DW50</f>
        <v>1736</v>
      </c>
      <c r="DY48" s="1569">
        <f>DX50</f>
        <v>1736</v>
      </c>
      <c r="DZ48" s="1900"/>
      <c r="EA48" s="1569">
        <f>DY50</f>
        <v>1736</v>
      </c>
      <c r="EB48" s="1569">
        <f>EA50</f>
        <v>1736</v>
      </c>
      <c r="EC48" s="1569">
        <f>EB50</f>
        <v>1736</v>
      </c>
      <c r="ED48" s="1569">
        <f>EC50</f>
        <v>1736</v>
      </c>
      <c r="EE48" s="1900"/>
    </row>
    <row r="49" spans="2:135">
      <c r="B49" s="1895" t="s">
        <v>484</v>
      </c>
      <c r="C49" s="1569"/>
      <c r="D49" s="1569"/>
      <c r="E49" s="1569"/>
      <c r="F49" s="1569"/>
      <c r="G49" s="1569"/>
      <c r="H49" s="1569"/>
      <c r="I49" s="1569"/>
      <c r="J49" s="1569"/>
      <c r="K49" s="1569"/>
      <c r="L49" s="1569"/>
      <c r="M49" s="1569"/>
      <c r="N49" s="1569"/>
      <c r="O49" s="1569"/>
      <c r="P49" s="1569"/>
      <c r="Q49" s="1569"/>
      <c r="R49" s="1569"/>
      <c r="S49" s="1569"/>
      <c r="T49" s="1569"/>
      <c r="U49" s="1569"/>
      <c r="V49" s="1569"/>
      <c r="W49" s="1569"/>
      <c r="X49" s="1569"/>
      <c r="Y49" s="1569"/>
      <c r="Z49" s="1569"/>
      <c r="AA49" s="1569"/>
      <c r="AB49" s="1569"/>
      <c r="AC49" s="1569"/>
      <c r="AD49" s="1569"/>
      <c r="AE49" s="1569"/>
      <c r="AF49" s="1569"/>
      <c r="AG49" s="1569"/>
      <c r="AH49" s="1569"/>
      <c r="AI49" s="1569"/>
      <c r="AJ49" s="1569"/>
      <c r="AK49" s="1569"/>
      <c r="AL49" s="1569"/>
      <c r="AM49" s="1569"/>
      <c r="AN49" s="1569"/>
      <c r="AO49" s="1569"/>
      <c r="AP49" s="1569"/>
      <c r="AQ49" s="1569"/>
      <c r="AR49" s="1569"/>
      <c r="AS49" s="1569"/>
      <c r="AT49" s="1569"/>
      <c r="AU49" s="1569"/>
      <c r="AV49" s="1569"/>
      <c r="AW49" s="1569"/>
      <c r="AX49" s="1569"/>
      <c r="AY49" s="1569"/>
      <c r="AZ49" s="1569"/>
      <c r="BA49" s="1569"/>
      <c r="BB49" s="1569"/>
      <c r="BC49" s="1569"/>
      <c r="BD49" s="1569"/>
      <c r="BE49" s="1569"/>
      <c r="BF49" s="1569"/>
      <c r="BG49" s="1569"/>
      <c r="BH49" s="1569"/>
      <c r="BI49" s="1569"/>
      <c r="BJ49" s="1569"/>
      <c r="BK49" s="1569"/>
      <c r="BL49" s="1569"/>
      <c r="BM49" s="1569"/>
      <c r="BN49" s="1569"/>
      <c r="BO49" s="1569"/>
      <c r="BP49" s="1569"/>
      <c r="BQ49" s="1569"/>
      <c r="BR49" s="1569"/>
      <c r="BS49" s="1569"/>
      <c r="BT49" s="1569"/>
      <c r="BU49" s="1569"/>
      <c r="BV49" s="1569"/>
      <c r="BW49" s="1569"/>
      <c r="BX49" s="1569"/>
      <c r="BY49" s="1569"/>
      <c r="BZ49" s="1569"/>
      <c r="CA49" s="1569"/>
      <c r="CB49" s="1569"/>
      <c r="CC49" s="1569"/>
      <c r="CD49" s="1569"/>
      <c r="CE49" s="1569"/>
      <c r="CF49" s="1569"/>
      <c r="CG49" s="1569"/>
      <c r="CH49" s="1569"/>
      <c r="CI49" s="1569"/>
      <c r="CJ49" s="1569"/>
      <c r="CK49" s="1569"/>
      <c r="CL49" s="1569"/>
      <c r="CM49" s="1569"/>
      <c r="CN49" s="1569"/>
      <c r="CO49" s="1569"/>
      <c r="CP49" s="1569"/>
      <c r="CQ49" s="1569"/>
      <c r="CR49" s="1569"/>
      <c r="CS49" s="1569"/>
      <c r="CT49" s="1569"/>
      <c r="CU49" s="1569"/>
      <c r="CV49" s="1569"/>
      <c r="CW49" s="1569"/>
      <c r="CX49" s="1569"/>
      <c r="CY49" s="1569"/>
      <c r="CZ49" s="1569"/>
      <c r="DA49" s="1900"/>
      <c r="DB49" s="1569"/>
      <c r="DC49" s="1569"/>
      <c r="DD49" s="1569"/>
      <c r="DE49" s="1569"/>
      <c r="DF49" s="1900"/>
      <c r="DG49" s="1569">
        <v>0</v>
      </c>
      <c r="DH49" s="1569">
        <v>0</v>
      </c>
      <c r="DI49" s="1569">
        <v>0</v>
      </c>
      <c r="DJ49" s="1569">
        <v>0</v>
      </c>
      <c r="DK49" s="1900"/>
      <c r="DL49" s="1569"/>
      <c r="DM49" s="1569"/>
      <c r="DN49" s="38"/>
      <c r="DO49" s="1569"/>
      <c r="DP49" s="1900"/>
      <c r="DQ49" s="1569"/>
      <c r="DR49" s="1569"/>
      <c r="DS49" s="1569"/>
      <c r="DT49" s="1569"/>
      <c r="DU49" s="1900"/>
      <c r="DV49" s="1569"/>
      <c r="DW49" s="1569"/>
      <c r="DX49" s="1569"/>
      <c r="DY49" s="1569"/>
      <c r="DZ49" s="1900"/>
      <c r="EA49" s="1569"/>
      <c r="EB49" s="1569"/>
      <c r="EC49" s="1569"/>
      <c r="ED49" s="1569"/>
      <c r="EE49" s="1900"/>
    </row>
    <row r="50" spans="2:135">
      <c r="B50" s="1895" t="s">
        <v>485</v>
      </c>
      <c r="C50" s="1569"/>
      <c r="D50" s="1569"/>
      <c r="E50" s="1569"/>
      <c r="F50" s="1569"/>
      <c r="G50" s="1569"/>
      <c r="H50" s="1569"/>
      <c r="I50" s="1569"/>
      <c r="J50" s="1569"/>
      <c r="K50" s="1569"/>
      <c r="L50" s="1569"/>
      <c r="M50" s="1569"/>
      <c r="N50" s="1569"/>
      <c r="O50" s="1569"/>
      <c r="P50" s="1569"/>
      <c r="Q50" s="1569"/>
      <c r="R50" s="1569"/>
      <c r="S50" s="1569"/>
      <c r="T50" s="1569"/>
      <c r="U50" s="1569"/>
      <c r="V50" s="1569"/>
      <c r="W50" s="1569"/>
      <c r="X50" s="1569"/>
      <c r="Y50" s="1569"/>
      <c r="Z50" s="1569"/>
      <c r="AA50" s="1569"/>
      <c r="AB50" s="1569"/>
      <c r="AC50" s="1569"/>
      <c r="AD50" s="1569"/>
      <c r="AE50" s="1569"/>
      <c r="AF50" s="1569"/>
      <c r="AG50" s="1569"/>
      <c r="AH50" s="1569"/>
      <c r="AI50" s="1569"/>
      <c r="AJ50" s="1569"/>
      <c r="AK50" s="1569"/>
      <c r="AL50" s="1569"/>
      <c r="AM50" s="1569"/>
      <c r="AN50" s="1569"/>
      <c r="AO50" s="1569"/>
      <c r="AP50" s="1569"/>
      <c r="AQ50" s="1569"/>
      <c r="AR50" s="1569"/>
      <c r="AS50" s="1569"/>
      <c r="AT50" s="1569"/>
      <c r="AU50" s="1569"/>
      <c r="AV50" s="1569"/>
      <c r="AW50" s="1569"/>
      <c r="AX50" s="1569"/>
      <c r="AY50" s="1569"/>
      <c r="AZ50" s="1569"/>
      <c r="BA50" s="1569"/>
      <c r="BB50" s="1569"/>
      <c r="BC50" s="1569"/>
      <c r="BD50" s="1569"/>
      <c r="BE50" s="1569"/>
      <c r="BF50" s="1569"/>
      <c r="BG50" s="1569"/>
      <c r="BH50" s="1569"/>
      <c r="BI50" s="1569"/>
      <c r="BJ50" s="1569"/>
      <c r="BK50" s="1569"/>
      <c r="BL50" s="1569"/>
      <c r="BM50" s="1569"/>
      <c r="BN50" s="1569"/>
      <c r="BO50" s="1569"/>
      <c r="BP50" s="1569"/>
      <c r="BQ50" s="1569"/>
      <c r="BR50" s="1569"/>
      <c r="BS50" s="1569"/>
      <c r="BT50" s="1569"/>
      <c r="BU50" s="1569"/>
      <c r="BV50" s="1569"/>
      <c r="BW50" s="1569"/>
      <c r="BX50" s="1569"/>
      <c r="BY50" s="1569"/>
      <c r="BZ50" s="1569"/>
      <c r="CA50" s="1569"/>
      <c r="CB50" s="1569"/>
      <c r="CC50" s="1569"/>
      <c r="CD50" s="1569"/>
      <c r="CE50" s="1569"/>
      <c r="CF50" s="1569"/>
      <c r="CG50" s="1569"/>
      <c r="CH50" s="1569"/>
      <c r="CI50" s="1569"/>
      <c r="CJ50" s="1569"/>
      <c r="CK50" s="1569"/>
      <c r="CL50" s="1569"/>
      <c r="CM50" s="1569"/>
      <c r="CN50" s="1569"/>
      <c r="CO50" s="1569"/>
      <c r="CP50" s="1569"/>
      <c r="CQ50" s="1569"/>
      <c r="CR50" s="1569"/>
      <c r="CS50" s="1569"/>
      <c r="CT50" s="1569"/>
      <c r="CU50" s="1569"/>
      <c r="CV50" s="1569"/>
      <c r="CW50" s="1569"/>
      <c r="CX50" s="1569"/>
      <c r="CY50" s="1569"/>
      <c r="CZ50" s="1569"/>
      <c r="DA50" s="1900"/>
      <c r="DB50" s="1569"/>
      <c r="DC50" s="1569"/>
      <c r="DD50" s="1569">
        <v>2229</v>
      </c>
      <c r="DE50" s="1569">
        <f>SUM(DE48:DE49)</f>
        <v>2229</v>
      </c>
      <c r="DF50" s="1900"/>
      <c r="DG50" s="1569">
        <f>SUM(DG48:DG49)</f>
        <v>2229</v>
      </c>
      <c r="DH50" s="1569">
        <f>SUM(DH48:DH49)</f>
        <v>2229</v>
      </c>
      <c r="DI50" s="1569">
        <f>SUM(DI48:DI49)</f>
        <v>2229</v>
      </c>
      <c r="DJ50" s="1569">
        <f>SUM(DJ48:DJ49)</f>
        <v>2229</v>
      </c>
      <c r="DK50" s="1900"/>
      <c r="DL50" s="1569">
        <f>SUM(DL48:DL49)</f>
        <v>2229</v>
      </c>
      <c r="DM50" s="1569">
        <f>SUM(DM48:DM49)</f>
        <v>2229</v>
      </c>
      <c r="DN50" s="38">
        <v>1736</v>
      </c>
      <c r="DO50" s="1569">
        <f>SUM(DO48:DO49)</f>
        <v>1736</v>
      </c>
      <c r="DP50" s="1900"/>
      <c r="DQ50" s="1569">
        <f>SUM(DQ48:DQ49)</f>
        <v>1736</v>
      </c>
      <c r="DR50" s="1569">
        <f>SUM(DR48:DR49)</f>
        <v>1736</v>
      </c>
      <c r="DS50" s="1569">
        <f>SUM(DS48:DS49)</f>
        <v>1736</v>
      </c>
      <c r="DT50" s="1569">
        <f>SUM(DT48:DT49)</f>
        <v>1736</v>
      </c>
      <c r="DU50" s="1900"/>
      <c r="DV50" s="1569">
        <f>SUM(DV48:DV49)</f>
        <v>1736</v>
      </c>
      <c r="DW50" s="1569">
        <f>SUM(DW48:DW49)</f>
        <v>1736</v>
      </c>
      <c r="DX50" s="1569">
        <f>SUM(DX48:DX49)</f>
        <v>1736</v>
      </c>
      <c r="DY50" s="1569">
        <f>SUM(DY48:DY49)</f>
        <v>1736</v>
      </c>
      <c r="DZ50" s="1900"/>
      <c r="EA50" s="1569">
        <f>SUM(EA48:EA49)</f>
        <v>1736</v>
      </c>
      <c r="EB50" s="1569">
        <f>SUM(EB48:EB49)</f>
        <v>1736</v>
      </c>
      <c r="EC50" s="1569">
        <f>SUM(EC48:EC49)</f>
        <v>1736</v>
      </c>
      <c r="ED50" s="1569">
        <f>SUM(ED48:ED49)</f>
        <v>1736</v>
      </c>
      <c r="EE50" s="1900"/>
    </row>
    <row r="51" spans="2:135" ht="12" thickBot="1">
      <c r="B51" s="1896" t="s">
        <v>400</v>
      </c>
      <c r="C51" s="1897"/>
      <c r="D51" s="1897"/>
      <c r="E51" s="1897"/>
      <c r="F51" s="1897"/>
      <c r="G51" s="1897"/>
      <c r="H51" s="1897"/>
      <c r="I51" s="1897"/>
      <c r="J51" s="1897"/>
      <c r="K51" s="1897"/>
      <c r="L51" s="1897"/>
      <c r="M51" s="1897"/>
      <c r="N51" s="1897"/>
      <c r="O51" s="1897"/>
      <c r="P51" s="1897"/>
      <c r="Q51" s="1897"/>
      <c r="R51" s="1897"/>
      <c r="S51" s="1897"/>
      <c r="T51" s="1897"/>
      <c r="U51" s="1897"/>
      <c r="V51" s="1897"/>
      <c r="W51" s="1897"/>
      <c r="X51" s="1897"/>
      <c r="Y51" s="1897"/>
      <c r="Z51" s="1897"/>
      <c r="AA51" s="1897"/>
      <c r="AB51" s="1897"/>
      <c r="AC51" s="1897"/>
      <c r="AD51" s="1897"/>
      <c r="AE51" s="1897"/>
      <c r="AF51" s="1897"/>
      <c r="AG51" s="1897"/>
      <c r="AH51" s="1897"/>
      <c r="AI51" s="1897"/>
      <c r="AJ51" s="1897"/>
      <c r="AK51" s="1897"/>
      <c r="AL51" s="1897"/>
      <c r="AM51" s="1897"/>
      <c r="AN51" s="1897"/>
      <c r="AO51" s="1897"/>
      <c r="AP51" s="1897"/>
      <c r="AQ51" s="1897"/>
      <c r="AR51" s="1897"/>
      <c r="AS51" s="1897"/>
      <c r="AT51" s="1897"/>
      <c r="AU51" s="1897"/>
      <c r="AV51" s="1897"/>
      <c r="AW51" s="1897"/>
      <c r="AX51" s="1897"/>
      <c r="AY51" s="1897"/>
      <c r="AZ51" s="1897"/>
      <c r="BA51" s="1897"/>
      <c r="BB51" s="1897"/>
      <c r="BC51" s="1897"/>
      <c r="BD51" s="1897"/>
      <c r="BE51" s="1897"/>
      <c r="BF51" s="1897"/>
      <c r="BG51" s="1897"/>
      <c r="BH51" s="1897"/>
      <c r="BI51" s="1897"/>
      <c r="BJ51" s="1897"/>
      <c r="BK51" s="1897"/>
      <c r="BL51" s="1897"/>
      <c r="BM51" s="1897"/>
      <c r="BN51" s="1897"/>
      <c r="BO51" s="1897"/>
      <c r="BP51" s="1897"/>
      <c r="BQ51" s="1897"/>
      <c r="BR51" s="1897"/>
      <c r="BS51" s="1897"/>
      <c r="BT51" s="1897"/>
      <c r="BU51" s="1897"/>
      <c r="BV51" s="1897"/>
      <c r="BW51" s="1897"/>
      <c r="BX51" s="1897"/>
      <c r="BY51" s="1897"/>
      <c r="BZ51" s="1897"/>
      <c r="CA51" s="1897"/>
      <c r="CB51" s="1897"/>
      <c r="CC51" s="1897"/>
      <c r="CD51" s="1897"/>
      <c r="CE51" s="1897"/>
      <c r="CF51" s="1897"/>
      <c r="CG51" s="1897"/>
      <c r="CH51" s="1897"/>
      <c r="CI51" s="1897"/>
      <c r="CJ51" s="1897"/>
      <c r="CK51" s="1897"/>
      <c r="CL51" s="1897"/>
      <c r="CM51" s="1897"/>
      <c r="CN51" s="1897"/>
      <c r="CO51" s="1897"/>
      <c r="CP51" s="1897"/>
      <c r="CQ51" s="1897"/>
      <c r="CR51" s="1897"/>
      <c r="CS51" s="1897"/>
      <c r="CT51" s="1897"/>
      <c r="CU51" s="1897"/>
      <c r="CV51" s="1897"/>
      <c r="CW51" s="1897"/>
      <c r="CX51" s="1897"/>
      <c r="CY51" s="1897"/>
      <c r="CZ51" s="1897"/>
      <c r="DA51" s="1901"/>
      <c r="DB51" s="1897"/>
      <c r="DC51" s="1897"/>
      <c r="DD51" s="1897"/>
      <c r="DE51" s="1897">
        <f>AVERAGE(DE48,DE50)*(DE47/4)</f>
        <v>13.095375000000001</v>
      </c>
      <c r="DF51" s="1901"/>
      <c r="DG51" s="1897">
        <f>AVERAGE(DG48,DG50)*(DG47/4)</f>
        <v>13.095375000000001</v>
      </c>
      <c r="DH51" s="1897">
        <f>AVERAGE(DH48,DH50)*(DH47/4)</f>
        <v>13.095375000000001</v>
      </c>
      <c r="DI51" s="1897">
        <f>AVERAGE(DI48,DI50)*(DI47/4)</f>
        <v>13.095375000000001</v>
      </c>
      <c r="DJ51" s="1897">
        <f>AVERAGE(DJ48,DJ50)*(DJ47/4)</f>
        <v>13.095375000000001</v>
      </c>
      <c r="DK51" s="1901"/>
      <c r="DL51" s="1897">
        <f>AVERAGE(DL48,DL50)*(DL47/4)</f>
        <v>13.095375000000001</v>
      </c>
      <c r="DM51" s="1897">
        <f>AVERAGE(DM48,DM50)*(DM47/4)</f>
        <v>13.095375000000001</v>
      </c>
      <c r="DN51" s="2214">
        <f>AVERAGE(DN48,DN50)*(DN47/4)</f>
        <v>11.647187499999999</v>
      </c>
      <c r="DO51" s="1897">
        <f>AVERAGE(DO48,DO50)*(DO47/4)</f>
        <v>10.199</v>
      </c>
      <c r="DP51" s="1901"/>
      <c r="DQ51" s="1897">
        <f>AVERAGE(DQ48,DQ50)*(DQ47/4)</f>
        <v>10.199</v>
      </c>
      <c r="DR51" s="1897">
        <f>AVERAGE(DR48,DR50)*(DR47/4)</f>
        <v>10.199</v>
      </c>
      <c r="DS51" s="1897">
        <f>AVERAGE(DS48,DS50)*(DS47/4)</f>
        <v>10.199</v>
      </c>
      <c r="DT51" s="1897">
        <f>AVERAGE(DT48,DT50)*(DT47/4)</f>
        <v>10.199</v>
      </c>
      <c r="DU51" s="1901"/>
      <c r="DV51" s="1897">
        <f>AVERAGE(DV48,DV50)*(DV47/4)</f>
        <v>10.199</v>
      </c>
      <c r="DW51" s="1897">
        <f>AVERAGE(DW48,DW50)*(DW47/4)</f>
        <v>10.199</v>
      </c>
      <c r="DX51" s="1897">
        <f>AVERAGE(DX48,DX50)*(DX47/4)</f>
        <v>10.199</v>
      </c>
      <c r="DY51" s="1897">
        <f>AVERAGE(DY48,DY50)*(DY47/4)</f>
        <v>10.199</v>
      </c>
      <c r="DZ51" s="1901"/>
      <c r="EA51" s="1897">
        <f>AVERAGE(EA48,EA50)*(EA47/4)</f>
        <v>10.199</v>
      </c>
      <c r="EB51" s="1897">
        <f>AVERAGE(EB48,EB50)*(EB47/4)</f>
        <v>10.199</v>
      </c>
      <c r="EC51" s="1897">
        <f>AVERAGE(EC48,EC50)*(EC47/4)</f>
        <v>10.199</v>
      </c>
      <c r="ED51" s="1897">
        <f>AVERAGE(ED48,ED50)*(ED47/4)</f>
        <v>10.199</v>
      </c>
      <c r="EE51" s="1901"/>
    </row>
    <row r="52" spans="2:135" ht="12" thickBot="1">
      <c r="DN52" s="2231"/>
    </row>
    <row r="53" spans="2:135" ht="12" thickBot="1">
      <c r="B53" s="754" t="s">
        <v>500</v>
      </c>
      <c r="C53" s="684"/>
      <c r="D53" s="684"/>
      <c r="E53" s="684"/>
      <c r="F53" s="684"/>
      <c r="G53" s="684"/>
      <c r="H53" s="684"/>
      <c r="I53" s="684"/>
      <c r="J53" s="684"/>
      <c r="K53" s="684"/>
      <c r="L53" s="684"/>
      <c r="M53" s="684"/>
      <c r="N53" s="684"/>
      <c r="O53" s="684"/>
      <c r="P53" s="684"/>
      <c r="Q53" s="684"/>
      <c r="R53" s="684"/>
      <c r="S53" s="684"/>
      <c r="T53" s="684"/>
      <c r="U53" s="684"/>
      <c r="V53" s="684"/>
      <c r="W53" s="684"/>
      <c r="X53" s="684"/>
      <c r="Y53" s="684"/>
      <c r="Z53" s="684"/>
      <c r="AA53" s="684"/>
      <c r="AB53" s="684"/>
      <c r="AC53" s="684"/>
      <c r="AD53" s="684"/>
      <c r="AE53" s="684"/>
      <c r="AF53" s="684"/>
      <c r="AG53" s="684"/>
      <c r="AH53" s="684"/>
      <c r="AI53" s="684"/>
      <c r="AJ53" s="684"/>
      <c r="AK53" s="684"/>
      <c r="AL53" s="684"/>
      <c r="AM53" s="684"/>
      <c r="AN53" s="684"/>
      <c r="AO53" s="684"/>
      <c r="AP53" s="684"/>
      <c r="AQ53" s="684"/>
      <c r="AR53" s="684"/>
      <c r="AS53" s="684"/>
      <c r="AT53" s="684"/>
      <c r="AU53" s="684"/>
      <c r="AV53" s="684"/>
      <c r="AW53" s="684"/>
      <c r="AX53" s="684"/>
      <c r="AY53" s="684"/>
      <c r="AZ53" s="684"/>
      <c r="BA53" s="684"/>
      <c r="BB53" s="684"/>
      <c r="BC53" s="684"/>
      <c r="BD53" s="684"/>
      <c r="BE53" s="684"/>
      <c r="BF53" s="684"/>
      <c r="BG53" s="684"/>
      <c r="BH53" s="684"/>
      <c r="BI53" s="684"/>
      <c r="BJ53" s="684"/>
      <c r="BK53" s="684"/>
      <c r="BL53" s="684"/>
      <c r="BM53" s="684"/>
      <c r="BN53" s="684"/>
      <c r="BO53" s="684"/>
      <c r="BP53" s="684"/>
      <c r="BQ53" s="684"/>
      <c r="BR53" s="684"/>
      <c r="BS53" s="684"/>
      <c r="BT53" s="684"/>
      <c r="BU53" s="684"/>
      <c r="BV53" s="684"/>
      <c r="BW53" s="684"/>
      <c r="BX53" s="684"/>
      <c r="BY53" s="684"/>
      <c r="BZ53" s="684"/>
      <c r="CA53" s="684"/>
      <c r="CB53" s="684"/>
      <c r="CC53" s="684"/>
      <c r="CD53" s="684"/>
      <c r="CE53" s="684"/>
      <c r="CF53" s="684"/>
      <c r="CG53" s="684"/>
      <c r="CH53" s="684"/>
      <c r="CI53" s="684"/>
      <c r="CJ53" s="684"/>
      <c r="CK53" s="684"/>
      <c r="CL53" s="684"/>
      <c r="CM53" s="684"/>
      <c r="CN53" s="684"/>
      <c r="CO53" s="684"/>
      <c r="CP53" s="684"/>
      <c r="CQ53" s="684"/>
      <c r="CR53" s="684"/>
      <c r="CS53" s="684"/>
      <c r="CT53" s="684"/>
      <c r="CU53" s="684"/>
      <c r="CV53" s="684"/>
      <c r="CW53" s="684"/>
      <c r="CX53" s="684"/>
      <c r="CY53" s="684"/>
      <c r="CZ53" s="684"/>
      <c r="DA53" s="684"/>
      <c r="DB53" s="684"/>
      <c r="DC53" s="684"/>
      <c r="DD53" s="684"/>
      <c r="DE53" s="684"/>
      <c r="DF53" s="684"/>
      <c r="DG53" s="684"/>
      <c r="DH53" s="684"/>
      <c r="DI53" s="684"/>
      <c r="DJ53" s="684"/>
      <c r="DK53" s="684"/>
      <c r="DL53" s="684"/>
      <c r="DM53" s="684"/>
      <c r="DN53" s="2232"/>
      <c r="DO53" s="684"/>
      <c r="DP53" s="1894"/>
      <c r="DQ53" s="684"/>
      <c r="DR53" s="684"/>
      <c r="DS53" s="684"/>
      <c r="DT53" s="684"/>
      <c r="DU53" s="1894"/>
      <c r="DV53" s="684"/>
      <c r="DW53" s="684"/>
      <c r="DX53" s="684"/>
      <c r="DY53" s="684"/>
      <c r="DZ53" s="1894"/>
      <c r="EA53" s="684"/>
      <c r="EB53" s="684"/>
      <c r="EC53" s="684"/>
      <c r="ED53" s="684"/>
      <c r="EE53" s="1894"/>
    </row>
    <row r="54" spans="2:135">
      <c r="B54" s="1902" t="s">
        <v>498</v>
      </c>
      <c r="C54" s="1903"/>
      <c r="D54" s="1903"/>
      <c r="E54" s="1903"/>
      <c r="F54" s="1903"/>
      <c r="G54" s="1903"/>
      <c r="H54" s="1903"/>
      <c r="I54" s="1903"/>
      <c r="J54" s="1903"/>
      <c r="K54" s="1903"/>
      <c r="L54" s="1903"/>
      <c r="M54" s="1903"/>
      <c r="N54" s="1903"/>
      <c r="O54" s="1903"/>
      <c r="P54" s="1903"/>
      <c r="Q54" s="1903"/>
      <c r="R54" s="1903"/>
      <c r="S54" s="1903"/>
      <c r="T54" s="1903"/>
      <c r="U54" s="1903"/>
      <c r="V54" s="1903"/>
      <c r="W54" s="1903"/>
      <c r="X54" s="1903"/>
      <c r="Y54" s="1903"/>
      <c r="Z54" s="1903"/>
      <c r="AA54" s="1903"/>
      <c r="AB54" s="1903"/>
      <c r="AC54" s="1903"/>
      <c r="AD54" s="1903"/>
      <c r="AE54" s="1903"/>
      <c r="AF54" s="1903"/>
      <c r="AG54" s="1903"/>
      <c r="AH54" s="1903"/>
      <c r="AI54" s="1903"/>
      <c r="AJ54" s="1903"/>
      <c r="AK54" s="1903"/>
      <c r="AL54" s="1903"/>
      <c r="AM54" s="1903"/>
      <c r="AN54" s="1903"/>
      <c r="AO54" s="1903"/>
      <c r="AP54" s="1903"/>
      <c r="AQ54" s="1903"/>
      <c r="AR54" s="1903"/>
      <c r="AS54" s="1903"/>
      <c r="AT54" s="1903"/>
      <c r="AU54" s="1903"/>
      <c r="AV54" s="1903"/>
      <c r="AW54" s="1903"/>
      <c r="AX54" s="1903"/>
      <c r="AY54" s="1903"/>
      <c r="AZ54" s="1903"/>
      <c r="BA54" s="1903"/>
      <c r="BB54" s="1903"/>
      <c r="BC54" s="1903"/>
      <c r="BD54" s="1903"/>
      <c r="BE54" s="1903"/>
      <c r="BF54" s="1903"/>
      <c r="BG54" s="1903"/>
      <c r="BH54" s="1903"/>
      <c r="BI54" s="1903"/>
      <c r="BJ54" s="1903"/>
      <c r="BK54" s="1903"/>
      <c r="BL54" s="1903"/>
      <c r="BM54" s="1903"/>
      <c r="BN54" s="1903"/>
      <c r="BO54" s="1903"/>
      <c r="BP54" s="1903"/>
      <c r="BQ54" s="1903"/>
      <c r="BR54" s="1903"/>
      <c r="BS54" s="1903"/>
      <c r="BT54" s="1903"/>
      <c r="BU54" s="1903"/>
      <c r="BV54" s="1903"/>
      <c r="BW54" s="1903"/>
      <c r="BX54" s="1903"/>
      <c r="BY54" s="1903"/>
      <c r="BZ54" s="1903"/>
      <c r="CA54" s="1903"/>
      <c r="CB54" s="1903"/>
      <c r="CC54" s="1903"/>
      <c r="CD54" s="1903"/>
      <c r="CE54" s="1903"/>
      <c r="CF54" s="1903"/>
      <c r="CG54" s="1903"/>
      <c r="CH54" s="1903"/>
      <c r="CI54" s="1903"/>
      <c r="CJ54" s="1903"/>
      <c r="CK54" s="1903"/>
      <c r="CL54" s="1903"/>
      <c r="CM54" s="1903"/>
      <c r="CN54" s="1903"/>
      <c r="CO54" s="1903"/>
      <c r="CP54" s="1903"/>
      <c r="CQ54" s="1903"/>
      <c r="CR54" s="1903"/>
      <c r="CS54" s="1903"/>
      <c r="CT54" s="1903"/>
      <c r="CU54" s="1903"/>
      <c r="CV54" s="1903"/>
      <c r="CW54" s="1904">
        <v>1.7999999999999999E-2</v>
      </c>
      <c r="CX54" s="1904">
        <v>1.7999999999999999E-2</v>
      </c>
      <c r="CY54" s="1904">
        <v>1.7999999999999999E-2</v>
      </c>
      <c r="CZ54" s="1904">
        <v>1.7999999999999999E-2</v>
      </c>
      <c r="DA54" s="1941"/>
      <c r="DB54" s="1904">
        <v>1.7999999999999999E-2</v>
      </c>
      <c r="DC54" s="1904">
        <v>1.7999999999999999E-2</v>
      </c>
      <c r="DD54" s="1904">
        <v>1.7999999999999999E-2</v>
      </c>
      <c r="DE54" s="1903">
        <f>DD54</f>
        <v>1.7999999999999999E-2</v>
      </c>
      <c r="DF54" s="1899"/>
      <c r="DG54" s="1903">
        <f>DE54</f>
        <v>1.7999999999999999E-2</v>
      </c>
      <c r="DH54" s="1903">
        <f>DG54</f>
        <v>1.7999999999999999E-2</v>
      </c>
      <c r="DI54" s="1903">
        <f>DH54</f>
        <v>1.7999999999999999E-2</v>
      </c>
      <c r="DJ54" s="1903">
        <f>DI54</f>
        <v>1.7999999999999999E-2</v>
      </c>
      <c r="DK54" s="1899"/>
      <c r="DL54" s="1903">
        <f>DJ54</f>
        <v>1.7999999999999999E-2</v>
      </c>
      <c r="DM54" s="1903">
        <f>DL54</f>
        <v>1.7999999999999999E-2</v>
      </c>
      <c r="DN54" s="2215">
        <f>DM54</f>
        <v>1.7999999999999999E-2</v>
      </c>
      <c r="DO54" s="1903">
        <f>DN54</f>
        <v>1.7999999999999999E-2</v>
      </c>
      <c r="DP54" s="1899"/>
      <c r="DQ54" s="1903">
        <f>DO54</f>
        <v>1.7999999999999999E-2</v>
      </c>
      <c r="DR54" s="1903">
        <f>DQ54</f>
        <v>1.7999999999999999E-2</v>
      </c>
      <c r="DS54" s="1903">
        <f>DR54</f>
        <v>1.7999999999999999E-2</v>
      </c>
      <c r="DT54" s="1903">
        <f>DS54</f>
        <v>1.7999999999999999E-2</v>
      </c>
      <c r="DU54" s="1899"/>
      <c r="DV54" s="1903">
        <f>DT54</f>
        <v>1.7999999999999999E-2</v>
      </c>
      <c r="DW54" s="1903">
        <f>DV54</f>
        <v>1.7999999999999999E-2</v>
      </c>
      <c r="DX54" s="1903">
        <f>DW54</f>
        <v>1.7999999999999999E-2</v>
      </c>
      <c r="DY54" s="1903">
        <f>DX54</f>
        <v>1.7999999999999999E-2</v>
      </c>
      <c r="DZ54" s="1899"/>
      <c r="EA54" s="1903">
        <f>DY54</f>
        <v>1.7999999999999999E-2</v>
      </c>
      <c r="EB54" s="1903">
        <f>EA54</f>
        <v>1.7999999999999999E-2</v>
      </c>
      <c r="EC54" s="1903">
        <f>EB54</f>
        <v>1.7999999999999999E-2</v>
      </c>
      <c r="ED54" s="1903">
        <f>EC54</f>
        <v>1.7999999999999999E-2</v>
      </c>
      <c r="EE54" s="1899"/>
    </row>
    <row r="55" spans="2:135">
      <c r="B55" s="1895" t="s">
        <v>483</v>
      </c>
      <c r="C55" s="1569"/>
      <c r="D55" s="1569"/>
      <c r="E55" s="1569"/>
      <c r="F55" s="1569"/>
      <c r="G55" s="1569"/>
      <c r="H55" s="1569"/>
      <c r="I55" s="1569"/>
      <c r="J55" s="1569"/>
      <c r="K55" s="1569"/>
      <c r="L55" s="1569"/>
      <c r="M55" s="1569"/>
      <c r="N55" s="1569"/>
      <c r="O55" s="1569"/>
      <c r="P55" s="1569"/>
      <c r="Q55" s="1569"/>
      <c r="R55" s="1569"/>
      <c r="S55" s="1569"/>
      <c r="T55" s="1569"/>
      <c r="U55" s="1569"/>
      <c r="V55" s="1569"/>
      <c r="W55" s="1569"/>
      <c r="X55" s="1569"/>
      <c r="Y55" s="1569"/>
      <c r="Z55" s="1569"/>
      <c r="AA55" s="1569"/>
      <c r="AB55" s="1569"/>
      <c r="AC55" s="1569"/>
      <c r="AD55" s="1569"/>
      <c r="AE55" s="1569"/>
      <c r="AF55" s="1569"/>
      <c r="AG55" s="1569"/>
      <c r="AH55" s="1569"/>
      <c r="AI55" s="1569"/>
      <c r="AJ55" s="1569"/>
      <c r="AK55" s="1569"/>
      <c r="AL55" s="1569"/>
      <c r="AM55" s="1569"/>
      <c r="AN55" s="1569"/>
      <c r="AO55" s="1569"/>
      <c r="AP55" s="1569"/>
      <c r="AQ55" s="1569"/>
      <c r="AR55" s="1569"/>
      <c r="AS55" s="1569"/>
      <c r="AT55" s="1569"/>
      <c r="AU55" s="1569"/>
      <c r="AV55" s="1569"/>
      <c r="AW55" s="1569"/>
      <c r="AX55" s="1569"/>
      <c r="AY55" s="1569"/>
      <c r="AZ55" s="1569"/>
      <c r="BA55" s="1569"/>
      <c r="BB55" s="1569"/>
      <c r="BC55" s="1569"/>
      <c r="BD55" s="1569"/>
      <c r="BE55" s="1569"/>
      <c r="BF55" s="1569"/>
      <c r="BG55" s="1569"/>
      <c r="BH55" s="1569"/>
      <c r="BI55" s="1569"/>
      <c r="BJ55" s="1569"/>
      <c r="BK55" s="1569"/>
      <c r="BL55" s="1569"/>
      <c r="BM55" s="1569"/>
      <c r="BN55" s="1569"/>
      <c r="BO55" s="1569"/>
      <c r="BP55" s="1569"/>
      <c r="BQ55" s="1569"/>
      <c r="BR55" s="1569"/>
      <c r="BS55" s="1569"/>
      <c r="BT55" s="1569"/>
      <c r="BU55" s="1569"/>
      <c r="BV55" s="1569"/>
      <c r="BW55" s="1569"/>
      <c r="BX55" s="1569"/>
      <c r="BY55" s="1569"/>
      <c r="BZ55" s="1569"/>
      <c r="CA55" s="1569"/>
      <c r="CB55" s="1569"/>
      <c r="CC55" s="1569"/>
      <c r="CD55" s="1569"/>
      <c r="CE55" s="1569"/>
      <c r="CF55" s="1569"/>
      <c r="CG55" s="1569"/>
      <c r="CH55" s="1569"/>
      <c r="CI55" s="1569"/>
      <c r="CJ55" s="1569"/>
      <c r="CK55" s="1569"/>
      <c r="CL55" s="1569"/>
      <c r="CM55" s="1569"/>
      <c r="CN55" s="1569"/>
      <c r="CO55" s="1569"/>
      <c r="CP55" s="1569"/>
      <c r="CQ55" s="1569"/>
      <c r="CR55" s="1569"/>
      <c r="CS55" s="1569"/>
      <c r="CT55" s="1569"/>
      <c r="CU55" s="1569"/>
      <c r="CV55" s="1569"/>
      <c r="CW55" s="1569"/>
      <c r="CX55" s="1569"/>
      <c r="CY55" s="1569"/>
      <c r="CZ55" s="1569"/>
      <c r="DA55" s="1900"/>
      <c r="DB55" s="1569"/>
      <c r="DC55" s="1569"/>
      <c r="DD55" s="1569"/>
      <c r="DE55" s="1569">
        <f>DD57</f>
        <v>996</v>
      </c>
      <c r="DF55" s="1900"/>
      <c r="DG55" s="1569">
        <f>DE57</f>
        <v>0</v>
      </c>
      <c r="DH55" s="1569">
        <f>DG57</f>
        <v>0</v>
      </c>
      <c r="DI55" s="1569">
        <f>DH57</f>
        <v>0</v>
      </c>
      <c r="DJ55" s="1569">
        <f>DI57</f>
        <v>0</v>
      </c>
      <c r="DK55" s="1900"/>
      <c r="DL55" s="1569">
        <f>DJ57</f>
        <v>0</v>
      </c>
      <c r="DM55" s="1569">
        <f>DL57</f>
        <v>0</v>
      </c>
      <c r="DN55" s="38">
        <f>DM57</f>
        <v>0</v>
      </c>
      <c r="DO55" s="1569">
        <f>DN57</f>
        <v>0</v>
      </c>
      <c r="DP55" s="1900"/>
      <c r="DQ55" s="1569">
        <f>DO57</f>
        <v>0</v>
      </c>
      <c r="DR55" s="1569">
        <f>DQ57</f>
        <v>0</v>
      </c>
      <c r="DS55" s="1569">
        <f>DR57</f>
        <v>0</v>
      </c>
      <c r="DT55" s="1569">
        <f>DS57</f>
        <v>0</v>
      </c>
      <c r="DU55" s="1900"/>
      <c r="DV55" s="1569">
        <f>DT57</f>
        <v>0</v>
      </c>
      <c r="DW55" s="1569">
        <f>DV57</f>
        <v>0</v>
      </c>
      <c r="DX55" s="1569">
        <f>DW57</f>
        <v>0</v>
      </c>
      <c r="DY55" s="1569">
        <f>DX57</f>
        <v>0</v>
      </c>
      <c r="DZ55" s="1900"/>
      <c r="EA55" s="1569">
        <f>DY57</f>
        <v>0</v>
      </c>
      <c r="EB55" s="1569">
        <f>EA57</f>
        <v>0</v>
      </c>
      <c r="EC55" s="1569">
        <f>EB57</f>
        <v>0</v>
      </c>
      <c r="ED55" s="1569">
        <f>EC57</f>
        <v>0</v>
      </c>
      <c r="EE55" s="1900"/>
    </row>
    <row r="56" spans="2:135">
      <c r="B56" s="1895" t="s">
        <v>484</v>
      </c>
      <c r="C56" s="1569"/>
      <c r="D56" s="1569"/>
      <c r="E56" s="1569"/>
      <c r="F56" s="1569"/>
      <c r="G56" s="1569"/>
      <c r="H56" s="1569"/>
      <c r="I56" s="1569"/>
      <c r="J56" s="1569"/>
      <c r="K56" s="1569"/>
      <c r="L56" s="1569"/>
      <c r="M56" s="1569"/>
      <c r="N56" s="1569"/>
      <c r="O56" s="1569"/>
      <c r="P56" s="1569"/>
      <c r="Q56" s="1569"/>
      <c r="R56" s="1569"/>
      <c r="S56" s="1569"/>
      <c r="T56" s="1569"/>
      <c r="U56" s="1569"/>
      <c r="V56" s="1569"/>
      <c r="W56" s="1569"/>
      <c r="X56" s="1569"/>
      <c r="Y56" s="1569"/>
      <c r="Z56" s="1569"/>
      <c r="AA56" s="1569"/>
      <c r="AB56" s="1569"/>
      <c r="AC56" s="1569"/>
      <c r="AD56" s="1569"/>
      <c r="AE56" s="1569"/>
      <c r="AF56" s="1569"/>
      <c r="AG56" s="1569"/>
      <c r="AH56" s="1569"/>
      <c r="AI56" s="1569"/>
      <c r="AJ56" s="1569"/>
      <c r="AK56" s="1569"/>
      <c r="AL56" s="1569"/>
      <c r="AM56" s="1569"/>
      <c r="AN56" s="1569"/>
      <c r="AO56" s="1569"/>
      <c r="AP56" s="1569"/>
      <c r="AQ56" s="1569"/>
      <c r="AR56" s="1569"/>
      <c r="AS56" s="1569"/>
      <c r="AT56" s="1569"/>
      <c r="AU56" s="1569"/>
      <c r="AV56" s="1569"/>
      <c r="AW56" s="1569"/>
      <c r="AX56" s="1569"/>
      <c r="AY56" s="1569"/>
      <c r="AZ56" s="1569"/>
      <c r="BA56" s="1569"/>
      <c r="BB56" s="1569"/>
      <c r="BC56" s="1569"/>
      <c r="BD56" s="1569"/>
      <c r="BE56" s="1569"/>
      <c r="BF56" s="1569"/>
      <c r="BG56" s="1569"/>
      <c r="BH56" s="1569"/>
      <c r="BI56" s="1569"/>
      <c r="BJ56" s="1569"/>
      <c r="BK56" s="1569"/>
      <c r="BL56" s="1569"/>
      <c r="BM56" s="1569"/>
      <c r="BN56" s="1569"/>
      <c r="BO56" s="1569"/>
      <c r="BP56" s="1569"/>
      <c r="BQ56" s="1569"/>
      <c r="BR56" s="1569"/>
      <c r="BS56" s="1569"/>
      <c r="BT56" s="1569"/>
      <c r="BU56" s="1569"/>
      <c r="BV56" s="1569"/>
      <c r="BW56" s="1569"/>
      <c r="BX56" s="1569"/>
      <c r="BY56" s="1569"/>
      <c r="BZ56" s="1569"/>
      <c r="CA56" s="1569"/>
      <c r="CB56" s="1569"/>
      <c r="CC56" s="1569"/>
      <c r="CD56" s="1569"/>
      <c r="CE56" s="1569"/>
      <c r="CF56" s="1569"/>
      <c r="CG56" s="1569"/>
      <c r="CH56" s="1569"/>
      <c r="CI56" s="1569"/>
      <c r="CJ56" s="1569"/>
      <c r="CK56" s="1569"/>
      <c r="CL56" s="1569"/>
      <c r="CM56" s="1569"/>
      <c r="CN56" s="1569"/>
      <c r="CO56" s="1569"/>
      <c r="CP56" s="1569"/>
      <c r="CQ56" s="1569"/>
      <c r="CR56" s="1569"/>
      <c r="CS56" s="1569"/>
      <c r="CT56" s="1569"/>
      <c r="CU56" s="1569"/>
      <c r="CV56" s="1569"/>
      <c r="CW56" s="1569"/>
      <c r="CX56" s="1569"/>
      <c r="CY56" s="1569"/>
      <c r="CZ56" s="1569"/>
      <c r="DA56" s="1900"/>
      <c r="DB56" s="1569"/>
      <c r="DC56" s="1569"/>
      <c r="DD56" s="1569"/>
      <c r="DE56" s="1569">
        <v>-996</v>
      </c>
      <c r="DF56" s="1900"/>
      <c r="DG56" s="1569"/>
      <c r="DH56" s="1569"/>
      <c r="DI56" s="1569"/>
      <c r="DJ56" s="1569"/>
      <c r="DK56" s="1900"/>
      <c r="DL56" s="1569"/>
      <c r="DM56" s="1569"/>
      <c r="DN56" s="38"/>
      <c r="DO56" s="1569"/>
      <c r="DP56" s="1900"/>
      <c r="DQ56" s="1569"/>
      <c r="DR56" s="1569"/>
      <c r="DS56" s="1569"/>
      <c r="DT56" s="1569"/>
      <c r="DU56" s="1900"/>
      <c r="DV56" s="1569"/>
      <c r="DW56" s="1569"/>
      <c r="DX56" s="1569"/>
      <c r="DY56" s="1569"/>
      <c r="DZ56" s="1900"/>
      <c r="EA56" s="1569"/>
      <c r="EB56" s="1569"/>
      <c r="EC56" s="1569"/>
      <c r="ED56" s="1569"/>
      <c r="EE56" s="1900"/>
    </row>
    <row r="57" spans="2:135">
      <c r="B57" s="1895" t="s">
        <v>485</v>
      </c>
      <c r="C57" s="1569"/>
      <c r="D57" s="1569"/>
      <c r="E57" s="1569"/>
      <c r="F57" s="1569"/>
      <c r="G57" s="1569"/>
      <c r="H57" s="1569"/>
      <c r="I57" s="1569"/>
      <c r="J57" s="1569"/>
      <c r="K57" s="1569"/>
      <c r="L57" s="1569"/>
      <c r="M57" s="1569"/>
      <c r="N57" s="1569"/>
      <c r="O57" s="1569"/>
      <c r="P57" s="1569"/>
      <c r="Q57" s="1569"/>
      <c r="R57" s="1569"/>
      <c r="S57" s="1569"/>
      <c r="T57" s="1569"/>
      <c r="U57" s="1569"/>
      <c r="V57" s="1569"/>
      <c r="W57" s="1569"/>
      <c r="X57" s="1569"/>
      <c r="Y57" s="1569"/>
      <c r="Z57" s="1569"/>
      <c r="AA57" s="1569"/>
      <c r="AB57" s="1569"/>
      <c r="AC57" s="1569"/>
      <c r="AD57" s="1569"/>
      <c r="AE57" s="1569"/>
      <c r="AF57" s="1569"/>
      <c r="AG57" s="1569"/>
      <c r="AH57" s="1569"/>
      <c r="AI57" s="1569"/>
      <c r="AJ57" s="1569"/>
      <c r="AK57" s="1569"/>
      <c r="AL57" s="1569"/>
      <c r="AM57" s="1569"/>
      <c r="AN57" s="1569"/>
      <c r="AO57" s="1569"/>
      <c r="AP57" s="1569"/>
      <c r="AQ57" s="1569"/>
      <c r="AR57" s="1569"/>
      <c r="AS57" s="1569"/>
      <c r="AT57" s="1569"/>
      <c r="AU57" s="1569"/>
      <c r="AV57" s="1569"/>
      <c r="AW57" s="1569"/>
      <c r="AX57" s="1569"/>
      <c r="AY57" s="1569"/>
      <c r="AZ57" s="1569"/>
      <c r="BA57" s="1569"/>
      <c r="BB57" s="1569"/>
      <c r="BC57" s="1569"/>
      <c r="BD57" s="1569"/>
      <c r="BE57" s="1569"/>
      <c r="BF57" s="1569"/>
      <c r="BG57" s="1569"/>
      <c r="BH57" s="1569"/>
      <c r="BI57" s="1569"/>
      <c r="BJ57" s="1569"/>
      <c r="BK57" s="1569"/>
      <c r="BL57" s="1569"/>
      <c r="BM57" s="1569"/>
      <c r="BN57" s="1569"/>
      <c r="BO57" s="1569"/>
      <c r="BP57" s="1569"/>
      <c r="BQ57" s="1569"/>
      <c r="BR57" s="1569"/>
      <c r="BS57" s="1569"/>
      <c r="BT57" s="1569"/>
      <c r="BU57" s="1569"/>
      <c r="BV57" s="1569"/>
      <c r="BW57" s="1569"/>
      <c r="BX57" s="1569"/>
      <c r="BY57" s="1569"/>
      <c r="BZ57" s="1569"/>
      <c r="CA57" s="1569"/>
      <c r="CB57" s="1569"/>
      <c r="CC57" s="1569"/>
      <c r="CD57" s="1569"/>
      <c r="CE57" s="1569"/>
      <c r="CF57" s="1569"/>
      <c r="CG57" s="1569"/>
      <c r="CH57" s="1569"/>
      <c r="CI57" s="1569"/>
      <c r="CJ57" s="1569"/>
      <c r="CK57" s="1569"/>
      <c r="CL57" s="1569"/>
      <c r="CM57" s="1569"/>
      <c r="CN57" s="1569"/>
      <c r="CO57" s="1569"/>
      <c r="CP57" s="1569"/>
      <c r="CQ57" s="1569"/>
      <c r="CR57" s="1569"/>
      <c r="CS57" s="1569"/>
      <c r="CT57" s="1569"/>
      <c r="CU57" s="1569"/>
      <c r="CV57" s="1569"/>
      <c r="CW57" s="1569"/>
      <c r="CX57" s="1569">
        <v>994</v>
      </c>
      <c r="CY57" s="1569"/>
      <c r="CZ57" s="1569"/>
      <c r="DA57" s="1900"/>
      <c r="DB57" s="1569"/>
      <c r="DC57" s="1569"/>
      <c r="DD57" s="1569">
        <v>996</v>
      </c>
      <c r="DE57" s="1569">
        <f>SUM(DE55:DE56)</f>
        <v>0</v>
      </c>
      <c r="DF57" s="1900"/>
      <c r="DG57" s="1569">
        <f>SUM(DG55:DG56)</f>
        <v>0</v>
      </c>
      <c r="DH57" s="1569">
        <f>SUM(DH55:DH56)</f>
        <v>0</v>
      </c>
      <c r="DI57" s="1569">
        <f>SUM(DI55:DI56)</f>
        <v>0</v>
      </c>
      <c r="DJ57" s="1569">
        <f>SUM(DJ55:DJ56)</f>
        <v>0</v>
      </c>
      <c r="DK57" s="1900"/>
      <c r="DL57" s="1569">
        <f>SUM(DL55:DL56)</f>
        <v>0</v>
      </c>
      <c r="DM57" s="1569">
        <f>SUM(DM55:DM56)</f>
        <v>0</v>
      </c>
      <c r="DN57" s="38">
        <f>SUM(DN55:DN56)</f>
        <v>0</v>
      </c>
      <c r="DO57" s="1569">
        <f>SUM(DO55:DO56)</f>
        <v>0</v>
      </c>
      <c r="DP57" s="1900"/>
      <c r="DQ57" s="1569">
        <f>SUM(DQ55:DQ56)</f>
        <v>0</v>
      </c>
      <c r="DR57" s="1569">
        <f>SUM(DR55:DR56)</f>
        <v>0</v>
      </c>
      <c r="DS57" s="1569">
        <f>SUM(DS55:DS56)</f>
        <v>0</v>
      </c>
      <c r="DT57" s="1569">
        <f>SUM(DT55:DT56)</f>
        <v>0</v>
      </c>
      <c r="DU57" s="1900"/>
      <c r="DV57" s="1569">
        <f>SUM(DV55:DV56)</f>
        <v>0</v>
      </c>
      <c r="DW57" s="1569">
        <f>SUM(DW55:DW56)</f>
        <v>0</v>
      </c>
      <c r="DX57" s="1569">
        <f>SUM(DX55:DX56)</f>
        <v>0</v>
      </c>
      <c r="DY57" s="1569">
        <f>SUM(DY55:DY56)</f>
        <v>0</v>
      </c>
      <c r="DZ57" s="1900"/>
      <c r="EA57" s="1569">
        <f>SUM(EA55:EA56)</f>
        <v>0</v>
      </c>
      <c r="EB57" s="1569">
        <f>SUM(EB55:EB56)</f>
        <v>0</v>
      </c>
      <c r="EC57" s="1569">
        <f>SUM(EC55:EC56)</f>
        <v>0</v>
      </c>
      <c r="ED57" s="1569">
        <f>SUM(ED55:ED56)</f>
        <v>0</v>
      </c>
      <c r="EE57" s="1900"/>
    </row>
    <row r="58" spans="2:135" ht="12" thickBot="1">
      <c r="B58" s="1896" t="s">
        <v>400</v>
      </c>
      <c r="C58" s="1897"/>
      <c r="D58" s="1897"/>
      <c r="E58" s="1897"/>
      <c r="F58" s="1897"/>
      <c r="G58" s="1897"/>
      <c r="H58" s="1897"/>
      <c r="I58" s="1897"/>
      <c r="J58" s="1897"/>
      <c r="K58" s="1897"/>
      <c r="L58" s="1897"/>
      <c r="M58" s="1897"/>
      <c r="N58" s="1897"/>
      <c r="O58" s="1897"/>
      <c r="P58" s="1897"/>
      <c r="Q58" s="1897"/>
      <c r="R58" s="1897"/>
      <c r="S58" s="1897"/>
      <c r="T58" s="1897"/>
      <c r="U58" s="1897"/>
      <c r="V58" s="1897"/>
      <c r="W58" s="1897"/>
      <c r="X58" s="1897"/>
      <c r="Y58" s="1897"/>
      <c r="Z58" s="1897"/>
      <c r="AA58" s="1897"/>
      <c r="AB58" s="1897"/>
      <c r="AC58" s="1897"/>
      <c r="AD58" s="1897"/>
      <c r="AE58" s="1897"/>
      <c r="AF58" s="1897"/>
      <c r="AG58" s="1897"/>
      <c r="AH58" s="1897"/>
      <c r="AI58" s="1897"/>
      <c r="AJ58" s="1897"/>
      <c r="AK58" s="1897"/>
      <c r="AL58" s="1897"/>
      <c r="AM58" s="1897"/>
      <c r="AN58" s="1897"/>
      <c r="AO58" s="1897"/>
      <c r="AP58" s="1897"/>
      <c r="AQ58" s="1897"/>
      <c r="AR58" s="1897"/>
      <c r="AS58" s="1897"/>
      <c r="AT58" s="1897"/>
      <c r="AU58" s="1897"/>
      <c r="AV58" s="1897"/>
      <c r="AW58" s="1897"/>
      <c r="AX58" s="1897"/>
      <c r="AY58" s="1897"/>
      <c r="AZ58" s="1897"/>
      <c r="BA58" s="1897"/>
      <c r="BB58" s="1897"/>
      <c r="BC58" s="1897"/>
      <c r="BD58" s="1897"/>
      <c r="BE58" s="1897"/>
      <c r="BF58" s="1897"/>
      <c r="BG58" s="1897"/>
      <c r="BH58" s="1897"/>
      <c r="BI58" s="1897"/>
      <c r="BJ58" s="1897"/>
      <c r="BK58" s="1897"/>
      <c r="BL58" s="1897"/>
      <c r="BM58" s="1897"/>
      <c r="BN58" s="1897"/>
      <c r="BO58" s="1897"/>
      <c r="BP58" s="1897"/>
      <c r="BQ58" s="1897"/>
      <c r="BR58" s="1897"/>
      <c r="BS58" s="1897"/>
      <c r="BT58" s="1897"/>
      <c r="BU58" s="1897"/>
      <c r="BV58" s="1897"/>
      <c r="BW58" s="1897"/>
      <c r="BX58" s="1897"/>
      <c r="BY58" s="1897"/>
      <c r="BZ58" s="1897"/>
      <c r="CA58" s="1897"/>
      <c r="CB58" s="1897"/>
      <c r="CC58" s="1897"/>
      <c r="CD58" s="1897"/>
      <c r="CE58" s="1897"/>
      <c r="CF58" s="1897"/>
      <c r="CG58" s="1897"/>
      <c r="CH58" s="1897"/>
      <c r="CI58" s="1897"/>
      <c r="CJ58" s="1897"/>
      <c r="CK58" s="1897"/>
      <c r="CL58" s="1897"/>
      <c r="CM58" s="1897"/>
      <c r="CN58" s="1897"/>
      <c r="CO58" s="1897"/>
      <c r="CP58" s="1897"/>
      <c r="CQ58" s="1897"/>
      <c r="CR58" s="1897"/>
      <c r="CS58" s="1897"/>
      <c r="CT58" s="1897"/>
      <c r="CU58" s="1897"/>
      <c r="CV58" s="1897"/>
      <c r="CW58" s="1897"/>
      <c r="CX58" s="1897"/>
      <c r="CY58" s="1897"/>
      <c r="CZ58" s="1897"/>
      <c r="DA58" s="1901"/>
      <c r="DB58" s="1897"/>
      <c r="DC58" s="1897"/>
      <c r="DD58" s="1897"/>
      <c r="DE58" s="1897">
        <f>AVERAGE(DE55,DE57)*(DE54/4)</f>
        <v>2.2409999999999997</v>
      </c>
      <c r="DF58" s="1901"/>
      <c r="DG58" s="1897">
        <f>AVERAGE(DG55,DG57)*(DG54/4)</f>
        <v>0</v>
      </c>
      <c r="DH58" s="1897">
        <f>AVERAGE(DH55,DH57)*(DH54/4)</f>
        <v>0</v>
      </c>
      <c r="DI58" s="1897">
        <f>AVERAGE(DI55,DI57)*(DI54/4)</f>
        <v>0</v>
      </c>
      <c r="DJ58" s="1897">
        <f>AVERAGE(DJ55,DJ57)*(DJ54/4)</f>
        <v>0</v>
      </c>
      <c r="DK58" s="1901"/>
      <c r="DL58" s="1897">
        <f>AVERAGE(DL55,DL57)*(DL54/4)</f>
        <v>0</v>
      </c>
      <c r="DM58" s="1897">
        <f>AVERAGE(DM55,DM57)*(DM54/4)</f>
        <v>0</v>
      </c>
      <c r="DN58" s="2214">
        <f>AVERAGE(DN55,DN57)*(DN54/4)</f>
        <v>0</v>
      </c>
      <c r="DO58" s="1897">
        <f>AVERAGE(DO55,DO57)*(DO54/4)</f>
        <v>0</v>
      </c>
      <c r="DP58" s="1901"/>
      <c r="DQ58" s="1897">
        <f>AVERAGE(DQ55,DQ57)*(DQ54/4)</f>
        <v>0</v>
      </c>
      <c r="DR58" s="1897">
        <f>AVERAGE(DR55,DR57)*(DR54/4)</f>
        <v>0</v>
      </c>
      <c r="DS58" s="1897">
        <f>AVERAGE(DS55,DS57)*(DS54/4)</f>
        <v>0</v>
      </c>
      <c r="DT58" s="1897">
        <f>AVERAGE(DT55,DT57)*(DT54/4)</f>
        <v>0</v>
      </c>
      <c r="DU58" s="1901"/>
      <c r="DV58" s="1897">
        <f>AVERAGE(DV55,DV57)*(DV54/4)</f>
        <v>0</v>
      </c>
      <c r="DW58" s="1897">
        <f>AVERAGE(DW55,DW57)*(DW54/4)</f>
        <v>0</v>
      </c>
      <c r="DX58" s="1897">
        <f>AVERAGE(DX55,DX57)*(DX54/4)</f>
        <v>0</v>
      </c>
      <c r="DY58" s="1897">
        <f>AVERAGE(DY55,DY57)*(DY54/4)</f>
        <v>0</v>
      </c>
      <c r="DZ58" s="1901"/>
      <c r="EA58" s="1897">
        <f>AVERAGE(EA55,EA57)*(EA54/4)</f>
        <v>0</v>
      </c>
      <c r="EB58" s="1897">
        <f>AVERAGE(EB55,EB57)*(EB54/4)</f>
        <v>0</v>
      </c>
      <c r="EC58" s="1897">
        <f>AVERAGE(EC55,EC57)*(EC54/4)</f>
        <v>0</v>
      </c>
      <c r="ED58" s="1897">
        <f>AVERAGE(ED55,ED57)*(ED54/4)</f>
        <v>0</v>
      </c>
      <c r="EE58" s="1901"/>
    </row>
    <row r="59" spans="2:135" ht="12" thickBot="1">
      <c r="DN59" s="2231"/>
    </row>
    <row r="60" spans="2:135" ht="12" thickBot="1">
      <c r="B60" s="754" t="s">
        <v>501</v>
      </c>
      <c r="C60" s="684"/>
      <c r="D60" s="684"/>
      <c r="E60" s="684"/>
      <c r="F60" s="684"/>
      <c r="G60" s="684"/>
      <c r="H60" s="684"/>
      <c r="I60" s="684"/>
      <c r="J60" s="684"/>
      <c r="K60" s="684"/>
      <c r="L60" s="684"/>
      <c r="M60" s="684"/>
      <c r="N60" s="684"/>
      <c r="O60" s="684"/>
      <c r="P60" s="684"/>
      <c r="Q60" s="684"/>
      <c r="R60" s="684"/>
      <c r="S60" s="684"/>
      <c r="T60" s="684"/>
      <c r="U60" s="684"/>
      <c r="V60" s="684"/>
      <c r="W60" s="684"/>
      <c r="X60" s="684"/>
      <c r="Y60" s="684"/>
      <c r="Z60" s="684"/>
      <c r="AA60" s="684"/>
      <c r="AB60" s="684"/>
      <c r="AC60" s="684"/>
      <c r="AD60" s="684"/>
      <c r="AE60" s="684"/>
      <c r="AF60" s="684"/>
      <c r="AG60" s="684"/>
      <c r="AH60" s="684"/>
      <c r="AI60" s="684"/>
      <c r="AJ60" s="684"/>
      <c r="AK60" s="684"/>
      <c r="AL60" s="684"/>
      <c r="AM60" s="684"/>
      <c r="AN60" s="684"/>
      <c r="AO60" s="684"/>
      <c r="AP60" s="684"/>
      <c r="AQ60" s="684"/>
      <c r="AR60" s="684"/>
      <c r="AS60" s="684"/>
      <c r="AT60" s="684"/>
      <c r="AU60" s="684"/>
      <c r="AV60" s="684"/>
      <c r="AW60" s="684"/>
      <c r="AX60" s="684"/>
      <c r="AY60" s="684"/>
      <c r="AZ60" s="684"/>
      <c r="BA60" s="684"/>
      <c r="BB60" s="684"/>
      <c r="BC60" s="684"/>
      <c r="BD60" s="684"/>
      <c r="BE60" s="684"/>
      <c r="BF60" s="684"/>
      <c r="BG60" s="684"/>
      <c r="BH60" s="684"/>
      <c r="BI60" s="684"/>
      <c r="BJ60" s="684"/>
      <c r="BK60" s="684"/>
      <c r="BL60" s="684"/>
      <c r="BM60" s="684"/>
      <c r="BN60" s="684"/>
      <c r="BO60" s="684"/>
      <c r="BP60" s="684"/>
      <c r="BQ60" s="684"/>
      <c r="BR60" s="684"/>
      <c r="BS60" s="684"/>
      <c r="BT60" s="684"/>
      <c r="BU60" s="684"/>
      <c r="BV60" s="684"/>
      <c r="BW60" s="684"/>
      <c r="BX60" s="684"/>
      <c r="BY60" s="684"/>
      <c r="BZ60" s="684"/>
      <c r="CA60" s="684"/>
      <c r="CB60" s="684"/>
      <c r="CC60" s="684"/>
      <c r="CD60" s="684"/>
      <c r="CE60" s="684"/>
      <c r="CF60" s="684"/>
      <c r="CG60" s="684"/>
      <c r="CH60" s="684"/>
      <c r="CI60" s="684"/>
      <c r="CJ60" s="684"/>
      <c r="CK60" s="684"/>
      <c r="CL60" s="684"/>
      <c r="CM60" s="684"/>
      <c r="CN60" s="684"/>
      <c r="CO60" s="684"/>
      <c r="CP60" s="684"/>
      <c r="CQ60" s="684"/>
      <c r="CR60" s="684"/>
      <c r="CS60" s="684"/>
      <c r="CT60" s="684"/>
      <c r="CU60" s="684"/>
      <c r="CV60" s="684"/>
      <c r="CW60" s="684"/>
      <c r="CX60" s="684"/>
      <c r="CY60" s="684"/>
      <c r="CZ60" s="684"/>
      <c r="DA60" s="684"/>
      <c r="DB60" s="684"/>
      <c r="DC60" s="684"/>
      <c r="DD60" s="684"/>
      <c r="DE60" s="684"/>
      <c r="DF60" s="684"/>
      <c r="DG60" s="684"/>
      <c r="DH60" s="684"/>
      <c r="DI60" s="684"/>
      <c r="DJ60" s="684"/>
      <c r="DK60" s="684"/>
      <c r="DL60" s="684"/>
      <c r="DM60" s="684"/>
      <c r="DN60" s="2232"/>
      <c r="DO60" s="684"/>
      <c r="DP60" s="1894"/>
      <c r="DQ60" s="684"/>
      <c r="DR60" s="684"/>
      <c r="DS60" s="684"/>
      <c r="DT60" s="684"/>
      <c r="DU60" s="1894"/>
      <c r="DV60" s="684"/>
      <c r="DW60" s="684"/>
      <c r="DX60" s="684"/>
      <c r="DY60" s="684"/>
      <c r="DZ60" s="1894"/>
      <c r="EA60" s="684"/>
      <c r="EB60" s="684"/>
      <c r="EC60" s="684"/>
      <c r="ED60" s="684"/>
      <c r="EE60" s="1894"/>
    </row>
    <row r="61" spans="2:135">
      <c r="B61" s="1902" t="s">
        <v>498</v>
      </c>
      <c r="C61" s="1903"/>
      <c r="D61" s="1903"/>
      <c r="E61" s="1903"/>
      <c r="F61" s="1903"/>
      <c r="G61" s="1903"/>
      <c r="H61" s="1903"/>
      <c r="I61" s="1903"/>
      <c r="J61" s="1903"/>
      <c r="K61" s="1903"/>
      <c r="L61" s="1903"/>
      <c r="M61" s="1903"/>
      <c r="N61" s="1903"/>
      <c r="O61" s="1903"/>
      <c r="P61" s="1903"/>
      <c r="Q61" s="1903"/>
      <c r="R61" s="1903"/>
      <c r="S61" s="1903"/>
      <c r="T61" s="1903"/>
      <c r="U61" s="1903"/>
      <c r="V61" s="1903"/>
      <c r="W61" s="1903"/>
      <c r="X61" s="1903"/>
      <c r="Y61" s="1903"/>
      <c r="Z61" s="1903"/>
      <c r="AA61" s="1903"/>
      <c r="AB61" s="1903"/>
      <c r="AC61" s="1903"/>
      <c r="AD61" s="1903"/>
      <c r="AE61" s="1903"/>
      <c r="AF61" s="1903"/>
      <c r="AG61" s="1903"/>
      <c r="AH61" s="1903"/>
      <c r="AI61" s="1903"/>
      <c r="AJ61" s="1903"/>
      <c r="AK61" s="1903"/>
      <c r="AL61" s="1903"/>
      <c r="AM61" s="1903"/>
      <c r="AN61" s="1903"/>
      <c r="AO61" s="1903"/>
      <c r="AP61" s="1903"/>
      <c r="AQ61" s="1903"/>
      <c r="AR61" s="1903"/>
      <c r="AS61" s="1903"/>
      <c r="AT61" s="1903"/>
      <c r="AU61" s="1903"/>
      <c r="AV61" s="1903"/>
      <c r="AW61" s="1903"/>
      <c r="AX61" s="1903"/>
      <c r="AY61" s="1903"/>
      <c r="AZ61" s="1903"/>
      <c r="BA61" s="1903"/>
      <c r="BB61" s="1903"/>
      <c r="BC61" s="1903"/>
      <c r="BD61" s="1903"/>
      <c r="BE61" s="1903"/>
      <c r="BF61" s="1903"/>
      <c r="BG61" s="1903"/>
      <c r="BH61" s="1903"/>
      <c r="BI61" s="1903"/>
      <c r="BJ61" s="1903"/>
      <c r="BK61" s="1903"/>
      <c r="BL61" s="1903"/>
      <c r="BM61" s="1903"/>
      <c r="BN61" s="1903"/>
      <c r="BO61" s="1903"/>
      <c r="BP61" s="1903"/>
      <c r="BQ61" s="1903"/>
      <c r="BR61" s="1903"/>
      <c r="BS61" s="1903"/>
      <c r="BT61" s="1903"/>
      <c r="BU61" s="1903"/>
      <c r="BV61" s="1903"/>
      <c r="BW61" s="1903"/>
      <c r="BX61" s="1903"/>
      <c r="BY61" s="1903"/>
      <c r="BZ61" s="1903"/>
      <c r="CA61" s="1903"/>
      <c r="CB61" s="1903"/>
      <c r="CC61" s="1903"/>
      <c r="CD61" s="1903"/>
      <c r="CE61" s="1903"/>
      <c r="CF61" s="1903"/>
      <c r="CG61" s="1903"/>
      <c r="CH61" s="1903"/>
      <c r="CI61" s="1903"/>
      <c r="CJ61" s="1903"/>
      <c r="CK61" s="1903"/>
      <c r="CL61" s="1903"/>
      <c r="CM61" s="1903"/>
      <c r="CN61" s="1903"/>
      <c r="CO61" s="1903"/>
      <c r="CP61" s="1903"/>
      <c r="CQ61" s="1903"/>
      <c r="CR61" s="1903"/>
      <c r="CS61" s="1903"/>
      <c r="CT61" s="1903"/>
      <c r="CU61" s="1903"/>
      <c r="CV61" s="1903"/>
      <c r="CW61" s="1904">
        <v>1.7500000000000002E-2</v>
      </c>
      <c r="CX61" s="1904">
        <v>1.7500000000000002E-2</v>
      </c>
      <c r="CY61" s="1904">
        <v>1.7500000000000002E-2</v>
      </c>
      <c r="CZ61" s="1904">
        <v>1.7500000000000002E-2</v>
      </c>
      <c r="DA61" s="1941"/>
      <c r="DB61" s="1904">
        <v>1.7500000000000002E-2</v>
      </c>
      <c r="DC61" s="1904">
        <v>1.7500000000000002E-2</v>
      </c>
      <c r="DD61" s="1904">
        <v>1.7500000000000002E-2</v>
      </c>
      <c r="DE61" s="1903">
        <f>DD61</f>
        <v>1.7500000000000002E-2</v>
      </c>
      <c r="DF61" s="1899"/>
      <c r="DG61" s="1903">
        <f>DE61</f>
        <v>1.7500000000000002E-2</v>
      </c>
      <c r="DH61" s="1903">
        <f>DG61</f>
        <v>1.7500000000000002E-2</v>
      </c>
      <c r="DI61" s="1903">
        <f>DH61</f>
        <v>1.7500000000000002E-2</v>
      </c>
      <c r="DJ61" s="1903">
        <f>DI61</f>
        <v>1.7500000000000002E-2</v>
      </c>
      <c r="DK61" s="1899"/>
      <c r="DL61" s="1903">
        <f>DJ61</f>
        <v>1.7500000000000002E-2</v>
      </c>
      <c r="DM61" s="1903">
        <f>DL61</f>
        <v>1.7500000000000002E-2</v>
      </c>
      <c r="DN61" s="2215">
        <f>DM61</f>
        <v>1.7500000000000002E-2</v>
      </c>
      <c r="DO61" s="1903">
        <f>DN61</f>
        <v>1.7500000000000002E-2</v>
      </c>
      <c r="DP61" s="1899"/>
      <c r="DQ61" s="1903">
        <f>DO61</f>
        <v>1.7500000000000002E-2</v>
      </c>
      <c r="DR61" s="1903">
        <f>DQ61</f>
        <v>1.7500000000000002E-2</v>
      </c>
      <c r="DS61" s="1903">
        <f>DR61</f>
        <v>1.7500000000000002E-2</v>
      </c>
      <c r="DT61" s="1903">
        <f>DS61</f>
        <v>1.7500000000000002E-2</v>
      </c>
      <c r="DU61" s="1899"/>
      <c r="DV61" s="1903">
        <f>DT61</f>
        <v>1.7500000000000002E-2</v>
      </c>
      <c r="DW61" s="1903">
        <f>DV61</f>
        <v>1.7500000000000002E-2</v>
      </c>
      <c r="DX61" s="1903">
        <f>DW61</f>
        <v>1.7500000000000002E-2</v>
      </c>
      <c r="DY61" s="1903">
        <f>DX61</f>
        <v>1.7500000000000002E-2</v>
      </c>
      <c r="DZ61" s="1899"/>
      <c r="EA61" s="1903">
        <f>DY61</f>
        <v>1.7500000000000002E-2</v>
      </c>
      <c r="EB61" s="1903">
        <f>EA61</f>
        <v>1.7500000000000002E-2</v>
      </c>
      <c r="EC61" s="1903">
        <f>EB61</f>
        <v>1.7500000000000002E-2</v>
      </c>
      <c r="ED61" s="1903">
        <f>EC61</f>
        <v>1.7500000000000002E-2</v>
      </c>
      <c r="EE61" s="1899"/>
    </row>
    <row r="62" spans="2:135">
      <c r="B62" s="1895" t="s">
        <v>483</v>
      </c>
      <c r="C62" s="1569"/>
      <c r="D62" s="1569"/>
      <c r="E62" s="1569"/>
      <c r="F62" s="1569"/>
      <c r="G62" s="1569"/>
      <c r="H62" s="1569"/>
      <c r="I62" s="1569"/>
      <c r="J62" s="1569"/>
      <c r="K62" s="1569"/>
      <c r="L62" s="1569"/>
      <c r="M62" s="1569"/>
      <c r="N62" s="1569"/>
      <c r="O62" s="1569"/>
      <c r="P62" s="1569"/>
      <c r="Q62" s="1569"/>
      <c r="R62" s="1569"/>
      <c r="S62" s="1569"/>
      <c r="T62" s="1569"/>
      <c r="U62" s="1569"/>
      <c r="V62" s="1569"/>
      <c r="W62" s="1569"/>
      <c r="X62" s="1569"/>
      <c r="Y62" s="1569"/>
      <c r="Z62" s="1569"/>
      <c r="AA62" s="1569"/>
      <c r="AB62" s="1569"/>
      <c r="AC62" s="1569"/>
      <c r="AD62" s="1569"/>
      <c r="AE62" s="1569"/>
      <c r="AF62" s="1569"/>
      <c r="AG62" s="1569"/>
      <c r="AH62" s="1569"/>
      <c r="AI62" s="1569"/>
      <c r="AJ62" s="1569"/>
      <c r="AK62" s="1569"/>
      <c r="AL62" s="1569"/>
      <c r="AM62" s="1569"/>
      <c r="AN62" s="1569"/>
      <c r="AO62" s="1569"/>
      <c r="AP62" s="1569"/>
      <c r="AQ62" s="1569"/>
      <c r="AR62" s="1569"/>
      <c r="AS62" s="1569"/>
      <c r="AT62" s="1569"/>
      <c r="AU62" s="1569"/>
      <c r="AV62" s="1569"/>
      <c r="AW62" s="1569"/>
      <c r="AX62" s="1569"/>
      <c r="AY62" s="1569"/>
      <c r="AZ62" s="1569"/>
      <c r="BA62" s="1569"/>
      <c r="BB62" s="1569"/>
      <c r="BC62" s="1569"/>
      <c r="BD62" s="1569"/>
      <c r="BE62" s="1569"/>
      <c r="BF62" s="1569"/>
      <c r="BG62" s="1569"/>
      <c r="BH62" s="1569"/>
      <c r="BI62" s="1569"/>
      <c r="BJ62" s="1569"/>
      <c r="BK62" s="1569"/>
      <c r="BL62" s="1569"/>
      <c r="BM62" s="1569"/>
      <c r="BN62" s="1569"/>
      <c r="BO62" s="1569"/>
      <c r="BP62" s="1569"/>
      <c r="BQ62" s="1569"/>
      <c r="BR62" s="1569"/>
      <c r="BS62" s="1569"/>
      <c r="BT62" s="1569"/>
      <c r="BU62" s="1569"/>
      <c r="BV62" s="1569"/>
      <c r="BW62" s="1569"/>
      <c r="BX62" s="1569"/>
      <c r="BY62" s="1569"/>
      <c r="BZ62" s="1569"/>
      <c r="CA62" s="1569"/>
      <c r="CB62" s="1569"/>
      <c r="CC62" s="1569"/>
      <c r="CD62" s="1569"/>
      <c r="CE62" s="1569"/>
      <c r="CF62" s="1569"/>
      <c r="CG62" s="1569"/>
      <c r="CH62" s="1569"/>
      <c r="CI62" s="1569"/>
      <c r="CJ62" s="1569"/>
      <c r="CK62" s="1569"/>
      <c r="CL62" s="1569"/>
      <c r="CM62" s="1569"/>
      <c r="CN62" s="1569"/>
      <c r="CO62" s="1569"/>
      <c r="CP62" s="1569"/>
      <c r="CQ62" s="1569"/>
      <c r="CR62" s="1569"/>
      <c r="CS62" s="1569"/>
      <c r="CT62" s="1569"/>
      <c r="CU62" s="1569"/>
      <c r="CV62" s="1569"/>
      <c r="CW62" s="1569"/>
      <c r="CX62" s="1569"/>
      <c r="CY62" s="1569"/>
      <c r="CZ62" s="1569"/>
      <c r="DA62" s="1900"/>
      <c r="DB62" s="1569"/>
      <c r="DC62" s="1569"/>
      <c r="DD62" s="1569"/>
      <c r="DE62" s="1569">
        <f>DD64</f>
        <v>746</v>
      </c>
      <c r="DF62" s="1900"/>
      <c r="DG62" s="1569">
        <f>DE64</f>
        <v>746</v>
      </c>
      <c r="DH62" s="1569">
        <f>DG64</f>
        <v>746</v>
      </c>
      <c r="DI62" s="1569">
        <f>DH64</f>
        <v>746</v>
      </c>
      <c r="DJ62" s="1569">
        <f>DI64</f>
        <v>746</v>
      </c>
      <c r="DK62" s="1900"/>
      <c r="DL62" s="1569">
        <f>DJ64</f>
        <v>746</v>
      </c>
      <c r="DM62" s="1569">
        <f>DL64</f>
        <v>746</v>
      </c>
      <c r="DN62" s="38">
        <f>DM64</f>
        <v>746</v>
      </c>
      <c r="DO62" s="1569">
        <f>DN64</f>
        <v>0</v>
      </c>
      <c r="DP62" s="1900"/>
      <c r="DQ62" s="1569">
        <f>DO64</f>
        <v>0</v>
      </c>
      <c r="DR62" s="1569">
        <f>DQ64</f>
        <v>0</v>
      </c>
      <c r="DS62" s="1569">
        <f>DR64</f>
        <v>0</v>
      </c>
      <c r="DT62" s="1569">
        <f>DS64</f>
        <v>0</v>
      </c>
      <c r="DU62" s="1900"/>
      <c r="DV62" s="1569">
        <f>DT64</f>
        <v>0</v>
      </c>
      <c r="DW62" s="1569">
        <f>DV64</f>
        <v>0</v>
      </c>
      <c r="DX62" s="1569">
        <f>DW64</f>
        <v>0</v>
      </c>
      <c r="DY62" s="1569">
        <f>DX64</f>
        <v>0</v>
      </c>
      <c r="DZ62" s="1900"/>
      <c r="EA62" s="1569">
        <f>DY64</f>
        <v>0</v>
      </c>
      <c r="EB62" s="1569">
        <f>EA64</f>
        <v>0</v>
      </c>
      <c r="EC62" s="1569">
        <f>EB64</f>
        <v>0</v>
      </c>
      <c r="ED62" s="1569">
        <f>EC64</f>
        <v>0</v>
      </c>
      <c r="EE62" s="1900"/>
    </row>
    <row r="63" spans="2:135">
      <c r="B63" s="1895" t="s">
        <v>484</v>
      </c>
      <c r="C63" s="1569"/>
      <c r="D63" s="1569"/>
      <c r="E63" s="1569"/>
      <c r="F63" s="1569"/>
      <c r="G63" s="1569"/>
      <c r="H63" s="1569"/>
      <c r="I63" s="1569"/>
      <c r="J63" s="1569"/>
      <c r="K63" s="1569"/>
      <c r="L63" s="1569"/>
      <c r="M63" s="1569"/>
      <c r="N63" s="1569"/>
      <c r="O63" s="1569"/>
      <c r="P63" s="1569"/>
      <c r="Q63" s="1569"/>
      <c r="R63" s="1569"/>
      <c r="S63" s="1569"/>
      <c r="T63" s="1569"/>
      <c r="U63" s="1569"/>
      <c r="V63" s="1569"/>
      <c r="W63" s="1569"/>
      <c r="X63" s="1569"/>
      <c r="Y63" s="1569"/>
      <c r="Z63" s="1569"/>
      <c r="AA63" s="1569"/>
      <c r="AB63" s="1569"/>
      <c r="AC63" s="1569"/>
      <c r="AD63" s="1569"/>
      <c r="AE63" s="1569"/>
      <c r="AF63" s="1569"/>
      <c r="AG63" s="1569"/>
      <c r="AH63" s="1569"/>
      <c r="AI63" s="1569"/>
      <c r="AJ63" s="1569"/>
      <c r="AK63" s="1569"/>
      <c r="AL63" s="1569"/>
      <c r="AM63" s="1569"/>
      <c r="AN63" s="1569"/>
      <c r="AO63" s="1569"/>
      <c r="AP63" s="1569"/>
      <c r="AQ63" s="1569"/>
      <c r="AR63" s="1569"/>
      <c r="AS63" s="1569"/>
      <c r="AT63" s="1569"/>
      <c r="AU63" s="1569"/>
      <c r="AV63" s="1569"/>
      <c r="AW63" s="1569"/>
      <c r="AX63" s="1569"/>
      <c r="AY63" s="1569"/>
      <c r="AZ63" s="1569"/>
      <c r="BA63" s="1569"/>
      <c r="BB63" s="1569"/>
      <c r="BC63" s="1569"/>
      <c r="BD63" s="1569"/>
      <c r="BE63" s="1569"/>
      <c r="BF63" s="1569"/>
      <c r="BG63" s="1569"/>
      <c r="BH63" s="1569"/>
      <c r="BI63" s="1569"/>
      <c r="BJ63" s="1569"/>
      <c r="BK63" s="1569"/>
      <c r="BL63" s="1569"/>
      <c r="BM63" s="1569"/>
      <c r="BN63" s="1569"/>
      <c r="BO63" s="1569"/>
      <c r="BP63" s="1569"/>
      <c r="BQ63" s="1569"/>
      <c r="BR63" s="1569"/>
      <c r="BS63" s="1569"/>
      <c r="BT63" s="1569"/>
      <c r="BU63" s="1569"/>
      <c r="BV63" s="1569"/>
      <c r="BW63" s="1569"/>
      <c r="BX63" s="1569"/>
      <c r="BY63" s="1569"/>
      <c r="BZ63" s="1569"/>
      <c r="CA63" s="1569"/>
      <c r="CB63" s="1569"/>
      <c r="CC63" s="1569"/>
      <c r="CD63" s="1569"/>
      <c r="CE63" s="1569"/>
      <c r="CF63" s="1569"/>
      <c r="CG63" s="1569"/>
      <c r="CH63" s="1569"/>
      <c r="CI63" s="1569"/>
      <c r="CJ63" s="1569"/>
      <c r="CK63" s="1569"/>
      <c r="CL63" s="1569"/>
      <c r="CM63" s="1569"/>
      <c r="CN63" s="1569"/>
      <c r="CO63" s="1569"/>
      <c r="CP63" s="1569"/>
      <c r="CQ63" s="1569"/>
      <c r="CR63" s="1569"/>
      <c r="CS63" s="1569"/>
      <c r="CT63" s="1569"/>
      <c r="CU63" s="1569"/>
      <c r="CV63" s="1569"/>
      <c r="CW63" s="1569"/>
      <c r="CX63" s="1569"/>
      <c r="CY63" s="1569"/>
      <c r="CZ63" s="1569"/>
      <c r="DA63" s="1900"/>
      <c r="DB63" s="1569"/>
      <c r="DC63" s="1569"/>
      <c r="DD63" s="1569"/>
      <c r="DE63" s="1569"/>
      <c r="DF63" s="1900"/>
      <c r="DG63" s="1569"/>
      <c r="DH63" s="1569"/>
      <c r="DI63" s="1569"/>
      <c r="DJ63" s="1569"/>
      <c r="DK63" s="1900"/>
      <c r="DL63" s="1569">
        <v>0</v>
      </c>
      <c r="DM63" s="1569">
        <v>0</v>
      </c>
      <c r="DN63" s="38">
        <v>-746</v>
      </c>
      <c r="DO63" s="1569">
        <v>0</v>
      </c>
      <c r="DP63" s="1900"/>
      <c r="DQ63" s="1569"/>
      <c r="DR63" s="1569"/>
      <c r="DS63" s="1569"/>
      <c r="DT63" s="1569">
        <v>0</v>
      </c>
      <c r="DU63" s="1900"/>
      <c r="DV63" s="1569"/>
      <c r="DW63" s="1569"/>
      <c r="DX63" s="1569"/>
      <c r="DY63" s="1569">
        <v>0</v>
      </c>
      <c r="DZ63" s="1900"/>
      <c r="EA63" s="1569"/>
      <c r="EB63" s="1569"/>
      <c r="EC63" s="1569"/>
      <c r="ED63" s="1569">
        <v>0</v>
      </c>
      <c r="EE63" s="1900"/>
    </row>
    <row r="64" spans="2:135">
      <c r="B64" s="1895" t="s">
        <v>485</v>
      </c>
      <c r="C64" s="1569"/>
      <c r="D64" s="1569"/>
      <c r="E64" s="1569"/>
      <c r="F64" s="1569"/>
      <c r="G64" s="1569"/>
      <c r="H64" s="1569"/>
      <c r="I64" s="1569"/>
      <c r="J64" s="1569"/>
      <c r="K64" s="1569"/>
      <c r="L64" s="1569"/>
      <c r="M64" s="1569"/>
      <c r="N64" s="1569"/>
      <c r="O64" s="1569"/>
      <c r="P64" s="1569"/>
      <c r="Q64" s="1569"/>
      <c r="R64" s="1569"/>
      <c r="S64" s="1569"/>
      <c r="T64" s="1569"/>
      <c r="U64" s="1569"/>
      <c r="V64" s="1569"/>
      <c r="W64" s="1569"/>
      <c r="X64" s="1569"/>
      <c r="Y64" s="1569"/>
      <c r="Z64" s="1569"/>
      <c r="AA64" s="1569"/>
      <c r="AB64" s="1569"/>
      <c r="AC64" s="1569"/>
      <c r="AD64" s="1569"/>
      <c r="AE64" s="1569"/>
      <c r="AF64" s="1569"/>
      <c r="AG64" s="1569"/>
      <c r="AH64" s="1569"/>
      <c r="AI64" s="1569"/>
      <c r="AJ64" s="1569"/>
      <c r="AK64" s="1569"/>
      <c r="AL64" s="1569"/>
      <c r="AM64" s="1569"/>
      <c r="AN64" s="1569"/>
      <c r="AO64" s="1569"/>
      <c r="AP64" s="1569"/>
      <c r="AQ64" s="1569"/>
      <c r="AR64" s="1569"/>
      <c r="AS64" s="1569"/>
      <c r="AT64" s="1569"/>
      <c r="AU64" s="1569"/>
      <c r="AV64" s="1569"/>
      <c r="AW64" s="1569"/>
      <c r="AX64" s="1569"/>
      <c r="AY64" s="1569"/>
      <c r="AZ64" s="1569"/>
      <c r="BA64" s="1569"/>
      <c r="BB64" s="1569"/>
      <c r="BC64" s="1569"/>
      <c r="BD64" s="1569"/>
      <c r="BE64" s="1569"/>
      <c r="BF64" s="1569"/>
      <c r="BG64" s="1569"/>
      <c r="BH64" s="1569"/>
      <c r="BI64" s="1569"/>
      <c r="BJ64" s="1569"/>
      <c r="BK64" s="1569"/>
      <c r="BL64" s="1569"/>
      <c r="BM64" s="1569"/>
      <c r="BN64" s="1569"/>
      <c r="BO64" s="1569"/>
      <c r="BP64" s="1569"/>
      <c r="BQ64" s="1569"/>
      <c r="BR64" s="1569"/>
      <c r="BS64" s="1569"/>
      <c r="BT64" s="1569"/>
      <c r="BU64" s="1569"/>
      <c r="BV64" s="1569"/>
      <c r="BW64" s="1569"/>
      <c r="BX64" s="1569"/>
      <c r="BY64" s="1569"/>
      <c r="BZ64" s="1569"/>
      <c r="CA64" s="1569"/>
      <c r="CB64" s="1569"/>
      <c r="CC64" s="1569"/>
      <c r="CD64" s="1569"/>
      <c r="CE64" s="1569"/>
      <c r="CF64" s="1569"/>
      <c r="CG64" s="1569"/>
      <c r="CH64" s="1569"/>
      <c r="CI64" s="1569"/>
      <c r="CJ64" s="1569"/>
      <c r="CK64" s="1569"/>
      <c r="CL64" s="1569"/>
      <c r="CM64" s="1569"/>
      <c r="CN64" s="1569"/>
      <c r="CO64" s="1569"/>
      <c r="CP64" s="1569"/>
      <c r="CQ64" s="1569"/>
      <c r="CR64" s="1569"/>
      <c r="CS64" s="1569"/>
      <c r="CT64" s="1569"/>
      <c r="CU64" s="1569"/>
      <c r="CV64" s="1569"/>
      <c r="CW64" s="1569"/>
      <c r="CX64" s="1569"/>
      <c r="CY64" s="1569"/>
      <c r="CZ64" s="1569"/>
      <c r="DA64" s="1900"/>
      <c r="DB64" s="1569"/>
      <c r="DC64" s="1569"/>
      <c r="DD64" s="1569">
        <v>746</v>
      </c>
      <c r="DE64" s="1569">
        <f>SUM(DE62:DE63)</f>
        <v>746</v>
      </c>
      <c r="DF64" s="1900"/>
      <c r="DG64" s="1569">
        <f>SUM(DG62:DG63)</f>
        <v>746</v>
      </c>
      <c r="DH64" s="1569">
        <f>SUM(DH62:DH63)</f>
        <v>746</v>
      </c>
      <c r="DI64" s="1569">
        <f>SUM(DI62:DI63)</f>
        <v>746</v>
      </c>
      <c r="DJ64" s="1569">
        <f>SUM(DJ62:DJ63)</f>
        <v>746</v>
      </c>
      <c r="DK64" s="1900"/>
      <c r="DL64" s="1569">
        <f>SUM(DL62:DL63)</f>
        <v>746</v>
      </c>
      <c r="DM64" s="1569">
        <f>SUM(DM62:DM63)</f>
        <v>746</v>
      </c>
      <c r="DN64" s="38">
        <f>SUM(DN62:DN63)</f>
        <v>0</v>
      </c>
      <c r="DO64" s="1569">
        <f>SUM(DO62:DO63)</f>
        <v>0</v>
      </c>
      <c r="DP64" s="1900"/>
      <c r="DQ64" s="1569">
        <f>SUM(DQ62:DQ63)</f>
        <v>0</v>
      </c>
      <c r="DR64" s="1569">
        <f>SUM(DR62:DR63)</f>
        <v>0</v>
      </c>
      <c r="DS64" s="1569">
        <f>SUM(DS62:DS63)</f>
        <v>0</v>
      </c>
      <c r="DT64" s="1569">
        <f>SUM(DT62:DT63)</f>
        <v>0</v>
      </c>
      <c r="DU64" s="1900"/>
      <c r="DV64" s="1569">
        <f>SUM(DV62:DV63)</f>
        <v>0</v>
      </c>
      <c r="DW64" s="1569">
        <f>SUM(DW62:DW63)</f>
        <v>0</v>
      </c>
      <c r="DX64" s="1569">
        <f>SUM(DX62:DX63)</f>
        <v>0</v>
      </c>
      <c r="DY64" s="1569">
        <f>SUM(DY62:DY63)</f>
        <v>0</v>
      </c>
      <c r="DZ64" s="1900"/>
      <c r="EA64" s="1569">
        <f>SUM(EA62:EA63)</f>
        <v>0</v>
      </c>
      <c r="EB64" s="1569">
        <f>SUM(EB62:EB63)</f>
        <v>0</v>
      </c>
      <c r="EC64" s="1569">
        <f>SUM(EC62:EC63)</f>
        <v>0</v>
      </c>
      <c r="ED64" s="1569">
        <f>SUM(ED62:ED63)</f>
        <v>0</v>
      </c>
      <c r="EE64" s="1900"/>
    </row>
    <row r="65" spans="2:135" ht="12" thickBot="1">
      <c r="B65" s="1896" t="s">
        <v>400</v>
      </c>
      <c r="C65" s="1897"/>
      <c r="D65" s="1897"/>
      <c r="E65" s="1897"/>
      <c r="F65" s="1897"/>
      <c r="G65" s="1897"/>
      <c r="H65" s="1897"/>
      <c r="I65" s="1897"/>
      <c r="J65" s="1897"/>
      <c r="K65" s="1897"/>
      <c r="L65" s="1897"/>
      <c r="M65" s="1897"/>
      <c r="N65" s="1897"/>
      <c r="O65" s="1897"/>
      <c r="P65" s="1897"/>
      <c r="Q65" s="1897"/>
      <c r="R65" s="1897"/>
      <c r="S65" s="1897"/>
      <c r="T65" s="1897"/>
      <c r="U65" s="1897"/>
      <c r="V65" s="1897"/>
      <c r="W65" s="1897"/>
      <c r="X65" s="1897"/>
      <c r="Y65" s="1897"/>
      <c r="Z65" s="1897"/>
      <c r="AA65" s="1897"/>
      <c r="AB65" s="1897"/>
      <c r="AC65" s="1897"/>
      <c r="AD65" s="1897"/>
      <c r="AE65" s="1897"/>
      <c r="AF65" s="1897"/>
      <c r="AG65" s="1897"/>
      <c r="AH65" s="1897"/>
      <c r="AI65" s="1897"/>
      <c r="AJ65" s="1897"/>
      <c r="AK65" s="1897"/>
      <c r="AL65" s="1897"/>
      <c r="AM65" s="1897"/>
      <c r="AN65" s="1897"/>
      <c r="AO65" s="1897"/>
      <c r="AP65" s="1897"/>
      <c r="AQ65" s="1897"/>
      <c r="AR65" s="1897"/>
      <c r="AS65" s="1897"/>
      <c r="AT65" s="1897"/>
      <c r="AU65" s="1897"/>
      <c r="AV65" s="1897"/>
      <c r="AW65" s="1897"/>
      <c r="AX65" s="1897"/>
      <c r="AY65" s="1897"/>
      <c r="AZ65" s="1897"/>
      <c r="BA65" s="1897"/>
      <c r="BB65" s="1897"/>
      <c r="BC65" s="1897"/>
      <c r="BD65" s="1897"/>
      <c r="BE65" s="1897"/>
      <c r="BF65" s="1897"/>
      <c r="BG65" s="1897"/>
      <c r="BH65" s="1897"/>
      <c r="BI65" s="1897"/>
      <c r="BJ65" s="1897"/>
      <c r="BK65" s="1897"/>
      <c r="BL65" s="1897"/>
      <c r="BM65" s="1897"/>
      <c r="BN65" s="1897"/>
      <c r="BO65" s="1897"/>
      <c r="BP65" s="1897"/>
      <c r="BQ65" s="1897"/>
      <c r="BR65" s="1897"/>
      <c r="BS65" s="1897"/>
      <c r="BT65" s="1897"/>
      <c r="BU65" s="1897"/>
      <c r="BV65" s="1897"/>
      <c r="BW65" s="1897"/>
      <c r="BX65" s="1897"/>
      <c r="BY65" s="1897"/>
      <c r="BZ65" s="1897"/>
      <c r="CA65" s="1897"/>
      <c r="CB65" s="1897"/>
      <c r="CC65" s="1897"/>
      <c r="CD65" s="1897"/>
      <c r="CE65" s="1897"/>
      <c r="CF65" s="1897"/>
      <c r="CG65" s="1897"/>
      <c r="CH65" s="1897"/>
      <c r="CI65" s="1897"/>
      <c r="CJ65" s="1897"/>
      <c r="CK65" s="1897"/>
      <c r="CL65" s="1897"/>
      <c r="CM65" s="1897"/>
      <c r="CN65" s="1897"/>
      <c r="CO65" s="1897"/>
      <c r="CP65" s="1897"/>
      <c r="CQ65" s="1897"/>
      <c r="CR65" s="1897"/>
      <c r="CS65" s="1897"/>
      <c r="CT65" s="1897"/>
      <c r="CU65" s="1897"/>
      <c r="CV65" s="1897"/>
      <c r="CW65" s="1897"/>
      <c r="CX65" s="1897"/>
      <c r="CY65" s="1897"/>
      <c r="CZ65" s="1897"/>
      <c r="DA65" s="1901"/>
      <c r="DB65" s="1897"/>
      <c r="DC65" s="1897"/>
      <c r="DD65" s="1897"/>
      <c r="DE65" s="1897">
        <f>AVERAGE(DE62,DE64)*(DE61/4)</f>
        <v>3.2637500000000004</v>
      </c>
      <c r="DF65" s="1901"/>
      <c r="DG65" s="1897">
        <f>AVERAGE(DG62,DG64)*(DG61/4)</f>
        <v>3.2637500000000004</v>
      </c>
      <c r="DH65" s="1897">
        <f>AVERAGE(DH62,DH64)*(DH61/4)</f>
        <v>3.2637500000000004</v>
      </c>
      <c r="DI65" s="1897">
        <f>AVERAGE(DI62,DI64)*(DI61/4)</f>
        <v>3.2637500000000004</v>
      </c>
      <c r="DJ65" s="1897">
        <f>AVERAGE(DJ62,DJ64)*(DJ61/4)</f>
        <v>3.2637500000000004</v>
      </c>
      <c r="DK65" s="1901"/>
      <c r="DL65" s="1897">
        <f>AVERAGE(DL62,DL64)*(DL61/4)</f>
        <v>3.2637500000000004</v>
      </c>
      <c r="DM65" s="1897">
        <f>AVERAGE(DM62,DM64)*(DM61/4)</f>
        <v>3.2637500000000004</v>
      </c>
      <c r="DN65" s="2214">
        <f>AVERAGE(DN62,DN64)*(DN61/4)</f>
        <v>1.6318750000000002</v>
      </c>
      <c r="DO65" s="1897">
        <f>AVERAGE(DO62,DO64)*(DO61/4)</f>
        <v>0</v>
      </c>
      <c r="DP65" s="1901"/>
      <c r="DQ65" s="1897">
        <f>AVERAGE(DQ62,DQ64)*(DQ61/4)</f>
        <v>0</v>
      </c>
      <c r="DR65" s="1897">
        <f>AVERAGE(DR62,DR64)*(DR61/4)</f>
        <v>0</v>
      </c>
      <c r="DS65" s="1897">
        <f>AVERAGE(DS62,DS64)*(DS61/4)</f>
        <v>0</v>
      </c>
      <c r="DT65" s="1897">
        <f>AVERAGE(DT62,DT64)*(DT61/4)</f>
        <v>0</v>
      </c>
      <c r="DU65" s="1901"/>
      <c r="DV65" s="1897">
        <f>AVERAGE(DV62,DV64)*(DV61/4)</f>
        <v>0</v>
      </c>
      <c r="DW65" s="1897">
        <f>AVERAGE(DW62,DW64)*(DW61/4)</f>
        <v>0</v>
      </c>
      <c r="DX65" s="1897">
        <f>AVERAGE(DX62,DX64)*(DX61/4)</f>
        <v>0</v>
      </c>
      <c r="DY65" s="1897">
        <f>AVERAGE(DY62,DY64)*(DY61/4)</f>
        <v>0</v>
      </c>
      <c r="DZ65" s="1901"/>
      <c r="EA65" s="1897">
        <f>AVERAGE(EA62,EA64)*(EA61/4)</f>
        <v>0</v>
      </c>
      <c r="EB65" s="1897">
        <f>AVERAGE(EB62,EB64)*(EB61/4)</f>
        <v>0</v>
      </c>
      <c r="EC65" s="1897">
        <f>AVERAGE(EC62,EC64)*(EC61/4)</f>
        <v>0</v>
      </c>
      <c r="ED65" s="1897">
        <f>AVERAGE(ED62,ED64)*(ED61/4)</f>
        <v>0</v>
      </c>
      <c r="EE65" s="1901"/>
    </row>
    <row r="66" spans="2:135" ht="12" thickBot="1">
      <c r="B66" s="322"/>
      <c r="DN66" s="2231"/>
    </row>
    <row r="67" spans="2:135" ht="12" thickBot="1">
      <c r="B67" s="754" t="s">
        <v>502</v>
      </c>
      <c r="C67" s="684"/>
      <c r="D67" s="684"/>
      <c r="E67" s="684"/>
      <c r="F67" s="684"/>
      <c r="G67" s="684"/>
      <c r="H67" s="684"/>
      <c r="I67" s="684"/>
      <c r="J67" s="684"/>
      <c r="K67" s="684"/>
      <c r="L67" s="684"/>
      <c r="M67" s="684"/>
      <c r="N67" s="684"/>
      <c r="O67" s="684"/>
      <c r="P67" s="684"/>
      <c r="Q67" s="684"/>
      <c r="R67" s="684"/>
      <c r="S67" s="684"/>
      <c r="T67" s="684"/>
      <c r="U67" s="684"/>
      <c r="V67" s="684"/>
      <c r="W67" s="684"/>
      <c r="X67" s="684"/>
      <c r="Y67" s="684"/>
      <c r="Z67" s="684"/>
      <c r="AA67" s="684"/>
      <c r="AB67" s="684"/>
      <c r="AC67" s="684"/>
      <c r="AD67" s="684"/>
      <c r="AE67" s="684"/>
      <c r="AF67" s="684"/>
      <c r="AG67" s="684"/>
      <c r="AH67" s="684"/>
      <c r="AI67" s="684"/>
      <c r="AJ67" s="684"/>
      <c r="AK67" s="684"/>
      <c r="AL67" s="684"/>
      <c r="AM67" s="684"/>
      <c r="AN67" s="684"/>
      <c r="AO67" s="684"/>
      <c r="AP67" s="684"/>
      <c r="AQ67" s="684"/>
      <c r="AR67" s="684"/>
      <c r="AS67" s="684"/>
      <c r="AT67" s="684"/>
      <c r="AU67" s="684"/>
      <c r="AV67" s="684"/>
      <c r="AW67" s="684"/>
      <c r="AX67" s="684"/>
      <c r="AY67" s="684"/>
      <c r="AZ67" s="684"/>
      <c r="BA67" s="684"/>
      <c r="BB67" s="684"/>
      <c r="BC67" s="684"/>
      <c r="BD67" s="684"/>
      <c r="BE67" s="684"/>
      <c r="BF67" s="684"/>
      <c r="BG67" s="684"/>
      <c r="BH67" s="684"/>
      <c r="BI67" s="684"/>
      <c r="BJ67" s="684"/>
      <c r="BK67" s="684"/>
      <c r="BL67" s="684"/>
      <c r="BM67" s="684"/>
      <c r="BN67" s="684"/>
      <c r="BO67" s="684"/>
      <c r="BP67" s="684"/>
      <c r="BQ67" s="684"/>
      <c r="BR67" s="684"/>
      <c r="BS67" s="684"/>
      <c r="BT67" s="684"/>
      <c r="BU67" s="684"/>
      <c r="BV67" s="684"/>
      <c r="BW67" s="684"/>
      <c r="BX67" s="684"/>
      <c r="BY67" s="684"/>
      <c r="BZ67" s="684"/>
      <c r="CA67" s="684"/>
      <c r="CB67" s="684"/>
      <c r="CC67" s="684"/>
      <c r="CD67" s="684"/>
      <c r="CE67" s="684"/>
      <c r="CF67" s="684"/>
      <c r="CG67" s="684"/>
      <c r="CH67" s="684"/>
      <c r="CI67" s="684"/>
      <c r="CJ67" s="684"/>
      <c r="CK67" s="684"/>
      <c r="CL67" s="684"/>
      <c r="CM67" s="684"/>
      <c r="CN67" s="684"/>
      <c r="CO67" s="684"/>
      <c r="CP67" s="684"/>
      <c r="CQ67" s="684"/>
      <c r="CR67" s="684"/>
      <c r="CS67" s="684"/>
      <c r="CT67" s="684"/>
      <c r="CU67" s="684"/>
      <c r="CV67" s="684"/>
      <c r="CW67" s="684"/>
      <c r="CX67" s="684"/>
      <c r="CY67" s="684"/>
      <c r="CZ67" s="684"/>
      <c r="DA67" s="684"/>
      <c r="DB67" s="684"/>
      <c r="DC67" s="684"/>
      <c r="DD67" s="684"/>
      <c r="DE67" s="684"/>
      <c r="DF67" s="684"/>
      <c r="DG67" s="684"/>
      <c r="DH67" s="684"/>
      <c r="DI67" s="684"/>
      <c r="DJ67" s="684"/>
      <c r="DK67" s="684"/>
      <c r="DL67" s="684"/>
      <c r="DM67" s="684"/>
      <c r="DN67" s="2232"/>
      <c r="DO67" s="684"/>
      <c r="DP67" s="1894"/>
      <c r="DQ67" s="684"/>
      <c r="DR67" s="684"/>
      <c r="DS67" s="684"/>
      <c r="DT67" s="684"/>
      <c r="DU67" s="1894"/>
      <c r="DV67" s="684"/>
      <c r="DW67" s="684"/>
      <c r="DX67" s="684"/>
      <c r="DY67" s="684"/>
      <c r="DZ67" s="1894"/>
      <c r="EA67" s="684"/>
      <c r="EB67" s="684"/>
      <c r="EC67" s="684"/>
      <c r="ED67" s="684"/>
      <c r="EE67" s="1894"/>
    </row>
    <row r="68" spans="2:135" s="1898" customFormat="1">
      <c r="B68" s="1902" t="s">
        <v>498</v>
      </c>
      <c r="C68" s="1903"/>
      <c r="D68" s="1903"/>
      <c r="E68" s="1903"/>
      <c r="F68" s="1903"/>
      <c r="G68" s="1903"/>
      <c r="H68" s="1903"/>
      <c r="I68" s="1903"/>
      <c r="J68" s="1903"/>
      <c r="K68" s="1903"/>
      <c r="L68" s="1903"/>
      <c r="M68" s="1903"/>
      <c r="N68" s="1903"/>
      <c r="O68" s="1903"/>
      <c r="P68" s="1903"/>
      <c r="Q68" s="1903"/>
      <c r="R68" s="1903"/>
      <c r="S68" s="1903"/>
      <c r="T68" s="1903"/>
      <c r="U68" s="1903"/>
      <c r="V68" s="1903"/>
      <c r="W68" s="1903"/>
      <c r="X68" s="1903"/>
      <c r="Y68" s="1903"/>
      <c r="Z68" s="1903"/>
      <c r="AA68" s="1903"/>
      <c r="AB68" s="1903"/>
      <c r="AC68" s="1903"/>
      <c r="AD68" s="1903"/>
      <c r="AE68" s="1903"/>
      <c r="AF68" s="1903"/>
      <c r="AG68" s="1903"/>
      <c r="AH68" s="1903"/>
      <c r="AI68" s="1903"/>
      <c r="AJ68" s="1903"/>
      <c r="AK68" s="1903"/>
      <c r="AL68" s="1903"/>
      <c r="AM68" s="1903"/>
      <c r="AN68" s="1903"/>
      <c r="AO68" s="1903"/>
      <c r="AP68" s="1903"/>
      <c r="AQ68" s="1903"/>
      <c r="AR68" s="1903"/>
      <c r="AS68" s="1903"/>
      <c r="AT68" s="1903"/>
      <c r="AU68" s="1903"/>
      <c r="AV68" s="1903"/>
      <c r="AW68" s="1903"/>
      <c r="AX68" s="1903"/>
      <c r="AY68" s="1903"/>
      <c r="AZ68" s="1903"/>
      <c r="BA68" s="1903"/>
      <c r="BB68" s="1903"/>
      <c r="BC68" s="1903"/>
      <c r="BD68" s="1903"/>
      <c r="BE68" s="1903"/>
      <c r="BF68" s="1903"/>
      <c r="BG68" s="1903"/>
      <c r="BH68" s="1903"/>
      <c r="BI68" s="1903"/>
      <c r="BJ68" s="1903"/>
      <c r="BK68" s="1903"/>
      <c r="BL68" s="1903"/>
      <c r="BM68" s="1903"/>
      <c r="BN68" s="1903"/>
      <c r="BO68" s="1903"/>
      <c r="BP68" s="1903"/>
      <c r="BQ68" s="1903"/>
      <c r="BR68" s="1903"/>
      <c r="BS68" s="1903"/>
      <c r="BT68" s="1903"/>
      <c r="BU68" s="1903"/>
      <c r="BV68" s="1903"/>
      <c r="BW68" s="1903"/>
      <c r="BX68" s="1903"/>
      <c r="BY68" s="1903"/>
      <c r="BZ68" s="1903"/>
      <c r="CA68" s="1903"/>
      <c r="CB68" s="1903"/>
      <c r="CC68" s="1903"/>
      <c r="CD68" s="1903"/>
      <c r="CE68" s="1903"/>
      <c r="CF68" s="1903"/>
      <c r="CG68" s="1903"/>
      <c r="CH68" s="1903"/>
      <c r="CI68" s="1903"/>
      <c r="CJ68" s="1903"/>
      <c r="CK68" s="1903"/>
      <c r="CL68" s="1903"/>
      <c r="CM68" s="1903"/>
      <c r="CN68" s="1903"/>
      <c r="CO68" s="1903"/>
      <c r="CP68" s="1903"/>
      <c r="CQ68" s="1903"/>
      <c r="CR68" s="1903"/>
      <c r="CS68" s="1903"/>
      <c r="CT68" s="1903"/>
      <c r="CU68" s="1903"/>
      <c r="CV68" s="1903"/>
      <c r="CW68" s="1904">
        <v>5.2499999999999998E-2</v>
      </c>
      <c r="CX68" s="1904">
        <v>5.2499999999999998E-2</v>
      </c>
      <c r="CY68" s="1904">
        <v>5.2499999999999998E-2</v>
      </c>
      <c r="CZ68" s="1904">
        <v>5.2499999999999998E-2</v>
      </c>
      <c r="DA68" s="1941"/>
      <c r="DB68" s="1904">
        <v>5.2499999999999998E-2</v>
      </c>
      <c r="DC68" s="1904">
        <v>5.2499999999999998E-2</v>
      </c>
      <c r="DD68" s="1904">
        <v>5.2499999999999998E-2</v>
      </c>
      <c r="DE68" s="1903">
        <f>DD68</f>
        <v>5.2499999999999998E-2</v>
      </c>
      <c r="DF68" s="1899"/>
      <c r="DG68" s="1903">
        <f>DE68</f>
        <v>5.2499999999999998E-2</v>
      </c>
      <c r="DH68" s="1903">
        <f>DG68</f>
        <v>5.2499999999999998E-2</v>
      </c>
      <c r="DI68" s="1903">
        <f>DH68</f>
        <v>5.2499999999999998E-2</v>
      </c>
      <c r="DJ68" s="1903">
        <f>DI68</f>
        <v>5.2499999999999998E-2</v>
      </c>
      <c r="DK68" s="1899"/>
      <c r="DL68" s="1903">
        <f>DJ68</f>
        <v>5.2499999999999998E-2</v>
      </c>
      <c r="DM68" s="1903">
        <f>DL68</f>
        <v>5.2499999999999998E-2</v>
      </c>
      <c r="DN68" s="2215">
        <f>DM68</f>
        <v>5.2499999999999998E-2</v>
      </c>
      <c r="DO68" s="1903">
        <f>DN68</f>
        <v>5.2499999999999998E-2</v>
      </c>
      <c r="DP68" s="1899"/>
      <c r="DQ68" s="1903">
        <f>DO68</f>
        <v>5.2499999999999998E-2</v>
      </c>
      <c r="DR68" s="1903">
        <f>DQ68</f>
        <v>5.2499999999999998E-2</v>
      </c>
      <c r="DS68" s="1903">
        <f>DR68</f>
        <v>5.2499999999999998E-2</v>
      </c>
      <c r="DT68" s="1903">
        <f>DS68</f>
        <v>5.2499999999999998E-2</v>
      </c>
      <c r="DU68" s="1899"/>
      <c r="DV68" s="1903">
        <f>DT68</f>
        <v>5.2499999999999998E-2</v>
      </c>
      <c r="DW68" s="1903">
        <f>DV68</f>
        <v>5.2499999999999998E-2</v>
      </c>
      <c r="DX68" s="1903">
        <f>DW68</f>
        <v>5.2499999999999998E-2</v>
      </c>
      <c r="DY68" s="1903">
        <f>DX68</f>
        <v>5.2499999999999998E-2</v>
      </c>
      <c r="DZ68" s="1899"/>
      <c r="EA68" s="1903">
        <f>DY68</f>
        <v>5.2499999999999998E-2</v>
      </c>
      <c r="EB68" s="1903">
        <f>EA68</f>
        <v>5.2499999999999998E-2</v>
      </c>
      <c r="EC68" s="1903">
        <f>EB68</f>
        <v>5.2499999999999998E-2</v>
      </c>
      <c r="ED68" s="1903">
        <f>EC68</f>
        <v>5.2499999999999998E-2</v>
      </c>
      <c r="EE68" s="1899"/>
    </row>
    <row r="69" spans="2:135">
      <c r="B69" s="1895" t="s">
        <v>483</v>
      </c>
      <c r="C69" s="1569"/>
      <c r="D69" s="1569"/>
      <c r="E69" s="1569"/>
      <c r="F69" s="1569"/>
      <c r="G69" s="1569"/>
      <c r="H69" s="1569"/>
      <c r="I69" s="1569"/>
      <c r="J69" s="1569"/>
      <c r="K69" s="1569"/>
      <c r="L69" s="1569"/>
      <c r="M69" s="1569"/>
      <c r="N69" s="1569"/>
      <c r="O69" s="1569"/>
      <c r="P69" s="1569"/>
      <c r="Q69" s="1569"/>
      <c r="R69" s="1569"/>
      <c r="S69" s="1569"/>
      <c r="T69" s="1569"/>
      <c r="U69" s="1569"/>
      <c r="V69" s="1569"/>
      <c r="W69" s="1569"/>
      <c r="X69" s="1569"/>
      <c r="Y69" s="1569"/>
      <c r="Z69" s="1569"/>
      <c r="AA69" s="1569"/>
      <c r="AB69" s="1569"/>
      <c r="AC69" s="1569"/>
      <c r="AD69" s="1569"/>
      <c r="AE69" s="1569"/>
      <c r="AF69" s="1569"/>
      <c r="AG69" s="1569"/>
      <c r="AH69" s="1569"/>
      <c r="AI69" s="1569"/>
      <c r="AJ69" s="1569"/>
      <c r="AK69" s="1569"/>
      <c r="AL69" s="1569"/>
      <c r="AM69" s="1569"/>
      <c r="AN69" s="1569"/>
      <c r="AO69" s="1569"/>
      <c r="AP69" s="1569"/>
      <c r="AQ69" s="1569"/>
      <c r="AR69" s="1569"/>
      <c r="AS69" s="1569"/>
      <c r="AT69" s="1569"/>
      <c r="AU69" s="1569"/>
      <c r="AV69" s="1569"/>
      <c r="AW69" s="1569"/>
      <c r="AX69" s="1569"/>
      <c r="AY69" s="1569"/>
      <c r="AZ69" s="1569"/>
      <c r="BA69" s="1569"/>
      <c r="BB69" s="1569"/>
      <c r="BC69" s="1569"/>
      <c r="BD69" s="1569"/>
      <c r="BE69" s="1569"/>
      <c r="BF69" s="1569"/>
      <c r="BG69" s="1569"/>
      <c r="BH69" s="1569"/>
      <c r="BI69" s="1569"/>
      <c r="BJ69" s="1569"/>
      <c r="BK69" s="1569"/>
      <c r="BL69" s="1569"/>
      <c r="BM69" s="1569"/>
      <c r="BN69" s="1569"/>
      <c r="BO69" s="1569"/>
      <c r="BP69" s="1569"/>
      <c r="BQ69" s="1569"/>
      <c r="BR69" s="1569"/>
      <c r="BS69" s="1569"/>
      <c r="BT69" s="1569"/>
      <c r="BU69" s="1569"/>
      <c r="BV69" s="1569"/>
      <c r="BW69" s="1569"/>
      <c r="BX69" s="1569"/>
      <c r="BY69" s="1569"/>
      <c r="BZ69" s="1569"/>
      <c r="CA69" s="1569"/>
      <c r="CB69" s="1569"/>
      <c r="CC69" s="1569"/>
      <c r="CD69" s="1569"/>
      <c r="CE69" s="1569"/>
      <c r="CF69" s="1569"/>
      <c r="CG69" s="1569"/>
      <c r="CH69" s="1569"/>
      <c r="CI69" s="1569"/>
      <c r="CJ69" s="1569"/>
      <c r="CK69" s="1569"/>
      <c r="CL69" s="1569"/>
      <c r="CM69" s="1569"/>
      <c r="CN69" s="1569"/>
      <c r="CO69" s="1569"/>
      <c r="CP69" s="1569"/>
      <c r="CQ69" s="1569"/>
      <c r="CR69" s="1569"/>
      <c r="CS69" s="1569"/>
      <c r="CT69" s="1569"/>
      <c r="CU69" s="1569"/>
      <c r="CV69" s="1569"/>
      <c r="CW69" s="1569"/>
      <c r="CX69" s="1569"/>
      <c r="CY69" s="1569"/>
      <c r="CZ69" s="1569"/>
      <c r="DA69" s="1900"/>
      <c r="DB69" s="1569"/>
      <c r="DC69" s="1569"/>
      <c r="DD69" s="1569"/>
      <c r="DE69" s="1569">
        <f>DD71</f>
        <v>1020</v>
      </c>
      <c r="DF69" s="1900"/>
      <c r="DG69" s="1569">
        <f>DE71</f>
        <v>250</v>
      </c>
      <c r="DH69" s="1569">
        <f>DG71</f>
        <v>250</v>
      </c>
      <c r="DI69" s="1569">
        <f>DH71</f>
        <v>250</v>
      </c>
      <c r="DJ69" s="1569">
        <f>DI71</f>
        <v>250</v>
      </c>
      <c r="DK69" s="1900"/>
      <c r="DL69" s="1569">
        <f>DJ71</f>
        <v>250</v>
      </c>
      <c r="DM69" s="1569">
        <f>DL71</f>
        <v>250</v>
      </c>
      <c r="DN69" s="38">
        <f>DM71</f>
        <v>250</v>
      </c>
      <c r="DO69" s="1569">
        <f>DN71</f>
        <v>250</v>
      </c>
      <c r="DP69" s="1900"/>
      <c r="DQ69" s="1569">
        <f>DO71</f>
        <v>250</v>
      </c>
      <c r="DR69" s="1569">
        <f>DQ71</f>
        <v>250</v>
      </c>
      <c r="DS69" s="1569">
        <f>DR71</f>
        <v>250</v>
      </c>
      <c r="DT69" s="1569">
        <f>DS71</f>
        <v>250</v>
      </c>
      <c r="DU69" s="1900"/>
      <c r="DV69" s="1569">
        <f>DT71</f>
        <v>250</v>
      </c>
      <c r="DW69" s="1569">
        <f>DV71</f>
        <v>0</v>
      </c>
      <c r="DX69" s="1569">
        <f>DW71</f>
        <v>0</v>
      </c>
      <c r="DY69" s="1569">
        <f>DX71</f>
        <v>0</v>
      </c>
      <c r="DZ69" s="1900"/>
      <c r="EA69" s="1569">
        <f>DY71</f>
        <v>0</v>
      </c>
      <c r="EB69" s="1569">
        <f>EA71</f>
        <v>-250</v>
      </c>
      <c r="EC69" s="1569">
        <f>EB71</f>
        <v>-250</v>
      </c>
      <c r="ED69" s="1569">
        <f>EC71</f>
        <v>-250</v>
      </c>
      <c r="EE69" s="1900"/>
    </row>
    <row r="70" spans="2:135">
      <c r="B70" s="1895" t="s">
        <v>484</v>
      </c>
      <c r="C70" s="1569"/>
      <c r="D70" s="1569"/>
      <c r="E70" s="1569"/>
      <c r="F70" s="1569"/>
      <c r="G70" s="1569"/>
      <c r="H70" s="1569"/>
      <c r="I70" s="1569"/>
      <c r="J70" s="1569"/>
      <c r="K70" s="1569"/>
      <c r="L70" s="1569"/>
      <c r="M70" s="1569"/>
      <c r="N70" s="1569"/>
      <c r="O70" s="1569"/>
      <c r="P70" s="1569"/>
      <c r="Q70" s="1569"/>
      <c r="R70" s="1569"/>
      <c r="S70" s="1569"/>
      <c r="T70" s="1569"/>
      <c r="U70" s="1569"/>
      <c r="V70" s="1569"/>
      <c r="W70" s="1569"/>
      <c r="X70" s="1569"/>
      <c r="Y70" s="1569"/>
      <c r="Z70" s="1569"/>
      <c r="AA70" s="1569"/>
      <c r="AB70" s="1569"/>
      <c r="AC70" s="1569"/>
      <c r="AD70" s="1569"/>
      <c r="AE70" s="1569"/>
      <c r="AF70" s="1569"/>
      <c r="AG70" s="1569"/>
      <c r="AH70" s="1569"/>
      <c r="AI70" s="1569"/>
      <c r="AJ70" s="1569"/>
      <c r="AK70" s="1569"/>
      <c r="AL70" s="1569"/>
      <c r="AM70" s="1569"/>
      <c r="AN70" s="1569"/>
      <c r="AO70" s="1569"/>
      <c r="AP70" s="1569"/>
      <c r="AQ70" s="1569"/>
      <c r="AR70" s="1569"/>
      <c r="AS70" s="1569"/>
      <c r="AT70" s="1569"/>
      <c r="AU70" s="1569"/>
      <c r="AV70" s="1569"/>
      <c r="AW70" s="1569"/>
      <c r="AX70" s="1569"/>
      <c r="AY70" s="1569"/>
      <c r="AZ70" s="1569"/>
      <c r="BA70" s="1569"/>
      <c r="BB70" s="1569"/>
      <c r="BC70" s="1569"/>
      <c r="BD70" s="1569"/>
      <c r="BE70" s="1569"/>
      <c r="BF70" s="1569"/>
      <c r="BG70" s="1569"/>
      <c r="BH70" s="1569"/>
      <c r="BI70" s="1569"/>
      <c r="BJ70" s="1569"/>
      <c r="BK70" s="1569"/>
      <c r="BL70" s="1569"/>
      <c r="BM70" s="1569"/>
      <c r="BN70" s="1569"/>
      <c r="BO70" s="1569"/>
      <c r="BP70" s="1569"/>
      <c r="BQ70" s="1569"/>
      <c r="BR70" s="1569"/>
      <c r="BS70" s="1569"/>
      <c r="BT70" s="1569"/>
      <c r="BU70" s="1569"/>
      <c r="BV70" s="1569"/>
      <c r="BW70" s="1569"/>
      <c r="BX70" s="1569"/>
      <c r="BY70" s="1569"/>
      <c r="BZ70" s="1569"/>
      <c r="CA70" s="1569"/>
      <c r="CB70" s="1569"/>
      <c r="CC70" s="1569"/>
      <c r="CD70" s="1569"/>
      <c r="CE70" s="1569"/>
      <c r="CF70" s="1569"/>
      <c r="CG70" s="1569"/>
      <c r="CH70" s="1569"/>
      <c r="CI70" s="1569"/>
      <c r="CJ70" s="1569"/>
      <c r="CK70" s="1569"/>
      <c r="CL70" s="1569"/>
      <c r="CM70" s="1569"/>
      <c r="CN70" s="1569"/>
      <c r="CO70" s="1569"/>
      <c r="CP70" s="1569"/>
      <c r="CQ70" s="1569"/>
      <c r="CR70" s="1569"/>
      <c r="CS70" s="1569"/>
      <c r="CT70" s="1569"/>
      <c r="CU70" s="1569"/>
      <c r="CV70" s="1569"/>
      <c r="CW70" s="1569"/>
      <c r="CX70" s="1569"/>
      <c r="CY70" s="1569"/>
      <c r="CZ70" s="1569"/>
      <c r="DA70" s="1900"/>
      <c r="DB70" s="1569"/>
      <c r="DC70" s="1569"/>
      <c r="DD70" s="1569"/>
      <c r="DE70" s="1569">
        <v>-770</v>
      </c>
      <c r="DF70" s="1900"/>
      <c r="DG70" s="1569"/>
      <c r="DH70" s="1569"/>
      <c r="DI70" s="1569"/>
      <c r="DJ70" s="1569">
        <v>0</v>
      </c>
      <c r="DK70" s="1900"/>
      <c r="DL70" s="1569">
        <v>0</v>
      </c>
      <c r="DM70" s="1569">
        <v>0</v>
      </c>
      <c r="DN70" s="38"/>
      <c r="DO70" s="1569"/>
      <c r="DP70" s="1900"/>
      <c r="DQ70" s="1569"/>
      <c r="DR70" s="1569"/>
      <c r="DS70" s="1569"/>
      <c r="DT70" s="1569"/>
      <c r="DU70" s="1900"/>
      <c r="DV70" s="1569">
        <v>-250</v>
      </c>
      <c r="DW70" s="1569"/>
      <c r="DX70" s="1569"/>
      <c r="DY70" s="1569"/>
      <c r="DZ70" s="1900"/>
      <c r="EA70" s="1569">
        <v>-250</v>
      </c>
      <c r="EB70" s="1569"/>
      <c r="EC70" s="1569"/>
      <c r="ED70" s="1569"/>
      <c r="EE70" s="1900"/>
    </row>
    <row r="71" spans="2:135">
      <c r="B71" s="1895" t="s">
        <v>485</v>
      </c>
      <c r="C71" s="1569"/>
      <c r="D71" s="1569"/>
      <c r="E71" s="1569"/>
      <c r="F71" s="1569"/>
      <c r="G71" s="1569"/>
      <c r="H71" s="1569"/>
      <c r="I71" s="1569"/>
      <c r="J71" s="1569"/>
      <c r="K71" s="1569"/>
      <c r="L71" s="1569"/>
      <c r="M71" s="1569"/>
      <c r="N71" s="1569"/>
      <c r="O71" s="1569"/>
      <c r="P71" s="1569"/>
      <c r="Q71" s="1569"/>
      <c r="R71" s="1569"/>
      <c r="S71" s="1569"/>
      <c r="T71" s="1569"/>
      <c r="U71" s="1569"/>
      <c r="V71" s="1569"/>
      <c r="W71" s="1569"/>
      <c r="X71" s="1569"/>
      <c r="Y71" s="1569"/>
      <c r="Z71" s="1569"/>
      <c r="AA71" s="1569"/>
      <c r="AB71" s="1569"/>
      <c r="AC71" s="1569"/>
      <c r="AD71" s="1569"/>
      <c r="AE71" s="1569"/>
      <c r="AF71" s="1569"/>
      <c r="AG71" s="1569"/>
      <c r="AH71" s="1569"/>
      <c r="AI71" s="1569"/>
      <c r="AJ71" s="1569"/>
      <c r="AK71" s="1569"/>
      <c r="AL71" s="1569"/>
      <c r="AM71" s="1569"/>
      <c r="AN71" s="1569"/>
      <c r="AO71" s="1569"/>
      <c r="AP71" s="1569"/>
      <c r="AQ71" s="1569"/>
      <c r="AR71" s="1569"/>
      <c r="AS71" s="1569"/>
      <c r="AT71" s="1569"/>
      <c r="AU71" s="1569"/>
      <c r="AV71" s="1569"/>
      <c r="AW71" s="1569"/>
      <c r="AX71" s="1569"/>
      <c r="AY71" s="1569"/>
      <c r="AZ71" s="1569"/>
      <c r="BA71" s="1569"/>
      <c r="BB71" s="1569"/>
      <c r="BC71" s="1569"/>
      <c r="BD71" s="1569"/>
      <c r="BE71" s="1569"/>
      <c r="BF71" s="1569"/>
      <c r="BG71" s="1569"/>
      <c r="BH71" s="1569"/>
      <c r="BI71" s="1569"/>
      <c r="BJ71" s="1569"/>
      <c r="BK71" s="1569"/>
      <c r="BL71" s="1569"/>
      <c r="BM71" s="1569"/>
      <c r="BN71" s="1569"/>
      <c r="BO71" s="1569"/>
      <c r="BP71" s="1569"/>
      <c r="BQ71" s="1569"/>
      <c r="BR71" s="1569"/>
      <c r="BS71" s="1569"/>
      <c r="BT71" s="1569"/>
      <c r="BU71" s="1569"/>
      <c r="BV71" s="1569"/>
      <c r="BW71" s="1569"/>
      <c r="BX71" s="1569"/>
      <c r="BY71" s="1569"/>
      <c r="BZ71" s="1569"/>
      <c r="CA71" s="1569"/>
      <c r="CB71" s="1569"/>
      <c r="CC71" s="1569"/>
      <c r="CD71" s="1569"/>
      <c r="CE71" s="1569"/>
      <c r="CF71" s="1569"/>
      <c r="CG71" s="1569"/>
      <c r="CH71" s="1569"/>
      <c r="CI71" s="1569"/>
      <c r="CJ71" s="1569"/>
      <c r="CK71" s="1569"/>
      <c r="CL71" s="1569"/>
      <c r="CM71" s="1569"/>
      <c r="CN71" s="1569"/>
      <c r="CO71" s="1569"/>
      <c r="CP71" s="1569"/>
      <c r="CQ71" s="1569"/>
      <c r="CR71" s="1569"/>
      <c r="CS71" s="1569"/>
      <c r="CT71" s="1569"/>
      <c r="CU71" s="1569"/>
      <c r="CV71" s="1569"/>
      <c r="CW71" s="1569"/>
      <c r="CX71" s="1569">
        <v>1007</v>
      </c>
      <c r="CY71" s="1569"/>
      <c r="CZ71" s="1569"/>
      <c r="DA71" s="1900"/>
      <c r="DB71" s="1569"/>
      <c r="DC71" s="1569"/>
      <c r="DD71" s="1569">
        <v>1020</v>
      </c>
      <c r="DE71" s="1569">
        <f>SUM(DE69:DE70)</f>
        <v>250</v>
      </c>
      <c r="DF71" s="1900"/>
      <c r="DG71" s="1569">
        <f>SUM(DG69:DG70)</f>
        <v>250</v>
      </c>
      <c r="DH71" s="1569">
        <f>SUM(DH69:DH70)</f>
        <v>250</v>
      </c>
      <c r="DI71" s="1569">
        <f>SUM(DI69:DI70)</f>
        <v>250</v>
      </c>
      <c r="DJ71" s="1569">
        <f>SUM(DJ69:DJ70)</f>
        <v>250</v>
      </c>
      <c r="DK71" s="1900"/>
      <c r="DL71" s="1569">
        <f>SUM(DL69:DL70)</f>
        <v>250</v>
      </c>
      <c r="DM71" s="1569">
        <f>SUM(DM69:DM70)</f>
        <v>250</v>
      </c>
      <c r="DN71" s="38">
        <f>SUM(DN69:DN70)</f>
        <v>250</v>
      </c>
      <c r="DO71" s="1569">
        <f>SUM(DO69:DO70)</f>
        <v>250</v>
      </c>
      <c r="DP71" s="1900"/>
      <c r="DQ71" s="1569">
        <f>SUM(DQ69:DQ70)</f>
        <v>250</v>
      </c>
      <c r="DR71" s="1569">
        <f>SUM(DR69:DR70)</f>
        <v>250</v>
      </c>
      <c r="DS71" s="1569">
        <f>SUM(DS69:DS70)</f>
        <v>250</v>
      </c>
      <c r="DT71" s="1569">
        <f>SUM(DT69:DT70)</f>
        <v>250</v>
      </c>
      <c r="DU71" s="1900"/>
      <c r="DV71" s="1569">
        <f>SUM(DV69:DV70)</f>
        <v>0</v>
      </c>
      <c r="DW71" s="1569">
        <f>SUM(DW69:DW70)</f>
        <v>0</v>
      </c>
      <c r="DX71" s="1569">
        <f>SUM(DX69:DX70)</f>
        <v>0</v>
      </c>
      <c r="DY71" s="1569">
        <f>SUM(DY69:DY70)</f>
        <v>0</v>
      </c>
      <c r="DZ71" s="1900"/>
      <c r="EA71" s="1569">
        <f>SUM(EA69:EA70)</f>
        <v>-250</v>
      </c>
      <c r="EB71" s="1569">
        <f>SUM(EB69:EB70)</f>
        <v>-250</v>
      </c>
      <c r="EC71" s="1569">
        <f>SUM(EC69:EC70)</f>
        <v>-250</v>
      </c>
      <c r="ED71" s="1569">
        <f>SUM(ED69:ED70)</f>
        <v>-250</v>
      </c>
      <c r="EE71" s="1900"/>
    </row>
    <row r="72" spans="2:135" ht="12" thickBot="1">
      <c r="B72" s="1896" t="s">
        <v>400</v>
      </c>
      <c r="C72" s="1897"/>
      <c r="D72" s="1897"/>
      <c r="E72" s="1897"/>
      <c r="F72" s="1897"/>
      <c r="G72" s="1897"/>
      <c r="H72" s="1897"/>
      <c r="I72" s="1897"/>
      <c r="J72" s="1897"/>
      <c r="K72" s="1897"/>
      <c r="L72" s="1897"/>
      <c r="M72" s="1897"/>
      <c r="N72" s="1897"/>
      <c r="O72" s="1897"/>
      <c r="P72" s="1897"/>
      <c r="Q72" s="1897"/>
      <c r="R72" s="1897"/>
      <c r="S72" s="1897"/>
      <c r="T72" s="1897"/>
      <c r="U72" s="1897"/>
      <c r="V72" s="1897"/>
      <c r="W72" s="1897"/>
      <c r="X72" s="1897"/>
      <c r="Y72" s="1897"/>
      <c r="Z72" s="1897"/>
      <c r="AA72" s="1897"/>
      <c r="AB72" s="1897"/>
      <c r="AC72" s="1897"/>
      <c r="AD72" s="1897"/>
      <c r="AE72" s="1897"/>
      <c r="AF72" s="1897"/>
      <c r="AG72" s="1897"/>
      <c r="AH72" s="1897"/>
      <c r="AI72" s="1897"/>
      <c r="AJ72" s="1897"/>
      <c r="AK72" s="1897"/>
      <c r="AL72" s="1897"/>
      <c r="AM72" s="1897"/>
      <c r="AN72" s="1897"/>
      <c r="AO72" s="1897"/>
      <c r="AP72" s="1897"/>
      <c r="AQ72" s="1897"/>
      <c r="AR72" s="1897"/>
      <c r="AS72" s="1897"/>
      <c r="AT72" s="1897"/>
      <c r="AU72" s="1897"/>
      <c r="AV72" s="1897"/>
      <c r="AW72" s="1897"/>
      <c r="AX72" s="1897"/>
      <c r="AY72" s="1897"/>
      <c r="AZ72" s="1897"/>
      <c r="BA72" s="1897"/>
      <c r="BB72" s="1897"/>
      <c r="BC72" s="1897"/>
      <c r="BD72" s="1897"/>
      <c r="BE72" s="1897"/>
      <c r="BF72" s="1897"/>
      <c r="BG72" s="1897"/>
      <c r="BH72" s="1897"/>
      <c r="BI72" s="1897"/>
      <c r="BJ72" s="1897"/>
      <c r="BK72" s="1897"/>
      <c r="BL72" s="1897"/>
      <c r="BM72" s="1897"/>
      <c r="BN72" s="1897"/>
      <c r="BO72" s="1897"/>
      <c r="BP72" s="1897"/>
      <c r="BQ72" s="1897"/>
      <c r="BR72" s="1897"/>
      <c r="BS72" s="1897"/>
      <c r="BT72" s="1897"/>
      <c r="BU72" s="1897"/>
      <c r="BV72" s="1897"/>
      <c r="BW72" s="1897"/>
      <c r="BX72" s="1897"/>
      <c r="BY72" s="1897"/>
      <c r="BZ72" s="1897"/>
      <c r="CA72" s="1897"/>
      <c r="CB72" s="1897"/>
      <c r="CC72" s="1897"/>
      <c r="CD72" s="1897"/>
      <c r="CE72" s="1897"/>
      <c r="CF72" s="1897"/>
      <c r="CG72" s="1897"/>
      <c r="CH72" s="1897"/>
      <c r="CI72" s="1897"/>
      <c r="CJ72" s="1897"/>
      <c r="CK72" s="1897"/>
      <c r="CL72" s="1897"/>
      <c r="CM72" s="1897"/>
      <c r="CN72" s="1897"/>
      <c r="CO72" s="1897"/>
      <c r="CP72" s="1897"/>
      <c r="CQ72" s="1897"/>
      <c r="CR72" s="1897"/>
      <c r="CS72" s="1897"/>
      <c r="CT72" s="1897"/>
      <c r="CU72" s="1897"/>
      <c r="CV72" s="1897"/>
      <c r="CW72" s="1897"/>
      <c r="CX72" s="1897"/>
      <c r="CY72" s="1897"/>
      <c r="CZ72" s="1897"/>
      <c r="DA72" s="1901"/>
      <c r="DB72" s="1897"/>
      <c r="DC72" s="1897"/>
      <c r="DD72" s="1897"/>
      <c r="DE72" s="1897">
        <f>AVERAGE(DE69,DE71)*(DE68/4)</f>
        <v>8.3343749999999996</v>
      </c>
      <c r="DF72" s="1901"/>
      <c r="DG72" s="1897">
        <f>AVERAGE(DG69,DG71)*(DG68/4)</f>
        <v>3.28125</v>
      </c>
      <c r="DH72" s="1897">
        <f>AVERAGE(DH69,DH71)*(DH68/4)</f>
        <v>3.28125</v>
      </c>
      <c r="DI72" s="1897">
        <f>AVERAGE(DI69,DI71)*(DI68/4)</f>
        <v>3.28125</v>
      </c>
      <c r="DJ72" s="1897">
        <f>AVERAGE(DJ69,DJ71)*(DJ68/4)</f>
        <v>3.28125</v>
      </c>
      <c r="DK72" s="1901"/>
      <c r="DL72" s="1897">
        <f>AVERAGE(DL69,DL71)*(DL68/4)</f>
        <v>3.28125</v>
      </c>
      <c r="DM72" s="1897">
        <f>AVERAGE(DM69,DM71)*(DM68/4)</f>
        <v>3.28125</v>
      </c>
      <c r="DN72" s="2214">
        <f>AVERAGE(DN69,DN71)*(DN68/4)</f>
        <v>3.28125</v>
      </c>
      <c r="DO72" s="1897">
        <f>AVERAGE(DO69,DO71)*(DO68/4)</f>
        <v>3.28125</v>
      </c>
      <c r="DP72" s="1901"/>
      <c r="DQ72" s="1897">
        <f>AVERAGE(DQ69,DQ71)*(DQ68/4)</f>
        <v>3.28125</v>
      </c>
      <c r="DR72" s="1897">
        <f>AVERAGE(DR69,DR71)*(DR68/4)</f>
        <v>3.28125</v>
      </c>
      <c r="DS72" s="1897">
        <f>AVERAGE(DS69,DS71)*(DS68/4)</f>
        <v>3.28125</v>
      </c>
      <c r="DT72" s="1897">
        <f>AVERAGE(DT69,DT71)*(DT68/4)</f>
        <v>3.28125</v>
      </c>
      <c r="DU72" s="1901"/>
      <c r="DV72" s="1897">
        <f>AVERAGE(DV69,DV71)*(DV68/4)</f>
        <v>1.640625</v>
      </c>
      <c r="DW72" s="1897">
        <f>AVERAGE(DW69,DW71)*(DW68/4)</f>
        <v>0</v>
      </c>
      <c r="DX72" s="1897">
        <f>AVERAGE(DX69,DX71)*(DX68/4)</f>
        <v>0</v>
      </c>
      <c r="DY72" s="1897">
        <f>AVERAGE(DY69,DY71)*(DY68/4)</f>
        <v>0</v>
      </c>
      <c r="DZ72" s="1901"/>
      <c r="EA72" s="1897">
        <f>AVERAGE(EA69,EA71)*(EA68/4)</f>
        <v>-1.640625</v>
      </c>
      <c r="EB72" s="1897">
        <f>AVERAGE(EB69,EB71)*(EB68/4)</f>
        <v>-3.28125</v>
      </c>
      <c r="EC72" s="1897">
        <f>AVERAGE(EC69,EC71)*(EC68/4)</f>
        <v>-3.28125</v>
      </c>
      <c r="ED72" s="1897">
        <f>AVERAGE(ED69,ED71)*(ED68/4)</f>
        <v>-3.28125</v>
      </c>
      <c r="EE72" s="1901"/>
    </row>
    <row r="73" spans="2:135" ht="12" thickBot="1">
      <c r="B73" s="322"/>
      <c r="DN73" s="2231"/>
    </row>
    <row r="74" spans="2:135" ht="12" thickBot="1">
      <c r="B74" s="754" t="s">
        <v>503</v>
      </c>
      <c r="C74" s="684"/>
      <c r="D74" s="684"/>
      <c r="E74" s="684"/>
      <c r="F74" s="684"/>
      <c r="G74" s="684"/>
      <c r="H74" s="684"/>
      <c r="I74" s="684"/>
      <c r="J74" s="684"/>
      <c r="K74" s="684"/>
      <c r="L74" s="684"/>
      <c r="M74" s="684"/>
      <c r="N74" s="684"/>
      <c r="O74" s="684"/>
      <c r="P74" s="684"/>
      <c r="Q74" s="684"/>
      <c r="R74" s="684"/>
      <c r="S74" s="684"/>
      <c r="T74" s="684"/>
      <c r="U74" s="684"/>
      <c r="V74" s="684"/>
      <c r="W74" s="684"/>
      <c r="X74" s="684"/>
      <c r="Y74" s="684"/>
      <c r="Z74" s="684"/>
      <c r="AA74" s="684"/>
      <c r="AB74" s="684"/>
      <c r="AC74" s="684"/>
      <c r="AD74" s="684"/>
      <c r="AE74" s="684"/>
      <c r="AF74" s="684"/>
      <c r="AG74" s="684"/>
      <c r="AH74" s="684"/>
      <c r="AI74" s="684"/>
      <c r="AJ74" s="684"/>
      <c r="AK74" s="684"/>
      <c r="AL74" s="684"/>
      <c r="AM74" s="684"/>
      <c r="AN74" s="684"/>
      <c r="AO74" s="684"/>
      <c r="AP74" s="684"/>
      <c r="AQ74" s="684"/>
      <c r="AR74" s="684"/>
      <c r="AS74" s="684"/>
      <c r="AT74" s="684"/>
      <c r="AU74" s="684"/>
      <c r="AV74" s="684"/>
      <c r="AW74" s="684"/>
      <c r="AX74" s="684"/>
      <c r="AY74" s="684"/>
      <c r="AZ74" s="684"/>
      <c r="BA74" s="684"/>
      <c r="BB74" s="684"/>
      <c r="BC74" s="684"/>
      <c r="BD74" s="684"/>
      <c r="BE74" s="684"/>
      <c r="BF74" s="684"/>
      <c r="BG74" s="684"/>
      <c r="BH74" s="684"/>
      <c r="BI74" s="684"/>
      <c r="BJ74" s="684"/>
      <c r="BK74" s="684"/>
      <c r="BL74" s="684"/>
      <c r="BM74" s="684"/>
      <c r="BN74" s="684"/>
      <c r="BO74" s="684"/>
      <c r="BP74" s="684"/>
      <c r="BQ74" s="684"/>
      <c r="BR74" s="684"/>
      <c r="BS74" s="684"/>
      <c r="BT74" s="684"/>
      <c r="BU74" s="684"/>
      <c r="BV74" s="684"/>
      <c r="BW74" s="684"/>
      <c r="BX74" s="684"/>
      <c r="BY74" s="684"/>
      <c r="BZ74" s="684"/>
      <c r="CA74" s="684"/>
      <c r="CB74" s="684"/>
      <c r="CC74" s="684"/>
      <c r="CD74" s="684"/>
      <c r="CE74" s="684"/>
      <c r="CF74" s="684"/>
      <c r="CG74" s="684"/>
      <c r="CH74" s="684"/>
      <c r="CI74" s="684"/>
      <c r="CJ74" s="684"/>
      <c r="CK74" s="684"/>
      <c r="CL74" s="684"/>
      <c r="CM74" s="684"/>
      <c r="CN74" s="684"/>
      <c r="CO74" s="684"/>
      <c r="CP74" s="684"/>
      <c r="CQ74" s="684"/>
      <c r="CR74" s="684"/>
      <c r="CS74" s="684"/>
      <c r="CT74" s="684"/>
      <c r="CU74" s="684"/>
      <c r="CV74" s="684"/>
      <c r="CW74" s="684"/>
      <c r="CX74" s="684"/>
      <c r="CY74" s="684"/>
      <c r="CZ74" s="684"/>
      <c r="DA74" s="684"/>
      <c r="DB74" s="684"/>
      <c r="DC74" s="684"/>
      <c r="DD74" s="684"/>
      <c r="DE74" s="684"/>
      <c r="DF74" s="684"/>
      <c r="DG74" s="684"/>
      <c r="DH74" s="684"/>
      <c r="DI74" s="684"/>
      <c r="DJ74" s="684"/>
      <c r="DK74" s="684"/>
      <c r="DL74" s="684"/>
      <c r="DM74" s="684"/>
      <c r="DN74" s="2232"/>
      <c r="DO74" s="684"/>
      <c r="DP74" s="1894"/>
      <c r="DQ74" s="684"/>
      <c r="DR74" s="684"/>
      <c r="DS74" s="684"/>
      <c r="DT74" s="684"/>
      <c r="DU74" s="1894"/>
      <c r="DV74" s="684"/>
      <c r="DW74" s="684"/>
      <c r="DX74" s="684"/>
      <c r="DY74" s="684"/>
      <c r="DZ74" s="1894"/>
      <c r="EA74" s="684"/>
      <c r="EB74" s="684"/>
      <c r="EC74" s="684"/>
      <c r="ED74" s="684"/>
      <c r="EE74" s="1894"/>
    </row>
    <row r="75" spans="2:135">
      <c r="B75" s="1902" t="s">
        <v>498</v>
      </c>
      <c r="C75" s="1903"/>
      <c r="D75" s="1903"/>
      <c r="E75" s="1903"/>
      <c r="F75" s="1903"/>
      <c r="G75" s="1903"/>
      <c r="H75" s="1903"/>
      <c r="I75" s="1903"/>
      <c r="J75" s="1903"/>
      <c r="K75" s="1903"/>
      <c r="L75" s="1903"/>
      <c r="M75" s="1903"/>
      <c r="N75" s="1903"/>
      <c r="O75" s="1903"/>
      <c r="P75" s="1903"/>
      <c r="Q75" s="1903"/>
      <c r="R75" s="1903"/>
      <c r="S75" s="1903"/>
      <c r="T75" s="1903"/>
      <c r="U75" s="1903"/>
      <c r="V75" s="1903"/>
      <c r="W75" s="1903"/>
      <c r="X75" s="1903"/>
      <c r="Y75" s="1903"/>
      <c r="Z75" s="1903"/>
      <c r="AA75" s="1903"/>
      <c r="AB75" s="1903"/>
      <c r="AC75" s="1903"/>
      <c r="AD75" s="1903"/>
      <c r="AE75" s="1903"/>
      <c r="AF75" s="1903"/>
      <c r="AG75" s="1903"/>
      <c r="AH75" s="1903"/>
      <c r="AI75" s="1903"/>
      <c r="AJ75" s="1903"/>
      <c r="AK75" s="1903"/>
      <c r="AL75" s="1903"/>
      <c r="AM75" s="1903"/>
      <c r="AN75" s="1903"/>
      <c r="AO75" s="1903"/>
      <c r="AP75" s="1903"/>
      <c r="AQ75" s="1903"/>
      <c r="AR75" s="1903"/>
      <c r="AS75" s="1903"/>
      <c r="AT75" s="1903"/>
      <c r="AU75" s="1903"/>
      <c r="AV75" s="1903"/>
      <c r="AW75" s="1903"/>
      <c r="AX75" s="1903"/>
      <c r="AY75" s="1903"/>
      <c r="AZ75" s="1903"/>
      <c r="BA75" s="1903"/>
      <c r="BB75" s="1903"/>
      <c r="BC75" s="1903"/>
      <c r="BD75" s="1903"/>
      <c r="BE75" s="1903"/>
      <c r="BF75" s="1903"/>
      <c r="BG75" s="1903"/>
      <c r="BH75" s="1903"/>
      <c r="BI75" s="1903"/>
      <c r="BJ75" s="1903"/>
      <c r="BK75" s="1903"/>
      <c r="BL75" s="1903"/>
      <c r="BM75" s="1903"/>
      <c r="BN75" s="1903"/>
      <c r="BO75" s="1903"/>
      <c r="BP75" s="1903"/>
      <c r="BQ75" s="1903"/>
      <c r="BR75" s="1903"/>
      <c r="BS75" s="1903"/>
      <c r="BT75" s="1903"/>
      <c r="BU75" s="1903"/>
      <c r="BV75" s="1903"/>
      <c r="BW75" s="1903"/>
      <c r="BX75" s="1903"/>
      <c r="BY75" s="1903"/>
      <c r="BZ75" s="1903"/>
      <c r="CA75" s="1903"/>
      <c r="CB75" s="1903"/>
      <c r="CC75" s="1903"/>
      <c r="CD75" s="1903"/>
      <c r="CE75" s="1903"/>
      <c r="CF75" s="1903"/>
      <c r="CG75" s="1903"/>
      <c r="CH75" s="1903"/>
      <c r="CI75" s="1903"/>
      <c r="CJ75" s="1903"/>
      <c r="CK75" s="1903"/>
      <c r="CL75" s="1903"/>
      <c r="CM75" s="1903"/>
      <c r="CN75" s="1903"/>
      <c r="CO75" s="1903"/>
      <c r="CP75" s="1903"/>
      <c r="CQ75" s="1903"/>
      <c r="CR75" s="1903"/>
      <c r="CS75" s="1903"/>
      <c r="CT75" s="1903"/>
      <c r="CU75" s="1903"/>
      <c r="CV75" s="1903"/>
      <c r="CW75" s="1904">
        <v>2.7E-2</v>
      </c>
      <c r="CX75" s="1904">
        <v>2.7E-2</v>
      </c>
      <c r="CY75" s="1904">
        <v>2.7E-2</v>
      </c>
      <c r="CZ75" s="1904">
        <v>2.7E-2</v>
      </c>
      <c r="DA75" s="1941"/>
      <c r="DB75" s="1904">
        <v>2.7E-2</v>
      </c>
      <c r="DC75" s="1904">
        <v>2.7E-2</v>
      </c>
      <c r="DD75" s="1904">
        <v>2.7E-2</v>
      </c>
      <c r="DE75" s="1903">
        <f>DD75</f>
        <v>2.7E-2</v>
      </c>
      <c r="DF75" s="1899"/>
      <c r="DG75" s="1903">
        <f>DE75</f>
        <v>2.7E-2</v>
      </c>
      <c r="DH75" s="1903">
        <f>DG75</f>
        <v>2.7E-2</v>
      </c>
      <c r="DI75" s="1903">
        <f>DH75</f>
        <v>2.7E-2</v>
      </c>
      <c r="DJ75" s="1903">
        <f>DI75</f>
        <v>2.7E-2</v>
      </c>
      <c r="DK75" s="1899"/>
      <c r="DL75" s="1903">
        <f>DJ75</f>
        <v>2.7E-2</v>
      </c>
      <c r="DM75" s="1903">
        <f>DL75</f>
        <v>2.7E-2</v>
      </c>
      <c r="DN75" s="2215">
        <f>DM75</f>
        <v>2.7E-2</v>
      </c>
      <c r="DO75" s="1903">
        <f>DN75</f>
        <v>2.7E-2</v>
      </c>
      <c r="DP75" s="1899"/>
      <c r="DQ75" s="1903">
        <f>DO75</f>
        <v>2.7E-2</v>
      </c>
      <c r="DR75" s="1903">
        <f>DQ75</f>
        <v>2.7E-2</v>
      </c>
      <c r="DS75" s="1903">
        <f>DR75</f>
        <v>2.7E-2</v>
      </c>
      <c r="DT75" s="1903">
        <f>DS75</f>
        <v>2.7E-2</v>
      </c>
      <c r="DU75" s="1899"/>
      <c r="DV75" s="1903">
        <f>DT75</f>
        <v>2.7E-2</v>
      </c>
      <c r="DW75" s="1903">
        <f>DV75</f>
        <v>2.7E-2</v>
      </c>
      <c r="DX75" s="1903">
        <f>DW75</f>
        <v>2.7E-2</v>
      </c>
      <c r="DY75" s="1903">
        <f>DX75</f>
        <v>2.7E-2</v>
      </c>
      <c r="DZ75" s="1899"/>
      <c r="EA75" s="1903">
        <f>DY75</f>
        <v>2.7E-2</v>
      </c>
      <c r="EB75" s="1903">
        <f>EA75</f>
        <v>2.7E-2</v>
      </c>
      <c r="EC75" s="1903">
        <f>EB75</f>
        <v>2.7E-2</v>
      </c>
      <c r="ED75" s="1903">
        <f>EC75</f>
        <v>2.7E-2</v>
      </c>
      <c r="EE75" s="1899"/>
    </row>
    <row r="76" spans="2:135">
      <c r="B76" s="1895" t="s">
        <v>483</v>
      </c>
      <c r="C76" s="1569"/>
      <c r="D76" s="1569"/>
      <c r="E76" s="1569"/>
      <c r="F76" s="1569"/>
      <c r="G76" s="1569"/>
      <c r="H76" s="1569"/>
      <c r="I76" s="1569"/>
      <c r="J76" s="1569"/>
      <c r="K76" s="1569"/>
      <c r="L76" s="1569"/>
      <c r="M76" s="1569"/>
      <c r="N76" s="1569"/>
      <c r="O76" s="1569"/>
      <c r="P76" s="1569"/>
      <c r="Q76" s="1569"/>
      <c r="R76" s="1569"/>
      <c r="S76" s="1569"/>
      <c r="T76" s="1569"/>
      <c r="U76" s="1569"/>
      <c r="V76" s="1569"/>
      <c r="W76" s="1569"/>
      <c r="X76" s="1569"/>
      <c r="Y76" s="1569"/>
      <c r="Z76" s="1569"/>
      <c r="AA76" s="1569"/>
      <c r="AB76" s="1569"/>
      <c r="AC76" s="1569"/>
      <c r="AD76" s="1569"/>
      <c r="AE76" s="1569"/>
      <c r="AF76" s="1569"/>
      <c r="AG76" s="1569"/>
      <c r="AH76" s="1569"/>
      <c r="AI76" s="1569"/>
      <c r="AJ76" s="1569"/>
      <c r="AK76" s="1569"/>
      <c r="AL76" s="1569"/>
      <c r="AM76" s="1569"/>
      <c r="AN76" s="1569"/>
      <c r="AO76" s="1569"/>
      <c r="AP76" s="1569"/>
      <c r="AQ76" s="1569"/>
      <c r="AR76" s="1569"/>
      <c r="AS76" s="1569"/>
      <c r="AT76" s="1569"/>
      <c r="AU76" s="1569"/>
      <c r="AV76" s="1569"/>
      <c r="AW76" s="1569"/>
      <c r="AX76" s="1569"/>
      <c r="AY76" s="1569"/>
      <c r="AZ76" s="1569"/>
      <c r="BA76" s="1569"/>
      <c r="BB76" s="1569"/>
      <c r="BC76" s="1569"/>
      <c r="BD76" s="1569"/>
      <c r="BE76" s="1569"/>
      <c r="BF76" s="1569"/>
      <c r="BG76" s="1569"/>
      <c r="BH76" s="1569"/>
      <c r="BI76" s="1569"/>
      <c r="BJ76" s="1569"/>
      <c r="BK76" s="1569"/>
      <c r="BL76" s="1569"/>
      <c r="BM76" s="1569"/>
      <c r="BN76" s="1569"/>
      <c r="BO76" s="1569"/>
      <c r="BP76" s="1569"/>
      <c r="BQ76" s="1569"/>
      <c r="BR76" s="1569"/>
      <c r="BS76" s="1569"/>
      <c r="BT76" s="1569"/>
      <c r="BU76" s="1569"/>
      <c r="BV76" s="1569"/>
      <c r="BW76" s="1569"/>
      <c r="BX76" s="1569"/>
      <c r="BY76" s="1569"/>
      <c r="BZ76" s="1569"/>
      <c r="CA76" s="1569"/>
      <c r="CB76" s="1569"/>
      <c r="CC76" s="1569"/>
      <c r="CD76" s="1569"/>
      <c r="CE76" s="1569"/>
      <c r="CF76" s="1569"/>
      <c r="CG76" s="1569"/>
      <c r="CH76" s="1569"/>
      <c r="CI76" s="1569"/>
      <c r="CJ76" s="1569"/>
      <c r="CK76" s="1569"/>
      <c r="CL76" s="1569"/>
      <c r="CM76" s="1569"/>
      <c r="CN76" s="1569"/>
      <c r="CO76" s="1569"/>
      <c r="CP76" s="1569"/>
      <c r="CQ76" s="1569"/>
      <c r="CR76" s="1569"/>
      <c r="CS76" s="1569"/>
      <c r="CT76" s="1569"/>
      <c r="CU76" s="1569"/>
      <c r="CV76" s="1569"/>
      <c r="CW76" s="1569"/>
      <c r="CX76" s="1569"/>
      <c r="CY76" s="1569"/>
      <c r="CZ76" s="1569"/>
      <c r="DA76" s="1900"/>
      <c r="DB76" s="1569"/>
      <c r="DC76" s="1569"/>
      <c r="DD76" s="1569"/>
      <c r="DE76" s="1569">
        <f>DD78</f>
        <v>1242</v>
      </c>
      <c r="DF76" s="1900"/>
      <c r="DG76" s="1569">
        <f>DE78</f>
        <v>1242</v>
      </c>
      <c r="DH76" s="1569">
        <f>DG78</f>
        <v>1242</v>
      </c>
      <c r="DI76" s="1569">
        <f>DH78</f>
        <v>1242</v>
      </c>
      <c r="DJ76" s="1569">
        <f>DI78</f>
        <v>1242</v>
      </c>
      <c r="DK76" s="1900"/>
      <c r="DL76" s="1569">
        <f>DJ78</f>
        <v>1242</v>
      </c>
      <c r="DM76" s="1569">
        <f>DL78</f>
        <v>1242</v>
      </c>
      <c r="DN76" s="38">
        <f>DM78</f>
        <v>1242</v>
      </c>
      <c r="DO76" s="1569">
        <f>DN78</f>
        <v>1242</v>
      </c>
      <c r="DP76" s="1900"/>
      <c r="DQ76" s="1569">
        <f>DO78</f>
        <v>1242</v>
      </c>
      <c r="DR76" s="1569">
        <f>DQ78</f>
        <v>1242</v>
      </c>
      <c r="DS76" s="1569">
        <f>DR78</f>
        <v>1242</v>
      </c>
      <c r="DT76" s="1569">
        <f>DS78</f>
        <v>1242</v>
      </c>
      <c r="DU76" s="1900"/>
      <c r="DV76" s="1569">
        <f>DT78</f>
        <v>1242</v>
      </c>
      <c r="DW76" s="1569">
        <f>DV78</f>
        <v>0</v>
      </c>
      <c r="DX76" s="1569">
        <f>DW78</f>
        <v>0</v>
      </c>
      <c r="DY76" s="1569">
        <f>DX78</f>
        <v>0</v>
      </c>
      <c r="DZ76" s="1900"/>
      <c r="EA76" s="1569">
        <f>DY78</f>
        <v>0</v>
      </c>
      <c r="EB76" s="1569">
        <f>EA78</f>
        <v>0</v>
      </c>
      <c r="EC76" s="1569">
        <f>EB78</f>
        <v>0</v>
      </c>
      <c r="ED76" s="1569">
        <f>EC78</f>
        <v>0</v>
      </c>
      <c r="EE76" s="1900"/>
    </row>
    <row r="77" spans="2:135">
      <c r="B77" s="1895" t="s">
        <v>484</v>
      </c>
      <c r="C77" s="1569"/>
      <c r="D77" s="1569"/>
      <c r="E77" s="1569"/>
      <c r="F77" s="1569"/>
      <c r="G77" s="1569"/>
      <c r="H77" s="1569"/>
      <c r="I77" s="1569"/>
      <c r="J77" s="1569"/>
      <c r="K77" s="1569"/>
      <c r="L77" s="1569"/>
      <c r="M77" s="1569"/>
      <c r="N77" s="1569"/>
      <c r="O77" s="1569"/>
      <c r="P77" s="1569"/>
      <c r="Q77" s="1569"/>
      <c r="R77" s="1569"/>
      <c r="S77" s="1569"/>
      <c r="T77" s="1569"/>
      <c r="U77" s="1569"/>
      <c r="V77" s="1569"/>
      <c r="W77" s="1569"/>
      <c r="X77" s="1569"/>
      <c r="Y77" s="1569"/>
      <c r="Z77" s="1569"/>
      <c r="AA77" s="1569"/>
      <c r="AB77" s="1569"/>
      <c r="AC77" s="1569"/>
      <c r="AD77" s="1569"/>
      <c r="AE77" s="1569"/>
      <c r="AF77" s="1569"/>
      <c r="AG77" s="1569"/>
      <c r="AH77" s="1569"/>
      <c r="AI77" s="1569"/>
      <c r="AJ77" s="1569"/>
      <c r="AK77" s="1569"/>
      <c r="AL77" s="1569"/>
      <c r="AM77" s="1569"/>
      <c r="AN77" s="1569"/>
      <c r="AO77" s="1569"/>
      <c r="AP77" s="1569"/>
      <c r="AQ77" s="1569"/>
      <c r="AR77" s="1569"/>
      <c r="AS77" s="1569"/>
      <c r="AT77" s="1569"/>
      <c r="AU77" s="1569"/>
      <c r="AV77" s="1569"/>
      <c r="AW77" s="1569"/>
      <c r="AX77" s="1569"/>
      <c r="AY77" s="1569"/>
      <c r="AZ77" s="1569"/>
      <c r="BA77" s="1569"/>
      <c r="BB77" s="1569"/>
      <c r="BC77" s="1569"/>
      <c r="BD77" s="1569"/>
      <c r="BE77" s="1569"/>
      <c r="BF77" s="1569"/>
      <c r="BG77" s="1569"/>
      <c r="BH77" s="1569"/>
      <c r="BI77" s="1569"/>
      <c r="BJ77" s="1569"/>
      <c r="BK77" s="1569"/>
      <c r="BL77" s="1569"/>
      <c r="BM77" s="1569"/>
      <c r="BN77" s="1569"/>
      <c r="BO77" s="1569"/>
      <c r="BP77" s="1569"/>
      <c r="BQ77" s="1569"/>
      <c r="BR77" s="1569"/>
      <c r="BS77" s="1569"/>
      <c r="BT77" s="1569"/>
      <c r="BU77" s="1569"/>
      <c r="BV77" s="1569"/>
      <c r="BW77" s="1569"/>
      <c r="BX77" s="1569"/>
      <c r="BY77" s="1569"/>
      <c r="BZ77" s="1569"/>
      <c r="CA77" s="1569"/>
      <c r="CB77" s="1569"/>
      <c r="CC77" s="1569"/>
      <c r="CD77" s="1569"/>
      <c r="CE77" s="1569"/>
      <c r="CF77" s="1569"/>
      <c r="CG77" s="1569"/>
      <c r="CH77" s="1569"/>
      <c r="CI77" s="1569"/>
      <c r="CJ77" s="1569"/>
      <c r="CK77" s="1569"/>
      <c r="CL77" s="1569"/>
      <c r="CM77" s="1569"/>
      <c r="CN77" s="1569"/>
      <c r="CO77" s="1569"/>
      <c r="CP77" s="1569"/>
      <c r="CQ77" s="1569"/>
      <c r="CR77" s="1569"/>
      <c r="CS77" s="1569"/>
      <c r="CT77" s="1569"/>
      <c r="CU77" s="1569"/>
      <c r="CV77" s="1569"/>
      <c r="CW77" s="1569"/>
      <c r="CX77" s="1569"/>
      <c r="CY77" s="1569"/>
      <c r="CZ77" s="1569"/>
      <c r="DA77" s="1900"/>
      <c r="DB77" s="1569"/>
      <c r="DC77" s="1569"/>
      <c r="DD77" s="1569"/>
      <c r="DE77" s="1569"/>
      <c r="DF77" s="1900"/>
      <c r="DG77" s="1569"/>
      <c r="DH77" s="1569"/>
      <c r="DI77" s="1569"/>
      <c r="DJ77" s="1569"/>
      <c r="DK77" s="1900"/>
      <c r="DL77" s="1569"/>
      <c r="DM77" s="1569">
        <v>0</v>
      </c>
      <c r="DN77" s="38">
        <v>0</v>
      </c>
      <c r="DO77" s="1569">
        <v>0</v>
      </c>
      <c r="DP77" s="1900"/>
      <c r="DQ77" s="1569"/>
      <c r="DR77" s="1569"/>
      <c r="DS77" s="1569"/>
      <c r="DT77" s="1569"/>
      <c r="DU77" s="1900"/>
      <c r="DV77" s="1569">
        <f>-DV76</f>
        <v>-1242</v>
      </c>
      <c r="DW77" s="1569"/>
      <c r="DX77" s="1569"/>
      <c r="DY77" s="1569"/>
      <c r="DZ77" s="1900"/>
      <c r="EA77" s="1569">
        <f>-EA76</f>
        <v>0</v>
      </c>
      <c r="EB77" s="1569"/>
      <c r="EC77" s="1569"/>
      <c r="ED77" s="1569"/>
      <c r="EE77" s="1900"/>
    </row>
    <row r="78" spans="2:135">
      <c r="B78" s="1895" t="s">
        <v>485</v>
      </c>
      <c r="C78" s="1569"/>
      <c r="D78" s="1569"/>
      <c r="E78" s="1569"/>
      <c r="F78" s="1569"/>
      <c r="G78" s="1569"/>
      <c r="H78" s="1569"/>
      <c r="I78" s="1569"/>
      <c r="J78" s="1569"/>
      <c r="K78" s="1569"/>
      <c r="L78" s="1569"/>
      <c r="M78" s="1569"/>
      <c r="N78" s="1569"/>
      <c r="O78" s="1569"/>
      <c r="P78" s="1569"/>
      <c r="Q78" s="1569"/>
      <c r="R78" s="1569"/>
      <c r="S78" s="1569"/>
      <c r="T78" s="1569"/>
      <c r="U78" s="1569"/>
      <c r="V78" s="1569"/>
      <c r="W78" s="1569"/>
      <c r="X78" s="1569"/>
      <c r="Y78" s="1569"/>
      <c r="Z78" s="1569"/>
      <c r="AA78" s="1569"/>
      <c r="AB78" s="1569"/>
      <c r="AC78" s="1569"/>
      <c r="AD78" s="1569"/>
      <c r="AE78" s="1569"/>
      <c r="AF78" s="1569"/>
      <c r="AG78" s="1569"/>
      <c r="AH78" s="1569"/>
      <c r="AI78" s="1569"/>
      <c r="AJ78" s="1569"/>
      <c r="AK78" s="1569"/>
      <c r="AL78" s="1569"/>
      <c r="AM78" s="1569"/>
      <c r="AN78" s="1569"/>
      <c r="AO78" s="1569"/>
      <c r="AP78" s="1569"/>
      <c r="AQ78" s="1569"/>
      <c r="AR78" s="1569"/>
      <c r="AS78" s="1569"/>
      <c r="AT78" s="1569"/>
      <c r="AU78" s="1569"/>
      <c r="AV78" s="1569"/>
      <c r="AW78" s="1569"/>
      <c r="AX78" s="1569"/>
      <c r="AY78" s="1569"/>
      <c r="AZ78" s="1569"/>
      <c r="BA78" s="1569"/>
      <c r="BB78" s="1569"/>
      <c r="BC78" s="1569"/>
      <c r="BD78" s="1569"/>
      <c r="BE78" s="1569"/>
      <c r="BF78" s="1569"/>
      <c r="BG78" s="1569"/>
      <c r="BH78" s="1569"/>
      <c r="BI78" s="1569"/>
      <c r="BJ78" s="1569"/>
      <c r="BK78" s="1569"/>
      <c r="BL78" s="1569"/>
      <c r="BM78" s="1569"/>
      <c r="BN78" s="1569"/>
      <c r="BO78" s="1569"/>
      <c r="BP78" s="1569"/>
      <c r="BQ78" s="1569"/>
      <c r="BR78" s="1569"/>
      <c r="BS78" s="1569"/>
      <c r="BT78" s="1569"/>
      <c r="BU78" s="1569"/>
      <c r="BV78" s="1569"/>
      <c r="BW78" s="1569"/>
      <c r="BX78" s="1569"/>
      <c r="BY78" s="1569"/>
      <c r="BZ78" s="1569"/>
      <c r="CA78" s="1569"/>
      <c r="CB78" s="1569"/>
      <c r="CC78" s="1569"/>
      <c r="CD78" s="1569"/>
      <c r="CE78" s="1569"/>
      <c r="CF78" s="1569"/>
      <c r="CG78" s="1569"/>
      <c r="CH78" s="1569"/>
      <c r="CI78" s="1569"/>
      <c r="CJ78" s="1569"/>
      <c r="CK78" s="1569"/>
      <c r="CL78" s="1569"/>
      <c r="CM78" s="1569"/>
      <c r="CN78" s="1569"/>
      <c r="CO78" s="1569"/>
      <c r="CP78" s="1569"/>
      <c r="CQ78" s="1569"/>
      <c r="CR78" s="1569"/>
      <c r="CS78" s="1569"/>
      <c r="CT78" s="1569"/>
      <c r="CU78" s="1569"/>
      <c r="CV78" s="1569"/>
      <c r="CW78" s="1569"/>
      <c r="CX78" s="1569"/>
      <c r="CY78" s="1569"/>
      <c r="CZ78" s="1569"/>
      <c r="DA78" s="1900"/>
      <c r="DB78" s="1569"/>
      <c r="DC78" s="1569"/>
      <c r="DD78" s="1569">
        <v>1242</v>
      </c>
      <c r="DE78" s="1569">
        <f>SUM(DE76:DE77)</f>
        <v>1242</v>
      </c>
      <c r="DF78" s="1900"/>
      <c r="DG78" s="1569">
        <f>SUM(DG76:DG77)</f>
        <v>1242</v>
      </c>
      <c r="DH78" s="1569">
        <f>SUM(DH76:DH77)</f>
        <v>1242</v>
      </c>
      <c r="DI78" s="1569">
        <f>SUM(DI76:DI77)</f>
        <v>1242</v>
      </c>
      <c r="DJ78" s="1569">
        <f>SUM(DJ76:DJ77)</f>
        <v>1242</v>
      </c>
      <c r="DK78" s="1900"/>
      <c r="DL78" s="1569">
        <f>SUM(DL76:DL77)</f>
        <v>1242</v>
      </c>
      <c r="DM78" s="1569">
        <f>SUM(DM76:DM77)</f>
        <v>1242</v>
      </c>
      <c r="DN78" s="38">
        <f>SUM(DN76:DN77)</f>
        <v>1242</v>
      </c>
      <c r="DO78" s="1569">
        <f>SUM(DO76:DO77)</f>
        <v>1242</v>
      </c>
      <c r="DP78" s="1900"/>
      <c r="DQ78" s="1569">
        <f>SUM(DQ76:DQ77)</f>
        <v>1242</v>
      </c>
      <c r="DR78" s="1569">
        <f>SUM(DR76:DR77)</f>
        <v>1242</v>
      </c>
      <c r="DS78" s="1569">
        <f>SUM(DS76:DS77)</f>
        <v>1242</v>
      </c>
      <c r="DT78" s="1569">
        <f>SUM(DT76:DT77)</f>
        <v>1242</v>
      </c>
      <c r="DU78" s="1900"/>
      <c r="DV78" s="1569">
        <f>SUM(DV76:DV77)</f>
        <v>0</v>
      </c>
      <c r="DW78" s="1569">
        <f>SUM(DW76:DW77)</f>
        <v>0</v>
      </c>
      <c r="DX78" s="1569">
        <f>SUM(DX76:DX77)</f>
        <v>0</v>
      </c>
      <c r="DY78" s="1569">
        <f>SUM(DY76:DY77)</f>
        <v>0</v>
      </c>
      <c r="DZ78" s="1900"/>
      <c r="EA78" s="1569">
        <f>SUM(EA76:EA77)</f>
        <v>0</v>
      </c>
      <c r="EB78" s="1569">
        <f>SUM(EB76:EB77)</f>
        <v>0</v>
      </c>
      <c r="EC78" s="1569">
        <f>SUM(EC76:EC77)</f>
        <v>0</v>
      </c>
      <c r="ED78" s="1569">
        <f>SUM(ED76:ED77)</f>
        <v>0</v>
      </c>
      <c r="EE78" s="1900"/>
    </row>
    <row r="79" spans="2:135" ht="12" thickBot="1">
      <c r="B79" s="1896" t="s">
        <v>400</v>
      </c>
      <c r="C79" s="1897"/>
      <c r="D79" s="1897"/>
      <c r="E79" s="1897"/>
      <c r="F79" s="1897"/>
      <c r="G79" s="1897"/>
      <c r="H79" s="1897"/>
      <c r="I79" s="1897"/>
      <c r="J79" s="1897"/>
      <c r="K79" s="1897"/>
      <c r="L79" s="1897"/>
      <c r="M79" s="1897"/>
      <c r="N79" s="1897"/>
      <c r="O79" s="1897"/>
      <c r="P79" s="1897"/>
      <c r="Q79" s="1897"/>
      <c r="R79" s="1897"/>
      <c r="S79" s="1897"/>
      <c r="T79" s="1897"/>
      <c r="U79" s="1897"/>
      <c r="V79" s="1897"/>
      <c r="W79" s="1897"/>
      <c r="X79" s="1897"/>
      <c r="Y79" s="1897"/>
      <c r="Z79" s="1897"/>
      <c r="AA79" s="1897"/>
      <c r="AB79" s="1897"/>
      <c r="AC79" s="1897"/>
      <c r="AD79" s="1897"/>
      <c r="AE79" s="1897"/>
      <c r="AF79" s="1897"/>
      <c r="AG79" s="1897"/>
      <c r="AH79" s="1897"/>
      <c r="AI79" s="1897"/>
      <c r="AJ79" s="1897"/>
      <c r="AK79" s="1897"/>
      <c r="AL79" s="1897"/>
      <c r="AM79" s="1897"/>
      <c r="AN79" s="1897"/>
      <c r="AO79" s="1897"/>
      <c r="AP79" s="1897"/>
      <c r="AQ79" s="1897"/>
      <c r="AR79" s="1897"/>
      <c r="AS79" s="1897"/>
      <c r="AT79" s="1897"/>
      <c r="AU79" s="1897"/>
      <c r="AV79" s="1897"/>
      <c r="AW79" s="1897"/>
      <c r="AX79" s="1897"/>
      <c r="AY79" s="1897"/>
      <c r="AZ79" s="1897"/>
      <c r="BA79" s="1897"/>
      <c r="BB79" s="1897"/>
      <c r="BC79" s="1897"/>
      <c r="BD79" s="1897"/>
      <c r="BE79" s="1897"/>
      <c r="BF79" s="1897"/>
      <c r="BG79" s="1897"/>
      <c r="BH79" s="1897"/>
      <c r="BI79" s="1897"/>
      <c r="BJ79" s="1897"/>
      <c r="BK79" s="1897"/>
      <c r="BL79" s="1897"/>
      <c r="BM79" s="1897"/>
      <c r="BN79" s="1897"/>
      <c r="BO79" s="1897"/>
      <c r="BP79" s="1897"/>
      <c r="BQ79" s="1897"/>
      <c r="BR79" s="1897"/>
      <c r="BS79" s="1897"/>
      <c r="BT79" s="1897"/>
      <c r="BU79" s="1897"/>
      <c r="BV79" s="1897"/>
      <c r="BW79" s="1897"/>
      <c r="BX79" s="1897"/>
      <c r="BY79" s="1897"/>
      <c r="BZ79" s="1897"/>
      <c r="CA79" s="1897"/>
      <c r="CB79" s="1897"/>
      <c r="CC79" s="1897"/>
      <c r="CD79" s="1897"/>
      <c r="CE79" s="1897"/>
      <c r="CF79" s="1897"/>
      <c r="CG79" s="1897"/>
      <c r="CH79" s="1897"/>
      <c r="CI79" s="1897"/>
      <c r="CJ79" s="1897"/>
      <c r="CK79" s="1897"/>
      <c r="CL79" s="1897"/>
      <c r="CM79" s="1897"/>
      <c r="CN79" s="1897"/>
      <c r="CO79" s="1897"/>
      <c r="CP79" s="1897"/>
      <c r="CQ79" s="1897"/>
      <c r="CR79" s="1897"/>
      <c r="CS79" s="1897"/>
      <c r="CT79" s="1897"/>
      <c r="CU79" s="1897"/>
      <c r="CV79" s="1897"/>
      <c r="CW79" s="1897"/>
      <c r="CX79" s="1897"/>
      <c r="CY79" s="1897"/>
      <c r="CZ79" s="1897"/>
      <c r="DA79" s="1901"/>
      <c r="DB79" s="1897"/>
      <c r="DC79" s="1897"/>
      <c r="DD79" s="1897"/>
      <c r="DE79" s="1897">
        <f>AVERAGE(DE76,DE78)*(DE75/4)</f>
        <v>8.3834999999999997</v>
      </c>
      <c r="DF79" s="1901"/>
      <c r="DG79" s="1897">
        <f>AVERAGE(DG76,DG78)*(DG75/4)</f>
        <v>8.3834999999999997</v>
      </c>
      <c r="DH79" s="1897">
        <f>AVERAGE(DH76,DH78)*(DH75/4)</f>
        <v>8.3834999999999997</v>
      </c>
      <c r="DI79" s="1897">
        <f>AVERAGE(DI76,DI78)*(DI75/4)</f>
        <v>8.3834999999999997</v>
      </c>
      <c r="DJ79" s="1897">
        <f>AVERAGE(DJ76,DJ78)*(DJ75/4)</f>
        <v>8.3834999999999997</v>
      </c>
      <c r="DK79" s="1901"/>
      <c r="DL79" s="1897">
        <f>AVERAGE(DL76,DL78)*(DL75/4)</f>
        <v>8.3834999999999997</v>
      </c>
      <c r="DM79" s="1897">
        <f>AVERAGE(DM76,DM78)*(DM75/4)</f>
        <v>8.3834999999999997</v>
      </c>
      <c r="DN79" s="2214">
        <f>AVERAGE(DN76,DN78)*(DN75/4)</f>
        <v>8.3834999999999997</v>
      </c>
      <c r="DO79" s="1897">
        <f>AVERAGE(DO76,DO78)*(DO75/4)</f>
        <v>8.3834999999999997</v>
      </c>
      <c r="DP79" s="1901"/>
      <c r="DQ79" s="1897">
        <f>AVERAGE(DQ76,DQ78)*(DQ75/4)</f>
        <v>8.3834999999999997</v>
      </c>
      <c r="DR79" s="1897">
        <f>AVERAGE(DR76,DR78)*(DR75/4)</f>
        <v>8.3834999999999997</v>
      </c>
      <c r="DS79" s="1897">
        <f>AVERAGE(DS76,DS78)*(DS75/4)</f>
        <v>8.3834999999999997</v>
      </c>
      <c r="DT79" s="1897">
        <f>AVERAGE(DT76,DT78)*(DT75/4)</f>
        <v>8.3834999999999997</v>
      </c>
      <c r="DU79" s="1901"/>
      <c r="DV79" s="1897">
        <f>AVERAGE(DV76,DV78)*(DV75/4)</f>
        <v>4.1917499999999999</v>
      </c>
      <c r="DW79" s="1897">
        <f>AVERAGE(DW76,DW78)*(DW75/4)</f>
        <v>0</v>
      </c>
      <c r="DX79" s="1897">
        <f>AVERAGE(DX76,DX78)*(DX75/4)</f>
        <v>0</v>
      </c>
      <c r="DY79" s="1897">
        <f>AVERAGE(DY76,DY78)*(DY75/4)</f>
        <v>0</v>
      </c>
      <c r="DZ79" s="1901"/>
      <c r="EA79" s="1897">
        <f>AVERAGE(EA76,EA78)*(EA75/4)</f>
        <v>0</v>
      </c>
      <c r="EB79" s="1897">
        <f>AVERAGE(EB76,EB78)*(EB75/4)</f>
        <v>0</v>
      </c>
      <c r="EC79" s="1897">
        <f>AVERAGE(EC76,EC78)*(EC75/4)</f>
        <v>0</v>
      </c>
      <c r="ED79" s="1897">
        <f>AVERAGE(ED76,ED78)*(ED75/4)</f>
        <v>0</v>
      </c>
      <c r="EE79" s="1901"/>
    </row>
    <row r="80" spans="2:135" ht="12" thickBot="1">
      <c r="DN80" s="2231"/>
    </row>
    <row r="81" spans="2:135" ht="12" thickBot="1">
      <c r="B81" s="754" t="s">
        <v>504</v>
      </c>
      <c r="C81" s="684"/>
      <c r="D81" s="684"/>
      <c r="E81" s="684"/>
      <c r="F81" s="684"/>
      <c r="G81" s="684"/>
      <c r="H81" s="684"/>
      <c r="I81" s="684"/>
      <c r="J81" s="684"/>
      <c r="K81" s="684"/>
      <c r="L81" s="684"/>
      <c r="M81" s="684"/>
      <c r="N81" s="684"/>
      <c r="O81" s="684"/>
      <c r="P81" s="684"/>
      <c r="Q81" s="684"/>
      <c r="R81" s="684"/>
      <c r="S81" s="684"/>
      <c r="T81" s="684"/>
      <c r="U81" s="684"/>
      <c r="V81" s="684"/>
      <c r="W81" s="684"/>
      <c r="X81" s="684"/>
      <c r="Y81" s="684"/>
      <c r="Z81" s="684"/>
      <c r="AA81" s="684"/>
      <c r="AB81" s="684"/>
      <c r="AC81" s="684"/>
      <c r="AD81" s="684"/>
      <c r="AE81" s="684"/>
      <c r="AF81" s="684"/>
      <c r="AG81" s="684"/>
      <c r="AH81" s="684"/>
      <c r="AI81" s="684"/>
      <c r="AJ81" s="684"/>
      <c r="AK81" s="684"/>
      <c r="AL81" s="684"/>
      <c r="AM81" s="684"/>
      <c r="AN81" s="684"/>
      <c r="AO81" s="684"/>
      <c r="AP81" s="684"/>
      <c r="AQ81" s="684"/>
      <c r="AR81" s="684"/>
      <c r="AS81" s="684"/>
      <c r="AT81" s="684"/>
      <c r="AU81" s="684"/>
      <c r="AV81" s="684"/>
      <c r="AW81" s="684"/>
      <c r="AX81" s="684"/>
      <c r="AY81" s="684"/>
      <c r="AZ81" s="684"/>
      <c r="BA81" s="684"/>
      <c r="BB81" s="684"/>
      <c r="BC81" s="684"/>
      <c r="BD81" s="684"/>
      <c r="BE81" s="684"/>
      <c r="BF81" s="684"/>
      <c r="BG81" s="684"/>
      <c r="BH81" s="684"/>
      <c r="BI81" s="684"/>
      <c r="BJ81" s="684"/>
      <c r="BK81" s="684"/>
      <c r="BL81" s="684"/>
      <c r="BM81" s="684"/>
      <c r="BN81" s="684"/>
      <c r="BO81" s="684"/>
      <c r="BP81" s="684"/>
      <c r="BQ81" s="684"/>
      <c r="BR81" s="684"/>
      <c r="BS81" s="684"/>
      <c r="BT81" s="684"/>
      <c r="BU81" s="684"/>
      <c r="BV81" s="684"/>
      <c r="BW81" s="684"/>
      <c r="BX81" s="684"/>
      <c r="BY81" s="684"/>
      <c r="BZ81" s="684"/>
      <c r="CA81" s="684"/>
      <c r="CB81" s="684"/>
      <c r="CC81" s="684"/>
      <c r="CD81" s="684"/>
      <c r="CE81" s="684"/>
      <c r="CF81" s="684"/>
      <c r="CG81" s="684"/>
      <c r="CH81" s="684"/>
      <c r="CI81" s="684"/>
      <c r="CJ81" s="684"/>
      <c r="CK81" s="684"/>
      <c r="CL81" s="684"/>
      <c r="CM81" s="684"/>
      <c r="CN81" s="684"/>
      <c r="CO81" s="684"/>
      <c r="CP81" s="684"/>
      <c r="CQ81" s="684"/>
      <c r="CR81" s="684"/>
      <c r="CS81" s="684"/>
      <c r="CT81" s="684"/>
      <c r="CU81" s="684"/>
      <c r="CV81" s="684"/>
      <c r="CW81" s="684"/>
      <c r="CX81" s="684"/>
      <c r="CY81" s="684"/>
      <c r="CZ81" s="684"/>
      <c r="DA81" s="684"/>
      <c r="DB81" s="684"/>
      <c r="DC81" s="684"/>
      <c r="DD81" s="684"/>
      <c r="DE81" s="684"/>
      <c r="DF81" s="684"/>
      <c r="DG81" s="684"/>
      <c r="DH81" s="684"/>
      <c r="DI81" s="684"/>
      <c r="DJ81" s="684"/>
      <c r="DK81" s="684"/>
      <c r="DL81" s="684"/>
      <c r="DM81" s="684"/>
      <c r="DN81" s="2232"/>
      <c r="DO81" s="684"/>
      <c r="DP81" s="1894"/>
      <c r="DQ81" s="684"/>
      <c r="DR81" s="684"/>
      <c r="DS81" s="684"/>
      <c r="DT81" s="684"/>
      <c r="DU81" s="1894"/>
      <c r="DV81" s="684"/>
      <c r="DW81" s="684"/>
      <c r="DX81" s="684"/>
      <c r="DY81" s="684"/>
      <c r="DZ81" s="1894"/>
      <c r="EA81" s="684"/>
      <c r="EB81" s="684"/>
      <c r="EC81" s="684"/>
      <c r="ED81" s="684"/>
      <c r="EE81" s="1894"/>
    </row>
    <row r="82" spans="2:135">
      <c r="B82" s="1902" t="s">
        <v>498</v>
      </c>
      <c r="C82" s="1903"/>
      <c r="D82" s="1903"/>
      <c r="E82" s="1903"/>
      <c r="F82" s="1903"/>
      <c r="G82" s="1903"/>
      <c r="H82" s="1903"/>
      <c r="I82" s="1903"/>
      <c r="J82" s="1903"/>
      <c r="K82" s="1903"/>
      <c r="L82" s="1903"/>
      <c r="M82" s="1903"/>
      <c r="N82" s="1903"/>
      <c r="O82" s="1903"/>
      <c r="P82" s="1903"/>
      <c r="Q82" s="1903"/>
      <c r="R82" s="1903"/>
      <c r="S82" s="1903"/>
      <c r="T82" s="1903"/>
      <c r="U82" s="1903"/>
      <c r="V82" s="1903"/>
      <c r="W82" s="1903"/>
      <c r="X82" s="1903"/>
      <c r="Y82" s="1903"/>
      <c r="Z82" s="1903"/>
      <c r="AA82" s="1903"/>
      <c r="AB82" s="1903"/>
      <c r="AC82" s="1903"/>
      <c r="AD82" s="1903"/>
      <c r="AE82" s="1903"/>
      <c r="AF82" s="1903"/>
      <c r="AG82" s="1903"/>
      <c r="AH82" s="1903"/>
      <c r="AI82" s="1903"/>
      <c r="AJ82" s="1903"/>
      <c r="AK82" s="1903"/>
      <c r="AL82" s="1903"/>
      <c r="AM82" s="1903"/>
      <c r="AN82" s="1903"/>
      <c r="AO82" s="1903"/>
      <c r="AP82" s="1903"/>
      <c r="AQ82" s="1903"/>
      <c r="AR82" s="1903"/>
      <c r="AS82" s="1903"/>
      <c r="AT82" s="1903"/>
      <c r="AU82" s="1903"/>
      <c r="AV82" s="1903"/>
      <c r="AW82" s="1903"/>
      <c r="AX82" s="1903"/>
      <c r="AY82" s="1903"/>
      <c r="AZ82" s="1903"/>
      <c r="BA82" s="1903"/>
      <c r="BB82" s="1903"/>
      <c r="BC82" s="1903"/>
      <c r="BD82" s="1903"/>
      <c r="BE82" s="1903"/>
      <c r="BF82" s="1903"/>
      <c r="BG82" s="1903"/>
      <c r="BH82" s="1903"/>
      <c r="BI82" s="1903"/>
      <c r="BJ82" s="1903"/>
      <c r="BK82" s="1903"/>
      <c r="BL82" s="1903"/>
      <c r="BM82" s="1903"/>
      <c r="BN82" s="1903"/>
      <c r="BO82" s="1903"/>
      <c r="BP82" s="1903"/>
      <c r="BQ82" s="1903"/>
      <c r="BR82" s="1903"/>
      <c r="BS82" s="1903"/>
      <c r="BT82" s="1903"/>
      <c r="BU82" s="1903"/>
      <c r="BV82" s="1903"/>
      <c r="BW82" s="1903"/>
      <c r="BX82" s="1903"/>
      <c r="BY82" s="1903"/>
      <c r="BZ82" s="1903"/>
      <c r="CA82" s="1903"/>
      <c r="CB82" s="1903"/>
      <c r="CC82" s="1903"/>
      <c r="CD82" s="1903"/>
      <c r="CE82" s="1903"/>
      <c r="CF82" s="1903"/>
      <c r="CG82" s="1903"/>
      <c r="CH82" s="1903"/>
      <c r="CI82" s="1903"/>
      <c r="CJ82" s="1903"/>
      <c r="CK82" s="1903"/>
      <c r="CL82" s="1903"/>
      <c r="CM82" s="1903"/>
      <c r="CN82" s="1903"/>
      <c r="CO82" s="1903"/>
      <c r="CP82" s="1903"/>
      <c r="CQ82" s="1903"/>
      <c r="CR82" s="1903"/>
      <c r="CS82" s="1903"/>
      <c r="CT82" s="1903"/>
      <c r="CU82" s="1903"/>
      <c r="CV82" s="1903"/>
      <c r="CW82" s="1904">
        <v>2.8750000000000001E-2</v>
      </c>
      <c r="CX82" s="1904">
        <v>2.8750000000000001E-2</v>
      </c>
      <c r="CY82" s="1904">
        <v>2.8750000000000001E-2</v>
      </c>
      <c r="CZ82" s="1904">
        <v>2.8750000000000001E-2</v>
      </c>
      <c r="DA82" s="1941"/>
      <c r="DB82" s="1904">
        <v>2.8750000000000001E-2</v>
      </c>
      <c r="DC82" s="1904">
        <v>2.8750000000000001E-2</v>
      </c>
      <c r="DD82" s="1904">
        <v>2.8750000000000001E-2</v>
      </c>
      <c r="DE82" s="1903">
        <f>DD82</f>
        <v>2.8750000000000001E-2</v>
      </c>
      <c r="DF82" s="1899"/>
      <c r="DG82" s="1903">
        <f>DE82</f>
        <v>2.8750000000000001E-2</v>
      </c>
      <c r="DH82" s="1903">
        <f>DG82</f>
        <v>2.8750000000000001E-2</v>
      </c>
      <c r="DI82" s="1903">
        <f>DH82</f>
        <v>2.8750000000000001E-2</v>
      </c>
      <c r="DJ82" s="1903">
        <f>DI82</f>
        <v>2.8750000000000001E-2</v>
      </c>
      <c r="DK82" s="1899"/>
      <c r="DL82" s="1903">
        <f>DJ82</f>
        <v>2.8750000000000001E-2</v>
      </c>
      <c r="DM82" s="1903">
        <f>DL82</f>
        <v>2.8750000000000001E-2</v>
      </c>
      <c r="DN82" s="2215">
        <f>DM82</f>
        <v>2.8750000000000001E-2</v>
      </c>
      <c r="DO82" s="1903">
        <f>DN82</f>
        <v>2.8750000000000001E-2</v>
      </c>
      <c r="DP82" s="1899"/>
      <c r="DQ82" s="1903">
        <f>DO82</f>
        <v>2.8750000000000001E-2</v>
      </c>
      <c r="DR82" s="1903">
        <f>DQ82</f>
        <v>2.8750000000000001E-2</v>
      </c>
      <c r="DS82" s="1903">
        <f>DR82</f>
        <v>2.8750000000000001E-2</v>
      </c>
      <c r="DT82" s="1903">
        <f>DS82</f>
        <v>2.8750000000000001E-2</v>
      </c>
      <c r="DU82" s="1899"/>
      <c r="DV82" s="1903">
        <f>DT82</f>
        <v>2.8750000000000001E-2</v>
      </c>
      <c r="DW82" s="1903">
        <f>DV82</f>
        <v>2.8750000000000001E-2</v>
      </c>
      <c r="DX82" s="1903">
        <f>DW82</f>
        <v>2.8750000000000001E-2</v>
      </c>
      <c r="DY82" s="1903">
        <f>DX82</f>
        <v>2.8750000000000001E-2</v>
      </c>
      <c r="DZ82" s="1899"/>
      <c r="EA82" s="1903">
        <f>DY82</f>
        <v>2.8750000000000001E-2</v>
      </c>
      <c r="EB82" s="1903">
        <f>EA82</f>
        <v>2.8750000000000001E-2</v>
      </c>
      <c r="EC82" s="1903">
        <f>EB82</f>
        <v>2.8750000000000001E-2</v>
      </c>
      <c r="ED82" s="1903">
        <f>EC82</f>
        <v>2.8750000000000001E-2</v>
      </c>
      <c r="EE82" s="1899"/>
    </row>
    <row r="83" spans="2:135">
      <c r="B83" s="1895" t="s">
        <v>483</v>
      </c>
      <c r="C83" s="1569"/>
      <c r="D83" s="1569"/>
      <c r="E83" s="1569"/>
      <c r="F83" s="1569"/>
      <c r="G83" s="1569"/>
      <c r="H83" s="1569"/>
      <c r="I83" s="1569"/>
      <c r="J83" s="1569"/>
      <c r="K83" s="1569"/>
      <c r="L83" s="1569"/>
      <c r="M83" s="1569"/>
      <c r="N83" s="1569"/>
      <c r="O83" s="1569"/>
      <c r="P83" s="1569"/>
      <c r="Q83" s="1569"/>
      <c r="R83" s="1569"/>
      <c r="S83" s="1569"/>
      <c r="T83" s="1569"/>
      <c r="U83" s="1569"/>
      <c r="V83" s="1569"/>
      <c r="W83" s="1569"/>
      <c r="X83" s="1569"/>
      <c r="Y83" s="1569"/>
      <c r="Z83" s="1569"/>
      <c r="AA83" s="1569"/>
      <c r="AB83" s="1569"/>
      <c r="AC83" s="1569"/>
      <c r="AD83" s="1569"/>
      <c r="AE83" s="1569"/>
      <c r="AF83" s="1569"/>
      <c r="AG83" s="1569"/>
      <c r="AH83" s="1569"/>
      <c r="AI83" s="1569"/>
      <c r="AJ83" s="1569"/>
      <c r="AK83" s="1569"/>
      <c r="AL83" s="1569"/>
      <c r="AM83" s="1569"/>
      <c r="AN83" s="1569"/>
      <c r="AO83" s="1569"/>
      <c r="AP83" s="1569"/>
      <c r="AQ83" s="1569"/>
      <c r="AR83" s="1569"/>
      <c r="AS83" s="1569"/>
      <c r="AT83" s="1569"/>
      <c r="AU83" s="1569"/>
      <c r="AV83" s="1569"/>
      <c r="AW83" s="1569"/>
      <c r="AX83" s="1569"/>
      <c r="AY83" s="1569"/>
      <c r="AZ83" s="1569"/>
      <c r="BA83" s="1569"/>
      <c r="BB83" s="1569"/>
      <c r="BC83" s="1569"/>
      <c r="BD83" s="1569"/>
      <c r="BE83" s="1569"/>
      <c r="BF83" s="1569"/>
      <c r="BG83" s="1569"/>
      <c r="BH83" s="1569"/>
      <c r="BI83" s="1569"/>
      <c r="BJ83" s="1569"/>
      <c r="BK83" s="1569"/>
      <c r="BL83" s="1569"/>
      <c r="BM83" s="1569"/>
      <c r="BN83" s="1569"/>
      <c r="BO83" s="1569"/>
      <c r="BP83" s="1569"/>
      <c r="BQ83" s="1569"/>
      <c r="BR83" s="1569"/>
      <c r="BS83" s="1569"/>
      <c r="BT83" s="1569"/>
      <c r="BU83" s="1569"/>
      <c r="BV83" s="1569"/>
      <c r="BW83" s="1569"/>
      <c r="BX83" s="1569"/>
      <c r="BY83" s="1569"/>
      <c r="BZ83" s="1569"/>
      <c r="CA83" s="1569"/>
      <c r="CB83" s="1569"/>
      <c r="CC83" s="1569"/>
      <c r="CD83" s="1569"/>
      <c r="CE83" s="1569"/>
      <c r="CF83" s="1569"/>
      <c r="CG83" s="1569"/>
      <c r="CH83" s="1569"/>
      <c r="CI83" s="1569"/>
      <c r="CJ83" s="1569"/>
      <c r="CK83" s="1569"/>
      <c r="CL83" s="1569"/>
      <c r="CM83" s="1569"/>
      <c r="CN83" s="1569"/>
      <c r="CO83" s="1569"/>
      <c r="CP83" s="1569"/>
      <c r="CQ83" s="1569"/>
      <c r="CR83" s="1569"/>
      <c r="CS83" s="1569"/>
      <c r="CT83" s="1569"/>
      <c r="CU83" s="1569"/>
      <c r="CV83" s="1569"/>
      <c r="CW83" s="1569"/>
      <c r="CX83" s="1569"/>
      <c r="CY83" s="1569"/>
      <c r="CZ83" s="1569"/>
      <c r="DA83" s="1900"/>
      <c r="DB83" s="1569"/>
      <c r="DC83" s="1569"/>
      <c r="DD83" s="1569"/>
      <c r="DE83" s="1569">
        <f>DD85</f>
        <v>612</v>
      </c>
      <c r="DF83" s="1900"/>
      <c r="DG83" s="1569">
        <f>DE85</f>
        <v>612</v>
      </c>
      <c r="DH83" s="1569">
        <f>DG85</f>
        <v>612</v>
      </c>
      <c r="DI83" s="1569">
        <f>DH85</f>
        <v>612</v>
      </c>
      <c r="DJ83" s="1569">
        <f>DI85</f>
        <v>612</v>
      </c>
      <c r="DK83" s="1900"/>
      <c r="DL83" s="1569">
        <f>DJ85</f>
        <v>612</v>
      </c>
      <c r="DM83" s="1569">
        <f>DL85</f>
        <v>612</v>
      </c>
      <c r="DN83" s="38">
        <f>DM85</f>
        <v>612</v>
      </c>
      <c r="DO83" s="1569">
        <f>DN85</f>
        <v>513</v>
      </c>
      <c r="DP83" s="1900"/>
      <c r="DQ83" s="1569">
        <f>DO85</f>
        <v>513</v>
      </c>
      <c r="DR83" s="1569">
        <f>DQ85</f>
        <v>513</v>
      </c>
      <c r="DS83" s="1569">
        <f>DR85</f>
        <v>513</v>
      </c>
      <c r="DT83" s="1569">
        <f>DS85</f>
        <v>513</v>
      </c>
      <c r="DU83" s="1900"/>
      <c r="DV83" s="1569">
        <f>DT85</f>
        <v>513</v>
      </c>
      <c r="DW83" s="1569">
        <f>DV85</f>
        <v>513</v>
      </c>
      <c r="DX83" s="1569">
        <f>DW85</f>
        <v>513</v>
      </c>
      <c r="DY83" s="1569">
        <f>DX85</f>
        <v>513</v>
      </c>
      <c r="DZ83" s="1900"/>
      <c r="EA83" s="1569">
        <f>DY85</f>
        <v>513</v>
      </c>
      <c r="EB83" s="1569">
        <f>EA85</f>
        <v>513</v>
      </c>
      <c r="EC83" s="1569">
        <f>EB85</f>
        <v>513</v>
      </c>
      <c r="ED83" s="1569">
        <f>EC85</f>
        <v>513</v>
      </c>
      <c r="EE83" s="1900"/>
    </row>
    <row r="84" spans="2:135">
      <c r="B84" s="1895" t="s">
        <v>484</v>
      </c>
      <c r="C84" s="1569"/>
      <c r="D84" s="1569"/>
      <c r="E84" s="1569"/>
      <c r="F84" s="1569"/>
      <c r="G84" s="1569"/>
      <c r="H84" s="1569"/>
      <c r="I84" s="1569"/>
      <c r="J84" s="1569"/>
      <c r="K84" s="1569"/>
      <c r="L84" s="1569"/>
      <c r="M84" s="1569"/>
      <c r="N84" s="1569"/>
      <c r="O84" s="1569"/>
      <c r="P84" s="1569"/>
      <c r="Q84" s="1569"/>
      <c r="R84" s="1569"/>
      <c r="S84" s="1569"/>
      <c r="T84" s="1569"/>
      <c r="U84" s="1569"/>
      <c r="V84" s="1569"/>
      <c r="W84" s="1569"/>
      <c r="X84" s="1569"/>
      <c r="Y84" s="1569"/>
      <c r="Z84" s="1569"/>
      <c r="AA84" s="1569"/>
      <c r="AB84" s="1569"/>
      <c r="AC84" s="1569"/>
      <c r="AD84" s="1569"/>
      <c r="AE84" s="1569"/>
      <c r="AF84" s="1569"/>
      <c r="AG84" s="1569"/>
      <c r="AH84" s="1569"/>
      <c r="AI84" s="1569"/>
      <c r="AJ84" s="1569"/>
      <c r="AK84" s="1569"/>
      <c r="AL84" s="1569"/>
      <c r="AM84" s="1569"/>
      <c r="AN84" s="1569"/>
      <c r="AO84" s="1569"/>
      <c r="AP84" s="1569"/>
      <c r="AQ84" s="1569"/>
      <c r="AR84" s="1569"/>
      <c r="AS84" s="1569"/>
      <c r="AT84" s="1569"/>
      <c r="AU84" s="1569"/>
      <c r="AV84" s="1569"/>
      <c r="AW84" s="1569"/>
      <c r="AX84" s="1569"/>
      <c r="AY84" s="1569"/>
      <c r="AZ84" s="1569"/>
      <c r="BA84" s="1569"/>
      <c r="BB84" s="1569"/>
      <c r="BC84" s="1569"/>
      <c r="BD84" s="1569"/>
      <c r="BE84" s="1569"/>
      <c r="BF84" s="1569"/>
      <c r="BG84" s="1569"/>
      <c r="BH84" s="1569"/>
      <c r="BI84" s="1569"/>
      <c r="BJ84" s="1569"/>
      <c r="BK84" s="1569"/>
      <c r="BL84" s="1569"/>
      <c r="BM84" s="1569"/>
      <c r="BN84" s="1569"/>
      <c r="BO84" s="1569"/>
      <c r="BP84" s="1569"/>
      <c r="BQ84" s="1569"/>
      <c r="BR84" s="1569"/>
      <c r="BS84" s="1569"/>
      <c r="BT84" s="1569"/>
      <c r="BU84" s="1569"/>
      <c r="BV84" s="1569"/>
      <c r="BW84" s="1569"/>
      <c r="BX84" s="1569"/>
      <c r="BY84" s="1569"/>
      <c r="BZ84" s="1569"/>
      <c r="CA84" s="1569"/>
      <c r="CB84" s="1569"/>
      <c r="CC84" s="1569"/>
      <c r="CD84" s="1569"/>
      <c r="CE84" s="1569"/>
      <c r="CF84" s="1569"/>
      <c r="CG84" s="1569"/>
      <c r="CH84" s="1569"/>
      <c r="CI84" s="1569"/>
      <c r="CJ84" s="1569"/>
      <c r="CK84" s="1569"/>
      <c r="CL84" s="1569"/>
      <c r="CM84" s="1569"/>
      <c r="CN84" s="1569"/>
      <c r="CO84" s="1569"/>
      <c r="CP84" s="1569"/>
      <c r="CQ84" s="1569"/>
      <c r="CR84" s="1569"/>
      <c r="CS84" s="1569"/>
      <c r="CT84" s="1569"/>
      <c r="CU84" s="1569"/>
      <c r="CV84" s="1569"/>
      <c r="CW84" s="1569"/>
      <c r="CX84" s="1569"/>
      <c r="CY84" s="1569"/>
      <c r="CZ84" s="1569"/>
      <c r="DA84" s="1900"/>
      <c r="DB84" s="1569"/>
      <c r="DC84" s="1569"/>
      <c r="DD84" s="1569"/>
      <c r="DE84" s="1569"/>
      <c r="DF84" s="1900"/>
      <c r="DG84" s="1569"/>
      <c r="DH84" s="1569"/>
      <c r="DI84" s="1569"/>
      <c r="DJ84" s="1569"/>
      <c r="DK84" s="1900"/>
      <c r="DL84" s="1569">
        <v>0</v>
      </c>
      <c r="DM84" s="1569"/>
      <c r="DN84" s="38"/>
      <c r="DO84" s="1569"/>
      <c r="DP84" s="1900"/>
      <c r="DQ84" s="1569"/>
      <c r="DR84" s="1569"/>
      <c r="DS84" s="1569"/>
      <c r="DT84" s="1569"/>
      <c r="DU84" s="1900"/>
      <c r="DV84" s="1569"/>
      <c r="DW84" s="1569"/>
      <c r="DX84" s="1569"/>
      <c r="DY84" s="1569"/>
      <c r="DZ84" s="1900"/>
      <c r="EA84" s="1569"/>
      <c r="EB84" s="1569"/>
      <c r="EC84" s="1569"/>
      <c r="ED84" s="1569"/>
      <c r="EE84" s="1900"/>
    </row>
    <row r="85" spans="2:135">
      <c r="B85" s="1895" t="s">
        <v>485</v>
      </c>
      <c r="C85" s="1569"/>
      <c r="D85" s="1569"/>
      <c r="E85" s="1569"/>
      <c r="F85" s="1569"/>
      <c r="G85" s="1569"/>
      <c r="H85" s="1569"/>
      <c r="I85" s="1569"/>
      <c r="J85" s="1569"/>
      <c r="K85" s="1569"/>
      <c r="L85" s="1569"/>
      <c r="M85" s="1569"/>
      <c r="N85" s="1569"/>
      <c r="O85" s="1569"/>
      <c r="P85" s="1569"/>
      <c r="Q85" s="1569"/>
      <c r="R85" s="1569"/>
      <c r="S85" s="1569"/>
      <c r="T85" s="1569"/>
      <c r="U85" s="1569"/>
      <c r="V85" s="1569"/>
      <c r="W85" s="1569"/>
      <c r="X85" s="1569"/>
      <c r="Y85" s="1569"/>
      <c r="Z85" s="1569"/>
      <c r="AA85" s="1569"/>
      <c r="AB85" s="1569"/>
      <c r="AC85" s="1569"/>
      <c r="AD85" s="1569"/>
      <c r="AE85" s="1569"/>
      <c r="AF85" s="1569"/>
      <c r="AG85" s="1569"/>
      <c r="AH85" s="1569"/>
      <c r="AI85" s="1569"/>
      <c r="AJ85" s="1569"/>
      <c r="AK85" s="1569"/>
      <c r="AL85" s="1569"/>
      <c r="AM85" s="1569"/>
      <c r="AN85" s="1569"/>
      <c r="AO85" s="1569"/>
      <c r="AP85" s="1569"/>
      <c r="AQ85" s="1569"/>
      <c r="AR85" s="1569"/>
      <c r="AS85" s="1569"/>
      <c r="AT85" s="1569"/>
      <c r="AU85" s="1569"/>
      <c r="AV85" s="1569"/>
      <c r="AW85" s="1569"/>
      <c r="AX85" s="1569"/>
      <c r="AY85" s="1569"/>
      <c r="AZ85" s="1569"/>
      <c r="BA85" s="1569"/>
      <c r="BB85" s="1569"/>
      <c r="BC85" s="1569"/>
      <c r="BD85" s="1569"/>
      <c r="BE85" s="1569"/>
      <c r="BF85" s="1569"/>
      <c r="BG85" s="1569"/>
      <c r="BH85" s="1569"/>
      <c r="BI85" s="1569"/>
      <c r="BJ85" s="1569"/>
      <c r="BK85" s="1569"/>
      <c r="BL85" s="1569"/>
      <c r="BM85" s="1569"/>
      <c r="BN85" s="1569"/>
      <c r="BO85" s="1569"/>
      <c r="BP85" s="1569"/>
      <c r="BQ85" s="1569"/>
      <c r="BR85" s="1569"/>
      <c r="BS85" s="1569"/>
      <c r="BT85" s="1569"/>
      <c r="BU85" s="1569"/>
      <c r="BV85" s="1569"/>
      <c r="BW85" s="1569"/>
      <c r="BX85" s="1569"/>
      <c r="BY85" s="1569"/>
      <c r="BZ85" s="1569"/>
      <c r="CA85" s="1569"/>
      <c r="CB85" s="1569"/>
      <c r="CC85" s="1569"/>
      <c r="CD85" s="1569"/>
      <c r="CE85" s="1569"/>
      <c r="CF85" s="1569"/>
      <c r="CG85" s="1569"/>
      <c r="CH85" s="1569"/>
      <c r="CI85" s="1569"/>
      <c r="CJ85" s="1569"/>
      <c r="CK85" s="1569"/>
      <c r="CL85" s="1569"/>
      <c r="CM85" s="1569"/>
      <c r="CN85" s="1569"/>
      <c r="CO85" s="1569"/>
      <c r="CP85" s="1569"/>
      <c r="CQ85" s="1569"/>
      <c r="CR85" s="1569"/>
      <c r="CS85" s="1569"/>
      <c r="CT85" s="1569"/>
      <c r="CU85" s="1569"/>
      <c r="CV85" s="1569"/>
      <c r="CW85" s="1569"/>
      <c r="CX85" s="1569"/>
      <c r="CY85" s="1569"/>
      <c r="CZ85" s="1569"/>
      <c r="DA85" s="1900"/>
      <c r="DB85" s="1569"/>
      <c r="DC85" s="1569"/>
      <c r="DD85" s="1569">
        <v>612</v>
      </c>
      <c r="DE85" s="1569">
        <f>SUM(DE83:DE84)</f>
        <v>612</v>
      </c>
      <c r="DF85" s="1900"/>
      <c r="DG85" s="1569">
        <f>SUM(DG83:DG84)</f>
        <v>612</v>
      </c>
      <c r="DH85" s="1569">
        <f>SUM(DH83:DH84)</f>
        <v>612</v>
      </c>
      <c r="DI85" s="1569">
        <f>SUM(DI83:DI84)</f>
        <v>612</v>
      </c>
      <c r="DJ85" s="1569">
        <f>SUM(DJ83:DJ84)</f>
        <v>612</v>
      </c>
      <c r="DK85" s="1900"/>
      <c r="DL85" s="1569">
        <f>SUM(DL83:DL84)</f>
        <v>612</v>
      </c>
      <c r="DM85" s="1569">
        <f>SUM(DM83:DM84)</f>
        <v>612</v>
      </c>
      <c r="DN85" s="38">
        <v>513</v>
      </c>
      <c r="DO85" s="1569">
        <f>SUM(DO83:DO84)</f>
        <v>513</v>
      </c>
      <c r="DP85" s="1900"/>
      <c r="DQ85" s="1569">
        <f>SUM(DQ83:DQ84)</f>
        <v>513</v>
      </c>
      <c r="DR85" s="1569">
        <f>SUM(DR83:DR84)</f>
        <v>513</v>
      </c>
      <c r="DS85" s="1569">
        <f>SUM(DS83:DS84)</f>
        <v>513</v>
      </c>
      <c r="DT85" s="1569">
        <f>SUM(DT83:DT84)</f>
        <v>513</v>
      </c>
      <c r="DU85" s="1900"/>
      <c r="DV85" s="1569">
        <f>SUM(DV83:DV84)</f>
        <v>513</v>
      </c>
      <c r="DW85" s="1569">
        <f>SUM(DW83:DW84)</f>
        <v>513</v>
      </c>
      <c r="DX85" s="1569">
        <f>SUM(DX83:DX84)</f>
        <v>513</v>
      </c>
      <c r="DY85" s="1569">
        <f>SUM(DY83:DY84)</f>
        <v>513</v>
      </c>
      <c r="DZ85" s="1900"/>
      <c r="EA85" s="1569">
        <f>SUM(EA83:EA84)</f>
        <v>513</v>
      </c>
      <c r="EB85" s="1569">
        <f>SUM(EB83:EB84)</f>
        <v>513</v>
      </c>
      <c r="EC85" s="1569">
        <f>SUM(EC83:EC84)</f>
        <v>513</v>
      </c>
      <c r="ED85" s="1569">
        <f>SUM(ED83:ED84)</f>
        <v>513</v>
      </c>
      <c r="EE85" s="1900"/>
    </row>
    <row r="86" spans="2:135" ht="12" thickBot="1">
      <c r="B86" s="1896" t="s">
        <v>400</v>
      </c>
      <c r="C86" s="1897"/>
      <c r="D86" s="1897"/>
      <c r="E86" s="1897"/>
      <c r="F86" s="1897"/>
      <c r="G86" s="1897"/>
      <c r="H86" s="1897"/>
      <c r="I86" s="1897"/>
      <c r="J86" s="1897"/>
      <c r="K86" s="1897"/>
      <c r="L86" s="1897"/>
      <c r="M86" s="1897"/>
      <c r="N86" s="1897"/>
      <c r="O86" s="1897"/>
      <c r="P86" s="1897"/>
      <c r="Q86" s="1897"/>
      <c r="R86" s="1897"/>
      <c r="S86" s="1897"/>
      <c r="T86" s="1897"/>
      <c r="U86" s="1897"/>
      <c r="V86" s="1897"/>
      <c r="W86" s="1897"/>
      <c r="X86" s="1897"/>
      <c r="Y86" s="1897"/>
      <c r="Z86" s="1897"/>
      <c r="AA86" s="1897"/>
      <c r="AB86" s="1897"/>
      <c r="AC86" s="1897"/>
      <c r="AD86" s="1897"/>
      <c r="AE86" s="1897"/>
      <c r="AF86" s="1897"/>
      <c r="AG86" s="1897"/>
      <c r="AH86" s="1897"/>
      <c r="AI86" s="1897"/>
      <c r="AJ86" s="1897"/>
      <c r="AK86" s="1897"/>
      <c r="AL86" s="1897"/>
      <c r="AM86" s="1897"/>
      <c r="AN86" s="1897"/>
      <c r="AO86" s="1897"/>
      <c r="AP86" s="1897"/>
      <c r="AQ86" s="1897"/>
      <c r="AR86" s="1897"/>
      <c r="AS86" s="1897"/>
      <c r="AT86" s="1897"/>
      <c r="AU86" s="1897"/>
      <c r="AV86" s="1897"/>
      <c r="AW86" s="1897"/>
      <c r="AX86" s="1897"/>
      <c r="AY86" s="1897"/>
      <c r="AZ86" s="1897"/>
      <c r="BA86" s="1897"/>
      <c r="BB86" s="1897"/>
      <c r="BC86" s="1897"/>
      <c r="BD86" s="1897"/>
      <c r="BE86" s="1897"/>
      <c r="BF86" s="1897"/>
      <c r="BG86" s="1897"/>
      <c r="BH86" s="1897"/>
      <c r="BI86" s="1897"/>
      <c r="BJ86" s="1897"/>
      <c r="BK86" s="1897"/>
      <c r="BL86" s="1897"/>
      <c r="BM86" s="1897"/>
      <c r="BN86" s="1897"/>
      <c r="BO86" s="1897"/>
      <c r="BP86" s="1897"/>
      <c r="BQ86" s="1897"/>
      <c r="BR86" s="1897"/>
      <c r="BS86" s="1897"/>
      <c r="BT86" s="1897"/>
      <c r="BU86" s="1897"/>
      <c r="BV86" s="1897"/>
      <c r="BW86" s="1897"/>
      <c r="BX86" s="1897"/>
      <c r="BY86" s="1897"/>
      <c r="BZ86" s="1897"/>
      <c r="CA86" s="1897"/>
      <c r="CB86" s="1897"/>
      <c r="CC86" s="1897"/>
      <c r="CD86" s="1897"/>
      <c r="CE86" s="1897"/>
      <c r="CF86" s="1897"/>
      <c r="CG86" s="1897"/>
      <c r="CH86" s="1897"/>
      <c r="CI86" s="1897"/>
      <c r="CJ86" s="1897"/>
      <c r="CK86" s="1897"/>
      <c r="CL86" s="1897"/>
      <c r="CM86" s="1897"/>
      <c r="CN86" s="1897"/>
      <c r="CO86" s="1897"/>
      <c r="CP86" s="1897"/>
      <c r="CQ86" s="1897"/>
      <c r="CR86" s="1897"/>
      <c r="CS86" s="1897"/>
      <c r="CT86" s="1897"/>
      <c r="CU86" s="1897"/>
      <c r="CV86" s="1897"/>
      <c r="CW86" s="1897"/>
      <c r="CX86" s="1897"/>
      <c r="CY86" s="1897"/>
      <c r="CZ86" s="1897"/>
      <c r="DA86" s="1901"/>
      <c r="DB86" s="1897"/>
      <c r="DC86" s="1897"/>
      <c r="DD86" s="1897"/>
      <c r="DE86" s="1897">
        <f>AVERAGE(DE83,DE85)*(DE82/4)</f>
        <v>4.3987500000000006</v>
      </c>
      <c r="DF86" s="1901"/>
      <c r="DG86" s="1897">
        <f>AVERAGE(DG83,DG85)*(DG82/4)</f>
        <v>4.3987500000000006</v>
      </c>
      <c r="DH86" s="1897">
        <f>AVERAGE(DH83,DH85)*(DH82/4)</f>
        <v>4.3987500000000006</v>
      </c>
      <c r="DI86" s="1897">
        <f>AVERAGE(DI83,DI85)*(DI82/4)</f>
        <v>4.3987500000000006</v>
      </c>
      <c r="DJ86" s="1897">
        <f>AVERAGE(DJ83,DJ85)*(DJ82/4)</f>
        <v>4.3987500000000006</v>
      </c>
      <c r="DK86" s="1901"/>
      <c r="DL86" s="1897">
        <f>AVERAGE(DL83,DL85)*(DL82/4)</f>
        <v>4.3987500000000006</v>
      </c>
      <c r="DM86" s="1897">
        <f>AVERAGE(DM83,DM85)*(DM82/4)</f>
        <v>4.3987500000000006</v>
      </c>
      <c r="DN86" s="2214">
        <f>AVERAGE(DN83,DN85)*(DN82/4)</f>
        <v>4.04296875</v>
      </c>
      <c r="DO86" s="1897">
        <f>AVERAGE(DO83,DO85)*(DO82/4)</f>
        <v>3.6871875000000003</v>
      </c>
      <c r="DP86" s="1901"/>
      <c r="DQ86" s="1897">
        <f>AVERAGE(DQ83,DQ85)*(DQ82/4)</f>
        <v>3.6871875000000003</v>
      </c>
      <c r="DR86" s="1897">
        <f>AVERAGE(DR83,DR85)*(DR82/4)</f>
        <v>3.6871875000000003</v>
      </c>
      <c r="DS86" s="1897">
        <f>AVERAGE(DS83,DS85)*(DS82/4)</f>
        <v>3.6871875000000003</v>
      </c>
      <c r="DT86" s="1897">
        <f>AVERAGE(DT83,DT85)*(DT82/4)</f>
        <v>3.6871875000000003</v>
      </c>
      <c r="DU86" s="1901"/>
      <c r="DV86" s="1897">
        <f>AVERAGE(DV83,DV85)*(DV82/4)</f>
        <v>3.6871875000000003</v>
      </c>
      <c r="DW86" s="1897">
        <f>AVERAGE(DW83,DW85)*(DW82/4)</f>
        <v>3.6871875000000003</v>
      </c>
      <c r="DX86" s="1897">
        <f>AVERAGE(DX83,DX85)*(DX82/4)</f>
        <v>3.6871875000000003</v>
      </c>
      <c r="DY86" s="1897">
        <f>AVERAGE(DY83,DY85)*(DY82/4)</f>
        <v>3.6871875000000003</v>
      </c>
      <c r="DZ86" s="1901"/>
      <c r="EA86" s="1897">
        <f>AVERAGE(EA83,EA85)*(EA82/4)</f>
        <v>3.6871875000000003</v>
      </c>
      <c r="EB86" s="1897">
        <f>AVERAGE(EB83,EB85)*(EB82/4)</f>
        <v>3.6871875000000003</v>
      </c>
      <c r="EC86" s="1897">
        <f>AVERAGE(EC83,EC85)*(EC82/4)</f>
        <v>3.6871875000000003</v>
      </c>
      <c r="ED86" s="1897">
        <f>AVERAGE(ED83,ED85)*(ED82/4)</f>
        <v>3.6871875000000003</v>
      </c>
      <c r="EE86" s="1901"/>
    </row>
    <row r="87" spans="2:135" ht="12" thickBot="1">
      <c r="DN87" s="2231"/>
    </row>
    <row r="88" spans="2:135" ht="12" thickBot="1">
      <c r="B88" s="754" t="s">
        <v>505</v>
      </c>
      <c r="C88" s="684"/>
      <c r="D88" s="684"/>
      <c r="E88" s="684"/>
      <c r="F88" s="684"/>
      <c r="G88" s="684"/>
      <c r="H88" s="684"/>
      <c r="I88" s="684"/>
      <c r="J88" s="684"/>
      <c r="K88" s="684"/>
      <c r="L88" s="684"/>
      <c r="M88" s="684"/>
      <c r="N88" s="684"/>
      <c r="O88" s="684"/>
      <c r="P88" s="684"/>
      <c r="Q88" s="684"/>
      <c r="R88" s="684"/>
      <c r="S88" s="684"/>
      <c r="T88" s="684"/>
      <c r="U88" s="684"/>
      <c r="V88" s="684"/>
      <c r="W88" s="684"/>
      <c r="X88" s="684"/>
      <c r="Y88" s="684"/>
      <c r="Z88" s="684"/>
      <c r="AA88" s="684"/>
      <c r="AB88" s="684"/>
      <c r="AC88" s="684"/>
      <c r="AD88" s="684"/>
      <c r="AE88" s="684"/>
      <c r="AF88" s="684"/>
      <c r="AG88" s="684"/>
      <c r="AH88" s="684"/>
      <c r="AI88" s="684"/>
      <c r="AJ88" s="684"/>
      <c r="AK88" s="684"/>
      <c r="AL88" s="684"/>
      <c r="AM88" s="684"/>
      <c r="AN88" s="684"/>
      <c r="AO88" s="684"/>
      <c r="AP88" s="684"/>
      <c r="AQ88" s="684"/>
      <c r="AR88" s="684"/>
      <c r="AS88" s="684"/>
      <c r="AT88" s="684"/>
      <c r="AU88" s="684"/>
      <c r="AV88" s="684"/>
      <c r="AW88" s="684"/>
      <c r="AX88" s="684"/>
      <c r="AY88" s="684"/>
      <c r="AZ88" s="684"/>
      <c r="BA88" s="684"/>
      <c r="BB88" s="684"/>
      <c r="BC88" s="684"/>
      <c r="BD88" s="684"/>
      <c r="BE88" s="684"/>
      <c r="BF88" s="684"/>
      <c r="BG88" s="684"/>
      <c r="BH88" s="684"/>
      <c r="BI88" s="684"/>
      <c r="BJ88" s="684"/>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c r="CS88" s="684"/>
      <c r="CT88" s="684"/>
      <c r="CU88" s="684"/>
      <c r="CV88" s="684"/>
      <c r="CW88" s="684"/>
      <c r="CX88" s="684"/>
      <c r="CY88" s="684"/>
      <c r="CZ88" s="684"/>
      <c r="DA88" s="684"/>
      <c r="DB88" s="684"/>
      <c r="DC88" s="684"/>
      <c r="DD88" s="684"/>
      <c r="DE88" s="684"/>
      <c r="DF88" s="684"/>
      <c r="DG88" s="684"/>
      <c r="DH88" s="684"/>
      <c r="DI88" s="684"/>
      <c r="DJ88" s="684"/>
      <c r="DK88" s="684"/>
      <c r="DL88" s="684"/>
      <c r="DM88" s="684"/>
      <c r="DN88" s="2232"/>
      <c r="DO88" s="684"/>
      <c r="DP88" s="1894"/>
      <c r="DQ88" s="684"/>
      <c r="DR88" s="684"/>
      <c r="DS88" s="684"/>
      <c r="DT88" s="684"/>
      <c r="DU88" s="1894"/>
      <c r="DV88" s="684"/>
      <c r="DW88" s="684"/>
      <c r="DX88" s="684"/>
      <c r="DY88" s="684"/>
      <c r="DZ88" s="1894"/>
      <c r="EA88" s="684"/>
      <c r="EB88" s="684"/>
      <c r="EC88" s="684"/>
      <c r="ED88" s="684"/>
      <c r="EE88" s="1894"/>
    </row>
    <row r="89" spans="2:135">
      <c r="B89" s="1902" t="s">
        <v>498</v>
      </c>
      <c r="C89" s="1903"/>
      <c r="D89" s="1903"/>
      <c r="E89" s="1903"/>
      <c r="F89" s="1903"/>
      <c r="G89" s="1903"/>
      <c r="H89" s="1903"/>
      <c r="I89" s="1903"/>
      <c r="J89" s="1903"/>
      <c r="K89" s="1903"/>
      <c r="L89" s="1903"/>
      <c r="M89" s="1903"/>
      <c r="N89" s="1903"/>
      <c r="O89" s="1903"/>
      <c r="P89" s="1903"/>
      <c r="Q89" s="1903"/>
      <c r="R89" s="1903"/>
      <c r="S89" s="1903"/>
      <c r="T89" s="1903"/>
      <c r="U89" s="1903"/>
      <c r="V89" s="1903"/>
      <c r="W89" s="1903"/>
      <c r="X89" s="1903"/>
      <c r="Y89" s="1903"/>
      <c r="Z89" s="1903"/>
      <c r="AA89" s="1903"/>
      <c r="AB89" s="1903"/>
      <c r="AC89" s="1903"/>
      <c r="AD89" s="1903"/>
      <c r="AE89" s="1903"/>
      <c r="AF89" s="1903"/>
      <c r="AG89" s="1903"/>
      <c r="AH89" s="1903"/>
      <c r="AI89" s="1903"/>
      <c r="AJ89" s="1903"/>
      <c r="AK89" s="1903"/>
      <c r="AL89" s="1903"/>
      <c r="AM89" s="1903"/>
      <c r="AN89" s="1903"/>
      <c r="AO89" s="1903"/>
      <c r="AP89" s="1903"/>
      <c r="AQ89" s="1903"/>
      <c r="AR89" s="1903"/>
      <c r="AS89" s="1903"/>
      <c r="AT89" s="1903"/>
      <c r="AU89" s="1903"/>
      <c r="AV89" s="1903"/>
      <c r="AW89" s="1903"/>
      <c r="AX89" s="1903"/>
      <c r="AY89" s="1903"/>
      <c r="AZ89" s="1903"/>
      <c r="BA89" s="1903"/>
      <c r="BB89" s="1903"/>
      <c r="BC89" s="1903"/>
      <c r="BD89" s="1903"/>
      <c r="BE89" s="1903"/>
      <c r="BF89" s="1903"/>
      <c r="BG89" s="1903"/>
      <c r="BH89" s="1903"/>
      <c r="BI89" s="1903"/>
      <c r="BJ89" s="1903"/>
      <c r="BK89" s="1903"/>
      <c r="BL89" s="1903"/>
      <c r="BM89" s="1903"/>
      <c r="BN89" s="1903"/>
      <c r="BO89" s="1903"/>
      <c r="BP89" s="1903"/>
      <c r="BQ89" s="1903"/>
      <c r="BR89" s="1903"/>
      <c r="BS89" s="1903"/>
      <c r="BT89" s="1903"/>
      <c r="BU89" s="1903"/>
      <c r="BV89" s="1903"/>
      <c r="BW89" s="1903"/>
      <c r="BX89" s="1903"/>
      <c r="BY89" s="1903"/>
      <c r="BZ89" s="1903"/>
      <c r="CA89" s="1903"/>
      <c r="CB89" s="1903"/>
      <c r="CC89" s="1903"/>
      <c r="CD89" s="1903"/>
      <c r="CE89" s="1903"/>
      <c r="CF89" s="1903"/>
      <c r="CG89" s="1903"/>
      <c r="CH89" s="1903"/>
      <c r="CI89" s="1903"/>
      <c r="CJ89" s="1903"/>
      <c r="CK89" s="1903"/>
      <c r="CL89" s="1903"/>
      <c r="CM89" s="1903"/>
      <c r="CN89" s="1903"/>
      <c r="CO89" s="1903"/>
      <c r="CP89" s="1903"/>
      <c r="CQ89" s="1903"/>
      <c r="CR89" s="1903"/>
      <c r="CS89" s="1903"/>
      <c r="CT89" s="1903"/>
      <c r="CU89" s="1903"/>
      <c r="CV89" s="1903"/>
      <c r="CW89" s="1904">
        <v>3.3000000000000002E-2</v>
      </c>
      <c r="CX89" s="1904">
        <v>3.3000000000000002E-2</v>
      </c>
      <c r="CY89" s="1904">
        <v>3.3000000000000002E-2</v>
      </c>
      <c r="CZ89" s="1904">
        <v>3.3000000000000002E-2</v>
      </c>
      <c r="DA89" s="1941"/>
      <c r="DB89" s="1904">
        <v>3.3000000000000002E-2</v>
      </c>
      <c r="DC89" s="1904">
        <v>3.3000000000000002E-2</v>
      </c>
      <c r="DD89" s="1904">
        <v>3.3000000000000002E-2</v>
      </c>
      <c r="DE89" s="1903">
        <f>DD89</f>
        <v>3.3000000000000002E-2</v>
      </c>
      <c r="DF89" s="1899"/>
      <c r="DG89" s="1903">
        <f>DE89</f>
        <v>3.3000000000000002E-2</v>
      </c>
      <c r="DH89" s="1903">
        <f>DG89</f>
        <v>3.3000000000000002E-2</v>
      </c>
      <c r="DI89" s="1903">
        <f>DH89</f>
        <v>3.3000000000000002E-2</v>
      </c>
      <c r="DJ89" s="1903">
        <f>DI89</f>
        <v>3.3000000000000002E-2</v>
      </c>
      <c r="DK89" s="1899"/>
      <c r="DL89" s="1903">
        <f>DJ89</f>
        <v>3.3000000000000002E-2</v>
      </c>
      <c r="DM89" s="1903">
        <f>DL89</f>
        <v>3.3000000000000002E-2</v>
      </c>
      <c r="DN89" s="2215">
        <f>DM89</f>
        <v>3.3000000000000002E-2</v>
      </c>
      <c r="DO89" s="1903">
        <f>DN89</f>
        <v>3.3000000000000002E-2</v>
      </c>
      <c r="DP89" s="1899"/>
      <c r="DQ89" s="1903">
        <f>DO89</f>
        <v>3.3000000000000002E-2</v>
      </c>
      <c r="DR89" s="1903">
        <f>DQ89</f>
        <v>3.3000000000000002E-2</v>
      </c>
      <c r="DS89" s="1903">
        <f>DR89</f>
        <v>3.3000000000000002E-2</v>
      </c>
      <c r="DT89" s="1903">
        <f>DS89</f>
        <v>3.3000000000000002E-2</v>
      </c>
      <c r="DU89" s="1899"/>
      <c r="DV89" s="1903">
        <f>DT89</f>
        <v>3.3000000000000002E-2</v>
      </c>
      <c r="DW89" s="1903">
        <f>DV89</f>
        <v>3.3000000000000002E-2</v>
      </c>
      <c r="DX89" s="1903">
        <f>DW89</f>
        <v>3.3000000000000002E-2</v>
      </c>
      <c r="DY89" s="1903">
        <f>DX89</f>
        <v>3.3000000000000002E-2</v>
      </c>
      <c r="DZ89" s="1899"/>
      <c r="EA89" s="1903">
        <f>DY89</f>
        <v>3.3000000000000002E-2</v>
      </c>
      <c r="EB89" s="1903">
        <f>EA89</f>
        <v>3.3000000000000002E-2</v>
      </c>
      <c r="EC89" s="1903">
        <f>EB89</f>
        <v>3.3000000000000002E-2</v>
      </c>
      <c r="ED89" s="1903">
        <f>EC89</f>
        <v>3.3000000000000002E-2</v>
      </c>
      <c r="EE89" s="1899"/>
    </row>
    <row r="90" spans="2:135">
      <c r="B90" s="1895" t="s">
        <v>483</v>
      </c>
      <c r="C90" s="1569"/>
      <c r="D90" s="1569"/>
      <c r="E90" s="1569"/>
      <c r="F90" s="1569"/>
      <c r="G90" s="1569"/>
      <c r="H90" s="1569"/>
      <c r="I90" s="1569"/>
      <c r="J90" s="1569"/>
      <c r="K90" s="1569"/>
      <c r="L90" s="1569"/>
      <c r="M90" s="1569"/>
      <c r="N90" s="1569"/>
      <c r="O90" s="1569"/>
      <c r="P90" s="1569"/>
      <c r="Q90" s="1569"/>
      <c r="R90" s="1569"/>
      <c r="S90" s="1569"/>
      <c r="T90" s="1569"/>
      <c r="U90" s="1569"/>
      <c r="V90" s="1569"/>
      <c r="W90" s="1569"/>
      <c r="X90" s="1569"/>
      <c r="Y90" s="1569"/>
      <c r="Z90" s="1569"/>
      <c r="AA90" s="1569"/>
      <c r="AB90" s="1569"/>
      <c r="AC90" s="1569"/>
      <c r="AD90" s="1569"/>
      <c r="AE90" s="1569"/>
      <c r="AF90" s="1569"/>
      <c r="AG90" s="1569"/>
      <c r="AH90" s="1569"/>
      <c r="AI90" s="1569"/>
      <c r="AJ90" s="1569"/>
      <c r="AK90" s="1569"/>
      <c r="AL90" s="1569"/>
      <c r="AM90" s="1569"/>
      <c r="AN90" s="1569"/>
      <c r="AO90" s="1569"/>
      <c r="AP90" s="1569"/>
      <c r="AQ90" s="1569"/>
      <c r="AR90" s="1569"/>
      <c r="AS90" s="1569"/>
      <c r="AT90" s="1569"/>
      <c r="AU90" s="1569"/>
      <c r="AV90" s="1569"/>
      <c r="AW90" s="1569"/>
      <c r="AX90" s="1569"/>
      <c r="AY90" s="1569"/>
      <c r="AZ90" s="1569"/>
      <c r="BA90" s="1569"/>
      <c r="BB90" s="1569"/>
      <c r="BC90" s="1569"/>
      <c r="BD90" s="1569"/>
      <c r="BE90" s="1569"/>
      <c r="BF90" s="1569"/>
      <c r="BG90" s="1569"/>
      <c r="BH90" s="1569"/>
      <c r="BI90" s="1569"/>
      <c r="BJ90" s="1569"/>
      <c r="BK90" s="1569"/>
      <c r="BL90" s="1569"/>
      <c r="BM90" s="1569"/>
      <c r="BN90" s="1569"/>
      <c r="BO90" s="1569"/>
      <c r="BP90" s="1569"/>
      <c r="BQ90" s="1569"/>
      <c r="BR90" s="1569"/>
      <c r="BS90" s="1569"/>
      <c r="BT90" s="1569"/>
      <c r="BU90" s="1569"/>
      <c r="BV90" s="1569"/>
      <c r="BW90" s="1569"/>
      <c r="BX90" s="1569"/>
      <c r="BY90" s="1569"/>
      <c r="BZ90" s="1569"/>
      <c r="CA90" s="1569"/>
      <c r="CB90" s="1569"/>
      <c r="CC90" s="1569"/>
      <c r="CD90" s="1569"/>
      <c r="CE90" s="1569"/>
      <c r="CF90" s="1569"/>
      <c r="CG90" s="1569"/>
      <c r="CH90" s="1569"/>
      <c r="CI90" s="1569"/>
      <c r="CJ90" s="1569"/>
      <c r="CK90" s="1569"/>
      <c r="CL90" s="1569"/>
      <c r="CM90" s="1569"/>
      <c r="CN90" s="1569"/>
      <c r="CO90" s="1569"/>
      <c r="CP90" s="1569"/>
      <c r="CQ90" s="1569"/>
      <c r="CR90" s="1569"/>
      <c r="CS90" s="1569"/>
      <c r="CT90" s="1569"/>
      <c r="CU90" s="1569"/>
      <c r="CV90" s="1569"/>
      <c r="CW90" s="1569"/>
      <c r="CX90" s="1569"/>
      <c r="CY90" s="1569"/>
      <c r="CZ90" s="1569"/>
      <c r="DA90" s="1900"/>
      <c r="DB90" s="1569"/>
      <c r="DC90" s="1569"/>
      <c r="DD90" s="1569"/>
      <c r="DE90" s="1569">
        <f>DD92</f>
        <v>1240</v>
      </c>
      <c r="DF90" s="1900"/>
      <c r="DG90" s="1569">
        <f>DE92</f>
        <v>1240</v>
      </c>
      <c r="DH90" s="1569">
        <f>DG92</f>
        <v>1240</v>
      </c>
      <c r="DI90" s="1569">
        <f>DH92</f>
        <v>1240</v>
      </c>
      <c r="DJ90" s="1569">
        <f>DI92</f>
        <v>1240</v>
      </c>
      <c r="DK90" s="1900"/>
      <c r="DL90" s="1569">
        <f>DJ92</f>
        <v>1240</v>
      </c>
      <c r="DM90" s="1569">
        <f>DL92</f>
        <v>1240</v>
      </c>
      <c r="DN90" s="38">
        <f>DM92</f>
        <v>1240</v>
      </c>
      <c r="DO90" s="1569">
        <f>DN92</f>
        <v>1240</v>
      </c>
      <c r="DP90" s="1900"/>
      <c r="DQ90" s="1569">
        <f>DO92</f>
        <v>1240</v>
      </c>
      <c r="DR90" s="1569">
        <f>DQ92</f>
        <v>1240</v>
      </c>
      <c r="DS90" s="1569">
        <f>DR92</f>
        <v>1240</v>
      </c>
      <c r="DT90" s="1569">
        <f>DS92</f>
        <v>1240</v>
      </c>
      <c r="DU90" s="1900"/>
      <c r="DV90" s="1569">
        <f>DT92</f>
        <v>1240</v>
      </c>
      <c r="DW90" s="1569">
        <f>DV92</f>
        <v>1240</v>
      </c>
      <c r="DX90" s="1569">
        <f>DW92</f>
        <v>1240</v>
      </c>
      <c r="DY90" s="1569">
        <f>DX92</f>
        <v>1240</v>
      </c>
      <c r="DZ90" s="1900"/>
      <c r="EA90" s="1569">
        <f>DY92</f>
        <v>1240</v>
      </c>
      <c r="EB90" s="1569">
        <f>EA92</f>
        <v>1240</v>
      </c>
      <c r="EC90" s="1569">
        <f>EB92</f>
        <v>1240</v>
      </c>
      <c r="ED90" s="1569">
        <f>EC92</f>
        <v>1240</v>
      </c>
      <c r="EE90" s="1900"/>
    </row>
    <row r="91" spans="2:135">
      <c r="B91" s="1895" t="s">
        <v>484</v>
      </c>
      <c r="C91" s="1569"/>
      <c r="D91" s="1569"/>
      <c r="E91" s="1569"/>
      <c r="F91" s="1569"/>
      <c r="G91" s="1569"/>
      <c r="H91" s="1569"/>
      <c r="I91" s="1569"/>
      <c r="J91" s="1569"/>
      <c r="K91" s="1569"/>
      <c r="L91" s="1569"/>
      <c r="M91" s="1569"/>
      <c r="N91" s="1569"/>
      <c r="O91" s="1569"/>
      <c r="P91" s="1569"/>
      <c r="Q91" s="1569"/>
      <c r="R91" s="1569"/>
      <c r="S91" s="1569"/>
      <c r="T91" s="1569"/>
      <c r="U91" s="1569"/>
      <c r="V91" s="1569"/>
      <c r="W91" s="1569"/>
      <c r="X91" s="1569"/>
      <c r="Y91" s="1569"/>
      <c r="Z91" s="1569"/>
      <c r="AA91" s="1569"/>
      <c r="AB91" s="1569"/>
      <c r="AC91" s="1569"/>
      <c r="AD91" s="1569"/>
      <c r="AE91" s="1569"/>
      <c r="AF91" s="1569"/>
      <c r="AG91" s="1569"/>
      <c r="AH91" s="1569"/>
      <c r="AI91" s="1569"/>
      <c r="AJ91" s="1569"/>
      <c r="AK91" s="1569"/>
      <c r="AL91" s="1569"/>
      <c r="AM91" s="1569"/>
      <c r="AN91" s="1569"/>
      <c r="AO91" s="1569"/>
      <c r="AP91" s="1569"/>
      <c r="AQ91" s="1569"/>
      <c r="AR91" s="1569"/>
      <c r="AS91" s="1569"/>
      <c r="AT91" s="1569"/>
      <c r="AU91" s="1569"/>
      <c r="AV91" s="1569"/>
      <c r="AW91" s="1569"/>
      <c r="AX91" s="1569"/>
      <c r="AY91" s="1569"/>
      <c r="AZ91" s="1569"/>
      <c r="BA91" s="1569"/>
      <c r="BB91" s="1569"/>
      <c r="BC91" s="1569"/>
      <c r="BD91" s="1569"/>
      <c r="BE91" s="1569"/>
      <c r="BF91" s="1569"/>
      <c r="BG91" s="1569"/>
      <c r="BH91" s="1569"/>
      <c r="BI91" s="1569"/>
      <c r="BJ91" s="1569"/>
      <c r="BK91" s="1569"/>
      <c r="BL91" s="1569"/>
      <c r="BM91" s="1569"/>
      <c r="BN91" s="1569"/>
      <c r="BO91" s="1569"/>
      <c r="BP91" s="1569"/>
      <c r="BQ91" s="1569"/>
      <c r="BR91" s="1569"/>
      <c r="BS91" s="1569"/>
      <c r="BT91" s="1569"/>
      <c r="BU91" s="1569"/>
      <c r="BV91" s="1569"/>
      <c r="BW91" s="1569"/>
      <c r="BX91" s="1569"/>
      <c r="BY91" s="1569"/>
      <c r="BZ91" s="1569"/>
      <c r="CA91" s="1569"/>
      <c r="CB91" s="1569"/>
      <c r="CC91" s="1569"/>
      <c r="CD91" s="1569"/>
      <c r="CE91" s="1569"/>
      <c r="CF91" s="1569"/>
      <c r="CG91" s="1569"/>
      <c r="CH91" s="1569"/>
      <c r="CI91" s="1569"/>
      <c r="CJ91" s="1569"/>
      <c r="CK91" s="1569"/>
      <c r="CL91" s="1569"/>
      <c r="CM91" s="1569"/>
      <c r="CN91" s="1569"/>
      <c r="CO91" s="1569"/>
      <c r="CP91" s="1569"/>
      <c r="CQ91" s="1569"/>
      <c r="CR91" s="1569"/>
      <c r="CS91" s="1569"/>
      <c r="CT91" s="1569"/>
      <c r="CU91" s="1569"/>
      <c r="CV91" s="1569"/>
      <c r="CW91" s="1569"/>
      <c r="CX91" s="1569"/>
      <c r="CY91" s="1569"/>
      <c r="CZ91" s="1569"/>
      <c r="DA91" s="1900"/>
      <c r="DB91" s="1569"/>
      <c r="DC91" s="1569"/>
      <c r="DD91" s="1569"/>
      <c r="DE91" s="1569"/>
      <c r="DF91" s="1900"/>
      <c r="DG91" s="1569"/>
      <c r="DH91" s="1569"/>
      <c r="DI91" s="1569"/>
      <c r="DJ91" s="1569"/>
      <c r="DK91" s="1900"/>
      <c r="DL91" s="1569">
        <v>0</v>
      </c>
      <c r="DM91" s="1569">
        <v>0</v>
      </c>
      <c r="DN91" s="38">
        <v>0</v>
      </c>
      <c r="DO91" s="1569">
        <v>0</v>
      </c>
      <c r="DP91" s="1900"/>
      <c r="DQ91" s="1569"/>
      <c r="DR91" s="1569"/>
      <c r="DS91" s="1569"/>
      <c r="DT91" s="1569"/>
      <c r="DU91" s="1900"/>
      <c r="DV91" s="1569"/>
      <c r="DW91" s="1569"/>
      <c r="DX91" s="1569"/>
      <c r="DY91" s="1569"/>
      <c r="DZ91" s="1900"/>
      <c r="EA91" s="1569"/>
      <c r="EB91" s="1569"/>
      <c r="EC91" s="1569"/>
      <c r="ED91" s="1569"/>
      <c r="EE91" s="1900"/>
    </row>
    <row r="92" spans="2:135">
      <c r="B92" s="1895" t="s">
        <v>485</v>
      </c>
      <c r="C92" s="1569"/>
      <c r="D92" s="1569"/>
      <c r="E92" s="1569"/>
      <c r="F92" s="1569"/>
      <c r="G92" s="1569"/>
      <c r="H92" s="1569"/>
      <c r="I92" s="1569"/>
      <c r="J92" s="1569"/>
      <c r="K92" s="1569"/>
      <c r="L92" s="1569"/>
      <c r="M92" s="1569"/>
      <c r="N92" s="1569"/>
      <c r="O92" s="1569"/>
      <c r="P92" s="1569"/>
      <c r="Q92" s="1569"/>
      <c r="R92" s="1569"/>
      <c r="S92" s="1569"/>
      <c r="T92" s="1569"/>
      <c r="U92" s="1569"/>
      <c r="V92" s="1569"/>
      <c r="W92" s="1569"/>
      <c r="X92" s="1569"/>
      <c r="Y92" s="1569"/>
      <c r="Z92" s="1569"/>
      <c r="AA92" s="1569"/>
      <c r="AB92" s="1569"/>
      <c r="AC92" s="1569"/>
      <c r="AD92" s="1569"/>
      <c r="AE92" s="1569"/>
      <c r="AF92" s="1569"/>
      <c r="AG92" s="1569"/>
      <c r="AH92" s="1569"/>
      <c r="AI92" s="1569"/>
      <c r="AJ92" s="1569"/>
      <c r="AK92" s="1569"/>
      <c r="AL92" s="1569"/>
      <c r="AM92" s="1569"/>
      <c r="AN92" s="1569"/>
      <c r="AO92" s="1569"/>
      <c r="AP92" s="1569"/>
      <c r="AQ92" s="1569"/>
      <c r="AR92" s="1569"/>
      <c r="AS92" s="1569"/>
      <c r="AT92" s="1569"/>
      <c r="AU92" s="1569"/>
      <c r="AV92" s="1569"/>
      <c r="AW92" s="1569"/>
      <c r="AX92" s="1569"/>
      <c r="AY92" s="1569"/>
      <c r="AZ92" s="1569"/>
      <c r="BA92" s="1569"/>
      <c r="BB92" s="1569"/>
      <c r="BC92" s="1569"/>
      <c r="BD92" s="1569"/>
      <c r="BE92" s="1569"/>
      <c r="BF92" s="1569"/>
      <c r="BG92" s="1569"/>
      <c r="BH92" s="1569"/>
      <c r="BI92" s="1569"/>
      <c r="BJ92" s="1569"/>
      <c r="BK92" s="1569"/>
      <c r="BL92" s="1569"/>
      <c r="BM92" s="1569"/>
      <c r="BN92" s="1569"/>
      <c r="BO92" s="1569"/>
      <c r="BP92" s="1569"/>
      <c r="BQ92" s="1569"/>
      <c r="BR92" s="1569"/>
      <c r="BS92" s="1569"/>
      <c r="BT92" s="1569"/>
      <c r="BU92" s="1569"/>
      <c r="BV92" s="1569"/>
      <c r="BW92" s="1569"/>
      <c r="BX92" s="1569"/>
      <c r="BY92" s="1569"/>
      <c r="BZ92" s="1569"/>
      <c r="CA92" s="1569"/>
      <c r="CB92" s="1569"/>
      <c r="CC92" s="1569"/>
      <c r="CD92" s="1569"/>
      <c r="CE92" s="1569"/>
      <c r="CF92" s="1569"/>
      <c r="CG92" s="1569"/>
      <c r="CH92" s="1569"/>
      <c r="CI92" s="1569"/>
      <c r="CJ92" s="1569"/>
      <c r="CK92" s="1569"/>
      <c r="CL92" s="1569"/>
      <c r="CM92" s="1569"/>
      <c r="CN92" s="1569"/>
      <c r="CO92" s="1569"/>
      <c r="CP92" s="1569"/>
      <c r="CQ92" s="1569"/>
      <c r="CR92" s="1569"/>
      <c r="CS92" s="1569"/>
      <c r="CT92" s="1569"/>
      <c r="CU92" s="1569"/>
      <c r="CV92" s="1569"/>
      <c r="CW92" s="1569"/>
      <c r="CX92" s="1569"/>
      <c r="CY92" s="1569"/>
      <c r="CZ92" s="1569"/>
      <c r="DA92" s="1900"/>
      <c r="DB92" s="1569"/>
      <c r="DC92" s="1569"/>
      <c r="DD92" s="1569">
        <v>1240</v>
      </c>
      <c r="DE92" s="1569">
        <f>SUM(DE90:DE91)</f>
        <v>1240</v>
      </c>
      <c r="DF92" s="1900"/>
      <c r="DG92" s="1569">
        <f>SUM(DG90:DG91)</f>
        <v>1240</v>
      </c>
      <c r="DH92" s="1569">
        <f>SUM(DH90:DH91)</f>
        <v>1240</v>
      </c>
      <c r="DI92" s="1569">
        <f>SUM(DI90:DI91)</f>
        <v>1240</v>
      </c>
      <c r="DJ92" s="1569">
        <f>SUM(DJ90:DJ91)</f>
        <v>1240</v>
      </c>
      <c r="DK92" s="1900"/>
      <c r="DL92" s="1569">
        <f>SUM(DL90:DL91)</f>
        <v>1240</v>
      </c>
      <c r="DM92" s="1569">
        <f>SUM(DM90:DM91)</f>
        <v>1240</v>
      </c>
      <c r="DN92" s="38">
        <f>SUM(DN90:DN91)</f>
        <v>1240</v>
      </c>
      <c r="DO92" s="1569">
        <f>SUM(DO90:DO91)</f>
        <v>1240</v>
      </c>
      <c r="DP92" s="1900"/>
      <c r="DQ92" s="1569">
        <f>SUM(DQ90:DQ91)</f>
        <v>1240</v>
      </c>
      <c r="DR92" s="1569">
        <f>SUM(DR90:DR91)</f>
        <v>1240</v>
      </c>
      <c r="DS92" s="1569">
        <f>SUM(DS90:DS91)</f>
        <v>1240</v>
      </c>
      <c r="DT92" s="1569">
        <f>SUM(DT90:DT91)</f>
        <v>1240</v>
      </c>
      <c r="DU92" s="1900"/>
      <c r="DV92" s="1569">
        <f>SUM(DV90:DV91)</f>
        <v>1240</v>
      </c>
      <c r="DW92" s="1569">
        <f>SUM(DW90:DW91)</f>
        <v>1240</v>
      </c>
      <c r="DX92" s="1569">
        <f>SUM(DX90:DX91)</f>
        <v>1240</v>
      </c>
      <c r="DY92" s="1569">
        <f>SUM(DY90:DY91)</f>
        <v>1240</v>
      </c>
      <c r="DZ92" s="1900"/>
      <c r="EA92" s="1569">
        <f>SUM(EA90:EA91)</f>
        <v>1240</v>
      </c>
      <c r="EB92" s="1569">
        <f>SUM(EB90:EB91)</f>
        <v>1240</v>
      </c>
      <c r="EC92" s="1569">
        <f>SUM(EC90:EC91)</f>
        <v>1240</v>
      </c>
      <c r="ED92" s="1569">
        <f>SUM(ED90:ED91)</f>
        <v>1240</v>
      </c>
      <c r="EE92" s="1900"/>
    </row>
    <row r="93" spans="2:135" ht="12" thickBot="1">
      <c r="B93" s="1896" t="s">
        <v>400</v>
      </c>
      <c r="C93" s="1897"/>
      <c r="D93" s="1897"/>
      <c r="E93" s="1897"/>
      <c r="F93" s="1897"/>
      <c r="G93" s="1897"/>
      <c r="H93" s="1897"/>
      <c r="I93" s="1897"/>
      <c r="J93" s="1897"/>
      <c r="K93" s="1897"/>
      <c r="L93" s="1897"/>
      <c r="M93" s="1897"/>
      <c r="N93" s="1897"/>
      <c r="O93" s="1897"/>
      <c r="P93" s="1897"/>
      <c r="Q93" s="1897"/>
      <c r="R93" s="1897"/>
      <c r="S93" s="1897"/>
      <c r="T93" s="1897"/>
      <c r="U93" s="1897"/>
      <c r="V93" s="1897"/>
      <c r="W93" s="1897"/>
      <c r="X93" s="1897"/>
      <c r="Y93" s="1897"/>
      <c r="Z93" s="1897"/>
      <c r="AA93" s="1897"/>
      <c r="AB93" s="1897"/>
      <c r="AC93" s="1897"/>
      <c r="AD93" s="1897"/>
      <c r="AE93" s="1897"/>
      <c r="AF93" s="1897"/>
      <c r="AG93" s="1897"/>
      <c r="AH93" s="1897"/>
      <c r="AI93" s="1897"/>
      <c r="AJ93" s="1897"/>
      <c r="AK93" s="1897"/>
      <c r="AL93" s="1897"/>
      <c r="AM93" s="1897"/>
      <c r="AN93" s="1897"/>
      <c r="AO93" s="1897"/>
      <c r="AP93" s="1897"/>
      <c r="AQ93" s="1897"/>
      <c r="AR93" s="1897"/>
      <c r="AS93" s="1897"/>
      <c r="AT93" s="1897"/>
      <c r="AU93" s="1897"/>
      <c r="AV93" s="1897"/>
      <c r="AW93" s="1897"/>
      <c r="AX93" s="1897"/>
      <c r="AY93" s="1897"/>
      <c r="AZ93" s="1897"/>
      <c r="BA93" s="1897"/>
      <c r="BB93" s="1897"/>
      <c r="BC93" s="1897"/>
      <c r="BD93" s="1897"/>
      <c r="BE93" s="1897"/>
      <c r="BF93" s="1897"/>
      <c r="BG93" s="1897"/>
      <c r="BH93" s="1897"/>
      <c r="BI93" s="1897"/>
      <c r="BJ93" s="1897"/>
      <c r="BK93" s="1897"/>
      <c r="BL93" s="1897"/>
      <c r="BM93" s="1897"/>
      <c r="BN93" s="1897"/>
      <c r="BO93" s="1897"/>
      <c r="BP93" s="1897"/>
      <c r="BQ93" s="1897"/>
      <c r="BR93" s="1897"/>
      <c r="BS93" s="1897"/>
      <c r="BT93" s="1897"/>
      <c r="BU93" s="1897"/>
      <c r="BV93" s="1897"/>
      <c r="BW93" s="1897"/>
      <c r="BX93" s="1897"/>
      <c r="BY93" s="1897"/>
      <c r="BZ93" s="1897"/>
      <c r="CA93" s="1897"/>
      <c r="CB93" s="1897"/>
      <c r="CC93" s="1897"/>
      <c r="CD93" s="1897"/>
      <c r="CE93" s="1897"/>
      <c r="CF93" s="1897"/>
      <c r="CG93" s="1897"/>
      <c r="CH93" s="1897"/>
      <c r="CI93" s="1897"/>
      <c r="CJ93" s="1897"/>
      <c r="CK93" s="1897"/>
      <c r="CL93" s="1897"/>
      <c r="CM93" s="1897"/>
      <c r="CN93" s="1897"/>
      <c r="CO93" s="1897"/>
      <c r="CP93" s="1897"/>
      <c r="CQ93" s="1897"/>
      <c r="CR93" s="1897"/>
      <c r="CS93" s="1897"/>
      <c r="CT93" s="1897"/>
      <c r="CU93" s="1897"/>
      <c r="CV93" s="1897"/>
      <c r="CW93" s="1897"/>
      <c r="CX93" s="1897"/>
      <c r="CY93" s="1897"/>
      <c r="CZ93" s="1897"/>
      <c r="DA93" s="1901"/>
      <c r="DB93" s="1897"/>
      <c r="DC93" s="1897"/>
      <c r="DD93" s="1897"/>
      <c r="DE93" s="1897">
        <f>AVERAGE(DE90,DE92)*(DE89/4)</f>
        <v>10.23</v>
      </c>
      <c r="DF93" s="1901"/>
      <c r="DG93" s="1897">
        <f>AVERAGE(DG90,DG92)*(DG89/4)</f>
        <v>10.23</v>
      </c>
      <c r="DH93" s="1897">
        <f>AVERAGE(DH90,DH92)*(DH89/4)</f>
        <v>10.23</v>
      </c>
      <c r="DI93" s="1897">
        <f>AVERAGE(DI90,DI92)*(DI89/4)</f>
        <v>10.23</v>
      </c>
      <c r="DJ93" s="1897">
        <f>AVERAGE(DJ90,DJ92)*(DJ89/4)</f>
        <v>10.23</v>
      </c>
      <c r="DK93" s="1901"/>
      <c r="DL93" s="1897">
        <f>AVERAGE(DL90,DL92)*(DL89/4)</f>
        <v>10.23</v>
      </c>
      <c r="DM93" s="1897">
        <f>AVERAGE(DM90,DM92)*(DM89/4)</f>
        <v>10.23</v>
      </c>
      <c r="DN93" s="2214">
        <f>AVERAGE(DN90,DN92)*(DN89/4)</f>
        <v>10.23</v>
      </c>
      <c r="DO93" s="1897">
        <f>AVERAGE(DO90,DO92)*(DO89/4)</f>
        <v>10.23</v>
      </c>
      <c r="DP93" s="1901"/>
      <c r="DQ93" s="1897">
        <f>AVERAGE(DQ90,DQ92)*(DQ89/4)</f>
        <v>10.23</v>
      </c>
      <c r="DR93" s="1897">
        <f>AVERAGE(DR90,DR92)*(DR89/4)</f>
        <v>10.23</v>
      </c>
      <c r="DS93" s="1897">
        <f>AVERAGE(DS90,DS92)*(DS89/4)</f>
        <v>10.23</v>
      </c>
      <c r="DT93" s="1897">
        <f>AVERAGE(DT90,DT92)*(DT89/4)</f>
        <v>10.23</v>
      </c>
      <c r="DU93" s="1901"/>
      <c r="DV93" s="1897">
        <f>AVERAGE(DV90,DV92)*(DV89/4)</f>
        <v>10.23</v>
      </c>
      <c r="DW93" s="1897">
        <f>AVERAGE(DW90,DW92)*(DW89/4)</f>
        <v>10.23</v>
      </c>
      <c r="DX93" s="1897">
        <f>AVERAGE(DX90,DX92)*(DX89/4)</f>
        <v>10.23</v>
      </c>
      <c r="DY93" s="1897">
        <f>AVERAGE(DY90,DY92)*(DY89/4)</f>
        <v>10.23</v>
      </c>
      <c r="DZ93" s="1901"/>
      <c r="EA93" s="1897">
        <f>AVERAGE(EA90,EA92)*(EA89/4)</f>
        <v>10.23</v>
      </c>
      <c r="EB93" s="1897">
        <f>AVERAGE(EB90,EB92)*(EB89/4)</f>
        <v>10.23</v>
      </c>
      <c r="EC93" s="1897">
        <f>AVERAGE(EC90,EC92)*(EC89/4)</f>
        <v>10.23</v>
      </c>
      <c r="ED93" s="1897">
        <f>AVERAGE(ED90,ED92)*(ED89/4)</f>
        <v>10.23</v>
      </c>
      <c r="EE93" s="1901"/>
    </row>
    <row r="94" spans="2:135" ht="12" thickBot="1">
      <c r="DN94" s="2231"/>
    </row>
    <row r="95" spans="2:135" ht="12" thickBot="1">
      <c r="B95" s="754" t="s">
        <v>506</v>
      </c>
      <c r="C95" s="684"/>
      <c r="D95" s="684"/>
      <c r="E95" s="684"/>
      <c r="F95" s="684"/>
      <c r="G95" s="684"/>
      <c r="H95" s="684"/>
      <c r="I95" s="684"/>
      <c r="J95" s="684"/>
      <c r="K95" s="684"/>
      <c r="L95" s="684"/>
      <c r="M95" s="684"/>
      <c r="N95" s="684"/>
      <c r="O95" s="684"/>
      <c r="P95" s="684"/>
      <c r="Q95" s="684"/>
      <c r="R95" s="684"/>
      <c r="S95" s="684"/>
      <c r="T95" s="684"/>
      <c r="U95" s="684"/>
      <c r="V95" s="684"/>
      <c r="W95" s="684"/>
      <c r="X95" s="684"/>
      <c r="Y95" s="684"/>
      <c r="Z95" s="684"/>
      <c r="AA95" s="684"/>
      <c r="AB95" s="684"/>
      <c r="AC95" s="684"/>
      <c r="AD95" s="684"/>
      <c r="AE95" s="684"/>
      <c r="AF95" s="684"/>
      <c r="AG95" s="684"/>
      <c r="AH95" s="684"/>
      <c r="AI95" s="684"/>
      <c r="AJ95" s="684"/>
      <c r="AK95" s="684"/>
      <c r="AL95" s="684"/>
      <c r="AM95" s="684"/>
      <c r="AN95" s="684"/>
      <c r="AO95" s="684"/>
      <c r="AP95" s="684"/>
      <c r="AQ95" s="684"/>
      <c r="AR95" s="684"/>
      <c r="AS95" s="684"/>
      <c r="AT95" s="684"/>
      <c r="AU95" s="684"/>
      <c r="AV95" s="684"/>
      <c r="AW95" s="684"/>
      <c r="AX95" s="684"/>
      <c r="AY95" s="684"/>
      <c r="AZ95" s="684"/>
      <c r="BA95" s="684"/>
      <c r="BB95" s="684"/>
      <c r="BC95" s="684"/>
      <c r="BD95" s="684"/>
      <c r="BE95" s="684"/>
      <c r="BF95" s="684"/>
      <c r="BG95" s="684"/>
      <c r="BH95" s="684"/>
      <c r="BI95" s="684"/>
      <c r="BJ95" s="684"/>
      <c r="BK95" s="684"/>
      <c r="BL95" s="684"/>
      <c r="BM95" s="684"/>
      <c r="BN95" s="684"/>
      <c r="BO95" s="684"/>
      <c r="BP95" s="684"/>
      <c r="BQ95" s="684"/>
      <c r="BR95" s="684"/>
      <c r="BS95" s="684"/>
      <c r="BT95" s="684"/>
      <c r="BU95" s="684"/>
      <c r="BV95" s="684"/>
      <c r="BW95" s="684"/>
      <c r="BX95" s="684"/>
      <c r="BY95" s="684"/>
      <c r="BZ95" s="684"/>
      <c r="CA95" s="684"/>
      <c r="CB95" s="684"/>
      <c r="CC95" s="684"/>
      <c r="CD95" s="684"/>
      <c r="CE95" s="684"/>
      <c r="CF95" s="684"/>
      <c r="CG95" s="684"/>
      <c r="CH95" s="684"/>
      <c r="CI95" s="684"/>
      <c r="CJ95" s="684"/>
      <c r="CK95" s="684"/>
      <c r="CL95" s="684"/>
      <c r="CM95" s="684"/>
      <c r="CN95" s="684"/>
      <c r="CO95" s="684"/>
      <c r="CP95" s="684"/>
      <c r="CQ95" s="684"/>
      <c r="CR95" s="684"/>
      <c r="CS95" s="684"/>
      <c r="CT95" s="684"/>
      <c r="CU95" s="684"/>
      <c r="CV95" s="684"/>
      <c r="CW95" s="684"/>
      <c r="CX95" s="684"/>
      <c r="CY95" s="684"/>
      <c r="CZ95" s="684"/>
      <c r="DA95" s="684"/>
      <c r="DB95" s="684"/>
      <c r="DC95" s="684"/>
      <c r="DD95" s="684"/>
      <c r="DE95" s="684"/>
      <c r="DF95" s="684"/>
      <c r="DG95" s="684"/>
      <c r="DH95" s="684"/>
      <c r="DI95" s="684"/>
      <c r="DJ95" s="684"/>
      <c r="DK95" s="684"/>
      <c r="DL95" s="684"/>
      <c r="DM95" s="684"/>
      <c r="DN95" s="2232"/>
      <c r="DO95" s="684"/>
      <c r="DP95" s="1894"/>
      <c r="DQ95" s="684"/>
      <c r="DR95" s="684"/>
      <c r="DS95" s="684"/>
      <c r="DT95" s="684"/>
      <c r="DU95" s="1894"/>
      <c r="DV95" s="684"/>
      <c r="DW95" s="684"/>
      <c r="DX95" s="684"/>
      <c r="DY95" s="684"/>
      <c r="DZ95" s="1894"/>
      <c r="EA95" s="684"/>
      <c r="EB95" s="684"/>
      <c r="EC95" s="684"/>
      <c r="ED95" s="684"/>
      <c r="EE95" s="1894"/>
    </row>
    <row r="96" spans="2:135">
      <c r="B96" s="1902" t="s">
        <v>498</v>
      </c>
      <c r="C96" s="1903"/>
      <c r="D96" s="1903"/>
      <c r="E96" s="1903"/>
      <c r="F96" s="1903"/>
      <c r="G96" s="1903"/>
      <c r="H96" s="1903"/>
      <c r="I96" s="1903"/>
      <c r="J96" s="1903"/>
      <c r="K96" s="1903"/>
      <c r="L96" s="1903"/>
      <c r="M96" s="1903"/>
      <c r="N96" s="1903"/>
      <c r="O96" s="1903"/>
      <c r="P96" s="1903"/>
      <c r="Q96" s="1903"/>
      <c r="R96" s="1903"/>
      <c r="S96" s="1903"/>
      <c r="T96" s="1903"/>
      <c r="U96" s="1903"/>
      <c r="V96" s="1903"/>
      <c r="W96" s="1903"/>
      <c r="X96" s="1903"/>
      <c r="Y96" s="1903"/>
      <c r="Z96" s="1903"/>
      <c r="AA96" s="1903"/>
      <c r="AB96" s="1903"/>
      <c r="AC96" s="1903"/>
      <c r="AD96" s="1903"/>
      <c r="AE96" s="1903"/>
      <c r="AF96" s="1903"/>
      <c r="AG96" s="1903"/>
      <c r="AH96" s="1903"/>
      <c r="AI96" s="1903"/>
      <c r="AJ96" s="1903"/>
      <c r="AK96" s="1903"/>
      <c r="AL96" s="1903"/>
      <c r="AM96" s="1903"/>
      <c r="AN96" s="1903"/>
      <c r="AO96" s="1903"/>
      <c r="AP96" s="1903"/>
      <c r="AQ96" s="1903"/>
      <c r="AR96" s="1903"/>
      <c r="AS96" s="1903"/>
      <c r="AT96" s="1903"/>
      <c r="AU96" s="1903"/>
      <c r="AV96" s="1903"/>
      <c r="AW96" s="1903"/>
      <c r="AX96" s="1903"/>
      <c r="AY96" s="1903"/>
      <c r="AZ96" s="1903"/>
      <c r="BA96" s="1903"/>
      <c r="BB96" s="1903"/>
      <c r="BC96" s="1903"/>
      <c r="BD96" s="1903"/>
      <c r="BE96" s="1903"/>
      <c r="BF96" s="1903"/>
      <c r="BG96" s="1903"/>
      <c r="BH96" s="1903"/>
      <c r="BI96" s="1903"/>
      <c r="BJ96" s="1903"/>
      <c r="BK96" s="1903"/>
      <c r="BL96" s="1903"/>
      <c r="BM96" s="1903"/>
      <c r="BN96" s="1903"/>
      <c r="BO96" s="1903"/>
      <c r="BP96" s="1903"/>
      <c r="BQ96" s="1903"/>
      <c r="BR96" s="1903"/>
      <c r="BS96" s="1903"/>
      <c r="BT96" s="1903"/>
      <c r="BU96" s="1903"/>
      <c r="BV96" s="1903"/>
      <c r="BW96" s="1903"/>
      <c r="BX96" s="1903"/>
      <c r="BY96" s="1903"/>
      <c r="BZ96" s="1903"/>
      <c r="CA96" s="1903"/>
      <c r="CB96" s="1903"/>
      <c r="CC96" s="1903"/>
      <c r="CD96" s="1903"/>
      <c r="CE96" s="1903"/>
      <c r="CF96" s="1903"/>
      <c r="CG96" s="1903"/>
      <c r="CH96" s="1903"/>
      <c r="CI96" s="1903"/>
      <c r="CJ96" s="1903"/>
      <c r="CK96" s="1903"/>
      <c r="CL96" s="1903"/>
      <c r="CM96" s="1903"/>
      <c r="CN96" s="1903"/>
      <c r="CO96" s="1903"/>
      <c r="CP96" s="1903"/>
      <c r="CQ96" s="1903"/>
      <c r="CR96" s="1903"/>
      <c r="CS96" s="1903"/>
      <c r="CT96" s="1903"/>
      <c r="CU96" s="1903"/>
      <c r="CV96" s="1903"/>
      <c r="CW96" s="1904">
        <v>3.1E-2</v>
      </c>
      <c r="CX96" s="1904">
        <v>3.1E-2</v>
      </c>
      <c r="CY96" s="1904">
        <v>3.1E-2</v>
      </c>
      <c r="CZ96" s="1904">
        <v>3.1E-2</v>
      </c>
      <c r="DA96" s="1941"/>
      <c r="DB96" s="1904">
        <v>3.1E-2</v>
      </c>
      <c r="DC96" s="1904">
        <v>3.1E-2</v>
      </c>
      <c r="DD96" s="1904">
        <v>3.1E-2</v>
      </c>
      <c r="DE96" s="1903">
        <f>DD96</f>
        <v>3.1E-2</v>
      </c>
      <c r="DF96" s="1899"/>
      <c r="DG96" s="1903">
        <f>DE96</f>
        <v>3.1E-2</v>
      </c>
      <c r="DH96" s="1903">
        <f>DG96</f>
        <v>3.1E-2</v>
      </c>
      <c r="DI96" s="1903">
        <f>DH96</f>
        <v>3.1E-2</v>
      </c>
      <c r="DJ96" s="1903">
        <f>DI96</f>
        <v>3.1E-2</v>
      </c>
      <c r="DK96" s="1899"/>
      <c r="DL96" s="1903">
        <f>DJ96</f>
        <v>3.1E-2</v>
      </c>
      <c r="DM96" s="1903">
        <f>DL96</f>
        <v>3.1E-2</v>
      </c>
      <c r="DN96" s="2215">
        <f>DM96</f>
        <v>3.1E-2</v>
      </c>
      <c r="DO96" s="1903">
        <f>DN96</f>
        <v>3.1E-2</v>
      </c>
      <c r="DP96" s="1899"/>
      <c r="DQ96" s="1903">
        <f>DO96</f>
        <v>3.1E-2</v>
      </c>
      <c r="DR96" s="1903">
        <f>DQ96</f>
        <v>3.1E-2</v>
      </c>
      <c r="DS96" s="1903">
        <f>DR96</f>
        <v>3.1E-2</v>
      </c>
      <c r="DT96" s="1903">
        <f>DS96</f>
        <v>3.1E-2</v>
      </c>
      <c r="DU96" s="1899"/>
      <c r="DV96" s="1903">
        <f>DT96</f>
        <v>3.1E-2</v>
      </c>
      <c r="DW96" s="1903">
        <f>DV96</f>
        <v>3.1E-2</v>
      </c>
      <c r="DX96" s="1903">
        <f>DW96</f>
        <v>3.1E-2</v>
      </c>
      <c r="DY96" s="1903">
        <f>DX96</f>
        <v>3.1E-2</v>
      </c>
      <c r="DZ96" s="1899"/>
      <c r="EA96" s="1903">
        <f>DY96</f>
        <v>3.1E-2</v>
      </c>
      <c r="EB96" s="1903">
        <f>EA96</f>
        <v>3.1E-2</v>
      </c>
      <c r="EC96" s="1903">
        <f>EB96</f>
        <v>3.1E-2</v>
      </c>
      <c r="ED96" s="1903">
        <f>EC96</f>
        <v>3.1E-2</v>
      </c>
      <c r="EE96" s="1899"/>
    </row>
    <row r="97" spans="2:135">
      <c r="B97" s="1895" t="s">
        <v>483</v>
      </c>
      <c r="C97" s="1569"/>
      <c r="D97" s="1569"/>
      <c r="E97" s="1569"/>
      <c r="F97" s="1569"/>
      <c r="G97" s="1569"/>
      <c r="H97" s="1569"/>
      <c r="I97" s="1569"/>
      <c r="J97" s="1569"/>
      <c r="K97" s="1569"/>
      <c r="L97" s="1569"/>
      <c r="M97" s="1569"/>
      <c r="N97" s="1569"/>
      <c r="O97" s="1569"/>
      <c r="P97" s="1569"/>
      <c r="Q97" s="1569"/>
      <c r="R97" s="1569"/>
      <c r="S97" s="1569"/>
      <c r="T97" s="1569"/>
      <c r="U97" s="1569"/>
      <c r="V97" s="1569"/>
      <c r="W97" s="1569"/>
      <c r="X97" s="1569"/>
      <c r="Y97" s="1569"/>
      <c r="Z97" s="1569"/>
      <c r="AA97" s="1569"/>
      <c r="AB97" s="1569"/>
      <c r="AC97" s="1569"/>
      <c r="AD97" s="1569"/>
      <c r="AE97" s="1569"/>
      <c r="AF97" s="1569"/>
      <c r="AG97" s="1569"/>
      <c r="AH97" s="1569"/>
      <c r="AI97" s="1569"/>
      <c r="AJ97" s="1569"/>
      <c r="AK97" s="1569"/>
      <c r="AL97" s="1569"/>
      <c r="AM97" s="1569"/>
      <c r="AN97" s="1569"/>
      <c r="AO97" s="1569"/>
      <c r="AP97" s="1569"/>
      <c r="AQ97" s="1569"/>
      <c r="AR97" s="1569"/>
      <c r="AS97" s="1569"/>
      <c r="AT97" s="1569"/>
      <c r="AU97" s="1569"/>
      <c r="AV97" s="1569"/>
      <c r="AW97" s="1569"/>
      <c r="AX97" s="1569"/>
      <c r="AY97" s="1569"/>
      <c r="AZ97" s="1569"/>
      <c r="BA97" s="1569"/>
      <c r="BB97" s="1569"/>
      <c r="BC97" s="1569"/>
      <c r="BD97" s="1569"/>
      <c r="BE97" s="1569"/>
      <c r="BF97" s="1569"/>
      <c r="BG97" s="1569"/>
      <c r="BH97" s="1569"/>
      <c r="BI97" s="1569"/>
      <c r="BJ97" s="1569"/>
      <c r="BK97" s="1569"/>
      <c r="BL97" s="1569"/>
      <c r="BM97" s="1569"/>
      <c r="BN97" s="1569"/>
      <c r="BO97" s="1569"/>
      <c r="BP97" s="1569"/>
      <c r="BQ97" s="1569"/>
      <c r="BR97" s="1569"/>
      <c r="BS97" s="1569"/>
      <c r="BT97" s="1569"/>
      <c r="BU97" s="1569"/>
      <c r="BV97" s="1569"/>
      <c r="BW97" s="1569"/>
      <c r="BX97" s="1569"/>
      <c r="BY97" s="1569"/>
      <c r="BZ97" s="1569"/>
      <c r="CA97" s="1569"/>
      <c r="CB97" s="1569"/>
      <c r="CC97" s="1569"/>
      <c r="CD97" s="1569"/>
      <c r="CE97" s="1569"/>
      <c r="CF97" s="1569"/>
      <c r="CG97" s="1569"/>
      <c r="CH97" s="1569"/>
      <c r="CI97" s="1569"/>
      <c r="CJ97" s="1569"/>
      <c r="CK97" s="1569"/>
      <c r="CL97" s="1569"/>
      <c r="CM97" s="1569"/>
      <c r="CN97" s="1569"/>
      <c r="CO97" s="1569"/>
      <c r="CP97" s="1569"/>
      <c r="CQ97" s="1569"/>
      <c r="CR97" s="1569"/>
      <c r="CS97" s="1569"/>
      <c r="CT97" s="1569"/>
      <c r="CU97" s="1569"/>
      <c r="CV97" s="1569"/>
      <c r="CW97" s="1569"/>
      <c r="CX97" s="1569"/>
      <c r="CY97" s="1569"/>
      <c r="CZ97" s="1569"/>
      <c r="DA97" s="1900"/>
      <c r="DB97" s="1569"/>
      <c r="DC97" s="1569"/>
      <c r="DD97" s="1569"/>
      <c r="DE97" s="1569">
        <f>DD99</f>
        <v>1192</v>
      </c>
      <c r="DF97" s="1900"/>
      <c r="DG97" s="1569">
        <f>DE99</f>
        <v>1192</v>
      </c>
      <c r="DH97" s="1569">
        <f>DG99</f>
        <v>1192</v>
      </c>
      <c r="DI97" s="1569">
        <f>DH99</f>
        <v>1192</v>
      </c>
      <c r="DJ97" s="1569">
        <f>DI99</f>
        <v>1192</v>
      </c>
      <c r="DK97" s="1900"/>
      <c r="DL97" s="1569">
        <f>DJ99</f>
        <v>1192</v>
      </c>
      <c r="DM97" s="1569">
        <f>DL99</f>
        <v>1192</v>
      </c>
      <c r="DN97" s="38">
        <f>DM99</f>
        <v>1192</v>
      </c>
      <c r="DO97" s="1569">
        <f>DN99</f>
        <v>1192</v>
      </c>
      <c r="DP97" s="1900"/>
      <c r="DQ97" s="1569">
        <f>DO99</f>
        <v>1192</v>
      </c>
      <c r="DR97" s="1569">
        <f>DQ99</f>
        <v>1192</v>
      </c>
      <c r="DS97" s="1569">
        <f>DR99</f>
        <v>1192</v>
      </c>
      <c r="DT97" s="1569">
        <f>DS99</f>
        <v>1192</v>
      </c>
      <c r="DU97" s="1900"/>
      <c r="DV97" s="1569">
        <f>DT99</f>
        <v>1192</v>
      </c>
      <c r="DW97" s="1569">
        <f>DV99</f>
        <v>1192</v>
      </c>
      <c r="DX97" s="1569">
        <f>DW99</f>
        <v>1192</v>
      </c>
      <c r="DY97" s="1569">
        <f>DX99</f>
        <v>1192</v>
      </c>
      <c r="DZ97" s="1900"/>
      <c r="EA97" s="1569">
        <f>DY99</f>
        <v>1192</v>
      </c>
      <c r="EB97" s="1569">
        <f>EA99</f>
        <v>1192</v>
      </c>
      <c r="EC97" s="1569">
        <f>EB99</f>
        <v>1192</v>
      </c>
      <c r="ED97" s="1569">
        <f>EC99</f>
        <v>1192</v>
      </c>
      <c r="EE97" s="1900"/>
    </row>
    <row r="98" spans="2:135">
      <c r="B98" s="1895" t="s">
        <v>484</v>
      </c>
      <c r="C98" s="1569"/>
      <c r="D98" s="1569"/>
      <c r="E98" s="1569"/>
      <c r="F98" s="1569"/>
      <c r="G98" s="1569"/>
      <c r="H98" s="1569"/>
      <c r="I98" s="1569"/>
      <c r="J98" s="1569"/>
      <c r="K98" s="1569"/>
      <c r="L98" s="1569"/>
      <c r="M98" s="1569"/>
      <c r="N98" s="1569"/>
      <c r="O98" s="1569"/>
      <c r="P98" s="1569"/>
      <c r="Q98" s="1569"/>
      <c r="R98" s="1569"/>
      <c r="S98" s="1569"/>
      <c r="T98" s="1569"/>
      <c r="U98" s="1569"/>
      <c r="V98" s="1569"/>
      <c r="W98" s="1569"/>
      <c r="X98" s="1569"/>
      <c r="Y98" s="1569"/>
      <c r="Z98" s="1569"/>
      <c r="AA98" s="1569"/>
      <c r="AB98" s="1569"/>
      <c r="AC98" s="1569"/>
      <c r="AD98" s="1569"/>
      <c r="AE98" s="1569"/>
      <c r="AF98" s="1569"/>
      <c r="AG98" s="1569"/>
      <c r="AH98" s="1569"/>
      <c r="AI98" s="1569"/>
      <c r="AJ98" s="1569"/>
      <c r="AK98" s="1569"/>
      <c r="AL98" s="1569"/>
      <c r="AM98" s="1569"/>
      <c r="AN98" s="1569"/>
      <c r="AO98" s="1569"/>
      <c r="AP98" s="1569"/>
      <c r="AQ98" s="1569"/>
      <c r="AR98" s="1569"/>
      <c r="AS98" s="1569"/>
      <c r="AT98" s="1569"/>
      <c r="AU98" s="1569"/>
      <c r="AV98" s="1569"/>
      <c r="AW98" s="1569"/>
      <c r="AX98" s="1569"/>
      <c r="AY98" s="1569"/>
      <c r="AZ98" s="1569"/>
      <c r="BA98" s="1569"/>
      <c r="BB98" s="1569"/>
      <c r="BC98" s="1569"/>
      <c r="BD98" s="1569"/>
      <c r="BE98" s="1569"/>
      <c r="BF98" s="1569"/>
      <c r="BG98" s="1569"/>
      <c r="BH98" s="1569"/>
      <c r="BI98" s="1569"/>
      <c r="BJ98" s="1569"/>
      <c r="BK98" s="1569"/>
      <c r="BL98" s="1569"/>
      <c r="BM98" s="1569"/>
      <c r="BN98" s="1569"/>
      <c r="BO98" s="1569"/>
      <c r="BP98" s="1569"/>
      <c r="BQ98" s="1569"/>
      <c r="BR98" s="1569"/>
      <c r="BS98" s="1569"/>
      <c r="BT98" s="1569"/>
      <c r="BU98" s="1569"/>
      <c r="BV98" s="1569"/>
      <c r="BW98" s="1569"/>
      <c r="BX98" s="1569"/>
      <c r="BY98" s="1569"/>
      <c r="BZ98" s="1569"/>
      <c r="CA98" s="1569"/>
      <c r="CB98" s="1569"/>
      <c r="CC98" s="1569"/>
      <c r="CD98" s="1569"/>
      <c r="CE98" s="1569"/>
      <c r="CF98" s="1569"/>
      <c r="CG98" s="1569"/>
      <c r="CH98" s="1569"/>
      <c r="CI98" s="1569"/>
      <c r="CJ98" s="1569"/>
      <c r="CK98" s="1569"/>
      <c r="CL98" s="1569"/>
      <c r="CM98" s="1569"/>
      <c r="CN98" s="1569"/>
      <c r="CO98" s="1569"/>
      <c r="CP98" s="1569"/>
      <c r="CQ98" s="1569"/>
      <c r="CR98" s="1569"/>
      <c r="CS98" s="1569"/>
      <c r="CT98" s="1569"/>
      <c r="CU98" s="1569"/>
      <c r="CV98" s="1569"/>
      <c r="CW98" s="1569"/>
      <c r="CX98" s="1569"/>
      <c r="CY98" s="1569"/>
      <c r="CZ98" s="1569"/>
      <c r="DA98" s="1900"/>
      <c r="DB98" s="1569"/>
      <c r="DC98" s="1569"/>
      <c r="DD98" s="1569"/>
      <c r="DE98" s="1569"/>
      <c r="DF98" s="1900"/>
      <c r="DG98" s="1569"/>
      <c r="DH98" s="1569"/>
      <c r="DI98" s="1569"/>
      <c r="DJ98" s="1569"/>
      <c r="DK98" s="1900"/>
      <c r="DL98" s="1569"/>
      <c r="DM98" s="1569"/>
      <c r="DN98" s="38"/>
      <c r="DO98" s="1569"/>
      <c r="DP98" s="1900"/>
      <c r="DQ98" s="1569">
        <v>0</v>
      </c>
      <c r="DR98" s="1569">
        <v>0</v>
      </c>
      <c r="DS98" s="1569"/>
      <c r="DT98" s="1569"/>
      <c r="DU98" s="1900"/>
      <c r="DV98" s="1569">
        <v>0</v>
      </c>
      <c r="DW98" s="1569">
        <v>0</v>
      </c>
      <c r="DX98" s="1569"/>
      <c r="DY98" s="1569"/>
      <c r="DZ98" s="1900"/>
      <c r="EA98" s="1569">
        <v>0</v>
      </c>
      <c r="EB98" s="1569">
        <v>0</v>
      </c>
      <c r="EC98" s="1569"/>
      <c r="ED98" s="1569"/>
      <c r="EE98" s="1900"/>
    </row>
    <row r="99" spans="2:135">
      <c r="B99" s="1895" t="s">
        <v>485</v>
      </c>
      <c r="C99" s="1569"/>
      <c r="D99" s="1569"/>
      <c r="E99" s="1569"/>
      <c r="F99" s="1569"/>
      <c r="G99" s="1569"/>
      <c r="H99" s="1569"/>
      <c r="I99" s="1569"/>
      <c r="J99" s="1569"/>
      <c r="K99" s="1569"/>
      <c r="L99" s="1569"/>
      <c r="M99" s="1569"/>
      <c r="N99" s="1569"/>
      <c r="O99" s="1569"/>
      <c r="P99" s="1569"/>
      <c r="Q99" s="1569"/>
      <c r="R99" s="1569"/>
      <c r="S99" s="1569"/>
      <c r="T99" s="1569"/>
      <c r="U99" s="1569"/>
      <c r="V99" s="1569"/>
      <c r="W99" s="1569"/>
      <c r="X99" s="1569"/>
      <c r="Y99" s="1569"/>
      <c r="Z99" s="1569"/>
      <c r="AA99" s="1569"/>
      <c r="AB99" s="1569"/>
      <c r="AC99" s="1569"/>
      <c r="AD99" s="1569"/>
      <c r="AE99" s="1569"/>
      <c r="AF99" s="1569"/>
      <c r="AG99" s="1569"/>
      <c r="AH99" s="1569"/>
      <c r="AI99" s="1569"/>
      <c r="AJ99" s="1569"/>
      <c r="AK99" s="1569"/>
      <c r="AL99" s="1569"/>
      <c r="AM99" s="1569"/>
      <c r="AN99" s="1569"/>
      <c r="AO99" s="1569"/>
      <c r="AP99" s="1569"/>
      <c r="AQ99" s="1569"/>
      <c r="AR99" s="1569"/>
      <c r="AS99" s="1569"/>
      <c r="AT99" s="1569"/>
      <c r="AU99" s="1569"/>
      <c r="AV99" s="1569"/>
      <c r="AW99" s="1569"/>
      <c r="AX99" s="1569"/>
      <c r="AY99" s="1569"/>
      <c r="AZ99" s="1569"/>
      <c r="BA99" s="1569"/>
      <c r="BB99" s="1569"/>
      <c r="BC99" s="1569"/>
      <c r="BD99" s="1569"/>
      <c r="BE99" s="1569"/>
      <c r="BF99" s="1569"/>
      <c r="BG99" s="1569"/>
      <c r="BH99" s="1569"/>
      <c r="BI99" s="1569"/>
      <c r="BJ99" s="1569"/>
      <c r="BK99" s="1569"/>
      <c r="BL99" s="1569"/>
      <c r="BM99" s="1569"/>
      <c r="BN99" s="1569"/>
      <c r="BO99" s="1569"/>
      <c r="BP99" s="1569"/>
      <c r="BQ99" s="1569"/>
      <c r="BR99" s="1569"/>
      <c r="BS99" s="1569"/>
      <c r="BT99" s="1569"/>
      <c r="BU99" s="1569"/>
      <c r="BV99" s="1569"/>
      <c r="BW99" s="1569"/>
      <c r="BX99" s="1569"/>
      <c r="BY99" s="1569"/>
      <c r="BZ99" s="1569"/>
      <c r="CA99" s="1569"/>
      <c r="CB99" s="1569"/>
      <c r="CC99" s="1569"/>
      <c r="CD99" s="1569"/>
      <c r="CE99" s="1569"/>
      <c r="CF99" s="1569"/>
      <c r="CG99" s="1569"/>
      <c r="CH99" s="1569"/>
      <c r="CI99" s="1569"/>
      <c r="CJ99" s="1569"/>
      <c r="CK99" s="1569"/>
      <c r="CL99" s="1569"/>
      <c r="CM99" s="1569"/>
      <c r="CN99" s="1569"/>
      <c r="CO99" s="1569"/>
      <c r="CP99" s="1569"/>
      <c r="CQ99" s="1569"/>
      <c r="CR99" s="1569"/>
      <c r="CS99" s="1569"/>
      <c r="CT99" s="1569"/>
      <c r="CU99" s="1569"/>
      <c r="CV99" s="1569"/>
      <c r="CW99" s="1569"/>
      <c r="CX99" s="1569"/>
      <c r="CY99" s="1569">
        <v>1192</v>
      </c>
      <c r="CZ99" s="1569"/>
      <c r="DA99" s="1900"/>
      <c r="DB99" s="1569"/>
      <c r="DC99" s="1569"/>
      <c r="DD99" s="1569">
        <v>1192</v>
      </c>
      <c r="DE99" s="1569">
        <f>SUM(DE97:DE98)</f>
        <v>1192</v>
      </c>
      <c r="DF99" s="1900"/>
      <c r="DG99" s="1569">
        <f>SUM(DG97:DG98)</f>
        <v>1192</v>
      </c>
      <c r="DH99" s="1569">
        <f>SUM(DH97:DH98)</f>
        <v>1192</v>
      </c>
      <c r="DI99" s="1569">
        <f>SUM(DI97:DI98)</f>
        <v>1192</v>
      </c>
      <c r="DJ99" s="1569">
        <f>SUM(DJ97:DJ98)</f>
        <v>1192</v>
      </c>
      <c r="DK99" s="1900"/>
      <c r="DL99" s="1569">
        <f>SUM(DL97:DL98)</f>
        <v>1192</v>
      </c>
      <c r="DM99" s="1569">
        <f>SUM(DM97:DM98)</f>
        <v>1192</v>
      </c>
      <c r="DN99" s="38">
        <f>SUM(DN97:DN98)</f>
        <v>1192</v>
      </c>
      <c r="DO99" s="1569">
        <f>SUM(DO97:DO98)</f>
        <v>1192</v>
      </c>
      <c r="DP99" s="1900"/>
      <c r="DQ99" s="1569">
        <f>SUM(DQ97:DQ98)</f>
        <v>1192</v>
      </c>
      <c r="DR99" s="1569">
        <f>SUM(DR97:DR98)</f>
        <v>1192</v>
      </c>
      <c r="DS99" s="1569">
        <f>SUM(DS97:DS98)</f>
        <v>1192</v>
      </c>
      <c r="DT99" s="1569">
        <f>SUM(DT97:DT98)</f>
        <v>1192</v>
      </c>
      <c r="DU99" s="1900"/>
      <c r="DV99" s="1569">
        <f>SUM(DV97:DV98)</f>
        <v>1192</v>
      </c>
      <c r="DW99" s="1569">
        <f>SUM(DW97:DW98)</f>
        <v>1192</v>
      </c>
      <c r="DX99" s="1569">
        <f>SUM(DX97:DX98)</f>
        <v>1192</v>
      </c>
      <c r="DY99" s="1569">
        <f>SUM(DY97:DY98)</f>
        <v>1192</v>
      </c>
      <c r="DZ99" s="1900"/>
      <c r="EA99" s="1569">
        <f>SUM(EA97:EA98)</f>
        <v>1192</v>
      </c>
      <c r="EB99" s="1569">
        <f>SUM(EB97:EB98)</f>
        <v>1192</v>
      </c>
      <c r="EC99" s="1569">
        <f>SUM(EC97:EC98)</f>
        <v>1192</v>
      </c>
      <c r="ED99" s="1569">
        <f>SUM(ED97:ED98)</f>
        <v>1192</v>
      </c>
      <c r="EE99" s="1900"/>
    </row>
    <row r="100" spans="2:135" ht="12" thickBot="1">
      <c r="B100" s="1896" t="s">
        <v>400</v>
      </c>
      <c r="C100" s="1897"/>
      <c r="D100" s="1897"/>
      <c r="E100" s="1897"/>
      <c r="F100" s="1897"/>
      <c r="G100" s="1897"/>
      <c r="H100" s="1897"/>
      <c r="I100" s="1897"/>
      <c r="J100" s="1897"/>
      <c r="K100" s="1897"/>
      <c r="L100" s="1897"/>
      <c r="M100" s="1897"/>
      <c r="N100" s="1897"/>
      <c r="O100" s="1897"/>
      <c r="P100" s="1897"/>
      <c r="Q100" s="1897"/>
      <c r="R100" s="1897"/>
      <c r="S100" s="1897"/>
      <c r="T100" s="1897"/>
      <c r="U100" s="1897"/>
      <c r="V100" s="1897"/>
      <c r="W100" s="1897"/>
      <c r="X100" s="1897"/>
      <c r="Y100" s="1897"/>
      <c r="Z100" s="1897"/>
      <c r="AA100" s="1897"/>
      <c r="AB100" s="1897"/>
      <c r="AC100" s="1897"/>
      <c r="AD100" s="1897"/>
      <c r="AE100" s="1897"/>
      <c r="AF100" s="1897"/>
      <c r="AG100" s="1897"/>
      <c r="AH100" s="1897"/>
      <c r="AI100" s="1897"/>
      <c r="AJ100" s="1897"/>
      <c r="AK100" s="1897"/>
      <c r="AL100" s="1897"/>
      <c r="AM100" s="1897"/>
      <c r="AN100" s="1897"/>
      <c r="AO100" s="1897"/>
      <c r="AP100" s="1897"/>
      <c r="AQ100" s="1897"/>
      <c r="AR100" s="1897"/>
      <c r="AS100" s="1897"/>
      <c r="AT100" s="1897"/>
      <c r="AU100" s="1897"/>
      <c r="AV100" s="1897"/>
      <c r="AW100" s="1897"/>
      <c r="AX100" s="1897"/>
      <c r="AY100" s="1897"/>
      <c r="AZ100" s="1897"/>
      <c r="BA100" s="1897"/>
      <c r="BB100" s="1897"/>
      <c r="BC100" s="1897"/>
      <c r="BD100" s="1897"/>
      <c r="BE100" s="1897"/>
      <c r="BF100" s="1897"/>
      <c r="BG100" s="1897"/>
      <c r="BH100" s="1897"/>
      <c r="BI100" s="1897"/>
      <c r="BJ100" s="1897"/>
      <c r="BK100" s="1897"/>
      <c r="BL100" s="1897"/>
      <c r="BM100" s="1897"/>
      <c r="BN100" s="1897"/>
      <c r="BO100" s="1897"/>
      <c r="BP100" s="1897"/>
      <c r="BQ100" s="1897"/>
      <c r="BR100" s="1897"/>
      <c r="BS100" s="1897"/>
      <c r="BT100" s="1897"/>
      <c r="BU100" s="1897"/>
      <c r="BV100" s="1897"/>
      <c r="BW100" s="1897"/>
      <c r="BX100" s="1897"/>
      <c r="BY100" s="1897"/>
      <c r="BZ100" s="1897"/>
      <c r="CA100" s="1897"/>
      <c r="CB100" s="1897"/>
      <c r="CC100" s="1897"/>
      <c r="CD100" s="1897"/>
      <c r="CE100" s="1897"/>
      <c r="CF100" s="1897"/>
      <c r="CG100" s="1897"/>
      <c r="CH100" s="1897"/>
      <c r="CI100" s="1897"/>
      <c r="CJ100" s="1897"/>
      <c r="CK100" s="1897"/>
      <c r="CL100" s="1897"/>
      <c r="CM100" s="1897"/>
      <c r="CN100" s="1897"/>
      <c r="CO100" s="1897"/>
      <c r="CP100" s="1897"/>
      <c r="CQ100" s="1897"/>
      <c r="CR100" s="1897"/>
      <c r="CS100" s="1897"/>
      <c r="CT100" s="1897"/>
      <c r="CU100" s="1897"/>
      <c r="CV100" s="1897"/>
      <c r="CW100" s="1897"/>
      <c r="CX100" s="1897"/>
      <c r="CY100" s="1897"/>
      <c r="CZ100" s="1897"/>
      <c r="DA100" s="1901"/>
      <c r="DB100" s="1897"/>
      <c r="DC100" s="1897"/>
      <c r="DD100" s="1897"/>
      <c r="DE100" s="1897">
        <f>AVERAGE(DE97,DE99)*(DE96/4)</f>
        <v>9.2379999999999995</v>
      </c>
      <c r="DF100" s="1901"/>
      <c r="DG100" s="1897">
        <f>AVERAGE(DG97,DG99)*(DG96/4)</f>
        <v>9.2379999999999995</v>
      </c>
      <c r="DH100" s="1897">
        <f>AVERAGE(DH97,DH99)*(DH96/4)</f>
        <v>9.2379999999999995</v>
      </c>
      <c r="DI100" s="1897">
        <f>AVERAGE(DI97,DI99)*(DI96/4)</f>
        <v>9.2379999999999995</v>
      </c>
      <c r="DJ100" s="1897">
        <f>AVERAGE(DJ97,DJ99)*(DJ96/4)</f>
        <v>9.2379999999999995</v>
      </c>
      <c r="DK100" s="1901"/>
      <c r="DL100" s="1897">
        <f>AVERAGE(DL97,DL99)*(DL96/4)</f>
        <v>9.2379999999999995</v>
      </c>
      <c r="DM100" s="1897">
        <f>AVERAGE(DM97,DM99)*(DM96/4)</f>
        <v>9.2379999999999995</v>
      </c>
      <c r="DN100" s="2214">
        <f>AVERAGE(DN97,DN99)*(DN96/4)</f>
        <v>9.2379999999999995</v>
      </c>
      <c r="DO100" s="1897">
        <f>AVERAGE(DO97,DO99)*(DO96/4)</f>
        <v>9.2379999999999995</v>
      </c>
      <c r="DP100" s="1901"/>
      <c r="DQ100" s="1897">
        <f>AVERAGE(DQ97,DQ99)*(DQ96/4)</f>
        <v>9.2379999999999995</v>
      </c>
      <c r="DR100" s="1897">
        <f>AVERAGE(DR97,DR99)*(DR96/4)</f>
        <v>9.2379999999999995</v>
      </c>
      <c r="DS100" s="1897">
        <f>AVERAGE(DS97,DS99)*(DS96/4)</f>
        <v>9.2379999999999995</v>
      </c>
      <c r="DT100" s="1897">
        <f>AVERAGE(DT97,DT99)*(DT96/4)</f>
        <v>9.2379999999999995</v>
      </c>
      <c r="DU100" s="1901"/>
      <c r="DV100" s="1897">
        <f>AVERAGE(DV97,DV99)*(DV96/4)</f>
        <v>9.2379999999999995</v>
      </c>
      <c r="DW100" s="1897">
        <f>AVERAGE(DW97,DW99)*(DW96/4)</f>
        <v>9.2379999999999995</v>
      </c>
      <c r="DX100" s="1897">
        <f>AVERAGE(DX97,DX99)*(DX96/4)</f>
        <v>9.2379999999999995</v>
      </c>
      <c r="DY100" s="1897">
        <f>AVERAGE(DY97,DY99)*(DY96/4)</f>
        <v>9.2379999999999995</v>
      </c>
      <c r="DZ100" s="1901"/>
      <c r="EA100" s="1897">
        <f>AVERAGE(EA97,EA99)*(EA96/4)</f>
        <v>9.2379999999999995</v>
      </c>
      <c r="EB100" s="1897">
        <f>AVERAGE(EB97,EB99)*(EB96/4)</f>
        <v>9.2379999999999995</v>
      </c>
      <c r="EC100" s="1897">
        <f>AVERAGE(EC97,EC99)*(EC96/4)</f>
        <v>9.2379999999999995</v>
      </c>
      <c r="ED100" s="1897">
        <f>AVERAGE(ED97,ED99)*(ED96/4)</f>
        <v>9.2379999999999995</v>
      </c>
      <c r="EE100" s="1901"/>
    </row>
    <row r="101" spans="2:135" ht="12" thickBot="1">
      <c r="DN101" s="2231"/>
    </row>
    <row r="102" spans="2:135" ht="12" thickBot="1">
      <c r="B102" s="754" t="s">
        <v>507</v>
      </c>
      <c r="C102" s="684"/>
      <c r="D102" s="684"/>
      <c r="E102" s="684"/>
      <c r="F102" s="684"/>
      <c r="G102" s="684"/>
      <c r="H102" s="684"/>
      <c r="I102" s="684"/>
      <c r="J102" s="684"/>
      <c r="K102" s="684"/>
      <c r="L102" s="684"/>
      <c r="M102" s="684"/>
      <c r="N102" s="684"/>
      <c r="O102" s="684"/>
      <c r="P102" s="684"/>
      <c r="Q102" s="684"/>
      <c r="R102" s="684"/>
      <c r="S102" s="684"/>
      <c r="T102" s="684"/>
      <c r="U102" s="684"/>
      <c r="V102" s="684"/>
      <c r="W102" s="684"/>
      <c r="X102" s="684"/>
      <c r="Y102" s="684"/>
      <c r="Z102" s="684"/>
      <c r="AA102" s="684"/>
      <c r="AB102" s="684"/>
      <c r="AC102" s="684"/>
      <c r="AD102" s="684"/>
      <c r="AE102" s="684"/>
      <c r="AF102" s="684"/>
      <c r="AG102" s="684"/>
      <c r="AH102" s="684"/>
      <c r="AI102" s="684"/>
      <c r="AJ102" s="684"/>
      <c r="AK102" s="684"/>
      <c r="AL102" s="684"/>
      <c r="AM102" s="684"/>
      <c r="AN102" s="684"/>
      <c r="AO102" s="684"/>
      <c r="AP102" s="684"/>
      <c r="AQ102" s="684"/>
      <c r="AR102" s="684"/>
      <c r="AS102" s="684"/>
      <c r="AT102" s="684"/>
      <c r="AU102" s="684"/>
      <c r="AV102" s="684"/>
      <c r="AW102" s="684"/>
      <c r="AX102" s="684"/>
      <c r="AY102" s="684"/>
      <c r="AZ102" s="684"/>
      <c r="BA102" s="684"/>
      <c r="BB102" s="684"/>
      <c r="BC102" s="684"/>
      <c r="BD102" s="684"/>
      <c r="BE102" s="684"/>
      <c r="BF102" s="684"/>
      <c r="BG102" s="684"/>
      <c r="BH102" s="684"/>
      <c r="BI102" s="684"/>
      <c r="BJ102" s="684"/>
      <c r="BK102" s="684"/>
      <c r="BL102" s="684"/>
      <c r="BM102" s="684"/>
      <c r="BN102" s="684"/>
      <c r="BO102" s="684"/>
      <c r="BP102" s="684"/>
      <c r="BQ102" s="684"/>
      <c r="BR102" s="684"/>
      <c r="BS102" s="684"/>
      <c r="BT102" s="684"/>
      <c r="BU102" s="684"/>
      <c r="BV102" s="684"/>
      <c r="BW102" s="684"/>
      <c r="BX102" s="684"/>
      <c r="BY102" s="684"/>
      <c r="BZ102" s="684"/>
      <c r="CA102" s="684"/>
      <c r="CB102" s="684"/>
      <c r="CC102" s="684"/>
      <c r="CD102" s="684"/>
      <c r="CE102" s="684"/>
      <c r="CF102" s="684"/>
      <c r="CG102" s="684"/>
      <c r="CH102" s="684"/>
      <c r="CI102" s="684"/>
      <c r="CJ102" s="684"/>
      <c r="CK102" s="684"/>
      <c r="CL102" s="684"/>
      <c r="CM102" s="684"/>
      <c r="CN102" s="684"/>
      <c r="CO102" s="684"/>
      <c r="CP102" s="684"/>
      <c r="CQ102" s="684"/>
      <c r="CR102" s="684"/>
      <c r="CS102" s="684"/>
      <c r="CT102" s="684"/>
      <c r="CU102" s="684"/>
      <c r="CV102" s="684"/>
      <c r="CW102" s="684"/>
      <c r="CX102" s="684"/>
      <c r="CY102" s="684"/>
      <c r="CZ102" s="684"/>
      <c r="DA102" s="684"/>
      <c r="DB102" s="684"/>
      <c r="DC102" s="684"/>
      <c r="DD102" s="684"/>
      <c r="DE102" s="684"/>
      <c r="DF102" s="684"/>
      <c r="DG102" s="684"/>
      <c r="DH102" s="684"/>
      <c r="DI102" s="684"/>
      <c r="DJ102" s="684"/>
      <c r="DK102" s="684"/>
      <c r="DL102" s="684"/>
      <c r="DM102" s="684"/>
      <c r="DN102" s="2232"/>
      <c r="DO102" s="684"/>
      <c r="DP102" s="1894"/>
      <c r="DQ102" s="684"/>
      <c r="DR102" s="684"/>
      <c r="DS102" s="684"/>
      <c r="DT102" s="684"/>
      <c r="DU102" s="1894"/>
      <c r="DV102" s="684"/>
      <c r="DW102" s="684"/>
      <c r="DX102" s="684"/>
      <c r="DY102" s="684"/>
      <c r="DZ102" s="1894"/>
      <c r="EA102" s="684"/>
      <c r="EB102" s="684"/>
      <c r="EC102" s="684"/>
      <c r="ED102" s="684"/>
      <c r="EE102" s="1894"/>
    </row>
    <row r="103" spans="2:135">
      <c r="B103" s="1902" t="s">
        <v>498</v>
      </c>
      <c r="C103" s="1903"/>
      <c r="D103" s="1903"/>
      <c r="E103" s="1903"/>
      <c r="F103" s="1903"/>
      <c r="G103" s="1903"/>
      <c r="H103" s="1903"/>
      <c r="I103" s="1903"/>
      <c r="J103" s="1903"/>
      <c r="K103" s="1903"/>
      <c r="L103" s="1903"/>
      <c r="M103" s="1903"/>
      <c r="N103" s="1903"/>
      <c r="O103" s="1903"/>
      <c r="P103" s="1903"/>
      <c r="Q103" s="1903"/>
      <c r="R103" s="1903"/>
      <c r="S103" s="1903"/>
      <c r="T103" s="1903"/>
      <c r="U103" s="1903"/>
      <c r="V103" s="1903"/>
      <c r="W103" s="1903"/>
      <c r="X103" s="1903"/>
      <c r="Y103" s="1903"/>
      <c r="Z103" s="1903"/>
      <c r="AA103" s="1903"/>
      <c r="AB103" s="1903"/>
      <c r="AC103" s="1903"/>
      <c r="AD103" s="1903"/>
      <c r="AE103" s="1903"/>
      <c r="AF103" s="1903"/>
      <c r="AG103" s="1903"/>
      <c r="AH103" s="1903"/>
      <c r="AI103" s="1903"/>
      <c r="AJ103" s="1903"/>
      <c r="AK103" s="1903"/>
      <c r="AL103" s="1903"/>
      <c r="AM103" s="1903"/>
      <c r="AN103" s="1903"/>
      <c r="AO103" s="1903"/>
      <c r="AP103" s="1903"/>
      <c r="AQ103" s="1903"/>
      <c r="AR103" s="1903"/>
      <c r="AS103" s="1903"/>
      <c r="AT103" s="1903"/>
      <c r="AU103" s="1903"/>
      <c r="AV103" s="1903"/>
      <c r="AW103" s="1903"/>
      <c r="AX103" s="1903"/>
      <c r="AY103" s="1903"/>
      <c r="AZ103" s="1903"/>
      <c r="BA103" s="1903"/>
      <c r="BB103" s="1903"/>
      <c r="BC103" s="1903"/>
      <c r="BD103" s="1903"/>
      <c r="BE103" s="1903"/>
      <c r="BF103" s="1903"/>
      <c r="BG103" s="1903"/>
      <c r="BH103" s="1903"/>
      <c r="BI103" s="1903"/>
      <c r="BJ103" s="1903"/>
      <c r="BK103" s="1903"/>
      <c r="BL103" s="1903"/>
      <c r="BM103" s="1903"/>
      <c r="BN103" s="1903"/>
      <c r="BO103" s="1903"/>
      <c r="BP103" s="1903"/>
      <c r="BQ103" s="1903"/>
      <c r="BR103" s="1903"/>
      <c r="BS103" s="1903"/>
      <c r="BT103" s="1903"/>
      <c r="BU103" s="1903"/>
      <c r="BV103" s="1903"/>
      <c r="BW103" s="1903"/>
      <c r="BX103" s="1903"/>
      <c r="BY103" s="1903"/>
      <c r="BZ103" s="1903"/>
      <c r="CA103" s="1903"/>
      <c r="CB103" s="1903"/>
      <c r="CC103" s="1903"/>
      <c r="CD103" s="1903"/>
      <c r="CE103" s="1903"/>
      <c r="CF103" s="1903"/>
      <c r="CG103" s="1903"/>
      <c r="CH103" s="1903"/>
      <c r="CI103" s="1903"/>
      <c r="CJ103" s="1903"/>
      <c r="CK103" s="1903"/>
      <c r="CL103" s="1903"/>
      <c r="CM103" s="1903"/>
      <c r="CN103" s="1903"/>
      <c r="CO103" s="1903"/>
      <c r="CP103" s="1903"/>
      <c r="CQ103" s="1903"/>
      <c r="CR103" s="1903"/>
      <c r="CS103" s="1903"/>
      <c r="CT103" s="1903"/>
      <c r="CU103" s="1903"/>
      <c r="CV103" s="1903"/>
      <c r="CW103" s="1904">
        <v>3.7999999999999999E-2</v>
      </c>
      <c r="CX103" s="1904">
        <v>3.7999999999999999E-2</v>
      </c>
      <c r="CY103" s="1904">
        <v>3.7999999999999999E-2</v>
      </c>
      <c r="CZ103" s="1904">
        <v>3.7999999999999999E-2</v>
      </c>
      <c r="DA103" s="1941"/>
      <c r="DB103" s="1904">
        <v>3.7999999999999999E-2</v>
      </c>
      <c r="DC103" s="1904">
        <v>3.7999999999999999E-2</v>
      </c>
      <c r="DD103" s="1904">
        <v>3.7999999999999999E-2</v>
      </c>
      <c r="DE103" s="1903">
        <f>DD103</f>
        <v>3.7999999999999999E-2</v>
      </c>
      <c r="DF103" s="1899"/>
      <c r="DG103" s="1903">
        <f>DE103</f>
        <v>3.7999999999999999E-2</v>
      </c>
      <c r="DH103" s="1903">
        <f>DG103</f>
        <v>3.7999999999999999E-2</v>
      </c>
      <c r="DI103" s="1903">
        <f>DH103</f>
        <v>3.7999999999999999E-2</v>
      </c>
      <c r="DJ103" s="1903">
        <f>DI103</f>
        <v>3.7999999999999999E-2</v>
      </c>
      <c r="DK103" s="1899"/>
      <c r="DL103" s="1903">
        <f>DJ103</f>
        <v>3.7999999999999999E-2</v>
      </c>
      <c r="DM103" s="1903">
        <f>DL103</f>
        <v>3.7999999999999999E-2</v>
      </c>
      <c r="DN103" s="2215">
        <f>DM103</f>
        <v>3.7999999999999999E-2</v>
      </c>
      <c r="DO103" s="1903">
        <f>DN103</f>
        <v>3.7999999999999999E-2</v>
      </c>
      <c r="DP103" s="1899"/>
      <c r="DQ103" s="1903">
        <f>DO103</f>
        <v>3.7999999999999999E-2</v>
      </c>
      <c r="DR103" s="1903">
        <f>DQ103</f>
        <v>3.7999999999999999E-2</v>
      </c>
      <c r="DS103" s="1903">
        <f>DR103</f>
        <v>3.7999999999999999E-2</v>
      </c>
      <c r="DT103" s="1903">
        <f>DS103</f>
        <v>3.7999999999999999E-2</v>
      </c>
      <c r="DU103" s="1899"/>
      <c r="DV103" s="1903">
        <f>DT103</f>
        <v>3.7999999999999999E-2</v>
      </c>
      <c r="DW103" s="1903">
        <f>DV103</f>
        <v>3.7999999999999999E-2</v>
      </c>
      <c r="DX103" s="1903">
        <f>DW103</f>
        <v>3.7999999999999999E-2</v>
      </c>
      <c r="DY103" s="1903">
        <f>DX103</f>
        <v>3.7999999999999999E-2</v>
      </c>
      <c r="DZ103" s="1899"/>
      <c r="EA103" s="1903">
        <f>DY103</f>
        <v>3.7999999999999999E-2</v>
      </c>
      <c r="EB103" s="1903">
        <f>EA103</f>
        <v>3.7999999999999999E-2</v>
      </c>
      <c r="EC103" s="1903">
        <f>EB103</f>
        <v>3.7999999999999999E-2</v>
      </c>
      <c r="ED103" s="1903">
        <f>EC103</f>
        <v>3.7999999999999999E-2</v>
      </c>
      <c r="EE103" s="1899"/>
    </row>
    <row r="104" spans="2:135">
      <c r="B104" s="1895" t="s">
        <v>483</v>
      </c>
      <c r="C104" s="1569"/>
      <c r="D104" s="1569"/>
      <c r="E104" s="1569"/>
      <c r="F104" s="1569"/>
      <c r="G104" s="1569"/>
      <c r="H104" s="1569"/>
      <c r="I104" s="1569"/>
      <c r="J104" s="1569"/>
      <c r="K104" s="1569"/>
      <c r="L104" s="1569"/>
      <c r="M104" s="1569"/>
      <c r="N104" s="1569"/>
      <c r="O104" s="1569"/>
      <c r="P104" s="1569"/>
      <c r="Q104" s="1569"/>
      <c r="R104" s="1569"/>
      <c r="S104" s="1569"/>
      <c r="T104" s="1569"/>
      <c r="U104" s="1569"/>
      <c r="V104" s="1569"/>
      <c r="W104" s="1569"/>
      <c r="X104" s="1569"/>
      <c r="Y104" s="1569"/>
      <c r="Z104" s="1569"/>
      <c r="AA104" s="1569"/>
      <c r="AB104" s="1569"/>
      <c r="AC104" s="1569"/>
      <c r="AD104" s="1569"/>
      <c r="AE104" s="1569"/>
      <c r="AF104" s="1569"/>
      <c r="AG104" s="1569"/>
      <c r="AH104" s="1569"/>
      <c r="AI104" s="1569"/>
      <c r="AJ104" s="1569"/>
      <c r="AK104" s="1569"/>
      <c r="AL104" s="1569"/>
      <c r="AM104" s="1569"/>
      <c r="AN104" s="1569"/>
      <c r="AO104" s="1569"/>
      <c r="AP104" s="1569"/>
      <c r="AQ104" s="1569"/>
      <c r="AR104" s="1569"/>
      <c r="AS104" s="1569"/>
      <c r="AT104" s="1569"/>
      <c r="AU104" s="1569"/>
      <c r="AV104" s="1569"/>
      <c r="AW104" s="1569"/>
      <c r="AX104" s="1569"/>
      <c r="AY104" s="1569"/>
      <c r="AZ104" s="1569"/>
      <c r="BA104" s="1569"/>
      <c r="BB104" s="1569"/>
      <c r="BC104" s="1569"/>
      <c r="BD104" s="1569"/>
      <c r="BE104" s="1569"/>
      <c r="BF104" s="1569"/>
      <c r="BG104" s="1569"/>
      <c r="BH104" s="1569"/>
      <c r="BI104" s="1569"/>
      <c r="BJ104" s="1569"/>
      <c r="BK104" s="1569"/>
      <c r="BL104" s="1569"/>
      <c r="BM104" s="1569"/>
      <c r="BN104" s="1569"/>
      <c r="BO104" s="1569"/>
      <c r="BP104" s="1569"/>
      <c r="BQ104" s="1569"/>
      <c r="BR104" s="1569"/>
      <c r="BS104" s="1569"/>
      <c r="BT104" s="1569"/>
      <c r="BU104" s="1569"/>
      <c r="BV104" s="1569"/>
      <c r="BW104" s="1569"/>
      <c r="BX104" s="1569"/>
      <c r="BY104" s="1569"/>
      <c r="BZ104" s="1569"/>
      <c r="CA104" s="1569"/>
      <c r="CB104" s="1569"/>
      <c r="CC104" s="1569"/>
      <c r="CD104" s="1569"/>
      <c r="CE104" s="1569"/>
      <c r="CF104" s="1569"/>
      <c r="CG104" s="1569"/>
      <c r="CH104" s="1569"/>
      <c r="CI104" s="1569"/>
      <c r="CJ104" s="1569"/>
      <c r="CK104" s="1569"/>
      <c r="CL104" s="1569"/>
      <c r="CM104" s="1569"/>
      <c r="CN104" s="1569"/>
      <c r="CO104" s="1569"/>
      <c r="CP104" s="1569"/>
      <c r="CQ104" s="1569"/>
      <c r="CR104" s="1569"/>
      <c r="CS104" s="1569"/>
      <c r="CT104" s="1569"/>
      <c r="CU104" s="1569"/>
      <c r="CV104" s="1569"/>
      <c r="CW104" s="1569"/>
      <c r="CX104" s="1569"/>
      <c r="CY104" s="1569"/>
      <c r="CZ104" s="1569"/>
      <c r="DA104" s="1900"/>
      <c r="DB104" s="1569"/>
      <c r="DC104" s="1569"/>
      <c r="DD104" s="1569"/>
      <c r="DE104" s="1569">
        <f>DD106</f>
        <v>1985</v>
      </c>
      <c r="DF104" s="1900"/>
      <c r="DG104" s="1569">
        <f>DE106</f>
        <v>1985</v>
      </c>
      <c r="DH104" s="1569">
        <f>DG106</f>
        <v>1985</v>
      </c>
      <c r="DI104" s="1569">
        <f>DH106</f>
        <v>1985</v>
      </c>
      <c r="DJ104" s="1569">
        <f>DI106</f>
        <v>1985</v>
      </c>
      <c r="DK104" s="1900"/>
      <c r="DL104" s="1569">
        <f>DJ106</f>
        <v>1985</v>
      </c>
      <c r="DM104" s="1569">
        <f>DL106</f>
        <v>1985</v>
      </c>
      <c r="DN104" s="38">
        <f>DM106</f>
        <v>1985</v>
      </c>
      <c r="DO104" s="1569">
        <f>DN106</f>
        <v>1985</v>
      </c>
      <c r="DP104" s="1900"/>
      <c r="DQ104" s="1569">
        <f>DO106</f>
        <v>1985</v>
      </c>
      <c r="DR104" s="1569">
        <f>DQ106</f>
        <v>1985</v>
      </c>
      <c r="DS104" s="1569">
        <f>DR106</f>
        <v>1985</v>
      </c>
      <c r="DT104" s="1569">
        <f>DS106</f>
        <v>1985</v>
      </c>
      <c r="DU104" s="1900"/>
      <c r="DV104" s="1569">
        <f>DT106</f>
        <v>1985</v>
      </c>
      <c r="DW104" s="1569">
        <f>DV106</f>
        <v>1985</v>
      </c>
      <c r="DX104" s="1569">
        <f>DW106</f>
        <v>1985</v>
      </c>
      <c r="DY104" s="1569">
        <f>DX106</f>
        <v>1985</v>
      </c>
      <c r="DZ104" s="1900"/>
      <c r="EA104" s="1569">
        <f>DY106</f>
        <v>1985</v>
      </c>
      <c r="EB104" s="1569">
        <f>EA106</f>
        <v>1985</v>
      </c>
      <c r="EC104" s="1569">
        <f>EB106</f>
        <v>1985</v>
      </c>
      <c r="ED104" s="1569">
        <f>EC106</f>
        <v>1985</v>
      </c>
      <c r="EE104" s="1900"/>
    </row>
    <row r="105" spans="2:135">
      <c r="B105" s="1895" t="s">
        <v>484</v>
      </c>
      <c r="C105" s="1569"/>
      <c r="D105" s="1569"/>
      <c r="E105" s="1569"/>
      <c r="F105" s="1569"/>
      <c r="G105" s="1569"/>
      <c r="H105" s="1569"/>
      <c r="I105" s="1569"/>
      <c r="J105" s="1569"/>
      <c r="K105" s="1569"/>
      <c r="L105" s="1569"/>
      <c r="M105" s="1569"/>
      <c r="N105" s="1569"/>
      <c r="O105" s="1569"/>
      <c r="P105" s="1569"/>
      <c r="Q105" s="1569"/>
      <c r="R105" s="1569"/>
      <c r="S105" s="1569"/>
      <c r="T105" s="1569"/>
      <c r="U105" s="1569"/>
      <c r="V105" s="1569"/>
      <c r="W105" s="1569"/>
      <c r="X105" s="1569"/>
      <c r="Y105" s="1569"/>
      <c r="Z105" s="1569"/>
      <c r="AA105" s="1569"/>
      <c r="AB105" s="1569"/>
      <c r="AC105" s="1569"/>
      <c r="AD105" s="1569"/>
      <c r="AE105" s="1569"/>
      <c r="AF105" s="1569"/>
      <c r="AG105" s="1569"/>
      <c r="AH105" s="1569"/>
      <c r="AI105" s="1569"/>
      <c r="AJ105" s="1569"/>
      <c r="AK105" s="1569"/>
      <c r="AL105" s="1569"/>
      <c r="AM105" s="1569"/>
      <c r="AN105" s="1569"/>
      <c r="AO105" s="1569"/>
      <c r="AP105" s="1569"/>
      <c r="AQ105" s="1569"/>
      <c r="AR105" s="1569"/>
      <c r="AS105" s="1569"/>
      <c r="AT105" s="1569"/>
      <c r="AU105" s="1569"/>
      <c r="AV105" s="1569"/>
      <c r="AW105" s="1569"/>
      <c r="AX105" s="1569"/>
      <c r="AY105" s="1569"/>
      <c r="AZ105" s="1569"/>
      <c r="BA105" s="1569"/>
      <c r="BB105" s="1569"/>
      <c r="BC105" s="1569"/>
      <c r="BD105" s="1569"/>
      <c r="BE105" s="1569"/>
      <c r="BF105" s="1569"/>
      <c r="BG105" s="1569"/>
      <c r="BH105" s="1569"/>
      <c r="BI105" s="1569"/>
      <c r="BJ105" s="1569"/>
      <c r="BK105" s="1569"/>
      <c r="BL105" s="1569"/>
      <c r="BM105" s="1569"/>
      <c r="BN105" s="1569"/>
      <c r="BO105" s="1569"/>
      <c r="BP105" s="1569"/>
      <c r="BQ105" s="1569"/>
      <c r="BR105" s="1569"/>
      <c r="BS105" s="1569"/>
      <c r="BT105" s="1569"/>
      <c r="BU105" s="1569"/>
      <c r="BV105" s="1569"/>
      <c r="BW105" s="1569"/>
      <c r="BX105" s="1569"/>
      <c r="BY105" s="1569"/>
      <c r="BZ105" s="1569"/>
      <c r="CA105" s="1569"/>
      <c r="CB105" s="1569"/>
      <c r="CC105" s="1569"/>
      <c r="CD105" s="1569"/>
      <c r="CE105" s="1569"/>
      <c r="CF105" s="1569"/>
      <c r="CG105" s="1569"/>
      <c r="CH105" s="1569"/>
      <c r="CI105" s="1569"/>
      <c r="CJ105" s="1569"/>
      <c r="CK105" s="1569"/>
      <c r="CL105" s="1569"/>
      <c r="CM105" s="1569"/>
      <c r="CN105" s="1569"/>
      <c r="CO105" s="1569"/>
      <c r="CP105" s="1569"/>
      <c r="CQ105" s="1569"/>
      <c r="CR105" s="1569"/>
      <c r="CS105" s="1569"/>
      <c r="CT105" s="1569"/>
      <c r="CU105" s="1569"/>
      <c r="CV105" s="1569"/>
      <c r="CW105" s="1569"/>
      <c r="CX105" s="1569"/>
      <c r="CY105" s="1569"/>
      <c r="CZ105" s="1569"/>
      <c r="DA105" s="1900"/>
      <c r="DB105" s="1569"/>
      <c r="DC105" s="1569"/>
      <c r="DD105" s="1569"/>
      <c r="DE105" s="1569"/>
      <c r="DF105" s="1900"/>
      <c r="DG105" s="1569"/>
      <c r="DH105" s="1569"/>
      <c r="DI105" s="1569"/>
      <c r="DJ105" s="1569"/>
      <c r="DK105" s="1900"/>
      <c r="DL105" s="1569"/>
      <c r="DM105" s="1569"/>
      <c r="DN105" s="38"/>
      <c r="DO105" s="1569"/>
      <c r="DP105" s="1900"/>
      <c r="DQ105" s="1569">
        <v>0</v>
      </c>
      <c r="DR105" s="1569">
        <v>0</v>
      </c>
      <c r="DS105" s="1569">
        <v>0</v>
      </c>
      <c r="DT105" s="1569">
        <v>0</v>
      </c>
      <c r="DU105" s="1900"/>
      <c r="DV105" s="1569">
        <v>0</v>
      </c>
      <c r="DW105" s="1569">
        <v>0</v>
      </c>
      <c r="DX105" s="1569">
        <v>0</v>
      </c>
      <c r="DY105" s="1569">
        <v>0</v>
      </c>
      <c r="DZ105" s="1900"/>
      <c r="EA105" s="1569">
        <v>0</v>
      </c>
      <c r="EB105" s="1569">
        <v>0</v>
      </c>
      <c r="EC105" s="1569">
        <v>0</v>
      </c>
      <c r="ED105" s="1569">
        <v>0</v>
      </c>
      <c r="EE105" s="1900"/>
    </row>
    <row r="106" spans="2:135">
      <c r="B106" s="1895" t="s">
        <v>485</v>
      </c>
      <c r="C106" s="1569"/>
      <c r="D106" s="1569"/>
      <c r="E106" s="1569"/>
      <c r="F106" s="1569"/>
      <c r="G106" s="1569"/>
      <c r="H106" s="1569"/>
      <c r="I106" s="1569"/>
      <c r="J106" s="1569"/>
      <c r="K106" s="1569"/>
      <c r="L106" s="1569"/>
      <c r="M106" s="1569"/>
      <c r="N106" s="1569"/>
      <c r="O106" s="1569"/>
      <c r="P106" s="1569"/>
      <c r="Q106" s="1569"/>
      <c r="R106" s="1569"/>
      <c r="S106" s="1569"/>
      <c r="T106" s="1569"/>
      <c r="U106" s="1569"/>
      <c r="V106" s="1569"/>
      <c r="W106" s="1569"/>
      <c r="X106" s="1569"/>
      <c r="Y106" s="1569"/>
      <c r="Z106" s="1569"/>
      <c r="AA106" s="1569"/>
      <c r="AB106" s="1569"/>
      <c r="AC106" s="1569"/>
      <c r="AD106" s="1569"/>
      <c r="AE106" s="1569"/>
      <c r="AF106" s="1569"/>
      <c r="AG106" s="1569"/>
      <c r="AH106" s="1569"/>
      <c r="AI106" s="1569"/>
      <c r="AJ106" s="1569"/>
      <c r="AK106" s="1569"/>
      <c r="AL106" s="1569"/>
      <c r="AM106" s="1569"/>
      <c r="AN106" s="1569"/>
      <c r="AO106" s="1569"/>
      <c r="AP106" s="1569"/>
      <c r="AQ106" s="1569"/>
      <c r="AR106" s="1569"/>
      <c r="AS106" s="1569"/>
      <c r="AT106" s="1569"/>
      <c r="AU106" s="1569"/>
      <c r="AV106" s="1569"/>
      <c r="AW106" s="1569"/>
      <c r="AX106" s="1569"/>
      <c r="AY106" s="1569"/>
      <c r="AZ106" s="1569"/>
      <c r="BA106" s="1569"/>
      <c r="BB106" s="1569"/>
      <c r="BC106" s="1569"/>
      <c r="BD106" s="1569"/>
      <c r="BE106" s="1569"/>
      <c r="BF106" s="1569"/>
      <c r="BG106" s="1569"/>
      <c r="BH106" s="1569"/>
      <c r="BI106" s="1569"/>
      <c r="BJ106" s="1569"/>
      <c r="BK106" s="1569"/>
      <c r="BL106" s="1569"/>
      <c r="BM106" s="1569"/>
      <c r="BN106" s="1569"/>
      <c r="BO106" s="1569"/>
      <c r="BP106" s="1569"/>
      <c r="BQ106" s="1569"/>
      <c r="BR106" s="1569"/>
      <c r="BS106" s="1569"/>
      <c r="BT106" s="1569"/>
      <c r="BU106" s="1569"/>
      <c r="BV106" s="1569"/>
      <c r="BW106" s="1569"/>
      <c r="BX106" s="1569"/>
      <c r="BY106" s="1569"/>
      <c r="BZ106" s="1569"/>
      <c r="CA106" s="1569"/>
      <c r="CB106" s="1569"/>
      <c r="CC106" s="1569"/>
      <c r="CD106" s="1569"/>
      <c r="CE106" s="1569"/>
      <c r="CF106" s="1569"/>
      <c r="CG106" s="1569"/>
      <c r="CH106" s="1569"/>
      <c r="CI106" s="1569"/>
      <c r="CJ106" s="1569"/>
      <c r="CK106" s="1569"/>
      <c r="CL106" s="1569"/>
      <c r="CM106" s="1569"/>
      <c r="CN106" s="1569"/>
      <c r="CO106" s="1569"/>
      <c r="CP106" s="1569"/>
      <c r="CQ106" s="1569"/>
      <c r="CR106" s="1569"/>
      <c r="CS106" s="1569"/>
      <c r="CT106" s="1569"/>
      <c r="CU106" s="1569"/>
      <c r="CV106" s="1569"/>
      <c r="CW106" s="1569"/>
      <c r="CX106" s="1569"/>
      <c r="CY106" s="1569"/>
      <c r="CZ106" s="1569"/>
      <c r="DA106" s="1900"/>
      <c r="DB106" s="1569"/>
      <c r="DC106" s="1569"/>
      <c r="DD106" s="1569">
        <v>1985</v>
      </c>
      <c r="DE106" s="1569">
        <f>SUM(DE104:DE105)</f>
        <v>1985</v>
      </c>
      <c r="DF106" s="1900"/>
      <c r="DG106" s="1569">
        <f>SUM(DG104:DG105)</f>
        <v>1985</v>
      </c>
      <c r="DH106" s="1569">
        <f>SUM(DH104:DH105)</f>
        <v>1985</v>
      </c>
      <c r="DI106" s="1569">
        <f>SUM(DI104:DI105)</f>
        <v>1985</v>
      </c>
      <c r="DJ106" s="1569">
        <f>SUM(DJ104:DJ105)</f>
        <v>1985</v>
      </c>
      <c r="DK106" s="1900"/>
      <c r="DL106" s="1569">
        <f>SUM(DL104:DL105)</f>
        <v>1985</v>
      </c>
      <c r="DM106" s="1569">
        <f>SUM(DM104:DM105)</f>
        <v>1985</v>
      </c>
      <c r="DN106" s="38">
        <f>SUM(DN104:DN105)</f>
        <v>1985</v>
      </c>
      <c r="DO106" s="1569">
        <f>SUM(DO104:DO105)</f>
        <v>1985</v>
      </c>
      <c r="DP106" s="1900"/>
      <c r="DQ106" s="1569">
        <f>SUM(DQ104:DQ105)</f>
        <v>1985</v>
      </c>
      <c r="DR106" s="1569">
        <f>SUM(DR104:DR105)</f>
        <v>1985</v>
      </c>
      <c r="DS106" s="1569">
        <f>SUM(DS104:DS105)</f>
        <v>1985</v>
      </c>
      <c r="DT106" s="1569">
        <f>SUM(DT104:DT105)</f>
        <v>1985</v>
      </c>
      <c r="DU106" s="1900"/>
      <c r="DV106" s="1569">
        <f>SUM(DV104:DV105)</f>
        <v>1985</v>
      </c>
      <c r="DW106" s="1569">
        <f>SUM(DW104:DW105)</f>
        <v>1985</v>
      </c>
      <c r="DX106" s="1569">
        <f>SUM(DX104:DX105)</f>
        <v>1985</v>
      </c>
      <c r="DY106" s="1569">
        <f>SUM(DY104:DY105)</f>
        <v>1985</v>
      </c>
      <c r="DZ106" s="1900"/>
      <c r="EA106" s="1569">
        <f>SUM(EA104:EA105)</f>
        <v>1985</v>
      </c>
      <c r="EB106" s="1569">
        <f>SUM(EB104:EB105)</f>
        <v>1985</v>
      </c>
      <c r="EC106" s="1569">
        <f>SUM(EC104:EC105)</f>
        <v>1985</v>
      </c>
      <c r="ED106" s="1569">
        <f>SUM(ED104:ED105)</f>
        <v>1985</v>
      </c>
      <c r="EE106" s="1900"/>
    </row>
    <row r="107" spans="2:135" ht="12" thickBot="1">
      <c r="B107" s="1896" t="s">
        <v>400</v>
      </c>
      <c r="C107" s="1897"/>
      <c r="D107" s="1897"/>
      <c r="E107" s="1897"/>
      <c r="F107" s="1897"/>
      <c r="G107" s="1897"/>
      <c r="H107" s="1897"/>
      <c r="I107" s="1897"/>
      <c r="J107" s="1897"/>
      <c r="K107" s="1897"/>
      <c r="L107" s="1897"/>
      <c r="M107" s="1897"/>
      <c r="N107" s="1897"/>
      <c r="O107" s="1897"/>
      <c r="P107" s="1897"/>
      <c r="Q107" s="1897"/>
      <c r="R107" s="1897"/>
      <c r="S107" s="1897"/>
      <c r="T107" s="1897"/>
      <c r="U107" s="1897"/>
      <c r="V107" s="1897"/>
      <c r="W107" s="1897"/>
      <c r="X107" s="1897"/>
      <c r="Y107" s="1897"/>
      <c r="Z107" s="1897"/>
      <c r="AA107" s="1897"/>
      <c r="AB107" s="1897"/>
      <c r="AC107" s="1897"/>
      <c r="AD107" s="1897"/>
      <c r="AE107" s="1897"/>
      <c r="AF107" s="1897"/>
      <c r="AG107" s="1897"/>
      <c r="AH107" s="1897"/>
      <c r="AI107" s="1897"/>
      <c r="AJ107" s="1897"/>
      <c r="AK107" s="1897"/>
      <c r="AL107" s="1897"/>
      <c r="AM107" s="1897"/>
      <c r="AN107" s="1897"/>
      <c r="AO107" s="1897"/>
      <c r="AP107" s="1897"/>
      <c r="AQ107" s="1897"/>
      <c r="AR107" s="1897"/>
      <c r="AS107" s="1897"/>
      <c r="AT107" s="1897"/>
      <c r="AU107" s="1897"/>
      <c r="AV107" s="1897"/>
      <c r="AW107" s="1897"/>
      <c r="AX107" s="1897"/>
      <c r="AY107" s="1897"/>
      <c r="AZ107" s="1897"/>
      <c r="BA107" s="1897"/>
      <c r="BB107" s="1897"/>
      <c r="BC107" s="1897"/>
      <c r="BD107" s="1897"/>
      <c r="BE107" s="1897"/>
      <c r="BF107" s="1897"/>
      <c r="BG107" s="1897"/>
      <c r="BH107" s="1897"/>
      <c r="BI107" s="1897"/>
      <c r="BJ107" s="1897"/>
      <c r="BK107" s="1897"/>
      <c r="BL107" s="1897"/>
      <c r="BM107" s="1897"/>
      <c r="BN107" s="1897"/>
      <c r="BO107" s="1897"/>
      <c r="BP107" s="1897"/>
      <c r="BQ107" s="1897"/>
      <c r="BR107" s="1897"/>
      <c r="BS107" s="1897"/>
      <c r="BT107" s="1897"/>
      <c r="BU107" s="1897"/>
      <c r="BV107" s="1897"/>
      <c r="BW107" s="1897"/>
      <c r="BX107" s="1897"/>
      <c r="BY107" s="1897"/>
      <c r="BZ107" s="1897"/>
      <c r="CA107" s="1897"/>
      <c r="CB107" s="1897"/>
      <c r="CC107" s="1897"/>
      <c r="CD107" s="1897"/>
      <c r="CE107" s="1897"/>
      <c r="CF107" s="1897"/>
      <c r="CG107" s="1897"/>
      <c r="CH107" s="1897"/>
      <c r="CI107" s="1897"/>
      <c r="CJ107" s="1897"/>
      <c r="CK107" s="1897"/>
      <c r="CL107" s="1897"/>
      <c r="CM107" s="1897"/>
      <c r="CN107" s="1897"/>
      <c r="CO107" s="1897"/>
      <c r="CP107" s="1897"/>
      <c r="CQ107" s="1897"/>
      <c r="CR107" s="1897"/>
      <c r="CS107" s="1897"/>
      <c r="CT107" s="1897"/>
      <c r="CU107" s="1897"/>
      <c r="CV107" s="1897"/>
      <c r="CW107" s="1897"/>
      <c r="CX107" s="1897"/>
      <c r="CY107" s="1897"/>
      <c r="CZ107" s="1897"/>
      <c r="DA107" s="1901"/>
      <c r="DB107" s="1897"/>
      <c r="DC107" s="1897"/>
      <c r="DD107" s="1897"/>
      <c r="DE107" s="1897">
        <f>AVERAGE(DE104,DE106)*(DE103/4)</f>
        <v>18.857499999999998</v>
      </c>
      <c r="DF107" s="1901"/>
      <c r="DG107" s="1897">
        <f>AVERAGE(DG104,DG106)*(DG103/4)</f>
        <v>18.857499999999998</v>
      </c>
      <c r="DH107" s="1897">
        <f>AVERAGE(DH104,DH106)*(DH103/4)</f>
        <v>18.857499999999998</v>
      </c>
      <c r="DI107" s="1897">
        <f>AVERAGE(DI104,DI106)*(DI103/4)</f>
        <v>18.857499999999998</v>
      </c>
      <c r="DJ107" s="1897">
        <f>AVERAGE(DJ104,DJ106)*(DJ103/4)</f>
        <v>18.857499999999998</v>
      </c>
      <c r="DK107" s="1901"/>
      <c r="DL107" s="1897">
        <f>AVERAGE(DL104,DL106)*(DL103/4)</f>
        <v>18.857499999999998</v>
      </c>
      <c r="DM107" s="1897">
        <f>AVERAGE(DM104,DM106)*(DM103/4)</f>
        <v>18.857499999999998</v>
      </c>
      <c r="DN107" s="2214">
        <f>AVERAGE(DN104,DN106)*(DN103/4)</f>
        <v>18.857499999999998</v>
      </c>
      <c r="DO107" s="1897">
        <f>AVERAGE(DO104,DO106)*(DO103/4)</f>
        <v>18.857499999999998</v>
      </c>
      <c r="DP107" s="1901"/>
      <c r="DQ107" s="1897">
        <f>AVERAGE(DQ104,DQ106)*(DQ103/4)</f>
        <v>18.857499999999998</v>
      </c>
      <c r="DR107" s="1897">
        <f>AVERAGE(DR104,DR106)*(DR103/4)</f>
        <v>18.857499999999998</v>
      </c>
      <c r="DS107" s="1897">
        <f>AVERAGE(DS104,DS106)*(DS103/4)</f>
        <v>18.857499999999998</v>
      </c>
      <c r="DT107" s="1897">
        <f>AVERAGE(DT104,DT106)*(DT103/4)</f>
        <v>18.857499999999998</v>
      </c>
      <c r="DU107" s="1901"/>
      <c r="DV107" s="1897">
        <f>AVERAGE(DV104,DV106)*(DV103/4)</f>
        <v>18.857499999999998</v>
      </c>
      <c r="DW107" s="1897">
        <f>AVERAGE(DW104,DW106)*(DW103/4)</f>
        <v>18.857499999999998</v>
      </c>
      <c r="DX107" s="1897">
        <f>AVERAGE(DX104,DX106)*(DX103/4)</f>
        <v>18.857499999999998</v>
      </c>
      <c r="DY107" s="1897">
        <f>AVERAGE(DY104,DY106)*(DY103/4)</f>
        <v>18.857499999999998</v>
      </c>
      <c r="DZ107" s="1901"/>
      <c r="EA107" s="1897">
        <f>AVERAGE(EA104,EA106)*(EA103/4)</f>
        <v>18.857499999999998</v>
      </c>
      <c r="EB107" s="1897">
        <f>AVERAGE(EB104,EB106)*(EB103/4)</f>
        <v>18.857499999999998</v>
      </c>
      <c r="EC107" s="1897">
        <f>AVERAGE(EC104,EC106)*(EC103/4)</f>
        <v>18.857499999999998</v>
      </c>
      <c r="ED107" s="1897">
        <f>AVERAGE(ED104,ED106)*(ED103/4)</f>
        <v>18.857499999999998</v>
      </c>
      <c r="EE107" s="1901"/>
    </row>
    <row r="108" spans="2:135" ht="12" thickBot="1">
      <c r="DN108" s="2231"/>
    </row>
    <row r="109" spans="2:135" ht="12" thickBot="1">
      <c r="B109" s="754" t="s">
        <v>508</v>
      </c>
      <c r="C109" s="684"/>
      <c r="D109" s="684"/>
      <c r="E109" s="684"/>
      <c r="F109" s="684"/>
      <c r="G109" s="684"/>
      <c r="H109" s="684"/>
      <c r="I109" s="684"/>
      <c r="J109" s="684"/>
      <c r="K109" s="684"/>
      <c r="L109" s="684"/>
      <c r="M109" s="684"/>
      <c r="N109" s="684"/>
      <c r="O109" s="684"/>
      <c r="P109" s="684"/>
      <c r="Q109" s="684"/>
      <c r="R109" s="684"/>
      <c r="S109" s="684"/>
      <c r="T109" s="684"/>
      <c r="U109" s="684"/>
      <c r="V109" s="684"/>
      <c r="W109" s="684"/>
      <c r="X109" s="684"/>
      <c r="Y109" s="684"/>
      <c r="Z109" s="684"/>
      <c r="AA109" s="684"/>
      <c r="AB109" s="684"/>
      <c r="AC109" s="684"/>
      <c r="AD109" s="684"/>
      <c r="AE109" s="684"/>
      <c r="AF109" s="684"/>
      <c r="AG109" s="684"/>
      <c r="AH109" s="684"/>
      <c r="AI109" s="684"/>
      <c r="AJ109" s="684"/>
      <c r="AK109" s="684"/>
      <c r="AL109" s="684"/>
      <c r="AM109" s="684"/>
      <c r="AN109" s="684"/>
      <c r="AO109" s="684"/>
      <c r="AP109" s="684"/>
      <c r="AQ109" s="684"/>
      <c r="AR109" s="684"/>
      <c r="AS109" s="684"/>
      <c r="AT109" s="684"/>
      <c r="AU109" s="684"/>
      <c r="AV109" s="684"/>
      <c r="AW109" s="684"/>
      <c r="AX109" s="684"/>
      <c r="AY109" s="684"/>
      <c r="AZ109" s="684"/>
      <c r="BA109" s="684"/>
      <c r="BB109" s="684"/>
      <c r="BC109" s="684"/>
      <c r="BD109" s="684"/>
      <c r="BE109" s="684"/>
      <c r="BF109" s="684"/>
      <c r="BG109" s="684"/>
      <c r="BH109" s="684"/>
      <c r="BI109" s="684"/>
      <c r="BJ109" s="684"/>
      <c r="BK109" s="684"/>
      <c r="BL109" s="684"/>
      <c r="BM109" s="684"/>
      <c r="BN109" s="684"/>
      <c r="BO109" s="684"/>
      <c r="BP109" s="684"/>
      <c r="BQ109" s="684"/>
      <c r="BR109" s="684"/>
      <c r="BS109" s="684"/>
      <c r="BT109" s="684"/>
      <c r="BU109" s="684"/>
      <c r="BV109" s="684"/>
      <c r="BW109" s="684"/>
      <c r="BX109" s="684"/>
      <c r="BY109" s="684"/>
      <c r="BZ109" s="684"/>
      <c r="CA109" s="684"/>
      <c r="CB109" s="684"/>
      <c r="CC109" s="684"/>
      <c r="CD109" s="684"/>
      <c r="CE109" s="684"/>
      <c r="CF109" s="684"/>
      <c r="CG109" s="684"/>
      <c r="CH109" s="684"/>
      <c r="CI109" s="684"/>
      <c r="CJ109" s="684"/>
      <c r="CK109" s="684"/>
      <c r="CL109" s="684"/>
      <c r="CM109" s="684"/>
      <c r="CN109" s="684"/>
      <c r="CO109" s="684"/>
      <c r="CP109" s="684"/>
      <c r="CQ109" s="684"/>
      <c r="CR109" s="684"/>
      <c r="CS109" s="684"/>
      <c r="CT109" s="684"/>
      <c r="CU109" s="684"/>
      <c r="CV109" s="684"/>
      <c r="CW109" s="684"/>
      <c r="CX109" s="684"/>
      <c r="CY109" s="684"/>
      <c r="CZ109" s="684"/>
      <c r="DA109" s="684"/>
      <c r="DB109" s="684"/>
      <c r="DC109" s="684"/>
      <c r="DD109" s="684"/>
      <c r="DE109" s="684"/>
      <c r="DF109" s="684"/>
      <c r="DG109" s="684"/>
      <c r="DH109" s="684"/>
      <c r="DI109" s="684"/>
      <c r="DJ109" s="684"/>
      <c r="DK109" s="684"/>
      <c r="DL109" s="684"/>
      <c r="DM109" s="684"/>
      <c r="DN109" s="2232"/>
      <c r="DO109" s="684"/>
      <c r="DP109" s="1894"/>
      <c r="DQ109" s="684"/>
      <c r="DR109" s="684"/>
      <c r="DS109" s="684"/>
      <c r="DT109" s="684"/>
      <c r="DU109" s="1894"/>
      <c r="DV109" s="684"/>
      <c r="DW109" s="684"/>
      <c r="DX109" s="684"/>
      <c r="DY109" s="684"/>
      <c r="DZ109" s="1894"/>
      <c r="EA109" s="684"/>
      <c r="EB109" s="684"/>
      <c r="EC109" s="684"/>
      <c r="ED109" s="684"/>
      <c r="EE109" s="1894"/>
    </row>
    <row r="110" spans="2:135">
      <c r="B110" s="1902" t="s">
        <v>498</v>
      </c>
      <c r="C110" s="1903"/>
      <c r="D110" s="1903"/>
      <c r="E110" s="1903"/>
      <c r="F110" s="1903"/>
      <c r="G110" s="1903"/>
      <c r="H110" s="1903"/>
      <c r="I110" s="1903"/>
      <c r="J110" s="1903"/>
      <c r="K110" s="1903"/>
      <c r="L110" s="1903"/>
      <c r="M110" s="1903"/>
      <c r="N110" s="1903"/>
      <c r="O110" s="1903"/>
      <c r="P110" s="1903"/>
      <c r="Q110" s="1903"/>
      <c r="R110" s="1903"/>
      <c r="S110" s="1903"/>
      <c r="T110" s="1903"/>
      <c r="U110" s="1903"/>
      <c r="V110" s="1903"/>
      <c r="W110" s="1903"/>
      <c r="X110" s="1903"/>
      <c r="Y110" s="1903"/>
      <c r="Z110" s="1903"/>
      <c r="AA110" s="1903"/>
      <c r="AB110" s="1903"/>
      <c r="AC110" s="1903"/>
      <c r="AD110" s="1903"/>
      <c r="AE110" s="1903"/>
      <c r="AF110" s="1903"/>
      <c r="AG110" s="1903"/>
      <c r="AH110" s="1903"/>
      <c r="AI110" s="1903"/>
      <c r="AJ110" s="1903"/>
      <c r="AK110" s="1903"/>
      <c r="AL110" s="1903"/>
      <c r="AM110" s="1903"/>
      <c r="AN110" s="1903"/>
      <c r="AO110" s="1903"/>
      <c r="AP110" s="1903"/>
      <c r="AQ110" s="1903"/>
      <c r="AR110" s="1903"/>
      <c r="AS110" s="1903"/>
      <c r="AT110" s="1903"/>
      <c r="AU110" s="1903"/>
      <c r="AV110" s="1903"/>
      <c r="AW110" s="1903"/>
      <c r="AX110" s="1903"/>
      <c r="AY110" s="1903"/>
      <c r="AZ110" s="1903"/>
      <c r="BA110" s="1903"/>
      <c r="BB110" s="1903"/>
      <c r="BC110" s="1903"/>
      <c r="BD110" s="1903"/>
      <c r="BE110" s="1903"/>
      <c r="BF110" s="1903"/>
      <c r="BG110" s="1903"/>
      <c r="BH110" s="1903"/>
      <c r="BI110" s="1903"/>
      <c r="BJ110" s="1903"/>
      <c r="BK110" s="1903"/>
      <c r="BL110" s="1903"/>
      <c r="BM110" s="1903"/>
      <c r="BN110" s="1903"/>
      <c r="BO110" s="1903"/>
      <c r="BP110" s="1903"/>
      <c r="BQ110" s="1903"/>
      <c r="BR110" s="1903"/>
      <c r="BS110" s="1903"/>
      <c r="BT110" s="1903"/>
      <c r="BU110" s="1903"/>
      <c r="BV110" s="1903"/>
      <c r="BW110" s="1903"/>
      <c r="BX110" s="1903"/>
      <c r="BY110" s="1903"/>
      <c r="BZ110" s="1903"/>
      <c r="CA110" s="1903"/>
      <c r="CB110" s="1903"/>
      <c r="CC110" s="1903"/>
      <c r="CD110" s="1903"/>
      <c r="CE110" s="1903"/>
      <c r="CF110" s="1903"/>
      <c r="CG110" s="1903"/>
      <c r="CH110" s="1903"/>
      <c r="CI110" s="1903"/>
      <c r="CJ110" s="1903"/>
      <c r="CK110" s="1903"/>
      <c r="CL110" s="1903"/>
      <c r="CM110" s="1903"/>
      <c r="CN110" s="1903"/>
      <c r="CO110" s="1903"/>
      <c r="CP110" s="1903"/>
      <c r="CQ110" s="1903"/>
      <c r="CR110" s="1903"/>
      <c r="CS110" s="1903"/>
      <c r="CT110" s="1903"/>
      <c r="CU110" s="1903"/>
      <c r="CV110" s="1903"/>
      <c r="CW110" s="1904">
        <v>3.5999999999999997E-2</v>
      </c>
      <c r="CX110" s="1904">
        <v>3.5999999999999997E-2</v>
      </c>
      <c r="CY110" s="1904">
        <v>3.5999999999999997E-2</v>
      </c>
      <c r="CZ110" s="1904">
        <v>3.5999999999999997E-2</v>
      </c>
      <c r="DA110" s="1941"/>
      <c r="DB110" s="1904">
        <v>3.5999999999999997E-2</v>
      </c>
      <c r="DC110" s="1904">
        <v>3.5999999999999997E-2</v>
      </c>
      <c r="DD110" s="1904">
        <v>3.5999999999999997E-2</v>
      </c>
      <c r="DE110" s="1903">
        <f>DD110</f>
        <v>3.5999999999999997E-2</v>
      </c>
      <c r="DF110" s="1899"/>
      <c r="DG110" s="1903">
        <f>DE110</f>
        <v>3.5999999999999997E-2</v>
      </c>
      <c r="DH110" s="1903">
        <f>DG110</f>
        <v>3.5999999999999997E-2</v>
      </c>
      <c r="DI110" s="1903">
        <f>DH110</f>
        <v>3.5999999999999997E-2</v>
      </c>
      <c r="DJ110" s="1903">
        <f>DI110</f>
        <v>3.5999999999999997E-2</v>
      </c>
      <c r="DK110" s="1899"/>
      <c r="DL110" s="1903">
        <f>DJ110</f>
        <v>3.5999999999999997E-2</v>
      </c>
      <c r="DM110" s="1903">
        <f>DL110</f>
        <v>3.5999999999999997E-2</v>
      </c>
      <c r="DN110" s="2215">
        <f>DM110</f>
        <v>3.5999999999999997E-2</v>
      </c>
      <c r="DO110" s="1903">
        <f>DN110</f>
        <v>3.5999999999999997E-2</v>
      </c>
      <c r="DP110" s="1899"/>
      <c r="DQ110" s="1903">
        <f>DO110</f>
        <v>3.5999999999999997E-2</v>
      </c>
      <c r="DR110" s="1903">
        <f>DQ110</f>
        <v>3.5999999999999997E-2</v>
      </c>
      <c r="DS110" s="1903">
        <f>DR110</f>
        <v>3.5999999999999997E-2</v>
      </c>
      <c r="DT110" s="1903">
        <f>DS110</f>
        <v>3.5999999999999997E-2</v>
      </c>
      <c r="DU110" s="1899"/>
      <c r="DV110" s="1903">
        <f>DT110</f>
        <v>3.5999999999999997E-2</v>
      </c>
      <c r="DW110" s="1903">
        <f>DV110</f>
        <v>3.5999999999999997E-2</v>
      </c>
      <c r="DX110" s="1903">
        <f>DW110</f>
        <v>3.5999999999999997E-2</v>
      </c>
      <c r="DY110" s="1903">
        <f>DX110</f>
        <v>3.5999999999999997E-2</v>
      </c>
      <c r="DZ110" s="1899"/>
      <c r="EA110" s="1903">
        <f>DY110</f>
        <v>3.5999999999999997E-2</v>
      </c>
      <c r="EB110" s="1903">
        <f>EA110</f>
        <v>3.5999999999999997E-2</v>
      </c>
      <c r="EC110" s="1903">
        <f>EB110</f>
        <v>3.5999999999999997E-2</v>
      </c>
      <c r="ED110" s="1903">
        <f>EC110</f>
        <v>3.5999999999999997E-2</v>
      </c>
      <c r="EE110" s="1899"/>
    </row>
    <row r="111" spans="2:135">
      <c r="B111" s="1895" t="s">
        <v>483</v>
      </c>
      <c r="C111" s="1569"/>
      <c r="D111" s="1569"/>
      <c r="E111" s="1569"/>
      <c r="F111" s="1569"/>
      <c r="G111" s="1569"/>
      <c r="H111" s="1569"/>
      <c r="I111" s="1569"/>
      <c r="J111" s="1569"/>
      <c r="K111" s="1569"/>
      <c r="L111" s="1569"/>
      <c r="M111" s="1569"/>
      <c r="N111" s="1569"/>
      <c r="O111" s="1569"/>
      <c r="P111" s="1569"/>
      <c r="Q111" s="1569"/>
      <c r="R111" s="1569"/>
      <c r="S111" s="1569"/>
      <c r="T111" s="1569"/>
      <c r="U111" s="1569"/>
      <c r="V111" s="1569"/>
      <c r="W111" s="1569"/>
      <c r="X111" s="1569"/>
      <c r="Y111" s="1569"/>
      <c r="Z111" s="1569"/>
      <c r="AA111" s="1569"/>
      <c r="AB111" s="1569"/>
      <c r="AC111" s="1569"/>
      <c r="AD111" s="1569"/>
      <c r="AE111" s="1569"/>
      <c r="AF111" s="1569"/>
      <c r="AG111" s="1569"/>
      <c r="AH111" s="1569"/>
      <c r="AI111" s="1569"/>
      <c r="AJ111" s="1569"/>
      <c r="AK111" s="1569"/>
      <c r="AL111" s="1569"/>
      <c r="AM111" s="1569"/>
      <c r="AN111" s="1569"/>
      <c r="AO111" s="1569"/>
      <c r="AP111" s="1569"/>
      <c r="AQ111" s="1569"/>
      <c r="AR111" s="1569"/>
      <c r="AS111" s="1569"/>
      <c r="AT111" s="1569"/>
      <c r="AU111" s="1569"/>
      <c r="AV111" s="1569"/>
      <c r="AW111" s="1569"/>
      <c r="AX111" s="1569"/>
      <c r="AY111" s="1569"/>
      <c r="AZ111" s="1569"/>
      <c r="BA111" s="1569"/>
      <c r="BB111" s="1569"/>
      <c r="BC111" s="1569"/>
      <c r="BD111" s="1569"/>
      <c r="BE111" s="1569"/>
      <c r="BF111" s="1569"/>
      <c r="BG111" s="1569"/>
      <c r="BH111" s="1569"/>
      <c r="BI111" s="1569"/>
      <c r="BJ111" s="1569"/>
      <c r="BK111" s="1569"/>
      <c r="BL111" s="1569"/>
      <c r="BM111" s="1569"/>
      <c r="BN111" s="1569"/>
      <c r="BO111" s="1569"/>
      <c r="BP111" s="1569"/>
      <c r="BQ111" s="1569"/>
      <c r="BR111" s="1569"/>
      <c r="BS111" s="1569"/>
      <c r="BT111" s="1569"/>
      <c r="BU111" s="1569"/>
      <c r="BV111" s="1569"/>
      <c r="BW111" s="1569"/>
      <c r="BX111" s="1569"/>
      <c r="BY111" s="1569"/>
      <c r="BZ111" s="1569"/>
      <c r="CA111" s="1569"/>
      <c r="CB111" s="1569"/>
      <c r="CC111" s="1569"/>
      <c r="CD111" s="1569"/>
      <c r="CE111" s="1569"/>
      <c r="CF111" s="1569"/>
      <c r="CG111" s="1569"/>
      <c r="CH111" s="1569"/>
      <c r="CI111" s="1569"/>
      <c r="CJ111" s="1569"/>
      <c r="CK111" s="1569"/>
      <c r="CL111" s="1569"/>
      <c r="CM111" s="1569"/>
      <c r="CN111" s="1569"/>
      <c r="CO111" s="1569"/>
      <c r="CP111" s="1569"/>
      <c r="CQ111" s="1569"/>
      <c r="CR111" s="1569"/>
      <c r="CS111" s="1569"/>
      <c r="CT111" s="1569"/>
      <c r="CU111" s="1569"/>
      <c r="CV111" s="1569"/>
      <c r="CW111" s="1569"/>
      <c r="CX111" s="1569"/>
      <c r="CY111" s="1569"/>
      <c r="CZ111" s="1569"/>
      <c r="DA111" s="1900"/>
      <c r="DB111" s="1569"/>
      <c r="DC111" s="1569"/>
      <c r="DD111" s="1569"/>
      <c r="DE111" s="1569">
        <f>DD113</f>
        <v>459</v>
      </c>
      <c r="DF111" s="1900"/>
      <c r="DG111" s="1569">
        <f>DE113</f>
        <v>459</v>
      </c>
      <c r="DH111" s="1569">
        <f>DG113</f>
        <v>459</v>
      </c>
      <c r="DI111" s="1569">
        <f>DH113</f>
        <v>459</v>
      </c>
      <c r="DJ111" s="1569">
        <f>DI113</f>
        <v>459</v>
      </c>
      <c r="DK111" s="1900"/>
      <c r="DL111" s="1569">
        <f>DJ113</f>
        <v>459</v>
      </c>
      <c r="DM111" s="1569">
        <f>DL113</f>
        <v>459</v>
      </c>
      <c r="DN111" s="38">
        <f>DM113</f>
        <v>459</v>
      </c>
      <c r="DO111" s="1569">
        <f>DN113</f>
        <v>384</v>
      </c>
      <c r="DP111" s="1900"/>
      <c r="DQ111" s="1569">
        <f>DO113</f>
        <v>384</v>
      </c>
      <c r="DR111" s="1569">
        <f>DQ113</f>
        <v>384</v>
      </c>
      <c r="DS111" s="1569">
        <f>DR113</f>
        <v>384</v>
      </c>
      <c r="DT111" s="1569">
        <f>DS113</f>
        <v>384</v>
      </c>
      <c r="DU111" s="1900"/>
      <c r="DV111" s="1569">
        <f>DT113</f>
        <v>384</v>
      </c>
      <c r="DW111" s="1569">
        <f>DV113</f>
        <v>384</v>
      </c>
      <c r="DX111" s="1569">
        <f>DW113</f>
        <v>384</v>
      </c>
      <c r="DY111" s="1569">
        <f>DX113</f>
        <v>384</v>
      </c>
      <c r="DZ111" s="1900"/>
      <c r="EA111" s="1569">
        <f>DY113</f>
        <v>384</v>
      </c>
      <c r="EB111" s="1569">
        <f>EA113</f>
        <v>384</v>
      </c>
      <c r="EC111" s="1569">
        <f>EB113</f>
        <v>384</v>
      </c>
      <c r="ED111" s="1569">
        <f>EC113</f>
        <v>384</v>
      </c>
      <c r="EE111" s="1900"/>
    </row>
    <row r="112" spans="2:135">
      <c r="B112" s="1895" t="s">
        <v>484</v>
      </c>
      <c r="C112" s="1569"/>
      <c r="D112" s="1569"/>
      <c r="E112" s="1569"/>
      <c r="F112" s="1569"/>
      <c r="G112" s="1569"/>
      <c r="H112" s="1569"/>
      <c r="I112" s="1569"/>
      <c r="J112" s="1569"/>
      <c r="K112" s="1569"/>
      <c r="L112" s="1569"/>
      <c r="M112" s="1569"/>
      <c r="N112" s="1569"/>
      <c r="O112" s="1569"/>
      <c r="P112" s="1569"/>
      <c r="Q112" s="1569"/>
      <c r="R112" s="1569"/>
      <c r="S112" s="1569"/>
      <c r="T112" s="1569"/>
      <c r="U112" s="1569"/>
      <c r="V112" s="1569"/>
      <c r="W112" s="1569"/>
      <c r="X112" s="1569"/>
      <c r="Y112" s="1569"/>
      <c r="Z112" s="1569"/>
      <c r="AA112" s="1569"/>
      <c r="AB112" s="1569"/>
      <c r="AC112" s="1569"/>
      <c r="AD112" s="1569"/>
      <c r="AE112" s="1569"/>
      <c r="AF112" s="1569"/>
      <c r="AG112" s="1569"/>
      <c r="AH112" s="1569"/>
      <c r="AI112" s="1569"/>
      <c r="AJ112" s="1569"/>
      <c r="AK112" s="1569"/>
      <c r="AL112" s="1569"/>
      <c r="AM112" s="1569"/>
      <c r="AN112" s="1569"/>
      <c r="AO112" s="1569"/>
      <c r="AP112" s="1569"/>
      <c r="AQ112" s="1569"/>
      <c r="AR112" s="1569"/>
      <c r="AS112" s="1569"/>
      <c r="AT112" s="1569"/>
      <c r="AU112" s="1569"/>
      <c r="AV112" s="1569"/>
      <c r="AW112" s="1569"/>
      <c r="AX112" s="1569"/>
      <c r="AY112" s="1569"/>
      <c r="AZ112" s="1569"/>
      <c r="BA112" s="1569"/>
      <c r="BB112" s="1569"/>
      <c r="BC112" s="1569"/>
      <c r="BD112" s="1569"/>
      <c r="BE112" s="1569"/>
      <c r="BF112" s="1569"/>
      <c r="BG112" s="1569"/>
      <c r="BH112" s="1569"/>
      <c r="BI112" s="1569"/>
      <c r="BJ112" s="1569"/>
      <c r="BK112" s="1569"/>
      <c r="BL112" s="1569"/>
      <c r="BM112" s="1569"/>
      <c r="BN112" s="1569"/>
      <c r="BO112" s="1569"/>
      <c r="BP112" s="1569"/>
      <c r="BQ112" s="1569"/>
      <c r="BR112" s="1569"/>
      <c r="BS112" s="1569"/>
      <c r="BT112" s="1569"/>
      <c r="BU112" s="1569"/>
      <c r="BV112" s="1569"/>
      <c r="BW112" s="1569"/>
      <c r="BX112" s="1569"/>
      <c r="BY112" s="1569"/>
      <c r="BZ112" s="1569"/>
      <c r="CA112" s="1569"/>
      <c r="CB112" s="1569"/>
      <c r="CC112" s="1569"/>
      <c r="CD112" s="1569"/>
      <c r="CE112" s="1569"/>
      <c r="CF112" s="1569"/>
      <c r="CG112" s="1569"/>
      <c r="CH112" s="1569"/>
      <c r="CI112" s="1569"/>
      <c r="CJ112" s="1569"/>
      <c r="CK112" s="1569"/>
      <c r="CL112" s="1569"/>
      <c r="CM112" s="1569"/>
      <c r="CN112" s="1569"/>
      <c r="CO112" s="1569"/>
      <c r="CP112" s="1569"/>
      <c r="CQ112" s="1569"/>
      <c r="CR112" s="1569"/>
      <c r="CS112" s="1569"/>
      <c r="CT112" s="1569"/>
      <c r="CU112" s="1569"/>
      <c r="CV112" s="1569"/>
      <c r="CW112" s="1569"/>
      <c r="CX112" s="1569"/>
      <c r="CY112" s="1569"/>
      <c r="CZ112" s="1569"/>
      <c r="DA112" s="1900"/>
      <c r="DB112" s="1569"/>
      <c r="DC112" s="1569"/>
      <c r="DD112" s="1569"/>
      <c r="DE112" s="1569"/>
      <c r="DF112" s="1900"/>
      <c r="DG112" s="1569"/>
      <c r="DH112" s="1569"/>
      <c r="DI112" s="1569"/>
      <c r="DJ112" s="1569"/>
      <c r="DK112" s="1900"/>
      <c r="DL112" s="1569"/>
      <c r="DM112" s="1569"/>
      <c r="DN112" s="38"/>
      <c r="DO112" s="1569"/>
      <c r="DP112" s="1900"/>
      <c r="DQ112" s="1569">
        <v>0</v>
      </c>
      <c r="DR112" s="1569"/>
      <c r="DS112" s="1569"/>
      <c r="DT112" s="1569"/>
      <c r="DU112" s="1900"/>
      <c r="DV112" s="1569">
        <v>0</v>
      </c>
      <c r="DW112" s="1569"/>
      <c r="DX112" s="1569"/>
      <c r="DY112" s="1569"/>
      <c r="DZ112" s="1900"/>
      <c r="EA112" s="1569">
        <v>0</v>
      </c>
      <c r="EB112" s="1569"/>
      <c r="EC112" s="1569"/>
      <c r="ED112" s="1569"/>
      <c r="EE112" s="1900"/>
    </row>
    <row r="113" spans="2:135">
      <c r="B113" s="1895" t="s">
        <v>485</v>
      </c>
      <c r="C113" s="1569"/>
      <c r="D113" s="1569"/>
      <c r="E113" s="1569"/>
      <c r="F113" s="1569"/>
      <c r="G113" s="1569"/>
      <c r="H113" s="1569"/>
      <c r="I113" s="1569"/>
      <c r="J113" s="1569"/>
      <c r="K113" s="1569"/>
      <c r="L113" s="1569"/>
      <c r="M113" s="1569"/>
      <c r="N113" s="1569"/>
      <c r="O113" s="1569"/>
      <c r="P113" s="1569"/>
      <c r="Q113" s="1569"/>
      <c r="R113" s="1569"/>
      <c r="S113" s="1569"/>
      <c r="T113" s="1569"/>
      <c r="U113" s="1569"/>
      <c r="V113" s="1569"/>
      <c r="W113" s="1569"/>
      <c r="X113" s="1569"/>
      <c r="Y113" s="1569"/>
      <c r="Z113" s="1569"/>
      <c r="AA113" s="1569"/>
      <c r="AB113" s="1569"/>
      <c r="AC113" s="1569"/>
      <c r="AD113" s="1569"/>
      <c r="AE113" s="1569"/>
      <c r="AF113" s="1569"/>
      <c r="AG113" s="1569"/>
      <c r="AH113" s="1569"/>
      <c r="AI113" s="1569"/>
      <c r="AJ113" s="1569"/>
      <c r="AK113" s="1569"/>
      <c r="AL113" s="1569"/>
      <c r="AM113" s="1569"/>
      <c r="AN113" s="1569"/>
      <c r="AO113" s="1569"/>
      <c r="AP113" s="1569"/>
      <c r="AQ113" s="1569"/>
      <c r="AR113" s="1569"/>
      <c r="AS113" s="1569"/>
      <c r="AT113" s="1569"/>
      <c r="AU113" s="1569"/>
      <c r="AV113" s="1569"/>
      <c r="AW113" s="1569"/>
      <c r="AX113" s="1569"/>
      <c r="AY113" s="1569"/>
      <c r="AZ113" s="1569"/>
      <c r="BA113" s="1569"/>
      <c r="BB113" s="1569"/>
      <c r="BC113" s="1569"/>
      <c r="BD113" s="1569"/>
      <c r="BE113" s="1569"/>
      <c r="BF113" s="1569"/>
      <c r="BG113" s="1569"/>
      <c r="BH113" s="1569"/>
      <c r="BI113" s="1569"/>
      <c r="BJ113" s="1569"/>
      <c r="BK113" s="1569"/>
      <c r="BL113" s="1569"/>
      <c r="BM113" s="1569"/>
      <c r="BN113" s="1569"/>
      <c r="BO113" s="1569"/>
      <c r="BP113" s="1569"/>
      <c r="BQ113" s="1569"/>
      <c r="BR113" s="1569"/>
      <c r="BS113" s="1569"/>
      <c r="BT113" s="1569"/>
      <c r="BU113" s="1569"/>
      <c r="BV113" s="1569"/>
      <c r="BW113" s="1569"/>
      <c r="BX113" s="1569"/>
      <c r="BY113" s="1569"/>
      <c r="BZ113" s="1569"/>
      <c r="CA113" s="1569"/>
      <c r="CB113" s="1569"/>
      <c r="CC113" s="1569"/>
      <c r="CD113" s="1569"/>
      <c r="CE113" s="1569"/>
      <c r="CF113" s="1569"/>
      <c r="CG113" s="1569"/>
      <c r="CH113" s="1569"/>
      <c r="CI113" s="1569"/>
      <c r="CJ113" s="1569"/>
      <c r="CK113" s="1569"/>
      <c r="CL113" s="1569"/>
      <c r="CM113" s="1569"/>
      <c r="CN113" s="1569"/>
      <c r="CO113" s="1569"/>
      <c r="CP113" s="1569"/>
      <c r="CQ113" s="1569"/>
      <c r="CR113" s="1569"/>
      <c r="CS113" s="1569"/>
      <c r="CT113" s="1569"/>
      <c r="CU113" s="1569"/>
      <c r="CV113" s="1569"/>
      <c r="CW113" s="1569"/>
      <c r="CX113" s="1569"/>
      <c r="CY113" s="1569"/>
      <c r="CZ113" s="1569"/>
      <c r="DA113" s="1900"/>
      <c r="DB113" s="1569"/>
      <c r="DC113" s="1569"/>
      <c r="DD113" s="1569">
        <v>459</v>
      </c>
      <c r="DE113" s="1569">
        <f>SUM(DE111:DE112)</f>
        <v>459</v>
      </c>
      <c r="DF113" s="1900"/>
      <c r="DG113" s="1569">
        <f>SUM(DG111:DG112)</f>
        <v>459</v>
      </c>
      <c r="DH113" s="1569">
        <f>SUM(DH111:DH112)</f>
        <v>459</v>
      </c>
      <c r="DI113" s="1569">
        <f>SUM(DI111:DI112)</f>
        <v>459</v>
      </c>
      <c r="DJ113" s="1569">
        <f>SUM(DJ111:DJ112)</f>
        <v>459</v>
      </c>
      <c r="DK113" s="1900"/>
      <c r="DL113" s="1569">
        <f>SUM(DL111:DL112)</f>
        <v>459</v>
      </c>
      <c r="DM113" s="1569">
        <f>SUM(DM111:DM112)</f>
        <v>459</v>
      </c>
      <c r="DN113" s="38">
        <v>384</v>
      </c>
      <c r="DO113" s="1569">
        <f>SUM(DO111:DO112)</f>
        <v>384</v>
      </c>
      <c r="DP113" s="1900"/>
      <c r="DQ113" s="1569">
        <f>SUM(DQ111:DQ112)</f>
        <v>384</v>
      </c>
      <c r="DR113" s="1569">
        <f>SUM(DR111:DR112)</f>
        <v>384</v>
      </c>
      <c r="DS113" s="1569">
        <f>SUM(DS111:DS112)</f>
        <v>384</v>
      </c>
      <c r="DT113" s="1569">
        <f>SUM(DT111:DT112)</f>
        <v>384</v>
      </c>
      <c r="DU113" s="1900"/>
      <c r="DV113" s="1569">
        <f>SUM(DV111:DV112)</f>
        <v>384</v>
      </c>
      <c r="DW113" s="1569">
        <f>SUM(DW111:DW112)</f>
        <v>384</v>
      </c>
      <c r="DX113" s="1569">
        <f>SUM(DX111:DX112)</f>
        <v>384</v>
      </c>
      <c r="DY113" s="1569">
        <f>SUM(DY111:DY112)</f>
        <v>384</v>
      </c>
      <c r="DZ113" s="1900"/>
      <c r="EA113" s="1569">
        <f>SUM(EA111:EA112)</f>
        <v>384</v>
      </c>
      <c r="EB113" s="1569">
        <f>SUM(EB111:EB112)</f>
        <v>384</v>
      </c>
      <c r="EC113" s="1569">
        <f>SUM(EC111:EC112)</f>
        <v>384</v>
      </c>
      <c r="ED113" s="1569">
        <f>SUM(ED111:ED112)</f>
        <v>384</v>
      </c>
      <c r="EE113" s="1900"/>
    </row>
    <row r="114" spans="2:135" ht="12" thickBot="1">
      <c r="B114" s="1896" t="s">
        <v>400</v>
      </c>
      <c r="C114" s="1897"/>
      <c r="D114" s="1897"/>
      <c r="E114" s="1897"/>
      <c r="F114" s="1897"/>
      <c r="G114" s="1897"/>
      <c r="H114" s="1897"/>
      <c r="I114" s="1897"/>
      <c r="J114" s="1897"/>
      <c r="K114" s="1897"/>
      <c r="L114" s="1897"/>
      <c r="M114" s="1897"/>
      <c r="N114" s="1897"/>
      <c r="O114" s="1897"/>
      <c r="P114" s="1897"/>
      <c r="Q114" s="1897"/>
      <c r="R114" s="1897"/>
      <c r="S114" s="1897"/>
      <c r="T114" s="1897"/>
      <c r="U114" s="1897"/>
      <c r="V114" s="1897"/>
      <c r="W114" s="1897"/>
      <c r="X114" s="1897"/>
      <c r="Y114" s="1897"/>
      <c r="Z114" s="1897"/>
      <c r="AA114" s="1897"/>
      <c r="AB114" s="1897"/>
      <c r="AC114" s="1897"/>
      <c r="AD114" s="1897"/>
      <c r="AE114" s="1897"/>
      <c r="AF114" s="1897"/>
      <c r="AG114" s="1897"/>
      <c r="AH114" s="1897"/>
      <c r="AI114" s="1897"/>
      <c r="AJ114" s="1897"/>
      <c r="AK114" s="1897"/>
      <c r="AL114" s="1897"/>
      <c r="AM114" s="1897"/>
      <c r="AN114" s="1897"/>
      <c r="AO114" s="1897"/>
      <c r="AP114" s="1897"/>
      <c r="AQ114" s="1897"/>
      <c r="AR114" s="1897"/>
      <c r="AS114" s="1897"/>
      <c r="AT114" s="1897"/>
      <c r="AU114" s="1897"/>
      <c r="AV114" s="1897"/>
      <c r="AW114" s="1897"/>
      <c r="AX114" s="1897"/>
      <c r="AY114" s="1897"/>
      <c r="AZ114" s="1897"/>
      <c r="BA114" s="1897"/>
      <c r="BB114" s="1897"/>
      <c r="BC114" s="1897"/>
      <c r="BD114" s="1897"/>
      <c r="BE114" s="1897"/>
      <c r="BF114" s="1897"/>
      <c r="BG114" s="1897"/>
      <c r="BH114" s="1897"/>
      <c r="BI114" s="1897"/>
      <c r="BJ114" s="1897"/>
      <c r="BK114" s="1897"/>
      <c r="BL114" s="1897"/>
      <c r="BM114" s="1897"/>
      <c r="BN114" s="1897"/>
      <c r="BO114" s="1897"/>
      <c r="BP114" s="1897"/>
      <c r="BQ114" s="1897"/>
      <c r="BR114" s="1897"/>
      <c r="BS114" s="1897"/>
      <c r="BT114" s="1897"/>
      <c r="BU114" s="1897"/>
      <c r="BV114" s="1897"/>
      <c r="BW114" s="1897"/>
      <c r="BX114" s="1897"/>
      <c r="BY114" s="1897"/>
      <c r="BZ114" s="1897"/>
      <c r="CA114" s="1897"/>
      <c r="CB114" s="1897"/>
      <c r="CC114" s="1897"/>
      <c r="CD114" s="1897"/>
      <c r="CE114" s="1897"/>
      <c r="CF114" s="1897"/>
      <c r="CG114" s="1897"/>
      <c r="CH114" s="1897"/>
      <c r="CI114" s="1897"/>
      <c r="CJ114" s="1897"/>
      <c r="CK114" s="1897"/>
      <c r="CL114" s="1897"/>
      <c r="CM114" s="1897"/>
      <c r="CN114" s="1897"/>
      <c r="CO114" s="1897"/>
      <c r="CP114" s="1897"/>
      <c r="CQ114" s="1897"/>
      <c r="CR114" s="1897"/>
      <c r="CS114" s="1897"/>
      <c r="CT114" s="1897"/>
      <c r="CU114" s="1897"/>
      <c r="CV114" s="1897"/>
      <c r="CW114" s="1897"/>
      <c r="CX114" s="1897"/>
      <c r="CY114" s="1897"/>
      <c r="CZ114" s="1897"/>
      <c r="DA114" s="1901"/>
      <c r="DB114" s="1897"/>
      <c r="DC114" s="1897"/>
      <c r="DD114" s="1897"/>
      <c r="DE114" s="1897">
        <f>AVERAGE(DE111,DE113)*(DE110/4)</f>
        <v>4.1309999999999993</v>
      </c>
      <c r="DF114" s="1901"/>
      <c r="DG114" s="1897">
        <f>AVERAGE(DG111,DG113)*(DG110/4)</f>
        <v>4.1309999999999993</v>
      </c>
      <c r="DH114" s="1897">
        <f>AVERAGE(DH111,DH113)*(DH110/4)</f>
        <v>4.1309999999999993</v>
      </c>
      <c r="DI114" s="1897">
        <f>AVERAGE(DI111,DI113)*(DI110/4)</f>
        <v>4.1309999999999993</v>
      </c>
      <c r="DJ114" s="1897">
        <f>AVERAGE(DJ111,DJ113)*(DJ110/4)</f>
        <v>4.1309999999999993</v>
      </c>
      <c r="DK114" s="1901"/>
      <c r="DL114" s="1897">
        <f>AVERAGE(DL111,DL113)*(DL110/4)</f>
        <v>4.1309999999999993</v>
      </c>
      <c r="DM114" s="1897">
        <f>AVERAGE(DM111,DM113)*(DM110/4)</f>
        <v>4.1309999999999993</v>
      </c>
      <c r="DN114" s="2214">
        <f>AVERAGE(DN111,DN113)*(DN110/4)</f>
        <v>3.7934999999999999</v>
      </c>
      <c r="DO114" s="1897">
        <f>AVERAGE(DO111,DO113)*(DO110/4)</f>
        <v>3.4559999999999995</v>
      </c>
      <c r="DP114" s="1901"/>
      <c r="DQ114" s="1897">
        <f>AVERAGE(DQ111,DQ113)*(DQ110/4)</f>
        <v>3.4559999999999995</v>
      </c>
      <c r="DR114" s="1897">
        <f>AVERAGE(DR111,DR113)*(DR110/4)</f>
        <v>3.4559999999999995</v>
      </c>
      <c r="DS114" s="1897">
        <f>AVERAGE(DS111,DS113)*(DS110/4)</f>
        <v>3.4559999999999995</v>
      </c>
      <c r="DT114" s="1897">
        <f>AVERAGE(DT111,DT113)*(DT110/4)</f>
        <v>3.4559999999999995</v>
      </c>
      <c r="DU114" s="1901"/>
      <c r="DV114" s="1897">
        <f>AVERAGE(DV111,DV113)*(DV110/4)</f>
        <v>3.4559999999999995</v>
      </c>
      <c r="DW114" s="1897">
        <f>AVERAGE(DW111,DW113)*(DW110/4)</f>
        <v>3.4559999999999995</v>
      </c>
      <c r="DX114" s="1897">
        <f>AVERAGE(DX111,DX113)*(DX110/4)</f>
        <v>3.4559999999999995</v>
      </c>
      <c r="DY114" s="1897">
        <f>AVERAGE(DY111,DY113)*(DY110/4)</f>
        <v>3.4559999999999995</v>
      </c>
      <c r="DZ114" s="1901"/>
      <c r="EA114" s="1897">
        <f>AVERAGE(EA111,EA113)*(EA110/4)</f>
        <v>3.4559999999999995</v>
      </c>
      <c r="EB114" s="1897">
        <f>AVERAGE(EB111,EB113)*(EB110/4)</f>
        <v>3.4559999999999995</v>
      </c>
      <c r="EC114" s="1897">
        <f>AVERAGE(EC111,EC113)*(EC110/4)</f>
        <v>3.4559999999999995</v>
      </c>
      <c r="ED114" s="1897">
        <f>AVERAGE(ED111,ED113)*(ED110/4)</f>
        <v>3.4559999999999995</v>
      </c>
      <c r="EE114" s="1901"/>
    </row>
    <row r="115" spans="2:135" s="2207" customFormat="1" ht="12" thickBot="1">
      <c r="B115" s="1569"/>
      <c r="C115" s="1569"/>
      <c r="D115" s="1569"/>
      <c r="E115" s="1569"/>
      <c r="F115" s="1569"/>
      <c r="G115" s="1569"/>
      <c r="H115" s="1569"/>
      <c r="I115" s="1569"/>
      <c r="J115" s="1569"/>
      <c r="K115" s="1569"/>
      <c r="L115" s="1569"/>
      <c r="M115" s="1569"/>
      <c r="N115" s="1569"/>
      <c r="O115" s="1569"/>
      <c r="P115" s="1569"/>
      <c r="Q115" s="1569"/>
      <c r="R115" s="1569"/>
      <c r="S115" s="1569"/>
      <c r="T115" s="1569"/>
      <c r="U115" s="1569"/>
      <c r="V115" s="1569"/>
      <c r="W115" s="1569"/>
      <c r="X115" s="1569"/>
      <c r="Y115" s="1569"/>
      <c r="Z115" s="1569"/>
      <c r="AA115" s="1569"/>
      <c r="AB115" s="1569"/>
      <c r="AC115" s="1569"/>
      <c r="AD115" s="1569"/>
      <c r="AE115" s="1569"/>
      <c r="AF115" s="1569"/>
      <c r="AG115" s="1569"/>
      <c r="AH115" s="1569"/>
      <c r="AI115" s="1569"/>
      <c r="AJ115" s="1569"/>
      <c r="AK115" s="1569"/>
      <c r="AL115" s="1569"/>
      <c r="AM115" s="1569"/>
      <c r="AN115" s="1569"/>
      <c r="AO115" s="1569"/>
      <c r="AP115" s="1569"/>
      <c r="AQ115" s="1569"/>
      <c r="AR115" s="1569"/>
      <c r="AS115" s="1569"/>
      <c r="AT115" s="1569"/>
      <c r="AU115" s="1569"/>
      <c r="AV115" s="1569"/>
      <c r="AW115" s="1569"/>
      <c r="AX115" s="1569"/>
      <c r="AY115" s="1569"/>
      <c r="AZ115" s="1569"/>
      <c r="BA115" s="1569"/>
      <c r="BB115" s="1569"/>
      <c r="BC115" s="1569"/>
      <c r="BD115" s="1569"/>
      <c r="BE115" s="1569"/>
      <c r="BF115" s="1569"/>
      <c r="BG115" s="1569"/>
      <c r="BH115" s="1569"/>
      <c r="BI115" s="1569"/>
      <c r="BJ115" s="1569"/>
      <c r="BK115" s="1569"/>
      <c r="BL115" s="1569"/>
      <c r="BM115" s="1569"/>
      <c r="BN115" s="1569"/>
      <c r="BO115" s="1569"/>
      <c r="BP115" s="1569"/>
      <c r="BQ115" s="1569"/>
      <c r="BR115" s="1569"/>
      <c r="BS115" s="1569"/>
      <c r="BT115" s="1569"/>
      <c r="BU115" s="1569"/>
      <c r="BV115" s="1569"/>
      <c r="BW115" s="1569"/>
      <c r="BX115" s="1569"/>
      <c r="BY115" s="1569"/>
      <c r="BZ115" s="1569"/>
      <c r="CA115" s="1569"/>
      <c r="CB115" s="1569"/>
      <c r="CC115" s="1569"/>
      <c r="CD115" s="1569"/>
      <c r="CE115" s="1569"/>
      <c r="CF115" s="1569"/>
      <c r="CG115" s="1569"/>
      <c r="CH115" s="1569"/>
      <c r="CI115" s="1569"/>
      <c r="CJ115" s="1569"/>
      <c r="CK115" s="1569"/>
      <c r="CL115" s="1569"/>
      <c r="CM115" s="1569"/>
      <c r="CN115" s="1569"/>
      <c r="CO115" s="1569"/>
      <c r="CP115" s="1569"/>
      <c r="CQ115" s="1569"/>
      <c r="CR115" s="1569"/>
      <c r="CS115" s="1569"/>
      <c r="CT115" s="1569"/>
      <c r="CU115" s="1569"/>
      <c r="CV115" s="1569"/>
      <c r="CW115" s="1569"/>
      <c r="CX115" s="1569"/>
      <c r="CY115" s="1569"/>
      <c r="CZ115" s="1569"/>
      <c r="DA115" s="1569"/>
      <c r="DB115" s="1569"/>
      <c r="DC115" s="1569"/>
      <c r="DD115" s="1569"/>
      <c r="DE115" s="1569"/>
      <c r="DF115" s="1569"/>
      <c r="DG115" s="1569"/>
      <c r="DH115" s="1569"/>
      <c r="DI115" s="1569"/>
      <c r="DJ115" s="1569"/>
      <c r="DK115" s="1569"/>
      <c r="DL115" s="1569"/>
      <c r="DM115" s="1569"/>
      <c r="DN115" s="2230"/>
      <c r="DO115" s="1569"/>
      <c r="DP115" s="1569"/>
      <c r="DQ115" s="1569"/>
      <c r="DR115" s="1569"/>
      <c r="DS115" s="1569"/>
      <c r="DT115" s="1569"/>
      <c r="DU115" s="1569"/>
      <c r="DV115" s="1569"/>
      <c r="DW115" s="1569"/>
      <c r="DX115" s="1569"/>
      <c r="DY115" s="1569"/>
      <c r="DZ115" s="1569"/>
      <c r="EA115" s="1569"/>
      <c r="EB115" s="1569"/>
      <c r="EC115" s="1569"/>
      <c r="ED115" s="1569"/>
      <c r="EE115" s="1569"/>
    </row>
    <row r="116" spans="2:135" s="2207" customFormat="1" ht="12" thickBot="1">
      <c r="B116" s="754" t="s">
        <v>611</v>
      </c>
      <c r="C116" s="684"/>
      <c r="D116" s="684"/>
      <c r="E116" s="684"/>
      <c r="F116" s="684"/>
      <c r="G116" s="684"/>
      <c r="H116" s="684"/>
      <c r="I116" s="684"/>
      <c r="J116" s="684"/>
      <c r="K116" s="684"/>
      <c r="L116" s="684"/>
      <c r="M116" s="684"/>
      <c r="N116" s="684"/>
      <c r="O116" s="684"/>
      <c r="P116" s="684"/>
      <c r="Q116" s="684"/>
      <c r="R116" s="684"/>
      <c r="S116" s="684"/>
      <c r="T116" s="684"/>
      <c r="U116" s="684"/>
      <c r="V116" s="684"/>
      <c r="W116" s="684"/>
      <c r="X116" s="684"/>
      <c r="Y116" s="684"/>
      <c r="Z116" s="684"/>
      <c r="AA116" s="684"/>
      <c r="AB116" s="684"/>
      <c r="AC116" s="684"/>
      <c r="AD116" s="684"/>
      <c r="AE116" s="684"/>
      <c r="AF116" s="684"/>
      <c r="AG116" s="684"/>
      <c r="AH116" s="684"/>
      <c r="AI116" s="684"/>
      <c r="AJ116" s="684"/>
      <c r="AK116" s="684"/>
      <c r="AL116" s="684"/>
      <c r="AM116" s="684"/>
      <c r="AN116" s="684"/>
      <c r="AO116" s="684"/>
      <c r="AP116" s="684"/>
      <c r="AQ116" s="684"/>
      <c r="AR116" s="684"/>
      <c r="AS116" s="684"/>
      <c r="AT116" s="684"/>
      <c r="AU116" s="684"/>
      <c r="AV116" s="684"/>
      <c r="AW116" s="684"/>
      <c r="AX116" s="684"/>
      <c r="AY116" s="684"/>
      <c r="AZ116" s="684"/>
      <c r="BA116" s="684"/>
      <c r="BB116" s="684"/>
      <c r="BC116" s="684"/>
      <c r="BD116" s="684"/>
      <c r="BE116" s="684"/>
      <c r="BF116" s="684"/>
      <c r="BG116" s="684"/>
      <c r="BH116" s="684"/>
      <c r="BI116" s="684"/>
      <c r="BJ116" s="684"/>
      <c r="BK116" s="684"/>
      <c r="BL116" s="684"/>
      <c r="BM116" s="684"/>
      <c r="BN116" s="684"/>
      <c r="BO116" s="684"/>
      <c r="BP116" s="684"/>
      <c r="BQ116" s="684"/>
      <c r="BR116" s="684"/>
      <c r="BS116" s="684"/>
      <c r="BT116" s="684"/>
      <c r="BU116" s="684"/>
      <c r="BV116" s="684"/>
      <c r="BW116" s="684"/>
      <c r="BX116" s="684"/>
      <c r="BY116" s="684"/>
      <c r="BZ116" s="684"/>
      <c r="CA116" s="684"/>
      <c r="CB116" s="684"/>
      <c r="CC116" s="684"/>
      <c r="CD116" s="684"/>
      <c r="CE116" s="684"/>
      <c r="CF116" s="684"/>
      <c r="CG116" s="684"/>
      <c r="CH116" s="684"/>
      <c r="CI116" s="684"/>
      <c r="CJ116" s="684"/>
      <c r="CK116" s="684"/>
      <c r="CL116" s="684"/>
      <c r="CM116" s="684"/>
      <c r="CN116" s="684"/>
      <c r="CO116" s="684"/>
      <c r="CP116" s="684"/>
      <c r="CQ116" s="684"/>
      <c r="CR116" s="684"/>
      <c r="CS116" s="684"/>
      <c r="CT116" s="684"/>
      <c r="CU116" s="684"/>
      <c r="CV116" s="684"/>
      <c r="CW116" s="684"/>
      <c r="CX116" s="684"/>
      <c r="CY116" s="684"/>
      <c r="CZ116" s="684"/>
      <c r="DA116" s="684"/>
      <c r="DB116" s="684"/>
      <c r="DC116" s="684"/>
      <c r="DD116" s="684"/>
      <c r="DE116" s="684"/>
      <c r="DF116" s="684"/>
      <c r="DG116" s="684"/>
      <c r="DH116" s="684"/>
      <c r="DI116" s="684"/>
      <c r="DJ116" s="684"/>
      <c r="DK116" s="684"/>
      <c r="DL116" s="684"/>
      <c r="DM116" s="684"/>
      <c r="DN116" s="2232"/>
      <c r="DO116" s="684"/>
      <c r="DP116" s="1894"/>
      <c r="DQ116" s="684"/>
      <c r="DR116" s="684"/>
      <c r="DS116" s="684"/>
      <c r="DT116" s="684"/>
      <c r="DU116" s="1894"/>
      <c r="DV116" s="684"/>
      <c r="DW116" s="684"/>
      <c r="DX116" s="684"/>
      <c r="DY116" s="684"/>
      <c r="DZ116" s="1894"/>
      <c r="EA116" s="684"/>
      <c r="EB116" s="684"/>
      <c r="EC116" s="684"/>
      <c r="ED116" s="684"/>
      <c r="EE116" s="1894"/>
    </row>
    <row r="117" spans="2:135" s="2207" customFormat="1">
      <c r="B117" s="1902" t="s">
        <v>498</v>
      </c>
      <c r="C117" s="1903"/>
      <c r="D117" s="1903"/>
      <c r="E117" s="1903"/>
      <c r="F117" s="1903"/>
      <c r="G117" s="1903"/>
      <c r="H117" s="1903"/>
      <c r="I117" s="1903"/>
      <c r="J117" s="1903"/>
      <c r="K117" s="1903"/>
      <c r="L117" s="1903"/>
      <c r="M117" s="1903"/>
      <c r="N117" s="1903"/>
      <c r="O117" s="1903"/>
      <c r="P117" s="1903"/>
      <c r="Q117" s="1903"/>
      <c r="R117" s="1903"/>
      <c r="S117" s="1903"/>
      <c r="T117" s="1903"/>
      <c r="U117" s="1903"/>
      <c r="V117" s="1903"/>
      <c r="W117" s="1903"/>
      <c r="X117" s="1903"/>
      <c r="Y117" s="1903"/>
      <c r="Z117" s="1903"/>
      <c r="AA117" s="1903"/>
      <c r="AB117" s="1903"/>
      <c r="AC117" s="1903"/>
      <c r="AD117" s="1903"/>
      <c r="AE117" s="1903"/>
      <c r="AF117" s="1903"/>
      <c r="AG117" s="1903"/>
      <c r="AH117" s="1903"/>
      <c r="AI117" s="1903"/>
      <c r="AJ117" s="1903"/>
      <c r="AK117" s="1903"/>
      <c r="AL117" s="1903"/>
      <c r="AM117" s="1903"/>
      <c r="AN117" s="1903"/>
      <c r="AO117" s="1903"/>
      <c r="AP117" s="1903"/>
      <c r="AQ117" s="1903"/>
      <c r="AR117" s="1903"/>
      <c r="AS117" s="1903"/>
      <c r="AT117" s="1903"/>
      <c r="AU117" s="1903"/>
      <c r="AV117" s="1903"/>
      <c r="AW117" s="1903"/>
      <c r="AX117" s="1903"/>
      <c r="AY117" s="1903"/>
      <c r="AZ117" s="1903"/>
      <c r="BA117" s="1903"/>
      <c r="BB117" s="1903"/>
      <c r="BC117" s="1903"/>
      <c r="BD117" s="1903"/>
      <c r="BE117" s="1903"/>
      <c r="BF117" s="1903"/>
      <c r="BG117" s="1903"/>
      <c r="BH117" s="1903"/>
      <c r="BI117" s="1903"/>
      <c r="BJ117" s="1903"/>
      <c r="BK117" s="1903"/>
      <c r="BL117" s="1903"/>
      <c r="BM117" s="1903"/>
      <c r="BN117" s="1903"/>
      <c r="BO117" s="1903"/>
      <c r="BP117" s="1903"/>
      <c r="BQ117" s="1903"/>
      <c r="BR117" s="1903"/>
      <c r="BS117" s="1903"/>
      <c r="BT117" s="1903"/>
      <c r="BU117" s="1903"/>
      <c r="BV117" s="1903"/>
      <c r="BW117" s="1903"/>
      <c r="BX117" s="1903"/>
      <c r="BY117" s="1903"/>
      <c r="BZ117" s="1903"/>
      <c r="CA117" s="1903"/>
      <c r="CB117" s="1903"/>
      <c r="CC117" s="1903"/>
      <c r="CD117" s="1903"/>
      <c r="CE117" s="1903"/>
      <c r="CF117" s="1903"/>
      <c r="CG117" s="1903"/>
      <c r="CH117" s="1903"/>
      <c r="CI117" s="1903"/>
      <c r="CJ117" s="1903"/>
      <c r="CK117" s="1903"/>
      <c r="CL117" s="1903"/>
      <c r="CM117" s="1903"/>
      <c r="CN117" s="1903"/>
      <c r="CO117" s="1903"/>
      <c r="CP117" s="1903"/>
      <c r="CQ117" s="1903"/>
      <c r="CR117" s="1903"/>
      <c r="CS117" s="1903"/>
      <c r="CT117" s="1903"/>
      <c r="CU117" s="1903"/>
      <c r="CV117" s="1903"/>
      <c r="CW117" s="1904"/>
      <c r="CX117" s="1904"/>
      <c r="CY117" s="1904"/>
      <c r="CZ117" s="1904"/>
      <c r="DA117" s="1941"/>
      <c r="DB117" s="1904"/>
      <c r="DC117" s="1904"/>
      <c r="DD117" s="1904"/>
      <c r="DE117" s="1903"/>
      <c r="DF117" s="1899"/>
      <c r="DG117" s="1903"/>
      <c r="DH117" s="1903"/>
      <c r="DI117" s="1903">
        <v>3.4500000000000003E-2</v>
      </c>
      <c r="DJ117" s="1903">
        <f>DI117</f>
        <v>3.4500000000000003E-2</v>
      </c>
      <c r="DK117" s="1899"/>
      <c r="DL117" s="1903">
        <f>DJ117</f>
        <v>3.4500000000000003E-2</v>
      </c>
      <c r="DM117" s="1903">
        <f>DL117</f>
        <v>3.4500000000000003E-2</v>
      </c>
      <c r="DN117" s="2215">
        <f>DM117</f>
        <v>3.4500000000000003E-2</v>
      </c>
      <c r="DO117" s="1903">
        <f>DN117</f>
        <v>3.4500000000000003E-2</v>
      </c>
      <c r="DP117" s="1899"/>
      <c r="DQ117" s="1903">
        <f>DO117</f>
        <v>3.4500000000000003E-2</v>
      </c>
      <c r="DR117" s="1903">
        <f>DQ117</f>
        <v>3.4500000000000003E-2</v>
      </c>
      <c r="DS117" s="1903">
        <f>DR117</f>
        <v>3.4500000000000003E-2</v>
      </c>
      <c r="DT117" s="1903">
        <f>DS117</f>
        <v>3.4500000000000003E-2</v>
      </c>
      <c r="DU117" s="1899"/>
      <c r="DV117" s="1903">
        <f>DT117</f>
        <v>3.4500000000000003E-2</v>
      </c>
      <c r="DW117" s="1903">
        <f>DV117</f>
        <v>3.4500000000000003E-2</v>
      </c>
      <c r="DX117" s="1903">
        <f>DW117</f>
        <v>3.4500000000000003E-2</v>
      </c>
      <c r="DY117" s="1903">
        <f>DX117</f>
        <v>3.4500000000000003E-2</v>
      </c>
      <c r="DZ117" s="1899"/>
      <c r="EA117" s="1903">
        <f>DY117</f>
        <v>3.4500000000000003E-2</v>
      </c>
      <c r="EB117" s="1903">
        <f>EA117</f>
        <v>3.4500000000000003E-2</v>
      </c>
      <c r="EC117" s="1903">
        <f>EB117</f>
        <v>3.4500000000000003E-2</v>
      </c>
      <c r="ED117" s="1903">
        <f>EC117</f>
        <v>3.4500000000000003E-2</v>
      </c>
      <c r="EE117" s="1899"/>
    </row>
    <row r="118" spans="2:135" s="2207" customFormat="1">
      <c r="B118" s="1895" t="s">
        <v>483</v>
      </c>
      <c r="C118" s="1569"/>
      <c r="D118" s="1569"/>
      <c r="E118" s="1569"/>
      <c r="F118" s="1569"/>
      <c r="G118" s="1569"/>
      <c r="H118" s="1569"/>
      <c r="I118" s="1569"/>
      <c r="J118" s="1569"/>
      <c r="K118" s="1569"/>
      <c r="L118" s="1569"/>
      <c r="M118" s="1569"/>
      <c r="N118" s="1569"/>
      <c r="O118" s="1569"/>
      <c r="P118" s="1569"/>
      <c r="Q118" s="1569"/>
      <c r="R118" s="1569"/>
      <c r="S118" s="1569"/>
      <c r="T118" s="1569"/>
      <c r="U118" s="1569"/>
      <c r="V118" s="1569"/>
      <c r="W118" s="1569"/>
      <c r="X118" s="1569"/>
      <c r="Y118" s="1569"/>
      <c r="Z118" s="1569"/>
      <c r="AA118" s="1569"/>
      <c r="AB118" s="1569"/>
      <c r="AC118" s="1569"/>
      <c r="AD118" s="1569"/>
      <c r="AE118" s="1569"/>
      <c r="AF118" s="1569"/>
      <c r="AG118" s="1569"/>
      <c r="AH118" s="1569"/>
      <c r="AI118" s="1569"/>
      <c r="AJ118" s="1569"/>
      <c r="AK118" s="1569"/>
      <c r="AL118" s="1569"/>
      <c r="AM118" s="1569"/>
      <c r="AN118" s="1569"/>
      <c r="AO118" s="1569"/>
      <c r="AP118" s="1569"/>
      <c r="AQ118" s="1569"/>
      <c r="AR118" s="1569"/>
      <c r="AS118" s="1569"/>
      <c r="AT118" s="1569"/>
      <c r="AU118" s="1569"/>
      <c r="AV118" s="1569"/>
      <c r="AW118" s="1569"/>
      <c r="AX118" s="1569"/>
      <c r="AY118" s="1569"/>
      <c r="AZ118" s="1569"/>
      <c r="BA118" s="1569"/>
      <c r="BB118" s="1569"/>
      <c r="BC118" s="1569"/>
      <c r="BD118" s="1569"/>
      <c r="BE118" s="1569"/>
      <c r="BF118" s="1569"/>
      <c r="BG118" s="1569"/>
      <c r="BH118" s="1569"/>
      <c r="BI118" s="1569"/>
      <c r="BJ118" s="1569"/>
      <c r="BK118" s="1569"/>
      <c r="BL118" s="1569"/>
      <c r="BM118" s="1569"/>
      <c r="BN118" s="1569"/>
      <c r="BO118" s="1569"/>
      <c r="BP118" s="1569"/>
      <c r="BQ118" s="1569"/>
      <c r="BR118" s="1569"/>
      <c r="BS118" s="1569"/>
      <c r="BT118" s="1569"/>
      <c r="BU118" s="1569"/>
      <c r="BV118" s="1569"/>
      <c r="BW118" s="1569"/>
      <c r="BX118" s="1569"/>
      <c r="BY118" s="1569"/>
      <c r="BZ118" s="1569"/>
      <c r="CA118" s="1569"/>
      <c r="CB118" s="1569"/>
      <c r="CC118" s="1569"/>
      <c r="CD118" s="1569"/>
      <c r="CE118" s="1569"/>
      <c r="CF118" s="1569"/>
      <c r="CG118" s="1569"/>
      <c r="CH118" s="1569"/>
      <c r="CI118" s="1569"/>
      <c r="CJ118" s="1569"/>
      <c r="CK118" s="1569"/>
      <c r="CL118" s="1569"/>
      <c r="CM118" s="1569"/>
      <c r="CN118" s="1569"/>
      <c r="CO118" s="1569"/>
      <c r="CP118" s="1569"/>
      <c r="CQ118" s="1569"/>
      <c r="CR118" s="1569"/>
      <c r="CS118" s="1569"/>
      <c r="CT118" s="1569"/>
      <c r="CU118" s="1569"/>
      <c r="CV118" s="1569"/>
      <c r="CW118" s="1569"/>
      <c r="CX118" s="1569"/>
      <c r="CY118" s="1569"/>
      <c r="CZ118" s="1569"/>
      <c r="DA118" s="1900"/>
      <c r="DB118" s="1569"/>
      <c r="DC118" s="1569"/>
      <c r="DD118" s="1569"/>
      <c r="DE118" s="1569"/>
      <c r="DF118" s="1900"/>
      <c r="DG118" s="1569"/>
      <c r="DH118" s="1569"/>
      <c r="DI118" s="1569">
        <v>1886</v>
      </c>
      <c r="DJ118" s="1569">
        <f>DI120</f>
        <v>1886</v>
      </c>
      <c r="DK118" s="1900"/>
      <c r="DL118" s="1569">
        <f>DJ120</f>
        <v>1886</v>
      </c>
      <c r="DM118" s="1569">
        <f>DL120</f>
        <v>1886</v>
      </c>
      <c r="DN118" s="38">
        <f>DM120</f>
        <v>1886</v>
      </c>
      <c r="DO118" s="1569">
        <f>DN120</f>
        <v>1886</v>
      </c>
      <c r="DP118" s="1900"/>
      <c r="DQ118" s="1569">
        <f>DO120</f>
        <v>1886</v>
      </c>
      <c r="DR118" s="1569">
        <f>DQ120</f>
        <v>1886</v>
      </c>
      <c r="DS118" s="1569">
        <f>DR120</f>
        <v>1886</v>
      </c>
      <c r="DT118" s="1569">
        <f>DS120</f>
        <v>1886</v>
      </c>
      <c r="DU118" s="1900"/>
      <c r="DV118" s="1569">
        <f>DT120</f>
        <v>1886</v>
      </c>
      <c r="DW118" s="1569">
        <f>DV120</f>
        <v>1886</v>
      </c>
      <c r="DX118" s="1569">
        <f>DW120</f>
        <v>1886</v>
      </c>
      <c r="DY118" s="1569">
        <f>DX120</f>
        <v>1886</v>
      </c>
      <c r="DZ118" s="1900"/>
      <c r="EA118" s="1569">
        <f>DY120</f>
        <v>1886</v>
      </c>
      <c r="EB118" s="1569">
        <f>EA120</f>
        <v>1886</v>
      </c>
      <c r="EC118" s="1569">
        <f>EB120</f>
        <v>1886</v>
      </c>
      <c r="ED118" s="1569">
        <f>EC120</f>
        <v>1886</v>
      </c>
      <c r="EE118" s="1900"/>
    </row>
    <row r="119" spans="2:135" s="2207" customFormat="1">
      <c r="B119" s="1895" t="s">
        <v>484</v>
      </c>
      <c r="C119" s="1569"/>
      <c r="D119" s="1569"/>
      <c r="E119" s="1569"/>
      <c r="F119" s="1569"/>
      <c r="G119" s="1569"/>
      <c r="H119" s="1569"/>
      <c r="I119" s="1569"/>
      <c r="J119" s="1569"/>
      <c r="K119" s="1569"/>
      <c r="L119" s="1569"/>
      <c r="M119" s="1569"/>
      <c r="N119" s="1569"/>
      <c r="O119" s="1569"/>
      <c r="P119" s="1569"/>
      <c r="Q119" s="1569"/>
      <c r="R119" s="1569"/>
      <c r="S119" s="1569"/>
      <c r="T119" s="1569"/>
      <c r="U119" s="1569"/>
      <c r="V119" s="1569"/>
      <c r="W119" s="1569"/>
      <c r="X119" s="1569"/>
      <c r="Y119" s="1569"/>
      <c r="Z119" s="1569"/>
      <c r="AA119" s="1569"/>
      <c r="AB119" s="1569"/>
      <c r="AC119" s="1569"/>
      <c r="AD119" s="1569"/>
      <c r="AE119" s="1569"/>
      <c r="AF119" s="1569"/>
      <c r="AG119" s="1569"/>
      <c r="AH119" s="1569"/>
      <c r="AI119" s="1569"/>
      <c r="AJ119" s="1569"/>
      <c r="AK119" s="1569"/>
      <c r="AL119" s="1569"/>
      <c r="AM119" s="1569"/>
      <c r="AN119" s="1569"/>
      <c r="AO119" s="1569"/>
      <c r="AP119" s="1569"/>
      <c r="AQ119" s="1569"/>
      <c r="AR119" s="1569"/>
      <c r="AS119" s="1569"/>
      <c r="AT119" s="1569"/>
      <c r="AU119" s="1569"/>
      <c r="AV119" s="1569"/>
      <c r="AW119" s="1569"/>
      <c r="AX119" s="1569"/>
      <c r="AY119" s="1569"/>
      <c r="AZ119" s="1569"/>
      <c r="BA119" s="1569"/>
      <c r="BB119" s="1569"/>
      <c r="BC119" s="1569"/>
      <c r="BD119" s="1569"/>
      <c r="BE119" s="1569"/>
      <c r="BF119" s="1569"/>
      <c r="BG119" s="1569"/>
      <c r="BH119" s="1569"/>
      <c r="BI119" s="1569"/>
      <c r="BJ119" s="1569"/>
      <c r="BK119" s="1569"/>
      <c r="BL119" s="1569"/>
      <c r="BM119" s="1569"/>
      <c r="BN119" s="1569"/>
      <c r="BO119" s="1569"/>
      <c r="BP119" s="1569"/>
      <c r="BQ119" s="1569"/>
      <c r="BR119" s="1569"/>
      <c r="BS119" s="1569"/>
      <c r="BT119" s="1569"/>
      <c r="BU119" s="1569"/>
      <c r="BV119" s="1569"/>
      <c r="BW119" s="1569"/>
      <c r="BX119" s="1569"/>
      <c r="BY119" s="1569"/>
      <c r="BZ119" s="1569"/>
      <c r="CA119" s="1569"/>
      <c r="CB119" s="1569"/>
      <c r="CC119" s="1569"/>
      <c r="CD119" s="1569"/>
      <c r="CE119" s="1569"/>
      <c r="CF119" s="1569"/>
      <c r="CG119" s="1569"/>
      <c r="CH119" s="1569"/>
      <c r="CI119" s="1569"/>
      <c r="CJ119" s="1569"/>
      <c r="CK119" s="1569"/>
      <c r="CL119" s="1569"/>
      <c r="CM119" s="1569"/>
      <c r="CN119" s="1569"/>
      <c r="CO119" s="1569"/>
      <c r="CP119" s="1569"/>
      <c r="CQ119" s="1569"/>
      <c r="CR119" s="1569"/>
      <c r="CS119" s="1569"/>
      <c r="CT119" s="1569"/>
      <c r="CU119" s="1569"/>
      <c r="CV119" s="1569"/>
      <c r="CW119" s="1569"/>
      <c r="CX119" s="1569"/>
      <c r="CY119" s="1569"/>
      <c r="CZ119" s="1569"/>
      <c r="DA119" s="1900"/>
      <c r="DB119" s="1569"/>
      <c r="DC119" s="1569"/>
      <c r="DD119" s="1569"/>
      <c r="DE119" s="1569"/>
      <c r="DF119" s="1900"/>
      <c r="DG119" s="1569"/>
      <c r="DH119" s="1569"/>
      <c r="DI119" s="1569"/>
      <c r="DJ119" s="1569"/>
      <c r="DK119" s="1900"/>
      <c r="DL119" s="1569"/>
      <c r="DM119" s="1569"/>
      <c r="DN119" s="38"/>
      <c r="DO119" s="1569"/>
      <c r="DP119" s="1900"/>
      <c r="DQ119" s="1569">
        <v>0</v>
      </c>
      <c r="DR119" s="1569"/>
      <c r="DS119" s="1569"/>
      <c r="DT119" s="1569"/>
      <c r="DU119" s="1900"/>
      <c r="DV119" s="1569">
        <v>0</v>
      </c>
      <c r="DW119" s="1569"/>
      <c r="DX119" s="1569"/>
      <c r="DY119" s="1569"/>
      <c r="DZ119" s="1900"/>
      <c r="EA119" s="1569">
        <v>0</v>
      </c>
      <c r="EB119" s="1569"/>
      <c r="EC119" s="1569"/>
      <c r="ED119" s="1569"/>
      <c r="EE119" s="1900"/>
    </row>
    <row r="120" spans="2:135" s="2207" customFormat="1">
      <c r="B120" s="1895" t="s">
        <v>485</v>
      </c>
      <c r="C120" s="1569"/>
      <c r="D120" s="1569"/>
      <c r="E120" s="1569"/>
      <c r="F120" s="1569"/>
      <c r="G120" s="1569"/>
      <c r="H120" s="1569"/>
      <c r="I120" s="1569"/>
      <c r="J120" s="1569"/>
      <c r="K120" s="1569"/>
      <c r="L120" s="1569"/>
      <c r="M120" s="1569"/>
      <c r="N120" s="1569"/>
      <c r="O120" s="1569"/>
      <c r="P120" s="1569"/>
      <c r="Q120" s="1569"/>
      <c r="R120" s="1569"/>
      <c r="S120" s="1569"/>
      <c r="T120" s="1569"/>
      <c r="U120" s="1569"/>
      <c r="V120" s="1569"/>
      <c r="W120" s="1569"/>
      <c r="X120" s="1569"/>
      <c r="Y120" s="1569"/>
      <c r="Z120" s="1569"/>
      <c r="AA120" s="1569"/>
      <c r="AB120" s="1569"/>
      <c r="AC120" s="1569"/>
      <c r="AD120" s="1569"/>
      <c r="AE120" s="1569"/>
      <c r="AF120" s="1569"/>
      <c r="AG120" s="1569"/>
      <c r="AH120" s="1569"/>
      <c r="AI120" s="1569"/>
      <c r="AJ120" s="1569"/>
      <c r="AK120" s="1569"/>
      <c r="AL120" s="1569"/>
      <c r="AM120" s="1569"/>
      <c r="AN120" s="1569"/>
      <c r="AO120" s="1569"/>
      <c r="AP120" s="1569"/>
      <c r="AQ120" s="1569"/>
      <c r="AR120" s="1569"/>
      <c r="AS120" s="1569"/>
      <c r="AT120" s="1569"/>
      <c r="AU120" s="1569"/>
      <c r="AV120" s="1569"/>
      <c r="AW120" s="1569"/>
      <c r="AX120" s="1569"/>
      <c r="AY120" s="1569"/>
      <c r="AZ120" s="1569"/>
      <c r="BA120" s="1569"/>
      <c r="BB120" s="1569"/>
      <c r="BC120" s="1569"/>
      <c r="BD120" s="1569"/>
      <c r="BE120" s="1569"/>
      <c r="BF120" s="1569"/>
      <c r="BG120" s="1569"/>
      <c r="BH120" s="1569"/>
      <c r="BI120" s="1569"/>
      <c r="BJ120" s="1569"/>
      <c r="BK120" s="1569"/>
      <c r="BL120" s="1569"/>
      <c r="BM120" s="1569"/>
      <c r="BN120" s="1569"/>
      <c r="BO120" s="1569"/>
      <c r="BP120" s="1569"/>
      <c r="BQ120" s="1569"/>
      <c r="BR120" s="1569"/>
      <c r="BS120" s="1569"/>
      <c r="BT120" s="1569"/>
      <c r="BU120" s="1569"/>
      <c r="BV120" s="1569"/>
      <c r="BW120" s="1569"/>
      <c r="BX120" s="1569"/>
      <c r="BY120" s="1569"/>
      <c r="BZ120" s="1569"/>
      <c r="CA120" s="1569"/>
      <c r="CB120" s="1569"/>
      <c r="CC120" s="1569"/>
      <c r="CD120" s="1569"/>
      <c r="CE120" s="1569"/>
      <c r="CF120" s="1569"/>
      <c r="CG120" s="1569"/>
      <c r="CH120" s="1569"/>
      <c r="CI120" s="1569"/>
      <c r="CJ120" s="1569"/>
      <c r="CK120" s="1569"/>
      <c r="CL120" s="1569"/>
      <c r="CM120" s="1569"/>
      <c r="CN120" s="1569"/>
      <c r="CO120" s="1569"/>
      <c r="CP120" s="1569"/>
      <c r="CQ120" s="1569"/>
      <c r="CR120" s="1569"/>
      <c r="CS120" s="1569"/>
      <c r="CT120" s="1569"/>
      <c r="CU120" s="1569"/>
      <c r="CV120" s="1569"/>
      <c r="CW120" s="1569"/>
      <c r="CX120" s="1569"/>
      <c r="CY120" s="1569"/>
      <c r="CZ120" s="1569"/>
      <c r="DA120" s="1900"/>
      <c r="DB120" s="1569"/>
      <c r="DC120" s="1569"/>
      <c r="DD120" s="1569"/>
      <c r="DE120" s="1569"/>
      <c r="DF120" s="1900"/>
      <c r="DG120" s="1569"/>
      <c r="DH120" s="1569"/>
      <c r="DI120" s="1569">
        <f>SUM(DI118:DI119)</f>
        <v>1886</v>
      </c>
      <c r="DJ120" s="1569">
        <f>SUM(DJ118:DJ119)</f>
        <v>1886</v>
      </c>
      <c r="DK120" s="1900"/>
      <c r="DL120" s="1569">
        <f>SUM(DL118:DL119)</f>
        <v>1886</v>
      </c>
      <c r="DM120" s="1569">
        <f>SUM(DM118:DM119)</f>
        <v>1886</v>
      </c>
      <c r="DN120" s="38">
        <f>SUM(DN118:DN119)</f>
        <v>1886</v>
      </c>
      <c r="DO120" s="1569">
        <f>SUM(DO118:DO119)</f>
        <v>1886</v>
      </c>
      <c r="DP120" s="1900"/>
      <c r="DQ120" s="1569">
        <f>SUM(DQ118:DQ119)</f>
        <v>1886</v>
      </c>
      <c r="DR120" s="1569">
        <f>SUM(DR118:DR119)</f>
        <v>1886</v>
      </c>
      <c r="DS120" s="1569">
        <f>SUM(DS118:DS119)</f>
        <v>1886</v>
      </c>
      <c r="DT120" s="1569">
        <f>SUM(DT118:DT119)</f>
        <v>1886</v>
      </c>
      <c r="DU120" s="1900"/>
      <c r="DV120" s="1569">
        <f>SUM(DV118:DV119)</f>
        <v>1886</v>
      </c>
      <c r="DW120" s="1569">
        <f>SUM(DW118:DW119)</f>
        <v>1886</v>
      </c>
      <c r="DX120" s="1569">
        <f>SUM(DX118:DX119)</f>
        <v>1886</v>
      </c>
      <c r="DY120" s="1569">
        <f>SUM(DY118:DY119)</f>
        <v>1886</v>
      </c>
      <c r="DZ120" s="1900"/>
      <c r="EA120" s="1569">
        <f>SUM(EA118:EA119)</f>
        <v>1886</v>
      </c>
      <c r="EB120" s="1569">
        <f>SUM(EB118:EB119)</f>
        <v>1886</v>
      </c>
      <c r="EC120" s="1569">
        <f>SUM(EC118:EC119)</f>
        <v>1886</v>
      </c>
      <c r="ED120" s="1569">
        <f>SUM(ED118:ED119)</f>
        <v>1886</v>
      </c>
      <c r="EE120" s="1900"/>
    </row>
    <row r="121" spans="2:135" s="2207" customFormat="1" ht="12" thickBot="1">
      <c r="B121" s="1896" t="s">
        <v>400</v>
      </c>
      <c r="C121" s="1897"/>
      <c r="D121" s="1897"/>
      <c r="E121" s="1897"/>
      <c r="F121" s="1897"/>
      <c r="G121" s="1897"/>
      <c r="H121" s="1897"/>
      <c r="I121" s="1897"/>
      <c r="J121" s="1897"/>
      <c r="K121" s="1897"/>
      <c r="L121" s="1897"/>
      <c r="M121" s="1897"/>
      <c r="N121" s="1897"/>
      <c r="O121" s="1897"/>
      <c r="P121" s="1897"/>
      <c r="Q121" s="1897"/>
      <c r="R121" s="1897"/>
      <c r="S121" s="1897"/>
      <c r="T121" s="1897"/>
      <c r="U121" s="1897"/>
      <c r="V121" s="1897"/>
      <c r="W121" s="1897"/>
      <c r="X121" s="1897"/>
      <c r="Y121" s="1897"/>
      <c r="Z121" s="1897"/>
      <c r="AA121" s="1897"/>
      <c r="AB121" s="1897"/>
      <c r="AC121" s="1897"/>
      <c r="AD121" s="1897"/>
      <c r="AE121" s="1897"/>
      <c r="AF121" s="1897"/>
      <c r="AG121" s="1897"/>
      <c r="AH121" s="1897"/>
      <c r="AI121" s="1897"/>
      <c r="AJ121" s="1897"/>
      <c r="AK121" s="1897"/>
      <c r="AL121" s="1897"/>
      <c r="AM121" s="1897"/>
      <c r="AN121" s="1897"/>
      <c r="AO121" s="1897"/>
      <c r="AP121" s="1897"/>
      <c r="AQ121" s="1897"/>
      <c r="AR121" s="1897"/>
      <c r="AS121" s="1897"/>
      <c r="AT121" s="1897"/>
      <c r="AU121" s="1897"/>
      <c r="AV121" s="1897"/>
      <c r="AW121" s="1897"/>
      <c r="AX121" s="1897"/>
      <c r="AY121" s="1897"/>
      <c r="AZ121" s="1897"/>
      <c r="BA121" s="1897"/>
      <c r="BB121" s="1897"/>
      <c r="BC121" s="1897"/>
      <c r="BD121" s="1897"/>
      <c r="BE121" s="1897"/>
      <c r="BF121" s="1897"/>
      <c r="BG121" s="1897"/>
      <c r="BH121" s="1897"/>
      <c r="BI121" s="1897"/>
      <c r="BJ121" s="1897"/>
      <c r="BK121" s="1897"/>
      <c r="BL121" s="1897"/>
      <c r="BM121" s="1897"/>
      <c r="BN121" s="1897"/>
      <c r="BO121" s="1897"/>
      <c r="BP121" s="1897"/>
      <c r="BQ121" s="1897"/>
      <c r="BR121" s="1897"/>
      <c r="BS121" s="1897"/>
      <c r="BT121" s="1897"/>
      <c r="BU121" s="1897"/>
      <c r="BV121" s="1897"/>
      <c r="BW121" s="1897"/>
      <c r="BX121" s="1897"/>
      <c r="BY121" s="1897"/>
      <c r="BZ121" s="1897"/>
      <c r="CA121" s="1897"/>
      <c r="CB121" s="1897"/>
      <c r="CC121" s="1897"/>
      <c r="CD121" s="1897"/>
      <c r="CE121" s="1897"/>
      <c r="CF121" s="1897"/>
      <c r="CG121" s="1897"/>
      <c r="CH121" s="1897"/>
      <c r="CI121" s="1897"/>
      <c r="CJ121" s="1897"/>
      <c r="CK121" s="1897"/>
      <c r="CL121" s="1897"/>
      <c r="CM121" s="1897"/>
      <c r="CN121" s="1897"/>
      <c r="CO121" s="1897"/>
      <c r="CP121" s="1897"/>
      <c r="CQ121" s="1897"/>
      <c r="CR121" s="1897"/>
      <c r="CS121" s="1897"/>
      <c r="CT121" s="1897"/>
      <c r="CU121" s="1897"/>
      <c r="CV121" s="1897"/>
      <c r="CW121" s="1897"/>
      <c r="CX121" s="1897"/>
      <c r="CY121" s="1897"/>
      <c r="CZ121" s="1897"/>
      <c r="DA121" s="1901"/>
      <c r="DB121" s="1897"/>
      <c r="DC121" s="1897"/>
      <c r="DD121" s="1897"/>
      <c r="DE121" s="1897"/>
      <c r="DF121" s="1901"/>
      <c r="DG121" s="1897"/>
      <c r="DH121" s="1897"/>
      <c r="DI121" s="1897">
        <f>AVERAGE(DI118,DI120)*(DI117/4)</f>
        <v>16.266750000000002</v>
      </c>
      <c r="DJ121" s="1897">
        <f>AVERAGE(DJ118,DJ120)*(DJ117/4)</f>
        <v>16.266750000000002</v>
      </c>
      <c r="DK121" s="1901"/>
      <c r="DL121" s="1897">
        <f>AVERAGE(DL118,DL120)*(DL117/4)</f>
        <v>16.266750000000002</v>
      </c>
      <c r="DM121" s="1897">
        <f>AVERAGE(DM118,DM120)*(DM117/4)</f>
        <v>16.266750000000002</v>
      </c>
      <c r="DN121" s="2214">
        <f>AVERAGE(DN118,DN120)*(DN117/4)</f>
        <v>16.266750000000002</v>
      </c>
      <c r="DO121" s="1897">
        <f>AVERAGE(DO118,DO120)*(DO117/4)</f>
        <v>16.266750000000002</v>
      </c>
      <c r="DP121" s="1901"/>
      <c r="DQ121" s="1897">
        <f>AVERAGE(DQ118,DQ120)*(DQ117/4)</f>
        <v>16.266750000000002</v>
      </c>
      <c r="DR121" s="1897">
        <f>AVERAGE(DR118,DR120)*(DR117/4)</f>
        <v>16.266750000000002</v>
      </c>
      <c r="DS121" s="1897">
        <f>AVERAGE(DS118,DS120)*(DS117/4)</f>
        <v>16.266750000000002</v>
      </c>
      <c r="DT121" s="1897">
        <f>AVERAGE(DT118,DT120)*(DT117/4)</f>
        <v>16.266750000000002</v>
      </c>
      <c r="DU121" s="1901"/>
      <c r="DV121" s="1897">
        <f>AVERAGE(DV118,DV120)*(DV117/4)</f>
        <v>16.266750000000002</v>
      </c>
      <c r="DW121" s="1897">
        <f>AVERAGE(DW118,DW120)*(DW117/4)</f>
        <v>16.266750000000002</v>
      </c>
      <c r="DX121" s="1897">
        <f>AVERAGE(DX118,DX120)*(DX117/4)</f>
        <v>16.266750000000002</v>
      </c>
      <c r="DY121" s="1897">
        <f>AVERAGE(DY118,DY120)*(DY117/4)</f>
        <v>16.266750000000002</v>
      </c>
      <c r="DZ121" s="1901"/>
      <c r="EA121" s="1897">
        <f>AVERAGE(EA118,EA120)*(EA117/4)</f>
        <v>16.266750000000002</v>
      </c>
      <c r="EB121" s="1897">
        <f>AVERAGE(EB118,EB120)*(EB117/4)</f>
        <v>16.266750000000002</v>
      </c>
      <c r="EC121" s="1897">
        <f>AVERAGE(EC118,EC120)*(EC117/4)</f>
        <v>16.266750000000002</v>
      </c>
      <c r="ED121" s="1897">
        <f>AVERAGE(ED118,ED120)*(ED117/4)</f>
        <v>16.266750000000002</v>
      </c>
      <c r="EE121" s="1901"/>
    </row>
    <row r="122" spans="2:135" s="2207" customFormat="1" ht="12" thickBot="1">
      <c r="B122" s="1569"/>
      <c r="C122" s="1569"/>
      <c r="D122" s="1569"/>
      <c r="E122" s="1569"/>
      <c r="F122" s="1569"/>
      <c r="G122" s="1569"/>
      <c r="H122" s="1569"/>
      <c r="I122" s="1569"/>
      <c r="J122" s="1569"/>
      <c r="K122" s="1569"/>
      <c r="L122" s="1569"/>
      <c r="M122" s="1569"/>
      <c r="N122" s="1569"/>
      <c r="O122" s="1569"/>
      <c r="P122" s="1569"/>
      <c r="Q122" s="1569"/>
      <c r="R122" s="1569"/>
      <c r="S122" s="1569"/>
      <c r="T122" s="1569"/>
      <c r="U122" s="1569"/>
      <c r="V122" s="1569"/>
      <c r="W122" s="1569"/>
      <c r="X122" s="1569"/>
      <c r="Y122" s="1569"/>
      <c r="Z122" s="1569"/>
      <c r="AA122" s="1569"/>
      <c r="AB122" s="1569"/>
      <c r="AC122" s="1569"/>
      <c r="AD122" s="1569"/>
      <c r="AE122" s="1569"/>
      <c r="AF122" s="1569"/>
      <c r="AG122" s="1569"/>
      <c r="AH122" s="1569"/>
      <c r="AI122" s="1569"/>
      <c r="AJ122" s="1569"/>
      <c r="AK122" s="1569"/>
      <c r="AL122" s="1569"/>
      <c r="AM122" s="1569"/>
      <c r="AN122" s="1569"/>
      <c r="AO122" s="1569"/>
      <c r="AP122" s="1569"/>
      <c r="AQ122" s="1569"/>
      <c r="AR122" s="1569"/>
      <c r="AS122" s="1569"/>
      <c r="AT122" s="1569"/>
      <c r="AU122" s="1569"/>
      <c r="AV122" s="1569"/>
      <c r="AW122" s="1569"/>
      <c r="AX122" s="1569"/>
      <c r="AY122" s="1569"/>
      <c r="AZ122" s="1569"/>
      <c r="BA122" s="1569"/>
      <c r="BB122" s="1569"/>
      <c r="BC122" s="1569"/>
      <c r="BD122" s="1569"/>
      <c r="BE122" s="1569"/>
      <c r="BF122" s="1569"/>
      <c r="BG122" s="1569"/>
      <c r="BH122" s="1569"/>
      <c r="BI122" s="1569"/>
      <c r="BJ122" s="1569"/>
      <c r="BK122" s="1569"/>
      <c r="BL122" s="1569"/>
      <c r="BM122" s="1569"/>
      <c r="BN122" s="1569"/>
      <c r="BO122" s="1569"/>
      <c r="BP122" s="1569"/>
      <c r="BQ122" s="1569"/>
      <c r="BR122" s="1569"/>
      <c r="BS122" s="1569"/>
      <c r="BT122" s="1569"/>
      <c r="BU122" s="1569"/>
      <c r="BV122" s="1569"/>
      <c r="BW122" s="1569"/>
      <c r="BX122" s="1569"/>
      <c r="BY122" s="1569"/>
      <c r="BZ122" s="1569"/>
      <c r="CA122" s="1569"/>
      <c r="CB122" s="1569"/>
      <c r="CC122" s="1569"/>
      <c r="CD122" s="1569"/>
      <c r="CE122" s="1569"/>
      <c r="CF122" s="1569"/>
      <c r="CG122" s="1569"/>
      <c r="CH122" s="1569"/>
      <c r="CI122" s="1569"/>
      <c r="CJ122" s="1569"/>
      <c r="CK122" s="1569"/>
      <c r="CL122" s="1569"/>
      <c r="CM122" s="1569"/>
      <c r="CN122" s="1569"/>
      <c r="CO122" s="1569"/>
      <c r="CP122" s="1569"/>
      <c r="CQ122" s="1569"/>
      <c r="CR122" s="1569"/>
      <c r="CS122" s="1569"/>
      <c r="CT122" s="1569"/>
      <c r="CU122" s="1569"/>
      <c r="CV122" s="1569"/>
      <c r="CW122" s="1569"/>
      <c r="CX122" s="1569"/>
      <c r="CY122" s="1569"/>
      <c r="CZ122" s="1569"/>
      <c r="DA122" s="1569"/>
      <c r="DB122" s="1569"/>
      <c r="DC122" s="1569"/>
      <c r="DD122" s="1569"/>
      <c r="DE122" s="1569"/>
      <c r="DF122" s="1569"/>
      <c r="DG122" s="1569"/>
      <c r="DH122" s="1569"/>
      <c r="DI122" s="1569"/>
      <c r="DJ122" s="1569"/>
      <c r="DK122" s="1569"/>
      <c r="DL122" s="1569"/>
      <c r="DM122" s="1569"/>
      <c r="DN122" s="2230"/>
      <c r="DO122" s="1569"/>
      <c r="DP122" s="1569"/>
      <c r="DQ122" s="1569"/>
      <c r="DR122" s="1569"/>
      <c r="DS122" s="1569"/>
      <c r="DT122" s="1569"/>
      <c r="DU122" s="1569"/>
      <c r="DV122" s="1569"/>
      <c r="DW122" s="1569"/>
      <c r="DX122" s="1569"/>
      <c r="DY122" s="1569"/>
      <c r="DZ122" s="1569"/>
      <c r="EA122" s="1569"/>
      <c r="EB122" s="1569"/>
      <c r="EC122" s="1569"/>
      <c r="ED122" s="1569"/>
      <c r="EE122" s="1569"/>
    </row>
    <row r="123" spans="2:135" ht="12" thickBot="1">
      <c r="B123" s="754" t="s">
        <v>509</v>
      </c>
      <c r="C123" s="684"/>
      <c r="D123" s="684"/>
      <c r="E123" s="684"/>
      <c r="F123" s="684"/>
      <c r="G123" s="684"/>
      <c r="H123" s="684"/>
      <c r="I123" s="684"/>
      <c r="J123" s="684"/>
      <c r="K123" s="684"/>
      <c r="L123" s="684"/>
      <c r="M123" s="684"/>
      <c r="N123" s="684"/>
      <c r="O123" s="684"/>
      <c r="P123" s="684"/>
      <c r="Q123" s="684"/>
      <c r="R123" s="684"/>
      <c r="S123" s="684"/>
      <c r="T123" s="684"/>
      <c r="U123" s="684"/>
      <c r="V123" s="684"/>
      <c r="W123" s="684"/>
      <c r="X123" s="684"/>
      <c r="Y123" s="684"/>
      <c r="Z123" s="684"/>
      <c r="AA123" s="684"/>
      <c r="AB123" s="684"/>
      <c r="AC123" s="684"/>
      <c r="AD123" s="684"/>
      <c r="AE123" s="684"/>
      <c r="AF123" s="684"/>
      <c r="AG123" s="684"/>
      <c r="AH123" s="684"/>
      <c r="AI123" s="684"/>
      <c r="AJ123" s="684"/>
      <c r="AK123" s="684"/>
      <c r="AL123" s="684"/>
      <c r="AM123" s="684"/>
      <c r="AN123" s="684"/>
      <c r="AO123" s="684"/>
      <c r="AP123" s="684"/>
      <c r="AQ123" s="684"/>
      <c r="AR123" s="684"/>
      <c r="AS123" s="684"/>
      <c r="AT123" s="684"/>
      <c r="AU123" s="684"/>
      <c r="AV123" s="684"/>
      <c r="AW123" s="684"/>
      <c r="AX123" s="684"/>
      <c r="AY123" s="684"/>
      <c r="AZ123" s="684"/>
      <c r="BA123" s="684"/>
      <c r="BB123" s="684"/>
      <c r="BC123" s="684"/>
      <c r="BD123" s="684"/>
      <c r="BE123" s="684"/>
      <c r="BF123" s="684"/>
      <c r="BG123" s="684"/>
      <c r="BH123" s="684"/>
      <c r="BI123" s="684"/>
      <c r="BJ123" s="684"/>
      <c r="BK123" s="684"/>
      <c r="BL123" s="684"/>
      <c r="BM123" s="684"/>
      <c r="BN123" s="684"/>
      <c r="BO123" s="684"/>
      <c r="BP123" s="684"/>
      <c r="BQ123" s="684"/>
      <c r="BR123" s="684"/>
      <c r="BS123" s="684"/>
      <c r="BT123" s="684"/>
      <c r="BU123" s="684"/>
      <c r="BV123" s="684"/>
      <c r="BW123" s="684"/>
      <c r="BX123" s="684"/>
      <c r="BY123" s="684"/>
      <c r="BZ123" s="684"/>
      <c r="CA123" s="684"/>
      <c r="CB123" s="684"/>
      <c r="CC123" s="684"/>
      <c r="CD123" s="684"/>
      <c r="CE123" s="684"/>
      <c r="CF123" s="684"/>
      <c r="CG123" s="684"/>
      <c r="CH123" s="684"/>
      <c r="CI123" s="684"/>
      <c r="CJ123" s="684"/>
      <c r="CK123" s="684"/>
      <c r="CL123" s="684"/>
      <c r="CM123" s="684"/>
      <c r="CN123" s="684"/>
      <c r="CO123" s="684"/>
      <c r="CP123" s="684"/>
      <c r="CQ123" s="684"/>
      <c r="CR123" s="684"/>
      <c r="CS123" s="684"/>
      <c r="CT123" s="684"/>
      <c r="CU123" s="684"/>
      <c r="CV123" s="684"/>
      <c r="CW123" s="684"/>
      <c r="CX123" s="684"/>
      <c r="CY123" s="684"/>
      <c r="CZ123" s="684"/>
      <c r="DA123" s="684"/>
      <c r="DB123" s="684"/>
      <c r="DC123" s="684"/>
      <c r="DD123" s="684"/>
      <c r="DE123" s="684"/>
      <c r="DF123" s="684"/>
      <c r="DG123" s="684"/>
      <c r="DH123" s="684"/>
      <c r="DI123" s="684"/>
      <c r="DJ123" s="684"/>
      <c r="DK123" s="684"/>
      <c r="DL123" s="684"/>
      <c r="DM123" s="684"/>
      <c r="DN123" s="2232"/>
      <c r="DO123" s="684"/>
      <c r="DP123" s="1894"/>
      <c r="DQ123" s="684"/>
      <c r="DR123" s="684"/>
      <c r="DS123" s="684"/>
      <c r="DT123" s="684"/>
      <c r="DU123" s="1894"/>
      <c r="DV123" s="684"/>
      <c r="DW123" s="684"/>
      <c r="DX123" s="684"/>
      <c r="DY123" s="684"/>
      <c r="DZ123" s="1894"/>
      <c r="EA123" s="684"/>
      <c r="EB123" s="684"/>
      <c r="EC123" s="684"/>
      <c r="ED123" s="684"/>
      <c r="EE123" s="1894"/>
    </row>
    <row r="124" spans="2:135">
      <c r="B124" s="1902" t="s">
        <v>498</v>
      </c>
      <c r="C124" s="1903"/>
      <c r="D124" s="1903"/>
      <c r="E124" s="1903"/>
      <c r="F124" s="1903"/>
      <c r="G124" s="1903"/>
      <c r="H124" s="1903"/>
      <c r="I124" s="1903"/>
      <c r="J124" s="1903"/>
      <c r="K124" s="1903"/>
      <c r="L124" s="1903"/>
      <c r="M124" s="1903"/>
      <c r="N124" s="1903"/>
      <c r="O124" s="1903"/>
      <c r="P124" s="1903"/>
      <c r="Q124" s="1903"/>
      <c r="R124" s="1903"/>
      <c r="S124" s="1903"/>
      <c r="T124" s="1903"/>
      <c r="U124" s="1903"/>
      <c r="V124" s="1903"/>
      <c r="W124" s="1903"/>
      <c r="X124" s="1903"/>
      <c r="Y124" s="1903"/>
      <c r="Z124" s="1903"/>
      <c r="AA124" s="1903"/>
      <c r="AB124" s="1903"/>
      <c r="AC124" s="1903"/>
      <c r="AD124" s="1903"/>
      <c r="AE124" s="1903"/>
      <c r="AF124" s="1903"/>
      <c r="AG124" s="1903"/>
      <c r="AH124" s="1903"/>
      <c r="AI124" s="1903"/>
      <c r="AJ124" s="1903"/>
      <c r="AK124" s="1903"/>
      <c r="AL124" s="1903"/>
      <c r="AM124" s="1903"/>
      <c r="AN124" s="1903"/>
      <c r="AO124" s="1903"/>
      <c r="AP124" s="1903"/>
      <c r="AQ124" s="1903"/>
      <c r="AR124" s="1903"/>
      <c r="AS124" s="1903"/>
      <c r="AT124" s="1903"/>
      <c r="AU124" s="1903"/>
      <c r="AV124" s="1903"/>
      <c r="AW124" s="1903"/>
      <c r="AX124" s="1903"/>
      <c r="AY124" s="1903"/>
      <c r="AZ124" s="1903"/>
      <c r="BA124" s="1903"/>
      <c r="BB124" s="1903"/>
      <c r="BC124" s="1903"/>
      <c r="BD124" s="1903"/>
      <c r="BE124" s="1903"/>
      <c r="BF124" s="1903"/>
      <c r="BG124" s="1903"/>
      <c r="BH124" s="1903"/>
      <c r="BI124" s="1903"/>
      <c r="BJ124" s="1903"/>
      <c r="BK124" s="1903"/>
      <c r="BL124" s="1903"/>
      <c r="BM124" s="1903"/>
      <c r="BN124" s="1903"/>
      <c r="BO124" s="1903"/>
      <c r="BP124" s="1903"/>
      <c r="BQ124" s="1903"/>
      <c r="BR124" s="1903"/>
      <c r="BS124" s="1903"/>
      <c r="BT124" s="1903"/>
      <c r="BU124" s="1903"/>
      <c r="BV124" s="1903"/>
      <c r="BW124" s="1903"/>
      <c r="BX124" s="1903"/>
      <c r="BY124" s="1903"/>
      <c r="BZ124" s="1903"/>
      <c r="CA124" s="1903"/>
      <c r="CB124" s="1903"/>
      <c r="CC124" s="1903"/>
      <c r="CD124" s="1903"/>
      <c r="CE124" s="1903"/>
      <c r="CF124" s="1903"/>
      <c r="CG124" s="1903"/>
      <c r="CH124" s="1903"/>
      <c r="CI124" s="1903"/>
      <c r="CJ124" s="1903"/>
      <c r="CK124" s="1903"/>
      <c r="CL124" s="1903"/>
      <c r="CM124" s="1903"/>
      <c r="CN124" s="1903"/>
      <c r="CO124" s="1903"/>
      <c r="CP124" s="1903"/>
      <c r="CQ124" s="1903"/>
      <c r="CR124" s="1903"/>
      <c r="CS124" s="1903"/>
      <c r="CT124" s="1903"/>
      <c r="CU124" s="1903"/>
      <c r="CV124" s="1903"/>
      <c r="CW124" s="1904">
        <v>2.1250000000000002E-2</v>
      </c>
      <c r="CX124" s="1904">
        <v>2.1250000000000002E-2</v>
      </c>
      <c r="CY124" s="1904">
        <v>2.1250000000000002E-2</v>
      </c>
      <c r="CZ124" s="1904">
        <v>2.1250000000000002E-2</v>
      </c>
      <c r="DA124" s="1941"/>
      <c r="DB124" s="1904">
        <v>2.1250000000000002E-2</v>
      </c>
      <c r="DC124" s="1904">
        <v>2.1250000000000002E-2</v>
      </c>
      <c r="DD124" s="1904">
        <v>2.1250000000000002E-2</v>
      </c>
      <c r="DE124" s="1903">
        <f>DD124</f>
        <v>2.1250000000000002E-2</v>
      </c>
      <c r="DF124" s="1899"/>
      <c r="DG124" s="1903">
        <f>DE124</f>
        <v>2.1250000000000002E-2</v>
      </c>
      <c r="DH124" s="1903">
        <f>DG124</f>
        <v>2.1250000000000002E-2</v>
      </c>
      <c r="DI124" s="1903">
        <f>DH124</f>
        <v>2.1250000000000002E-2</v>
      </c>
      <c r="DJ124" s="1903">
        <f>DI124</f>
        <v>2.1250000000000002E-2</v>
      </c>
      <c r="DK124" s="1899"/>
      <c r="DL124" s="1903">
        <f>DJ124</f>
        <v>2.1250000000000002E-2</v>
      </c>
      <c r="DM124" s="1903">
        <f>DL124</f>
        <v>2.1250000000000002E-2</v>
      </c>
      <c r="DN124" s="2215">
        <f>DM124</f>
        <v>2.1250000000000002E-2</v>
      </c>
      <c r="DO124" s="1903">
        <f>DN124</f>
        <v>2.1250000000000002E-2</v>
      </c>
      <c r="DP124" s="1899"/>
      <c r="DQ124" s="1903">
        <f>DO124</f>
        <v>2.1250000000000002E-2</v>
      </c>
      <c r="DR124" s="1903">
        <f>DQ124</f>
        <v>2.1250000000000002E-2</v>
      </c>
      <c r="DS124" s="1903">
        <f>DR124</f>
        <v>2.1250000000000002E-2</v>
      </c>
      <c r="DT124" s="1903">
        <f>DS124</f>
        <v>2.1250000000000002E-2</v>
      </c>
      <c r="DU124" s="1899"/>
      <c r="DV124" s="1903">
        <f>DT124</f>
        <v>2.1250000000000002E-2</v>
      </c>
      <c r="DW124" s="1903">
        <f>DV124</f>
        <v>2.1250000000000002E-2</v>
      </c>
      <c r="DX124" s="1903">
        <f>DW124</f>
        <v>2.1250000000000002E-2</v>
      </c>
      <c r="DY124" s="1903">
        <f>DX124</f>
        <v>2.1250000000000002E-2</v>
      </c>
      <c r="DZ124" s="1899"/>
      <c r="EA124" s="1903">
        <f>DY124</f>
        <v>2.1250000000000002E-2</v>
      </c>
      <c r="EB124" s="1903">
        <f>EA124</f>
        <v>2.1250000000000002E-2</v>
      </c>
      <c r="EC124" s="1903">
        <f>EB124</f>
        <v>2.1250000000000002E-2</v>
      </c>
      <c r="ED124" s="1903">
        <f>EC124</f>
        <v>2.1250000000000002E-2</v>
      </c>
      <c r="EE124" s="1899"/>
    </row>
    <row r="125" spans="2:135">
      <c r="B125" s="1895" t="s">
        <v>483</v>
      </c>
      <c r="C125" s="1569"/>
      <c r="D125" s="1569"/>
      <c r="E125" s="1569"/>
      <c r="F125" s="1569"/>
      <c r="G125" s="1569"/>
      <c r="H125" s="1569"/>
      <c r="I125" s="1569"/>
      <c r="J125" s="1569"/>
      <c r="K125" s="1569"/>
      <c r="L125" s="1569"/>
      <c r="M125" s="1569"/>
      <c r="N125" s="1569"/>
      <c r="O125" s="1569"/>
      <c r="P125" s="1569"/>
      <c r="Q125" s="1569"/>
      <c r="R125" s="1569"/>
      <c r="S125" s="1569"/>
      <c r="T125" s="1569"/>
      <c r="U125" s="1569"/>
      <c r="V125" s="1569"/>
      <c r="W125" s="1569"/>
      <c r="X125" s="1569"/>
      <c r="Y125" s="1569"/>
      <c r="Z125" s="1569"/>
      <c r="AA125" s="1569"/>
      <c r="AB125" s="1569"/>
      <c r="AC125" s="1569"/>
      <c r="AD125" s="1569"/>
      <c r="AE125" s="1569"/>
      <c r="AF125" s="1569"/>
      <c r="AG125" s="1569"/>
      <c r="AH125" s="1569"/>
      <c r="AI125" s="1569"/>
      <c r="AJ125" s="1569"/>
      <c r="AK125" s="1569"/>
      <c r="AL125" s="1569"/>
      <c r="AM125" s="1569"/>
      <c r="AN125" s="1569"/>
      <c r="AO125" s="1569"/>
      <c r="AP125" s="1569"/>
      <c r="AQ125" s="1569"/>
      <c r="AR125" s="1569"/>
      <c r="AS125" s="1569"/>
      <c r="AT125" s="1569"/>
      <c r="AU125" s="1569"/>
      <c r="AV125" s="1569"/>
      <c r="AW125" s="1569"/>
      <c r="AX125" s="1569"/>
      <c r="AY125" s="1569"/>
      <c r="AZ125" s="1569"/>
      <c r="BA125" s="1569"/>
      <c r="BB125" s="1569"/>
      <c r="BC125" s="1569"/>
      <c r="BD125" s="1569"/>
      <c r="BE125" s="1569"/>
      <c r="BF125" s="1569"/>
      <c r="BG125" s="1569"/>
      <c r="BH125" s="1569"/>
      <c r="BI125" s="1569"/>
      <c r="BJ125" s="1569"/>
      <c r="BK125" s="1569"/>
      <c r="BL125" s="1569"/>
      <c r="BM125" s="1569"/>
      <c r="BN125" s="1569"/>
      <c r="BO125" s="1569"/>
      <c r="BP125" s="1569"/>
      <c r="BQ125" s="1569"/>
      <c r="BR125" s="1569"/>
      <c r="BS125" s="1569"/>
      <c r="BT125" s="1569"/>
      <c r="BU125" s="1569"/>
      <c r="BV125" s="1569"/>
      <c r="BW125" s="1569"/>
      <c r="BX125" s="1569"/>
      <c r="BY125" s="1569"/>
      <c r="BZ125" s="1569"/>
      <c r="CA125" s="1569"/>
      <c r="CB125" s="1569"/>
      <c r="CC125" s="1569"/>
      <c r="CD125" s="1569"/>
      <c r="CE125" s="1569"/>
      <c r="CF125" s="1569"/>
      <c r="CG125" s="1569"/>
      <c r="CH125" s="1569"/>
      <c r="CI125" s="1569"/>
      <c r="CJ125" s="1569"/>
      <c r="CK125" s="1569"/>
      <c r="CL125" s="1569"/>
      <c r="CM125" s="1569"/>
      <c r="CN125" s="1569"/>
      <c r="CO125" s="1569"/>
      <c r="CP125" s="1569"/>
      <c r="CQ125" s="1569"/>
      <c r="CR125" s="1569"/>
      <c r="CS125" s="1569"/>
      <c r="CT125" s="1569"/>
      <c r="CU125" s="1569"/>
      <c r="CV125" s="1569"/>
      <c r="CW125" s="1569"/>
      <c r="CX125" s="1569"/>
      <c r="CY125" s="1569"/>
      <c r="CZ125" s="1569"/>
      <c r="DA125" s="1900"/>
      <c r="DB125" s="1569"/>
      <c r="DC125" s="1569"/>
      <c r="DD125" s="1569"/>
      <c r="DE125" s="1569">
        <f>DD127</f>
        <v>817</v>
      </c>
      <c r="DF125" s="1900"/>
      <c r="DG125" s="1569">
        <f>DE127</f>
        <v>817</v>
      </c>
      <c r="DH125" s="1569">
        <f>DG127</f>
        <v>817</v>
      </c>
      <c r="DI125" s="1569">
        <f>DH127</f>
        <v>817</v>
      </c>
      <c r="DJ125" s="1569">
        <f>DI127</f>
        <v>817</v>
      </c>
      <c r="DK125" s="1900"/>
      <c r="DL125" s="1569">
        <f>DJ127</f>
        <v>817</v>
      </c>
      <c r="DM125" s="1569">
        <f>DL127</f>
        <v>817</v>
      </c>
      <c r="DN125" s="38">
        <f>DM127</f>
        <v>817</v>
      </c>
      <c r="DO125" s="1569">
        <f>DN127</f>
        <v>817</v>
      </c>
      <c r="DP125" s="1900"/>
      <c r="DQ125" s="1569">
        <f>DO127</f>
        <v>817</v>
      </c>
      <c r="DR125" s="1569">
        <f>DQ127</f>
        <v>817</v>
      </c>
      <c r="DS125" s="1569">
        <f>DR127</f>
        <v>817</v>
      </c>
      <c r="DT125" s="1569">
        <f>DS127</f>
        <v>817</v>
      </c>
      <c r="DU125" s="1900"/>
      <c r="DV125" s="1569">
        <f>DT127</f>
        <v>817</v>
      </c>
      <c r="DW125" s="1569">
        <f>DV127</f>
        <v>817</v>
      </c>
      <c r="DX125" s="1569">
        <f>DW127</f>
        <v>817</v>
      </c>
      <c r="DY125" s="1569">
        <f>DX127</f>
        <v>817</v>
      </c>
      <c r="DZ125" s="1900"/>
      <c r="EA125" s="1569">
        <f>DY127</f>
        <v>817</v>
      </c>
      <c r="EB125" s="1569">
        <f>EA127</f>
        <v>817</v>
      </c>
      <c r="EC125" s="1569">
        <f>EB127</f>
        <v>817</v>
      </c>
      <c r="ED125" s="1569">
        <f>EC127</f>
        <v>817</v>
      </c>
      <c r="EE125" s="1900"/>
    </row>
    <row r="126" spans="2:135">
      <c r="B126" s="1895" t="s">
        <v>484</v>
      </c>
      <c r="C126" s="1569"/>
      <c r="D126" s="1569"/>
      <c r="E126" s="1569"/>
      <c r="F126" s="1569"/>
      <c r="G126" s="1569"/>
      <c r="H126" s="1569"/>
      <c r="I126" s="1569"/>
      <c r="J126" s="1569"/>
      <c r="K126" s="1569"/>
      <c r="L126" s="1569"/>
      <c r="M126" s="1569"/>
      <c r="N126" s="1569"/>
      <c r="O126" s="1569"/>
      <c r="P126" s="1569"/>
      <c r="Q126" s="1569"/>
      <c r="R126" s="1569"/>
      <c r="S126" s="1569"/>
      <c r="T126" s="1569"/>
      <c r="U126" s="1569"/>
      <c r="V126" s="1569"/>
      <c r="W126" s="1569"/>
      <c r="X126" s="1569"/>
      <c r="Y126" s="1569"/>
      <c r="Z126" s="1569"/>
      <c r="AA126" s="1569"/>
      <c r="AB126" s="1569"/>
      <c r="AC126" s="1569"/>
      <c r="AD126" s="1569"/>
      <c r="AE126" s="1569"/>
      <c r="AF126" s="1569"/>
      <c r="AG126" s="1569"/>
      <c r="AH126" s="1569"/>
      <c r="AI126" s="1569"/>
      <c r="AJ126" s="1569"/>
      <c r="AK126" s="1569"/>
      <c r="AL126" s="1569"/>
      <c r="AM126" s="1569"/>
      <c r="AN126" s="1569"/>
      <c r="AO126" s="1569"/>
      <c r="AP126" s="1569"/>
      <c r="AQ126" s="1569"/>
      <c r="AR126" s="1569"/>
      <c r="AS126" s="1569"/>
      <c r="AT126" s="1569"/>
      <c r="AU126" s="1569"/>
      <c r="AV126" s="1569"/>
      <c r="AW126" s="1569"/>
      <c r="AX126" s="1569"/>
      <c r="AY126" s="1569"/>
      <c r="AZ126" s="1569"/>
      <c r="BA126" s="1569"/>
      <c r="BB126" s="1569"/>
      <c r="BC126" s="1569"/>
      <c r="BD126" s="1569"/>
      <c r="BE126" s="1569"/>
      <c r="BF126" s="1569"/>
      <c r="BG126" s="1569"/>
      <c r="BH126" s="1569"/>
      <c r="BI126" s="1569"/>
      <c r="BJ126" s="1569"/>
      <c r="BK126" s="1569"/>
      <c r="BL126" s="1569"/>
      <c r="BM126" s="1569"/>
      <c r="BN126" s="1569"/>
      <c r="BO126" s="1569"/>
      <c r="BP126" s="1569"/>
      <c r="BQ126" s="1569"/>
      <c r="BR126" s="1569"/>
      <c r="BS126" s="1569"/>
      <c r="BT126" s="1569"/>
      <c r="BU126" s="1569"/>
      <c r="BV126" s="1569"/>
      <c r="BW126" s="1569"/>
      <c r="BX126" s="1569"/>
      <c r="BY126" s="1569"/>
      <c r="BZ126" s="1569"/>
      <c r="CA126" s="1569"/>
      <c r="CB126" s="1569"/>
      <c r="CC126" s="1569"/>
      <c r="CD126" s="1569"/>
      <c r="CE126" s="1569"/>
      <c r="CF126" s="1569"/>
      <c r="CG126" s="1569"/>
      <c r="CH126" s="1569"/>
      <c r="CI126" s="1569"/>
      <c r="CJ126" s="1569"/>
      <c r="CK126" s="1569"/>
      <c r="CL126" s="1569"/>
      <c r="CM126" s="1569"/>
      <c r="CN126" s="1569"/>
      <c r="CO126" s="1569"/>
      <c r="CP126" s="1569"/>
      <c r="CQ126" s="1569"/>
      <c r="CR126" s="1569"/>
      <c r="CS126" s="1569"/>
      <c r="CT126" s="1569"/>
      <c r="CU126" s="1569"/>
      <c r="CV126" s="1569"/>
      <c r="CW126" s="1569"/>
      <c r="CX126" s="1569"/>
      <c r="CY126" s="1569"/>
      <c r="CZ126" s="1569"/>
      <c r="DA126" s="1900"/>
      <c r="DB126" s="1569"/>
      <c r="DC126" s="1569"/>
      <c r="DD126" s="1569"/>
      <c r="DE126" s="1569"/>
      <c r="DF126" s="1900"/>
      <c r="DG126" s="1569"/>
      <c r="DH126" s="1569"/>
      <c r="DI126" s="1569"/>
      <c r="DJ126" s="1569"/>
      <c r="DK126" s="1900"/>
      <c r="DL126" s="1569"/>
      <c r="DM126" s="1569"/>
      <c r="DN126" s="38"/>
      <c r="DO126" s="1569"/>
      <c r="DP126" s="1900"/>
      <c r="DQ126" s="1569"/>
      <c r="DR126" s="1569"/>
      <c r="DS126" s="1569"/>
      <c r="DT126" s="1569"/>
      <c r="DU126" s="1900"/>
      <c r="DV126" s="1569"/>
      <c r="DW126" s="1569"/>
      <c r="DX126" s="1569"/>
      <c r="DY126" s="1569"/>
      <c r="DZ126" s="1900"/>
      <c r="EA126" s="1569"/>
      <c r="EB126" s="1569"/>
      <c r="EC126" s="1569"/>
      <c r="ED126" s="1569"/>
      <c r="EE126" s="1900"/>
    </row>
    <row r="127" spans="2:135">
      <c r="B127" s="1895" t="s">
        <v>485</v>
      </c>
      <c r="C127" s="1569"/>
      <c r="D127" s="1569"/>
      <c r="E127" s="1569"/>
      <c r="F127" s="1569"/>
      <c r="G127" s="1569"/>
      <c r="H127" s="1569"/>
      <c r="I127" s="1569"/>
      <c r="J127" s="1569"/>
      <c r="K127" s="1569"/>
      <c r="L127" s="1569"/>
      <c r="M127" s="1569"/>
      <c r="N127" s="1569"/>
      <c r="O127" s="1569"/>
      <c r="P127" s="1569"/>
      <c r="Q127" s="1569"/>
      <c r="R127" s="1569"/>
      <c r="S127" s="1569"/>
      <c r="T127" s="1569"/>
      <c r="U127" s="1569"/>
      <c r="V127" s="1569"/>
      <c r="W127" s="1569"/>
      <c r="X127" s="1569"/>
      <c r="Y127" s="1569"/>
      <c r="Z127" s="1569"/>
      <c r="AA127" s="1569"/>
      <c r="AB127" s="1569"/>
      <c r="AC127" s="1569"/>
      <c r="AD127" s="1569"/>
      <c r="AE127" s="1569"/>
      <c r="AF127" s="1569"/>
      <c r="AG127" s="1569"/>
      <c r="AH127" s="1569"/>
      <c r="AI127" s="1569"/>
      <c r="AJ127" s="1569"/>
      <c r="AK127" s="1569"/>
      <c r="AL127" s="1569"/>
      <c r="AM127" s="1569"/>
      <c r="AN127" s="1569"/>
      <c r="AO127" s="1569"/>
      <c r="AP127" s="1569"/>
      <c r="AQ127" s="1569"/>
      <c r="AR127" s="1569"/>
      <c r="AS127" s="1569"/>
      <c r="AT127" s="1569"/>
      <c r="AU127" s="1569"/>
      <c r="AV127" s="1569"/>
      <c r="AW127" s="1569"/>
      <c r="AX127" s="1569"/>
      <c r="AY127" s="1569"/>
      <c r="AZ127" s="1569"/>
      <c r="BA127" s="1569"/>
      <c r="BB127" s="1569"/>
      <c r="BC127" s="1569"/>
      <c r="BD127" s="1569"/>
      <c r="BE127" s="1569"/>
      <c r="BF127" s="1569"/>
      <c r="BG127" s="1569"/>
      <c r="BH127" s="1569"/>
      <c r="BI127" s="1569"/>
      <c r="BJ127" s="1569"/>
      <c r="BK127" s="1569"/>
      <c r="BL127" s="1569"/>
      <c r="BM127" s="1569"/>
      <c r="BN127" s="1569"/>
      <c r="BO127" s="1569"/>
      <c r="BP127" s="1569"/>
      <c r="BQ127" s="1569"/>
      <c r="BR127" s="1569"/>
      <c r="BS127" s="1569"/>
      <c r="BT127" s="1569"/>
      <c r="BU127" s="1569"/>
      <c r="BV127" s="1569"/>
      <c r="BW127" s="1569"/>
      <c r="BX127" s="1569"/>
      <c r="BY127" s="1569"/>
      <c r="BZ127" s="1569"/>
      <c r="CA127" s="1569"/>
      <c r="CB127" s="1569"/>
      <c r="CC127" s="1569"/>
      <c r="CD127" s="1569"/>
      <c r="CE127" s="1569"/>
      <c r="CF127" s="1569"/>
      <c r="CG127" s="1569"/>
      <c r="CH127" s="1569"/>
      <c r="CI127" s="1569"/>
      <c r="CJ127" s="1569"/>
      <c r="CK127" s="1569"/>
      <c r="CL127" s="1569"/>
      <c r="CM127" s="1569"/>
      <c r="CN127" s="1569"/>
      <c r="CO127" s="1569"/>
      <c r="CP127" s="1569"/>
      <c r="CQ127" s="1569"/>
      <c r="CR127" s="1569"/>
      <c r="CS127" s="1569"/>
      <c r="CT127" s="1569"/>
      <c r="CU127" s="1569"/>
      <c r="CV127" s="1569"/>
      <c r="CW127" s="1569"/>
      <c r="CX127" s="1569"/>
      <c r="CY127" s="1569"/>
      <c r="CZ127" s="1569"/>
      <c r="DA127" s="1900"/>
      <c r="DB127" s="1569"/>
      <c r="DC127" s="1569"/>
      <c r="DD127" s="1569">
        <v>817</v>
      </c>
      <c r="DE127" s="1569">
        <f>SUM(DE125:DE126)</f>
        <v>817</v>
      </c>
      <c r="DF127" s="1900"/>
      <c r="DG127" s="1569">
        <f>SUM(DG125:DG126)</f>
        <v>817</v>
      </c>
      <c r="DH127" s="1569">
        <f>SUM(DH125:DH126)</f>
        <v>817</v>
      </c>
      <c r="DI127" s="1569">
        <f>SUM(DI125:DI126)</f>
        <v>817</v>
      </c>
      <c r="DJ127" s="1569">
        <f>SUM(DJ125:DJ126)</f>
        <v>817</v>
      </c>
      <c r="DK127" s="1900"/>
      <c r="DL127" s="1569">
        <f>SUM(DL125:DL126)</f>
        <v>817</v>
      </c>
      <c r="DM127" s="1569">
        <f>SUM(DM125:DM126)</f>
        <v>817</v>
      </c>
      <c r="DN127" s="38">
        <f>SUM(DN125:DN126)</f>
        <v>817</v>
      </c>
      <c r="DO127" s="1569">
        <f>SUM(DO125:DO126)</f>
        <v>817</v>
      </c>
      <c r="DP127" s="1900"/>
      <c r="DQ127" s="1569">
        <f>SUM(DQ125:DQ126)</f>
        <v>817</v>
      </c>
      <c r="DR127" s="1569">
        <f>SUM(DR125:DR126)</f>
        <v>817</v>
      </c>
      <c r="DS127" s="1569">
        <f>SUM(DS125:DS126)</f>
        <v>817</v>
      </c>
      <c r="DT127" s="1569">
        <f>SUM(DT125:DT126)</f>
        <v>817</v>
      </c>
      <c r="DU127" s="1900"/>
      <c r="DV127" s="1569">
        <f>SUM(DV125:DV126)</f>
        <v>817</v>
      </c>
      <c r="DW127" s="1569">
        <f>SUM(DW125:DW126)</f>
        <v>817</v>
      </c>
      <c r="DX127" s="1569">
        <f>SUM(DX125:DX126)</f>
        <v>817</v>
      </c>
      <c r="DY127" s="1569">
        <f>SUM(DY125:DY126)</f>
        <v>817</v>
      </c>
      <c r="DZ127" s="1900"/>
      <c r="EA127" s="1569">
        <f>SUM(EA125:EA126)</f>
        <v>817</v>
      </c>
      <c r="EB127" s="1569">
        <f>SUM(EB125:EB126)</f>
        <v>817</v>
      </c>
      <c r="EC127" s="1569">
        <f>SUM(EC125:EC126)</f>
        <v>817</v>
      </c>
      <c r="ED127" s="1569">
        <f>SUM(ED125:ED126)</f>
        <v>817</v>
      </c>
      <c r="EE127" s="1900"/>
    </row>
    <row r="128" spans="2:135" ht="12" thickBot="1">
      <c r="B128" s="1896" t="s">
        <v>400</v>
      </c>
      <c r="C128" s="1897"/>
      <c r="D128" s="1897"/>
      <c r="E128" s="1897"/>
      <c r="F128" s="1897"/>
      <c r="G128" s="1897"/>
      <c r="H128" s="1897"/>
      <c r="I128" s="1897"/>
      <c r="J128" s="1897"/>
      <c r="K128" s="1897"/>
      <c r="L128" s="1897"/>
      <c r="M128" s="1897"/>
      <c r="N128" s="1897"/>
      <c r="O128" s="1897"/>
      <c r="P128" s="1897"/>
      <c r="Q128" s="1897"/>
      <c r="R128" s="1897"/>
      <c r="S128" s="1897"/>
      <c r="T128" s="1897"/>
      <c r="U128" s="1897"/>
      <c r="V128" s="1897"/>
      <c r="W128" s="1897"/>
      <c r="X128" s="1897"/>
      <c r="Y128" s="1897"/>
      <c r="Z128" s="1897"/>
      <c r="AA128" s="1897"/>
      <c r="AB128" s="1897"/>
      <c r="AC128" s="1897"/>
      <c r="AD128" s="1897"/>
      <c r="AE128" s="1897"/>
      <c r="AF128" s="1897"/>
      <c r="AG128" s="1897"/>
      <c r="AH128" s="1897"/>
      <c r="AI128" s="1897"/>
      <c r="AJ128" s="1897"/>
      <c r="AK128" s="1897"/>
      <c r="AL128" s="1897"/>
      <c r="AM128" s="1897"/>
      <c r="AN128" s="1897"/>
      <c r="AO128" s="1897"/>
      <c r="AP128" s="1897"/>
      <c r="AQ128" s="1897"/>
      <c r="AR128" s="1897"/>
      <c r="AS128" s="1897"/>
      <c r="AT128" s="1897"/>
      <c r="AU128" s="1897"/>
      <c r="AV128" s="1897"/>
      <c r="AW128" s="1897"/>
      <c r="AX128" s="1897"/>
      <c r="AY128" s="1897"/>
      <c r="AZ128" s="1897"/>
      <c r="BA128" s="1897"/>
      <c r="BB128" s="1897"/>
      <c r="BC128" s="1897"/>
      <c r="BD128" s="1897"/>
      <c r="BE128" s="1897"/>
      <c r="BF128" s="1897"/>
      <c r="BG128" s="1897"/>
      <c r="BH128" s="1897"/>
      <c r="BI128" s="1897"/>
      <c r="BJ128" s="1897"/>
      <c r="BK128" s="1897"/>
      <c r="BL128" s="1897"/>
      <c r="BM128" s="1897"/>
      <c r="BN128" s="1897"/>
      <c r="BO128" s="1897"/>
      <c r="BP128" s="1897"/>
      <c r="BQ128" s="1897"/>
      <c r="BR128" s="1897"/>
      <c r="BS128" s="1897"/>
      <c r="BT128" s="1897"/>
      <c r="BU128" s="1897"/>
      <c r="BV128" s="1897"/>
      <c r="BW128" s="1897"/>
      <c r="BX128" s="1897"/>
      <c r="BY128" s="1897"/>
      <c r="BZ128" s="1897"/>
      <c r="CA128" s="1897"/>
      <c r="CB128" s="1897"/>
      <c r="CC128" s="1897"/>
      <c r="CD128" s="1897"/>
      <c r="CE128" s="1897"/>
      <c r="CF128" s="1897"/>
      <c r="CG128" s="1897"/>
      <c r="CH128" s="1897"/>
      <c r="CI128" s="1897"/>
      <c r="CJ128" s="1897"/>
      <c r="CK128" s="1897"/>
      <c r="CL128" s="1897"/>
      <c r="CM128" s="1897"/>
      <c r="CN128" s="1897"/>
      <c r="CO128" s="1897"/>
      <c r="CP128" s="1897"/>
      <c r="CQ128" s="1897"/>
      <c r="CR128" s="1897"/>
      <c r="CS128" s="1897"/>
      <c r="CT128" s="1897"/>
      <c r="CU128" s="1897"/>
      <c r="CV128" s="1897"/>
      <c r="CW128" s="1897"/>
      <c r="CX128" s="1897"/>
      <c r="CY128" s="1897"/>
      <c r="CZ128" s="1897"/>
      <c r="DA128" s="1901"/>
      <c r="DB128" s="1897"/>
      <c r="DC128" s="1897"/>
      <c r="DD128" s="1897"/>
      <c r="DE128" s="1897">
        <f>AVERAGE(DE125,DE127)*(DE124/4)</f>
        <v>4.3403125000000005</v>
      </c>
      <c r="DF128" s="1901"/>
      <c r="DG128" s="1897">
        <f>AVERAGE(DG125,DG127)*(DG124/4)</f>
        <v>4.3403125000000005</v>
      </c>
      <c r="DH128" s="1897">
        <f>AVERAGE(DH125,DH127)*(DH124/4)</f>
        <v>4.3403125000000005</v>
      </c>
      <c r="DI128" s="1897">
        <f>AVERAGE(DI125,DI127)*(DI124/4)</f>
        <v>4.3403125000000005</v>
      </c>
      <c r="DJ128" s="1897">
        <f>AVERAGE(DJ125,DJ127)*(DJ124/4)</f>
        <v>4.3403125000000005</v>
      </c>
      <c r="DK128" s="1901"/>
      <c r="DL128" s="1897">
        <f>AVERAGE(DL125,DL127)*(DL124/4)</f>
        <v>4.3403125000000005</v>
      </c>
      <c r="DM128" s="1897">
        <f>AVERAGE(DM125,DM127)*(DM124/4)</f>
        <v>4.3403125000000005</v>
      </c>
      <c r="DN128" s="2214">
        <f>AVERAGE(DN125,DN127)*(DN124/4)</f>
        <v>4.3403125000000005</v>
      </c>
      <c r="DO128" s="1897">
        <f>AVERAGE(DO125,DO127)*(DO124/4)</f>
        <v>4.3403125000000005</v>
      </c>
      <c r="DP128" s="1901"/>
      <c r="DQ128" s="1897">
        <f>AVERAGE(DQ125,DQ127)*(DQ124/4)</f>
        <v>4.3403125000000005</v>
      </c>
      <c r="DR128" s="1897">
        <f>AVERAGE(DR125,DR127)*(DR124/4)</f>
        <v>4.3403125000000005</v>
      </c>
      <c r="DS128" s="1897">
        <f>AVERAGE(DS125,DS127)*(DS124/4)</f>
        <v>4.3403125000000005</v>
      </c>
      <c r="DT128" s="1897">
        <f>AVERAGE(DT125,DT127)*(DT124/4)</f>
        <v>4.3403125000000005</v>
      </c>
      <c r="DU128" s="1901"/>
      <c r="DV128" s="1897">
        <f>AVERAGE(DV125,DV127)*(DV124/4)</f>
        <v>4.3403125000000005</v>
      </c>
      <c r="DW128" s="1897">
        <f>AVERAGE(DW125,DW127)*(DW124/4)</f>
        <v>4.3403125000000005</v>
      </c>
      <c r="DX128" s="1897">
        <f>AVERAGE(DX125,DX127)*(DX124/4)</f>
        <v>4.3403125000000005</v>
      </c>
      <c r="DY128" s="1897">
        <f>AVERAGE(DY125,DY127)*(DY124/4)</f>
        <v>4.3403125000000005</v>
      </c>
      <c r="DZ128" s="1901"/>
      <c r="EA128" s="1897">
        <f>AVERAGE(EA125,EA127)*(EA124/4)</f>
        <v>4.3403125000000005</v>
      </c>
      <c r="EB128" s="1897">
        <f>AVERAGE(EB125,EB127)*(EB124/4)</f>
        <v>4.3403125000000005</v>
      </c>
      <c r="EC128" s="1897">
        <f>AVERAGE(EC125,EC127)*(EC124/4)</f>
        <v>4.3403125000000005</v>
      </c>
      <c r="ED128" s="1897">
        <f>AVERAGE(ED125,ED127)*(ED124/4)</f>
        <v>4.3403125000000005</v>
      </c>
      <c r="EE128" s="1901"/>
    </row>
    <row r="129" spans="2:135" ht="12" thickBot="1">
      <c r="DN129" s="2231"/>
    </row>
    <row r="130" spans="2:135" ht="12" thickBot="1">
      <c r="B130" s="754" t="s">
        <v>510</v>
      </c>
      <c r="C130" s="684"/>
      <c r="D130" s="684"/>
      <c r="E130" s="684"/>
      <c r="F130" s="684"/>
      <c r="G130" s="684"/>
      <c r="H130" s="684"/>
      <c r="I130" s="684"/>
      <c r="J130" s="684"/>
      <c r="K130" s="684"/>
      <c r="L130" s="684"/>
      <c r="M130" s="684"/>
      <c r="N130" s="684"/>
      <c r="O130" s="684"/>
      <c r="P130" s="684"/>
      <c r="Q130" s="684"/>
      <c r="R130" s="684"/>
      <c r="S130" s="684"/>
      <c r="T130" s="684"/>
      <c r="U130" s="684"/>
      <c r="V130" s="684"/>
      <c r="W130" s="684"/>
      <c r="X130" s="684"/>
      <c r="Y130" s="684"/>
      <c r="Z130" s="684"/>
      <c r="AA130" s="684"/>
      <c r="AB130" s="684"/>
      <c r="AC130" s="684"/>
      <c r="AD130" s="684"/>
      <c r="AE130" s="684"/>
      <c r="AF130" s="684"/>
      <c r="AG130" s="684"/>
      <c r="AH130" s="684"/>
      <c r="AI130" s="684"/>
      <c r="AJ130" s="684"/>
      <c r="AK130" s="684"/>
      <c r="AL130" s="684"/>
      <c r="AM130" s="684"/>
      <c r="AN130" s="684"/>
      <c r="AO130" s="684"/>
      <c r="AP130" s="684"/>
      <c r="AQ130" s="684"/>
      <c r="AR130" s="684"/>
      <c r="AS130" s="684"/>
      <c r="AT130" s="684"/>
      <c r="AU130" s="684"/>
      <c r="AV130" s="684"/>
      <c r="AW130" s="684"/>
      <c r="AX130" s="684"/>
      <c r="AY130" s="684"/>
      <c r="AZ130" s="684"/>
      <c r="BA130" s="684"/>
      <c r="BB130" s="684"/>
      <c r="BC130" s="684"/>
      <c r="BD130" s="684"/>
      <c r="BE130" s="684"/>
      <c r="BF130" s="684"/>
      <c r="BG130" s="684"/>
      <c r="BH130" s="684"/>
      <c r="BI130" s="684"/>
      <c r="BJ130" s="684"/>
      <c r="BK130" s="684"/>
      <c r="BL130" s="684"/>
      <c r="BM130" s="684"/>
      <c r="BN130" s="684"/>
      <c r="BO130" s="684"/>
      <c r="BP130" s="684"/>
      <c r="BQ130" s="684"/>
      <c r="BR130" s="684"/>
      <c r="BS130" s="684"/>
      <c r="BT130" s="684"/>
      <c r="BU130" s="684"/>
      <c r="BV130" s="684"/>
      <c r="BW130" s="684"/>
      <c r="BX130" s="684"/>
      <c r="BY130" s="684"/>
      <c r="BZ130" s="684"/>
      <c r="CA130" s="684"/>
      <c r="CB130" s="684"/>
      <c r="CC130" s="684"/>
      <c r="CD130" s="684"/>
      <c r="CE130" s="684"/>
      <c r="CF130" s="684"/>
      <c r="CG130" s="684"/>
      <c r="CH130" s="684"/>
      <c r="CI130" s="684"/>
      <c r="CJ130" s="684"/>
      <c r="CK130" s="684"/>
      <c r="CL130" s="684"/>
      <c r="CM130" s="684"/>
      <c r="CN130" s="684"/>
      <c r="CO130" s="684"/>
      <c r="CP130" s="684"/>
      <c r="CQ130" s="684"/>
      <c r="CR130" s="684"/>
      <c r="CS130" s="684"/>
      <c r="CT130" s="684"/>
      <c r="CU130" s="684"/>
      <c r="CV130" s="684"/>
      <c r="CW130" s="684"/>
      <c r="CX130" s="684"/>
      <c r="CY130" s="684"/>
      <c r="CZ130" s="684"/>
      <c r="DA130" s="684"/>
      <c r="DB130" s="684"/>
      <c r="DC130" s="684"/>
      <c r="DD130" s="684"/>
      <c r="DE130" s="684"/>
      <c r="DF130" s="684"/>
      <c r="DG130" s="684"/>
      <c r="DH130" s="684"/>
      <c r="DI130" s="684"/>
      <c r="DJ130" s="684"/>
      <c r="DK130" s="684"/>
      <c r="DL130" s="684"/>
      <c r="DM130" s="684"/>
      <c r="DN130" s="2232"/>
      <c r="DO130" s="684"/>
      <c r="DP130" s="1894"/>
      <c r="DQ130" s="684"/>
      <c r="DR130" s="684"/>
      <c r="DS130" s="684"/>
      <c r="DT130" s="684"/>
      <c r="DU130" s="1894"/>
      <c r="DV130" s="684"/>
      <c r="DW130" s="684"/>
      <c r="DX130" s="684"/>
      <c r="DY130" s="684"/>
      <c r="DZ130" s="1894"/>
      <c r="EA130" s="684"/>
      <c r="EB130" s="684"/>
      <c r="EC130" s="684"/>
      <c r="ED130" s="684"/>
      <c r="EE130" s="1894"/>
    </row>
    <row r="131" spans="2:135">
      <c r="B131" s="1902" t="s">
        <v>498</v>
      </c>
      <c r="C131" s="1903"/>
      <c r="D131" s="1903"/>
      <c r="E131" s="1903"/>
      <c r="F131" s="1903"/>
      <c r="G131" s="1903"/>
      <c r="H131" s="1903"/>
      <c r="I131" s="1903"/>
      <c r="J131" s="1903"/>
      <c r="K131" s="1903"/>
      <c r="L131" s="1903"/>
      <c r="M131" s="1903"/>
      <c r="N131" s="1903"/>
      <c r="O131" s="1903"/>
      <c r="P131" s="1903"/>
      <c r="Q131" s="1903"/>
      <c r="R131" s="1903"/>
      <c r="S131" s="1903"/>
      <c r="T131" s="1903"/>
      <c r="U131" s="1903"/>
      <c r="V131" s="1903"/>
      <c r="W131" s="1903"/>
      <c r="X131" s="1903"/>
      <c r="Y131" s="1903"/>
      <c r="Z131" s="1903"/>
      <c r="AA131" s="1903"/>
      <c r="AB131" s="1903"/>
      <c r="AC131" s="1903"/>
      <c r="AD131" s="1903"/>
      <c r="AE131" s="1903"/>
      <c r="AF131" s="1903"/>
      <c r="AG131" s="1903"/>
      <c r="AH131" s="1903"/>
      <c r="AI131" s="1903"/>
      <c r="AJ131" s="1903"/>
      <c r="AK131" s="1903"/>
      <c r="AL131" s="1903"/>
      <c r="AM131" s="1903"/>
      <c r="AN131" s="1903"/>
      <c r="AO131" s="1903"/>
      <c r="AP131" s="1903"/>
      <c r="AQ131" s="1903"/>
      <c r="AR131" s="1903"/>
      <c r="AS131" s="1903"/>
      <c r="AT131" s="1903"/>
      <c r="AU131" s="1903"/>
      <c r="AV131" s="1903"/>
      <c r="AW131" s="1903"/>
      <c r="AX131" s="1903"/>
      <c r="AY131" s="1903"/>
      <c r="AZ131" s="1903"/>
      <c r="BA131" s="1903"/>
      <c r="BB131" s="1903"/>
      <c r="BC131" s="1903"/>
      <c r="BD131" s="1903"/>
      <c r="BE131" s="1903"/>
      <c r="BF131" s="1903"/>
      <c r="BG131" s="1903"/>
      <c r="BH131" s="1903"/>
      <c r="BI131" s="1903"/>
      <c r="BJ131" s="1903"/>
      <c r="BK131" s="1903"/>
      <c r="BL131" s="1903"/>
      <c r="BM131" s="1903"/>
      <c r="BN131" s="1903"/>
      <c r="BO131" s="1903"/>
      <c r="BP131" s="1903"/>
      <c r="BQ131" s="1903"/>
      <c r="BR131" s="1903"/>
      <c r="BS131" s="1903"/>
      <c r="BT131" s="1903"/>
      <c r="BU131" s="1903"/>
      <c r="BV131" s="1903"/>
      <c r="BW131" s="1903"/>
      <c r="BX131" s="1903"/>
      <c r="BY131" s="1903"/>
      <c r="BZ131" s="1903"/>
      <c r="CA131" s="1903"/>
      <c r="CB131" s="1903"/>
      <c r="CC131" s="1903"/>
      <c r="CD131" s="1903"/>
      <c r="CE131" s="1903"/>
      <c r="CF131" s="1903"/>
      <c r="CG131" s="1903"/>
      <c r="CH131" s="1903"/>
      <c r="CI131" s="1903"/>
      <c r="CJ131" s="1903"/>
      <c r="CK131" s="1903"/>
      <c r="CL131" s="1903"/>
      <c r="CM131" s="1903"/>
      <c r="CN131" s="1903"/>
      <c r="CO131" s="1903"/>
      <c r="CP131" s="1903"/>
      <c r="CQ131" s="1903"/>
      <c r="CR131" s="1903"/>
      <c r="CS131" s="1903"/>
      <c r="CT131" s="1903"/>
      <c r="CU131" s="1903"/>
      <c r="CV131" s="1903"/>
      <c r="CW131" s="1904">
        <v>4.4999999999999998E-2</v>
      </c>
      <c r="CX131" s="1904">
        <v>4.4999999999999998E-2</v>
      </c>
      <c r="CY131" s="1904">
        <v>4.4999999999999998E-2</v>
      </c>
      <c r="CZ131" s="1904">
        <v>4.4999999999999998E-2</v>
      </c>
      <c r="DA131" s="1941"/>
      <c r="DB131" s="1904">
        <v>4.4999999999999998E-2</v>
      </c>
      <c r="DC131" s="1904">
        <v>4.4999999999999998E-2</v>
      </c>
      <c r="DD131" s="1904">
        <v>4.4999999999999998E-2</v>
      </c>
      <c r="DE131" s="1903">
        <f>DD131</f>
        <v>4.4999999999999998E-2</v>
      </c>
      <c r="DF131" s="1899"/>
      <c r="DG131" s="1903">
        <f>DE131</f>
        <v>4.4999999999999998E-2</v>
      </c>
      <c r="DH131" s="1903">
        <f>DG131</f>
        <v>4.4999999999999998E-2</v>
      </c>
      <c r="DI131" s="1903">
        <f>DH131</f>
        <v>4.4999999999999998E-2</v>
      </c>
      <c r="DJ131" s="1903">
        <f>DI131</f>
        <v>4.4999999999999998E-2</v>
      </c>
      <c r="DK131" s="1899"/>
      <c r="DL131" s="1903">
        <f>DJ131</f>
        <v>4.4999999999999998E-2</v>
      </c>
      <c r="DM131" s="1903">
        <f>DL131</f>
        <v>4.4999999999999998E-2</v>
      </c>
      <c r="DN131" s="2215">
        <f>DM131</f>
        <v>4.4999999999999998E-2</v>
      </c>
      <c r="DO131" s="1903">
        <f>DN131</f>
        <v>4.4999999999999998E-2</v>
      </c>
      <c r="DP131" s="1899"/>
      <c r="DQ131" s="1903">
        <f>DO131</f>
        <v>4.4999999999999998E-2</v>
      </c>
      <c r="DR131" s="1903">
        <f>DQ131</f>
        <v>4.4999999999999998E-2</v>
      </c>
      <c r="DS131" s="1903">
        <f>DR131</f>
        <v>4.4999999999999998E-2</v>
      </c>
      <c r="DT131" s="1903">
        <f>DS131</f>
        <v>4.4999999999999998E-2</v>
      </c>
      <c r="DU131" s="1899"/>
      <c r="DV131" s="1903">
        <f>DT131</f>
        <v>4.4999999999999998E-2</v>
      </c>
      <c r="DW131" s="1903">
        <f>DV131</f>
        <v>4.4999999999999998E-2</v>
      </c>
      <c r="DX131" s="1903">
        <f>DW131</f>
        <v>4.4999999999999998E-2</v>
      </c>
      <c r="DY131" s="1903">
        <f>DX131</f>
        <v>4.4999999999999998E-2</v>
      </c>
      <c r="DZ131" s="1899"/>
      <c r="EA131" s="1903">
        <f>DY131</f>
        <v>4.4999999999999998E-2</v>
      </c>
      <c r="EB131" s="1903">
        <f>EA131</f>
        <v>4.4999999999999998E-2</v>
      </c>
      <c r="EC131" s="1903">
        <f>EB131</f>
        <v>4.4999999999999998E-2</v>
      </c>
      <c r="ED131" s="1903">
        <f>EC131</f>
        <v>4.4999999999999998E-2</v>
      </c>
      <c r="EE131" s="1899"/>
    </row>
    <row r="132" spans="2:135">
      <c r="B132" s="1895" t="s">
        <v>483</v>
      </c>
      <c r="C132" s="1569"/>
      <c r="D132" s="1569"/>
      <c r="E132" s="1569"/>
      <c r="F132" s="1569"/>
      <c r="G132" s="1569"/>
      <c r="H132" s="1569"/>
      <c r="I132" s="1569"/>
      <c r="J132" s="1569"/>
      <c r="K132" s="1569"/>
      <c r="L132" s="1569"/>
      <c r="M132" s="1569"/>
      <c r="N132" s="1569"/>
      <c r="O132" s="1569"/>
      <c r="P132" s="1569"/>
      <c r="Q132" s="1569"/>
      <c r="R132" s="1569"/>
      <c r="S132" s="1569"/>
      <c r="T132" s="1569"/>
      <c r="U132" s="1569"/>
      <c r="V132" s="1569"/>
      <c r="W132" s="1569"/>
      <c r="X132" s="1569"/>
      <c r="Y132" s="1569"/>
      <c r="Z132" s="1569"/>
      <c r="AA132" s="1569"/>
      <c r="AB132" s="1569"/>
      <c r="AC132" s="1569"/>
      <c r="AD132" s="1569"/>
      <c r="AE132" s="1569"/>
      <c r="AF132" s="1569"/>
      <c r="AG132" s="1569"/>
      <c r="AH132" s="1569"/>
      <c r="AI132" s="1569"/>
      <c r="AJ132" s="1569"/>
      <c r="AK132" s="1569"/>
      <c r="AL132" s="1569"/>
      <c r="AM132" s="1569"/>
      <c r="AN132" s="1569"/>
      <c r="AO132" s="1569"/>
      <c r="AP132" s="1569"/>
      <c r="AQ132" s="1569"/>
      <c r="AR132" s="1569"/>
      <c r="AS132" s="1569"/>
      <c r="AT132" s="1569"/>
      <c r="AU132" s="1569"/>
      <c r="AV132" s="1569"/>
      <c r="AW132" s="1569"/>
      <c r="AX132" s="1569"/>
      <c r="AY132" s="1569"/>
      <c r="AZ132" s="1569"/>
      <c r="BA132" s="1569"/>
      <c r="BB132" s="1569"/>
      <c r="BC132" s="1569"/>
      <c r="BD132" s="1569"/>
      <c r="BE132" s="1569"/>
      <c r="BF132" s="1569"/>
      <c r="BG132" s="1569"/>
      <c r="BH132" s="1569"/>
      <c r="BI132" s="1569"/>
      <c r="BJ132" s="1569"/>
      <c r="BK132" s="1569"/>
      <c r="BL132" s="1569"/>
      <c r="BM132" s="1569"/>
      <c r="BN132" s="1569"/>
      <c r="BO132" s="1569"/>
      <c r="BP132" s="1569"/>
      <c r="BQ132" s="1569"/>
      <c r="BR132" s="1569"/>
      <c r="BS132" s="1569"/>
      <c r="BT132" s="1569"/>
      <c r="BU132" s="1569"/>
      <c r="BV132" s="1569"/>
      <c r="BW132" s="1569"/>
      <c r="BX132" s="1569"/>
      <c r="BY132" s="1569"/>
      <c r="BZ132" s="1569"/>
      <c r="CA132" s="1569"/>
      <c r="CB132" s="1569"/>
      <c r="CC132" s="1569"/>
      <c r="CD132" s="1569"/>
      <c r="CE132" s="1569"/>
      <c r="CF132" s="1569"/>
      <c r="CG132" s="1569"/>
      <c r="CH132" s="1569"/>
      <c r="CI132" s="1569"/>
      <c r="CJ132" s="1569"/>
      <c r="CK132" s="1569"/>
      <c r="CL132" s="1569"/>
      <c r="CM132" s="1569"/>
      <c r="CN132" s="1569"/>
      <c r="CO132" s="1569"/>
      <c r="CP132" s="1569"/>
      <c r="CQ132" s="1569"/>
      <c r="CR132" s="1569"/>
      <c r="CS132" s="1569"/>
      <c r="CT132" s="1569"/>
      <c r="CU132" s="1569"/>
      <c r="CV132" s="1569"/>
      <c r="CW132" s="1569"/>
      <c r="CX132" s="1569"/>
      <c r="CY132" s="1569"/>
      <c r="CZ132" s="1569"/>
      <c r="DA132" s="1900"/>
      <c r="DB132" s="1569"/>
      <c r="DC132" s="1569"/>
      <c r="DD132" s="1569"/>
      <c r="DE132" s="1569">
        <f>DD134</f>
        <v>494</v>
      </c>
      <c r="DF132" s="1900"/>
      <c r="DG132" s="1569">
        <f>DE134</f>
        <v>494</v>
      </c>
      <c r="DH132" s="1569">
        <f>DG134</f>
        <v>494</v>
      </c>
      <c r="DI132" s="1569">
        <f>DH134</f>
        <v>494</v>
      </c>
      <c r="DJ132" s="1569">
        <f>DI134</f>
        <v>494</v>
      </c>
      <c r="DK132" s="1900"/>
      <c r="DL132" s="1569">
        <f>DJ134</f>
        <v>494</v>
      </c>
      <c r="DM132" s="1569">
        <f>DL134</f>
        <v>494</v>
      </c>
      <c r="DN132" s="38">
        <f>DM134</f>
        <v>494</v>
      </c>
      <c r="DO132" s="1569">
        <f>DN134</f>
        <v>494</v>
      </c>
      <c r="DP132" s="1900"/>
      <c r="DQ132" s="1569">
        <f>DO134</f>
        <v>494</v>
      </c>
      <c r="DR132" s="1569">
        <f>DQ134</f>
        <v>494</v>
      </c>
      <c r="DS132" s="1569">
        <f>DR134</f>
        <v>494</v>
      </c>
      <c r="DT132" s="1569">
        <f>DS134</f>
        <v>494</v>
      </c>
      <c r="DU132" s="1900"/>
      <c r="DV132" s="1569">
        <f>DT134</f>
        <v>494</v>
      </c>
      <c r="DW132" s="1569">
        <f>DV134</f>
        <v>494</v>
      </c>
      <c r="DX132" s="1569">
        <f>DW134</f>
        <v>494</v>
      </c>
      <c r="DY132" s="1569">
        <f>DX134</f>
        <v>494</v>
      </c>
      <c r="DZ132" s="1900"/>
      <c r="EA132" s="1569">
        <f>DY134</f>
        <v>494</v>
      </c>
      <c r="EB132" s="1569">
        <f>EA134</f>
        <v>494</v>
      </c>
      <c r="EC132" s="1569">
        <f>EB134</f>
        <v>494</v>
      </c>
      <c r="ED132" s="1569">
        <f>EC134</f>
        <v>494</v>
      </c>
      <c r="EE132" s="1900"/>
    </row>
    <row r="133" spans="2:135">
      <c r="B133" s="1895" t="s">
        <v>484</v>
      </c>
      <c r="C133" s="1569"/>
      <c r="D133" s="1569"/>
      <c r="E133" s="1569"/>
      <c r="F133" s="1569"/>
      <c r="G133" s="1569"/>
      <c r="H133" s="1569"/>
      <c r="I133" s="1569"/>
      <c r="J133" s="1569"/>
      <c r="K133" s="1569"/>
      <c r="L133" s="1569"/>
      <c r="M133" s="1569"/>
      <c r="N133" s="1569"/>
      <c r="O133" s="1569"/>
      <c r="P133" s="1569"/>
      <c r="Q133" s="1569"/>
      <c r="R133" s="1569"/>
      <c r="S133" s="1569"/>
      <c r="T133" s="1569"/>
      <c r="U133" s="1569"/>
      <c r="V133" s="1569"/>
      <c r="W133" s="1569"/>
      <c r="X133" s="1569"/>
      <c r="Y133" s="1569"/>
      <c r="Z133" s="1569"/>
      <c r="AA133" s="1569"/>
      <c r="AB133" s="1569"/>
      <c r="AC133" s="1569"/>
      <c r="AD133" s="1569"/>
      <c r="AE133" s="1569"/>
      <c r="AF133" s="1569"/>
      <c r="AG133" s="1569"/>
      <c r="AH133" s="1569"/>
      <c r="AI133" s="1569"/>
      <c r="AJ133" s="1569"/>
      <c r="AK133" s="1569"/>
      <c r="AL133" s="1569"/>
      <c r="AM133" s="1569"/>
      <c r="AN133" s="1569"/>
      <c r="AO133" s="1569"/>
      <c r="AP133" s="1569"/>
      <c r="AQ133" s="1569"/>
      <c r="AR133" s="1569"/>
      <c r="AS133" s="1569"/>
      <c r="AT133" s="1569"/>
      <c r="AU133" s="1569"/>
      <c r="AV133" s="1569"/>
      <c r="AW133" s="1569"/>
      <c r="AX133" s="1569"/>
      <c r="AY133" s="1569"/>
      <c r="AZ133" s="1569"/>
      <c r="BA133" s="1569"/>
      <c r="BB133" s="1569"/>
      <c r="BC133" s="1569"/>
      <c r="BD133" s="1569"/>
      <c r="BE133" s="1569"/>
      <c r="BF133" s="1569"/>
      <c r="BG133" s="1569"/>
      <c r="BH133" s="1569"/>
      <c r="BI133" s="1569"/>
      <c r="BJ133" s="1569"/>
      <c r="BK133" s="1569"/>
      <c r="BL133" s="1569"/>
      <c r="BM133" s="1569"/>
      <c r="BN133" s="1569"/>
      <c r="BO133" s="1569"/>
      <c r="BP133" s="1569"/>
      <c r="BQ133" s="1569"/>
      <c r="BR133" s="1569"/>
      <c r="BS133" s="1569"/>
      <c r="BT133" s="1569"/>
      <c r="BU133" s="1569"/>
      <c r="BV133" s="1569"/>
      <c r="BW133" s="1569"/>
      <c r="BX133" s="1569"/>
      <c r="BY133" s="1569"/>
      <c r="BZ133" s="1569"/>
      <c r="CA133" s="1569"/>
      <c r="CB133" s="1569"/>
      <c r="CC133" s="1569"/>
      <c r="CD133" s="1569"/>
      <c r="CE133" s="1569"/>
      <c r="CF133" s="1569"/>
      <c r="CG133" s="1569"/>
      <c r="CH133" s="1569"/>
      <c r="CI133" s="1569"/>
      <c r="CJ133" s="1569"/>
      <c r="CK133" s="1569"/>
      <c r="CL133" s="1569"/>
      <c r="CM133" s="1569"/>
      <c r="CN133" s="1569"/>
      <c r="CO133" s="1569"/>
      <c r="CP133" s="1569"/>
      <c r="CQ133" s="1569"/>
      <c r="CR133" s="1569"/>
      <c r="CS133" s="1569"/>
      <c r="CT133" s="1569"/>
      <c r="CU133" s="1569"/>
      <c r="CV133" s="1569"/>
      <c r="CW133" s="1569"/>
      <c r="CX133" s="1569"/>
      <c r="CY133" s="1569"/>
      <c r="CZ133" s="1569"/>
      <c r="DA133" s="1900"/>
      <c r="DB133" s="1569"/>
      <c r="DC133" s="1569"/>
      <c r="DD133" s="1569"/>
      <c r="DE133" s="1569"/>
      <c r="DF133" s="1900"/>
      <c r="DG133" s="1569"/>
      <c r="DH133" s="1569"/>
      <c r="DI133" s="1569"/>
      <c r="DJ133" s="1569"/>
      <c r="DK133" s="1900"/>
      <c r="DL133" s="1569">
        <v>0</v>
      </c>
      <c r="DM133" s="1569"/>
      <c r="DN133" s="38"/>
      <c r="DO133" s="1569"/>
      <c r="DP133" s="1900"/>
      <c r="DQ133" s="1569"/>
      <c r="DR133" s="1569"/>
      <c r="DS133" s="1569"/>
      <c r="DT133" s="1569"/>
      <c r="DU133" s="1900"/>
      <c r="DV133" s="1569"/>
      <c r="DW133" s="1569"/>
      <c r="DX133" s="1569"/>
      <c r="DY133" s="1569"/>
      <c r="DZ133" s="1900"/>
      <c r="EA133" s="1569"/>
      <c r="EB133" s="1569"/>
      <c r="EC133" s="1569"/>
      <c r="ED133" s="1569"/>
      <c r="EE133" s="1900"/>
    </row>
    <row r="134" spans="2:135">
      <c r="B134" s="1895" t="s">
        <v>485</v>
      </c>
      <c r="C134" s="1569"/>
      <c r="D134" s="1569"/>
      <c r="E134" s="1569"/>
      <c r="F134" s="1569"/>
      <c r="G134" s="1569"/>
      <c r="H134" s="1569"/>
      <c r="I134" s="1569"/>
      <c r="J134" s="1569"/>
      <c r="K134" s="1569"/>
      <c r="L134" s="1569"/>
      <c r="M134" s="1569"/>
      <c r="N134" s="1569"/>
      <c r="O134" s="1569"/>
      <c r="P134" s="1569"/>
      <c r="Q134" s="1569"/>
      <c r="R134" s="1569"/>
      <c r="S134" s="1569"/>
      <c r="T134" s="1569"/>
      <c r="U134" s="1569"/>
      <c r="V134" s="1569"/>
      <c r="W134" s="1569"/>
      <c r="X134" s="1569"/>
      <c r="Y134" s="1569"/>
      <c r="Z134" s="1569"/>
      <c r="AA134" s="1569"/>
      <c r="AB134" s="1569"/>
      <c r="AC134" s="1569"/>
      <c r="AD134" s="1569"/>
      <c r="AE134" s="1569"/>
      <c r="AF134" s="1569"/>
      <c r="AG134" s="1569"/>
      <c r="AH134" s="1569"/>
      <c r="AI134" s="1569"/>
      <c r="AJ134" s="1569"/>
      <c r="AK134" s="1569"/>
      <c r="AL134" s="1569"/>
      <c r="AM134" s="1569"/>
      <c r="AN134" s="1569"/>
      <c r="AO134" s="1569"/>
      <c r="AP134" s="1569"/>
      <c r="AQ134" s="1569"/>
      <c r="AR134" s="1569"/>
      <c r="AS134" s="1569"/>
      <c r="AT134" s="1569"/>
      <c r="AU134" s="1569"/>
      <c r="AV134" s="1569"/>
      <c r="AW134" s="1569"/>
      <c r="AX134" s="1569"/>
      <c r="AY134" s="1569"/>
      <c r="AZ134" s="1569"/>
      <c r="BA134" s="1569"/>
      <c r="BB134" s="1569"/>
      <c r="BC134" s="1569"/>
      <c r="BD134" s="1569"/>
      <c r="BE134" s="1569"/>
      <c r="BF134" s="1569"/>
      <c r="BG134" s="1569"/>
      <c r="BH134" s="1569"/>
      <c r="BI134" s="1569"/>
      <c r="BJ134" s="1569"/>
      <c r="BK134" s="1569"/>
      <c r="BL134" s="1569"/>
      <c r="BM134" s="1569"/>
      <c r="BN134" s="1569"/>
      <c r="BO134" s="1569"/>
      <c r="BP134" s="1569"/>
      <c r="BQ134" s="1569"/>
      <c r="BR134" s="1569"/>
      <c r="BS134" s="1569"/>
      <c r="BT134" s="1569"/>
      <c r="BU134" s="1569"/>
      <c r="BV134" s="1569"/>
      <c r="BW134" s="1569"/>
      <c r="BX134" s="1569"/>
      <c r="BY134" s="1569"/>
      <c r="BZ134" s="1569"/>
      <c r="CA134" s="1569"/>
      <c r="CB134" s="1569"/>
      <c r="CC134" s="1569"/>
      <c r="CD134" s="1569"/>
      <c r="CE134" s="1569"/>
      <c r="CF134" s="1569"/>
      <c r="CG134" s="1569"/>
      <c r="CH134" s="1569"/>
      <c r="CI134" s="1569"/>
      <c r="CJ134" s="1569"/>
      <c r="CK134" s="1569"/>
      <c r="CL134" s="1569"/>
      <c r="CM134" s="1569"/>
      <c r="CN134" s="1569"/>
      <c r="CO134" s="1569"/>
      <c r="CP134" s="1569"/>
      <c r="CQ134" s="1569"/>
      <c r="CR134" s="1569"/>
      <c r="CS134" s="1569"/>
      <c r="CT134" s="1569"/>
      <c r="CU134" s="1569"/>
      <c r="CV134" s="1569"/>
      <c r="CW134" s="1569"/>
      <c r="CX134" s="1569"/>
      <c r="CY134" s="1569"/>
      <c r="CZ134" s="1569"/>
      <c r="DA134" s="1900"/>
      <c r="DB134" s="1569"/>
      <c r="DC134" s="1569"/>
      <c r="DD134" s="1569">
        <v>494</v>
      </c>
      <c r="DE134" s="1569">
        <f>SUM(DE132:DE133)</f>
        <v>494</v>
      </c>
      <c r="DF134" s="1900"/>
      <c r="DG134" s="1569">
        <f>SUM(DG132:DG133)</f>
        <v>494</v>
      </c>
      <c r="DH134" s="1569">
        <f>SUM(DH132:DH133)</f>
        <v>494</v>
      </c>
      <c r="DI134" s="1569">
        <f>SUM(DI132:DI133)</f>
        <v>494</v>
      </c>
      <c r="DJ134" s="1569">
        <f>SUM(DJ132:DJ133)</f>
        <v>494</v>
      </c>
      <c r="DK134" s="1900"/>
      <c r="DL134" s="1569">
        <f>SUM(DL132:DL133)</f>
        <v>494</v>
      </c>
      <c r="DM134" s="1569">
        <f>SUM(DM132:DM133)</f>
        <v>494</v>
      </c>
      <c r="DN134" s="38">
        <f>SUM(DN132:DN133)</f>
        <v>494</v>
      </c>
      <c r="DO134" s="1569">
        <f>SUM(DO132:DO133)</f>
        <v>494</v>
      </c>
      <c r="DP134" s="1900"/>
      <c r="DQ134" s="1569">
        <f>SUM(DQ132:DQ133)</f>
        <v>494</v>
      </c>
      <c r="DR134" s="1569">
        <f>SUM(DR132:DR133)</f>
        <v>494</v>
      </c>
      <c r="DS134" s="1569">
        <f>SUM(DS132:DS133)</f>
        <v>494</v>
      </c>
      <c r="DT134" s="1569">
        <f>SUM(DT132:DT133)</f>
        <v>494</v>
      </c>
      <c r="DU134" s="1900"/>
      <c r="DV134" s="1569">
        <f>SUM(DV132:DV133)</f>
        <v>494</v>
      </c>
      <c r="DW134" s="1569">
        <f>SUM(DW132:DW133)</f>
        <v>494</v>
      </c>
      <c r="DX134" s="1569">
        <f>SUM(DX132:DX133)</f>
        <v>494</v>
      </c>
      <c r="DY134" s="1569">
        <f>SUM(DY132:DY133)</f>
        <v>494</v>
      </c>
      <c r="DZ134" s="1900"/>
      <c r="EA134" s="1569">
        <f>SUM(EA132:EA133)</f>
        <v>494</v>
      </c>
      <c r="EB134" s="1569">
        <f>SUM(EB132:EB133)</f>
        <v>494</v>
      </c>
      <c r="EC134" s="1569">
        <f>SUM(EC132:EC133)</f>
        <v>494</v>
      </c>
      <c r="ED134" s="1569">
        <f>SUM(ED132:ED133)</f>
        <v>494</v>
      </c>
      <c r="EE134" s="1900"/>
    </row>
    <row r="135" spans="2:135" ht="12" thickBot="1">
      <c r="B135" s="1896" t="s">
        <v>400</v>
      </c>
      <c r="C135" s="1897"/>
      <c r="D135" s="1897"/>
      <c r="E135" s="1897"/>
      <c r="F135" s="1897"/>
      <c r="G135" s="1897"/>
      <c r="H135" s="1897"/>
      <c r="I135" s="1897"/>
      <c r="J135" s="1897"/>
      <c r="K135" s="1897"/>
      <c r="L135" s="1897"/>
      <c r="M135" s="1897"/>
      <c r="N135" s="1897"/>
      <c r="O135" s="1897"/>
      <c r="P135" s="1897"/>
      <c r="Q135" s="1897"/>
      <c r="R135" s="1897"/>
      <c r="S135" s="1897"/>
      <c r="T135" s="1897"/>
      <c r="U135" s="1897"/>
      <c r="V135" s="1897"/>
      <c r="W135" s="1897"/>
      <c r="X135" s="1897"/>
      <c r="Y135" s="1897"/>
      <c r="Z135" s="1897"/>
      <c r="AA135" s="1897"/>
      <c r="AB135" s="1897"/>
      <c r="AC135" s="1897"/>
      <c r="AD135" s="1897"/>
      <c r="AE135" s="1897"/>
      <c r="AF135" s="1897"/>
      <c r="AG135" s="1897"/>
      <c r="AH135" s="1897"/>
      <c r="AI135" s="1897"/>
      <c r="AJ135" s="1897"/>
      <c r="AK135" s="1897"/>
      <c r="AL135" s="1897"/>
      <c r="AM135" s="1897"/>
      <c r="AN135" s="1897"/>
      <c r="AO135" s="1897"/>
      <c r="AP135" s="1897"/>
      <c r="AQ135" s="1897"/>
      <c r="AR135" s="1897"/>
      <c r="AS135" s="1897"/>
      <c r="AT135" s="1897"/>
      <c r="AU135" s="1897"/>
      <c r="AV135" s="1897"/>
      <c r="AW135" s="1897"/>
      <c r="AX135" s="1897"/>
      <c r="AY135" s="1897"/>
      <c r="AZ135" s="1897"/>
      <c r="BA135" s="1897"/>
      <c r="BB135" s="1897"/>
      <c r="BC135" s="1897"/>
      <c r="BD135" s="1897"/>
      <c r="BE135" s="1897"/>
      <c r="BF135" s="1897"/>
      <c r="BG135" s="1897"/>
      <c r="BH135" s="1897"/>
      <c r="BI135" s="1897"/>
      <c r="BJ135" s="1897"/>
      <c r="BK135" s="1897"/>
      <c r="BL135" s="1897"/>
      <c r="BM135" s="1897"/>
      <c r="BN135" s="1897"/>
      <c r="BO135" s="1897"/>
      <c r="BP135" s="1897"/>
      <c r="BQ135" s="1897"/>
      <c r="BR135" s="1897"/>
      <c r="BS135" s="1897"/>
      <c r="BT135" s="1897"/>
      <c r="BU135" s="1897"/>
      <c r="BV135" s="1897"/>
      <c r="BW135" s="1897"/>
      <c r="BX135" s="1897"/>
      <c r="BY135" s="1897"/>
      <c r="BZ135" s="1897"/>
      <c r="CA135" s="1897"/>
      <c r="CB135" s="1897"/>
      <c r="CC135" s="1897"/>
      <c r="CD135" s="1897"/>
      <c r="CE135" s="1897"/>
      <c r="CF135" s="1897"/>
      <c r="CG135" s="1897"/>
      <c r="CH135" s="1897"/>
      <c r="CI135" s="1897"/>
      <c r="CJ135" s="1897"/>
      <c r="CK135" s="1897"/>
      <c r="CL135" s="1897"/>
      <c r="CM135" s="1897"/>
      <c r="CN135" s="1897"/>
      <c r="CO135" s="1897"/>
      <c r="CP135" s="1897"/>
      <c r="CQ135" s="1897"/>
      <c r="CR135" s="1897"/>
      <c r="CS135" s="1897"/>
      <c r="CT135" s="1897"/>
      <c r="CU135" s="1897"/>
      <c r="CV135" s="1897"/>
      <c r="CW135" s="1897"/>
      <c r="CX135" s="1897"/>
      <c r="CY135" s="1897"/>
      <c r="CZ135" s="1897"/>
      <c r="DA135" s="1901"/>
      <c r="DB135" s="1897"/>
      <c r="DC135" s="1897"/>
      <c r="DD135" s="1897"/>
      <c r="DE135" s="1897">
        <f>AVERAGE(DE132,DE134)*(DE131/4)</f>
        <v>5.5575000000000001</v>
      </c>
      <c r="DF135" s="1901"/>
      <c r="DG135" s="1897">
        <f>AVERAGE(DG132,DG134)*(DG131/4)</f>
        <v>5.5575000000000001</v>
      </c>
      <c r="DH135" s="1897">
        <f>AVERAGE(DH132,DH134)*(DH131/4)</f>
        <v>5.5575000000000001</v>
      </c>
      <c r="DI135" s="1897">
        <f>AVERAGE(DI132,DI134)*(DI131/4)</f>
        <v>5.5575000000000001</v>
      </c>
      <c r="DJ135" s="1897">
        <f>AVERAGE(DJ132,DJ134)*(DJ131/4)</f>
        <v>5.5575000000000001</v>
      </c>
      <c r="DK135" s="1901"/>
      <c r="DL135" s="1897">
        <f>AVERAGE(DL132,DL134)*(DL131/4)</f>
        <v>5.5575000000000001</v>
      </c>
      <c r="DM135" s="1897">
        <f>AVERAGE(DM132,DM134)*(DM131/4)</f>
        <v>5.5575000000000001</v>
      </c>
      <c r="DN135" s="2214">
        <f>AVERAGE(DN132,DN134)*(DN131/4)</f>
        <v>5.5575000000000001</v>
      </c>
      <c r="DO135" s="1897">
        <f>AVERAGE(DO132,DO134)*(DO131/4)</f>
        <v>5.5575000000000001</v>
      </c>
      <c r="DP135" s="1901"/>
      <c r="DQ135" s="1897">
        <f>AVERAGE(DQ132,DQ134)*(DQ131/4)</f>
        <v>5.5575000000000001</v>
      </c>
      <c r="DR135" s="1897">
        <f>AVERAGE(DR132,DR134)*(DR131/4)</f>
        <v>5.5575000000000001</v>
      </c>
      <c r="DS135" s="1897">
        <f>AVERAGE(DS132,DS134)*(DS131/4)</f>
        <v>5.5575000000000001</v>
      </c>
      <c r="DT135" s="1897">
        <f>AVERAGE(DT132,DT134)*(DT131/4)</f>
        <v>5.5575000000000001</v>
      </c>
      <c r="DU135" s="1901"/>
      <c r="DV135" s="1897">
        <f>AVERAGE(DV132,DV134)*(DV131/4)</f>
        <v>5.5575000000000001</v>
      </c>
      <c r="DW135" s="1897">
        <f>AVERAGE(DW132,DW134)*(DW131/4)</f>
        <v>5.5575000000000001</v>
      </c>
      <c r="DX135" s="1897">
        <f>AVERAGE(DX132,DX134)*(DX131/4)</f>
        <v>5.5575000000000001</v>
      </c>
      <c r="DY135" s="1897">
        <f>AVERAGE(DY132,DY134)*(DY131/4)</f>
        <v>5.5575000000000001</v>
      </c>
      <c r="DZ135" s="1901"/>
      <c r="EA135" s="1897">
        <f>AVERAGE(EA132,EA134)*(EA131/4)</f>
        <v>5.5575000000000001</v>
      </c>
      <c r="EB135" s="1897">
        <f>AVERAGE(EB132,EB134)*(EB131/4)</f>
        <v>5.5575000000000001</v>
      </c>
      <c r="EC135" s="1897">
        <f>AVERAGE(EC132,EC134)*(EC131/4)</f>
        <v>5.5575000000000001</v>
      </c>
      <c r="ED135" s="1897">
        <f>AVERAGE(ED132,ED134)*(ED131/4)</f>
        <v>5.5575000000000001</v>
      </c>
      <c r="EE135" s="1901"/>
    </row>
    <row r="136" spans="2:135" ht="12" thickBot="1">
      <c r="DN136" s="2231"/>
    </row>
    <row r="137" spans="2:135" ht="12" thickBot="1">
      <c r="B137" s="754" t="s">
        <v>511</v>
      </c>
      <c r="C137" s="684"/>
      <c r="D137" s="684"/>
      <c r="E137" s="684"/>
      <c r="F137" s="684"/>
      <c r="G137" s="684"/>
      <c r="H137" s="684"/>
      <c r="I137" s="684"/>
      <c r="J137" s="684"/>
      <c r="K137" s="684"/>
      <c r="L137" s="684"/>
      <c r="M137" s="684"/>
      <c r="N137" s="684"/>
      <c r="O137" s="684"/>
      <c r="P137" s="684"/>
      <c r="Q137" s="684"/>
      <c r="R137" s="684"/>
      <c r="S137" s="684"/>
      <c r="T137" s="684"/>
      <c r="U137" s="684"/>
      <c r="V137" s="684"/>
      <c r="W137" s="684"/>
      <c r="X137" s="684"/>
      <c r="Y137" s="684"/>
      <c r="Z137" s="684"/>
      <c r="AA137" s="684"/>
      <c r="AB137" s="684"/>
      <c r="AC137" s="684"/>
      <c r="AD137" s="684"/>
      <c r="AE137" s="684"/>
      <c r="AF137" s="684"/>
      <c r="AG137" s="684"/>
      <c r="AH137" s="684"/>
      <c r="AI137" s="684"/>
      <c r="AJ137" s="684"/>
      <c r="AK137" s="684"/>
      <c r="AL137" s="684"/>
      <c r="AM137" s="684"/>
      <c r="AN137" s="684"/>
      <c r="AO137" s="684"/>
      <c r="AP137" s="684"/>
      <c r="AQ137" s="684"/>
      <c r="AR137" s="684"/>
      <c r="AS137" s="684"/>
      <c r="AT137" s="684"/>
      <c r="AU137" s="684"/>
      <c r="AV137" s="684"/>
      <c r="AW137" s="684"/>
      <c r="AX137" s="684"/>
      <c r="AY137" s="684"/>
      <c r="AZ137" s="684"/>
      <c r="BA137" s="684"/>
      <c r="BB137" s="684"/>
      <c r="BC137" s="684"/>
      <c r="BD137" s="684"/>
      <c r="BE137" s="684"/>
      <c r="BF137" s="684"/>
      <c r="BG137" s="684"/>
      <c r="BH137" s="684"/>
      <c r="BI137" s="684"/>
      <c r="BJ137" s="684"/>
      <c r="BK137" s="684"/>
      <c r="BL137" s="684"/>
      <c r="BM137" s="684"/>
      <c r="BN137" s="684"/>
      <c r="BO137" s="684"/>
      <c r="BP137" s="684"/>
      <c r="BQ137" s="684"/>
      <c r="BR137" s="684"/>
      <c r="BS137" s="684"/>
      <c r="BT137" s="684"/>
      <c r="BU137" s="684"/>
      <c r="BV137" s="684"/>
      <c r="BW137" s="684"/>
      <c r="BX137" s="684"/>
      <c r="BY137" s="684"/>
      <c r="BZ137" s="684"/>
      <c r="CA137" s="684"/>
      <c r="CB137" s="684"/>
      <c r="CC137" s="684"/>
      <c r="CD137" s="684"/>
      <c r="CE137" s="684"/>
      <c r="CF137" s="684"/>
      <c r="CG137" s="684"/>
      <c r="CH137" s="684"/>
      <c r="CI137" s="684"/>
      <c r="CJ137" s="684"/>
      <c r="CK137" s="684"/>
      <c r="CL137" s="684"/>
      <c r="CM137" s="684"/>
      <c r="CN137" s="684"/>
      <c r="CO137" s="684"/>
      <c r="CP137" s="684"/>
      <c r="CQ137" s="684"/>
      <c r="CR137" s="684"/>
      <c r="CS137" s="684"/>
      <c r="CT137" s="684"/>
      <c r="CU137" s="684"/>
      <c r="CV137" s="684"/>
      <c r="CW137" s="684"/>
      <c r="CX137" s="684"/>
      <c r="CY137" s="684"/>
      <c r="CZ137" s="684"/>
      <c r="DA137" s="684"/>
      <c r="DB137" s="684"/>
      <c r="DC137" s="684"/>
      <c r="DD137" s="684"/>
      <c r="DE137" s="684"/>
      <c r="DF137" s="684"/>
      <c r="DG137" s="684"/>
      <c r="DH137" s="684"/>
      <c r="DI137" s="684"/>
      <c r="DJ137" s="684"/>
      <c r="DK137" s="684"/>
      <c r="DL137" s="684"/>
      <c r="DM137" s="684"/>
      <c r="DN137" s="2232"/>
      <c r="DO137" s="684"/>
      <c r="DP137" s="1894"/>
      <c r="DQ137" s="684"/>
      <c r="DR137" s="684"/>
      <c r="DS137" s="684"/>
      <c r="DT137" s="684"/>
      <c r="DU137" s="1894"/>
      <c r="DV137" s="684"/>
      <c r="DW137" s="684"/>
      <c r="DX137" s="684"/>
      <c r="DY137" s="684"/>
      <c r="DZ137" s="1894"/>
      <c r="EA137" s="684"/>
      <c r="EB137" s="684"/>
      <c r="EC137" s="684"/>
      <c r="ED137" s="684"/>
      <c r="EE137" s="1894"/>
    </row>
    <row r="138" spans="2:135">
      <c r="B138" s="1902" t="s">
        <v>498</v>
      </c>
      <c r="C138" s="1903"/>
      <c r="D138" s="1903"/>
      <c r="E138" s="1903"/>
      <c r="F138" s="1903"/>
      <c r="G138" s="1903"/>
      <c r="H138" s="1903"/>
      <c r="I138" s="1903"/>
      <c r="J138" s="1903"/>
      <c r="K138" s="1903"/>
      <c r="L138" s="1903"/>
      <c r="M138" s="1903"/>
      <c r="N138" s="1903"/>
      <c r="O138" s="1903"/>
      <c r="P138" s="1903"/>
      <c r="Q138" s="1903"/>
      <c r="R138" s="1903"/>
      <c r="S138" s="1903"/>
      <c r="T138" s="1903"/>
      <c r="U138" s="1903"/>
      <c r="V138" s="1903"/>
      <c r="W138" s="1903"/>
      <c r="X138" s="1903"/>
      <c r="Y138" s="1903"/>
      <c r="Z138" s="1903"/>
      <c r="AA138" s="1903"/>
      <c r="AB138" s="1903"/>
      <c r="AC138" s="1903"/>
      <c r="AD138" s="1903"/>
      <c r="AE138" s="1903"/>
      <c r="AF138" s="1903"/>
      <c r="AG138" s="1903"/>
      <c r="AH138" s="1903"/>
      <c r="AI138" s="1903"/>
      <c r="AJ138" s="1903"/>
      <c r="AK138" s="1903"/>
      <c r="AL138" s="1903"/>
      <c r="AM138" s="1903"/>
      <c r="AN138" s="1903"/>
      <c r="AO138" s="1903"/>
      <c r="AP138" s="1903"/>
      <c r="AQ138" s="1903"/>
      <c r="AR138" s="1903"/>
      <c r="AS138" s="1903"/>
      <c r="AT138" s="1903"/>
      <c r="AU138" s="1903"/>
      <c r="AV138" s="1903"/>
      <c r="AW138" s="1903"/>
      <c r="AX138" s="1903"/>
      <c r="AY138" s="1903"/>
      <c r="AZ138" s="1903"/>
      <c r="BA138" s="1903"/>
      <c r="BB138" s="1903"/>
      <c r="BC138" s="1903"/>
      <c r="BD138" s="1903"/>
      <c r="BE138" s="1903"/>
      <c r="BF138" s="1903"/>
      <c r="BG138" s="1903"/>
      <c r="BH138" s="1903"/>
      <c r="BI138" s="1903"/>
      <c r="BJ138" s="1903"/>
      <c r="BK138" s="1903"/>
      <c r="BL138" s="1903"/>
      <c r="BM138" s="1903"/>
      <c r="BN138" s="1903"/>
      <c r="BO138" s="1903"/>
      <c r="BP138" s="1903"/>
      <c r="BQ138" s="1903"/>
      <c r="BR138" s="1903"/>
      <c r="BS138" s="1903"/>
      <c r="BT138" s="1903"/>
      <c r="BU138" s="1903"/>
      <c r="BV138" s="1903"/>
      <c r="BW138" s="1903"/>
      <c r="BX138" s="1903"/>
      <c r="BY138" s="1903"/>
      <c r="BZ138" s="1903"/>
      <c r="CA138" s="1903"/>
      <c r="CB138" s="1903"/>
      <c r="CC138" s="1903"/>
      <c r="CD138" s="1903"/>
      <c r="CE138" s="1903"/>
      <c r="CF138" s="1903"/>
      <c r="CG138" s="1903"/>
      <c r="CH138" s="1903"/>
      <c r="CI138" s="1903"/>
      <c r="CJ138" s="1903"/>
      <c r="CK138" s="1903"/>
      <c r="CL138" s="1903"/>
      <c r="CM138" s="1903"/>
      <c r="CN138" s="1903"/>
      <c r="CO138" s="1903"/>
      <c r="CP138" s="1903"/>
      <c r="CQ138" s="1903"/>
      <c r="CR138" s="1903"/>
      <c r="CS138" s="1903"/>
      <c r="CT138" s="1903"/>
      <c r="CU138" s="1903"/>
      <c r="CV138" s="1903"/>
      <c r="CW138" s="1904">
        <v>4.3999999999999997E-2</v>
      </c>
      <c r="CX138" s="1904">
        <v>4.3999999999999997E-2</v>
      </c>
      <c r="CY138" s="1904">
        <v>4.3999999999999997E-2</v>
      </c>
      <c r="CZ138" s="1904">
        <v>4.3999999999999997E-2</v>
      </c>
      <c r="DA138" s="1941"/>
      <c r="DB138" s="1904">
        <v>4.3999999999999997E-2</v>
      </c>
      <c r="DC138" s="1904">
        <v>4.3999999999999997E-2</v>
      </c>
      <c r="DD138" s="1904">
        <v>4.3999999999999997E-2</v>
      </c>
      <c r="DE138" s="1903">
        <f>DD138</f>
        <v>4.3999999999999997E-2</v>
      </c>
      <c r="DF138" s="1899"/>
      <c r="DG138" s="1903">
        <f>DE138</f>
        <v>4.3999999999999997E-2</v>
      </c>
      <c r="DH138" s="1903">
        <f>DG138</f>
        <v>4.3999999999999997E-2</v>
      </c>
      <c r="DI138" s="1903">
        <f>DH138</f>
        <v>4.3999999999999997E-2</v>
      </c>
      <c r="DJ138" s="1903">
        <f>DI138</f>
        <v>4.3999999999999997E-2</v>
      </c>
      <c r="DK138" s="1899"/>
      <c r="DL138" s="1903">
        <f>DJ138</f>
        <v>4.3999999999999997E-2</v>
      </c>
      <c r="DM138" s="1903">
        <f>DL138</f>
        <v>4.3999999999999997E-2</v>
      </c>
      <c r="DN138" s="2215">
        <f>DM138</f>
        <v>4.3999999999999997E-2</v>
      </c>
      <c r="DO138" s="1903">
        <f>DN138</f>
        <v>4.3999999999999997E-2</v>
      </c>
      <c r="DP138" s="1899"/>
      <c r="DQ138" s="1903">
        <f>DO138</f>
        <v>4.3999999999999997E-2</v>
      </c>
      <c r="DR138" s="1903">
        <f>DQ138</f>
        <v>4.3999999999999997E-2</v>
      </c>
      <c r="DS138" s="1903">
        <f>DR138</f>
        <v>4.3999999999999997E-2</v>
      </c>
      <c r="DT138" s="1903">
        <f>DS138</f>
        <v>4.3999999999999997E-2</v>
      </c>
      <c r="DU138" s="1899"/>
      <c r="DV138" s="1903">
        <f>DT138</f>
        <v>4.3999999999999997E-2</v>
      </c>
      <c r="DW138" s="1903">
        <f>DV138</f>
        <v>4.3999999999999997E-2</v>
      </c>
      <c r="DX138" s="1903">
        <f>DW138</f>
        <v>4.3999999999999997E-2</v>
      </c>
      <c r="DY138" s="1903">
        <f>DX138</f>
        <v>4.3999999999999997E-2</v>
      </c>
      <c r="DZ138" s="1899"/>
      <c r="EA138" s="1903">
        <f>DY138</f>
        <v>4.3999999999999997E-2</v>
      </c>
      <c r="EB138" s="1903">
        <f>EA138</f>
        <v>4.3999999999999997E-2</v>
      </c>
      <c r="EC138" s="1903">
        <f>EB138</f>
        <v>4.3999999999999997E-2</v>
      </c>
      <c r="ED138" s="1903">
        <f>EC138</f>
        <v>4.3999999999999997E-2</v>
      </c>
      <c r="EE138" s="1899"/>
    </row>
    <row r="139" spans="2:135">
      <c r="B139" s="1895" t="s">
        <v>483</v>
      </c>
      <c r="C139" s="1569"/>
      <c r="D139" s="1569"/>
      <c r="E139" s="1569"/>
      <c r="F139" s="1569"/>
      <c r="G139" s="1569"/>
      <c r="H139" s="1569"/>
      <c r="I139" s="1569"/>
      <c r="J139" s="1569"/>
      <c r="K139" s="1569"/>
      <c r="L139" s="1569"/>
      <c r="M139" s="1569"/>
      <c r="N139" s="1569"/>
      <c r="O139" s="1569"/>
      <c r="P139" s="1569"/>
      <c r="Q139" s="1569"/>
      <c r="R139" s="1569"/>
      <c r="S139" s="1569"/>
      <c r="T139" s="1569"/>
      <c r="U139" s="1569"/>
      <c r="V139" s="1569"/>
      <c r="W139" s="1569"/>
      <c r="X139" s="1569"/>
      <c r="Y139" s="1569"/>
      <c r="Z139" s="1569"/>
      <c r="AA139" s="1569"/>
      <c r="AB139" s="1569"/>
      <c r="AC139" s="1569"/>
      <c r="AD139" s="1569"/>
      <c r="AE139" s="1569"/>
      <c r="AF139" s="1569"/>
      <c r="AG139" s="1569"/>
      <c r="AH139" s="1569"/>
      <c r="AI139" s="1569"/>
      <c r="AJ139" s="1569"/>
      <c r="AK139" s="1569"/>
      <c r="AL139" s="1569"/>
      <c r="AM139" s="1569"/>
      <c r="AN139" s="1569"/>
      <c r="AO139" s="1569"/>
      <c r="AP139" s="1569"/>
      <c r="AQ139" s="1569"/>
      <c r="AR139" s="1569"/>
      <c r="AS139" s="1569"/>
      <c r="AT139" s="1569"/>
      <c r="AU139" s="1569"/>
      <c r="AV139" s="1569"/>
      <c r="AW139" s="1569"/>
      <c r="AX139" s="1569"/>
      <c r="AY139" s="1569"/>
      <c r="AZ139" s="1569"/>
      <c r="BA139" s="1569"/>
      <c r="BB139" s="1569"/>
      <c r="BC139" s="1569"/>
      <c r="BD139" s="1569"/>
      <c r="BE139" s="1569"/>
      <c r="BF139" s="1569"/>
      <c r="BG139" s="1569"/>
      <c r="BH139" s="1569"/>
      <c r="BI139" s="1569"/>
      <c r="BJ139" s="1569"/>
      <c r="BK139" s="1569"/>
      <c r="BL139" s="1569"/>
      <c r="BM139" s="1569"/>
      <c r="BN139" s="1569"/>
      <c r="BO139" s="1569"/>
      <c r="BP139" s="1569"/>
      <c r="BQ139" s="1569"/>
      <c r="BR139" s="1569"/>
      <c r="BS139" s="1569"/>
      <c r="BT139" s="1569"/>
      <c r="BU139" s="1569"/>
      <c r="BV139" s="1569"/>
      <c r="BW139" s="1569"/>
      <c r="BX139" s="1569"/>
      <c r="BY139" s="1569"/>
      <c r="BZ139" s="1569"/>
      <c r="CA139" s="1569"/>
      <c r="CB139" s="1569"/>
      <c r="CC139" s="1569"/>
      <c r="CD139" s="1569"/>
      <c r="CE139" s="1569"/>
      <c r="CF139" s="1569"/>
      <c r="CG139" s="1569"/>
      <c r="CH139" s="1569"/>
      <c r="CI139" s="1569"/>
      <c r="CJ139" s="1569"/>
      <c r="CK139" s="1569"/>
      <c r="CL139" s="1569"/>
      <c r="CM139" s="1569"/>
      <c r="CN139" s="1569"/>
      <c r="CO139" s="1569"/>
      <c r="CP139" s="1569"/>
      <c r="CQ139" s="1569"/>
      <c r="CR139" s="1569"/>
      <c r="CS139" s="1569"/>
      <c r="CT139" s="1569"/>
      <c r="CU139" s="1569"/>
      <c r="CV139" s="1569"/>
      <c r="CW139" s="1569"/>
      <c r="CX139" s="1569"/>
      <c r="CY139" s="1569"/>
      <c r="CZ139" s="1569"/>
      <c r="DA139" s="1900"/>
      <c r="DB139" s="1569"/>
      <c r="DC139" s="1569"/>
      <c r="DD139" s="1569"/>
      <c r="DE139" s="1569">
        <f>DD141</f>
        <v>492</v>
      </c>
      <c r="DF139" s="1900"/>
      <c r="DG139" s="1569">
        <f>DE141</f>
        <v>492</v>
      </c>
      <c r="DH139" s="1569">
        <f>DG141</f>
        <v>492</v>
      </c>
      <c r="DI139" s="1569">
        <f>DH141</f>
        <v>492</v>
      </c>
      <c r="DJ139" s="1569">
        <f>DI141</f>
        <v>492</v>
      </c>
      <c r="DK139" s="1900"/>
      <c r="DL139" s="1569">
        <f>DJ141</f>
        <v>492</v>
      </c>
      <c r="DM139" s="1569">
        <f>DL141</f>
        <v>492</v>
      </c>
      <c r="DN139" s="38">
        <f>DM141</f>
        <v>492</v>
      </c>
      <c r="DO139" s="1569">
        <f>DN141</f>
        <v>492</v>
      </c>
      <c r="DP139" s="1900"/>
      <c r="DQ139" s="1569">
        <f>DO141</f>
        <v>492</v>
      </c>
      <c r="DR139" s="1569">
        <f>DQ141</f>
        <v>492</v>
      </c>
      <c r="DS139" s="1569">
        <f>DR141</f>
        <v>492</v>
      </c>
      <c r="DT139" s="1569">
        <f>DS141</f>
        <v>492</v>
      </c>
      <c r="DU139" s="1900"/>
      <c r="DV139" s="1569">
        <f>DT141</f>
        <v>492</v>
      </c>
      <c r="DW139" s="1569">
        <f>DV141</f>
        <v>492</v>
      </c>
      <c r="DX139" s="1569">
        <f>DW141</f>
        <v>492</v>
      </c>
      <c r="DY139" s="1569">
        <f>DX141</f>
        <v>492</v>
      </c>
      <c r="DZ139" s="1900"/>
      <c r="EA139" s="1569">
        <f>DY141</f>
        <v>492</v>
      </c>
      <c r="EB139" s="1569">
        <f>EA141</f>
        <v>492</v>
      </c>
      <c r="EC139" s="1569">
        <f>EB141</f>
        <v>492</v>
      </c>
      <c r="ED139" s="1569">
        <f>EC141</f>
        <v>492</v>
      </c>
      <c r="EE139" s="1900"/>
    </row>
    <row r="140" spans="2:135">
      <c r="B140" s="1895" t="s">
        <v>484</v>
      </c>
      <c r="C140" s="1569"/>
      <c r="D140" s="1569"/>
      <c r="E140" s="1569"/>
      <c r="F140" s="1569"/>
      <c r="G140" s="1569"/>
      <c r="H140" s="1569"/>
      <c r="I140" s="1569"/>
      <c r="J140" s="1569"/>
      <c r="K140" s="1569"/>
      <c r="L140" s="1569"/>
      <c r="M140" s="1569"/>
      <c r="N140" s="1569"/>
      <c r="O140" s="1569"/>
      <c r="P140" s="1569"/>
      <c r="Q140" s="1569"/>
      <c r="R140" s="1569"/>
      <c r="S140" s="1569"/>
      <c r="T140" s="1569"/>
      <c r="U140" s="1569"/>
      <c r="V140" s="1569"/>
      <c r="W140" s="1569"/>
      <c r="X140" s="1569"/>
      <c r="Y140" s="1569"/>
      <c r="Z140" s="1569"/>
      <c r="AA140" s="1569"/>
      <c r="AB140" s="1569"/>
      <c r="AC140" s="1569"/>
      <c r="AD140" s="1569"/>
      <c r="AE140" s="1569"/>
      <c r="AF140" s="1569"/>
      <c r="AG140" s="1569"/>
      <c r="AH140" s="1569"/>
      <c r="AI140" s="1569"/>
      <c r="AJ140" s="1569"/>
      <c r="AK140" s="1569"/>
      <c r="AL140" s="1569"/>
      <c r="AM140" s="1569"/>
      <c r="AN140" s="1569"/>
      <c r="AO140" s="1569"/>
      <c r="AP140" s="1569"/>
      <c r="AQ140" s="1569"/>
      <c r="AR140" s="1569"/>
      <c r="AS140" s="1569"/>
      <c r="AT140" s="1569"/>
      <c r="AU140" s="1569"/>
      <c r="AV140" s="1569"/>
      <c r="AW140" s="1569"/>
      <c r="AX140" s="1569"/>
      <c r="AY140" s="1569"/>
      <c r="AZ140" s="1569"/>
      <c r="BA140" s="1569"/>
      <c r="BB140" s="1569"/>
      <c r="BC140" s="1569"/>
      <c r="BD140" s="1569"/>
      <c r="BE140" s="1569"/>
      <c r="BF140" s="1569"/>
      <c r="BG140" s="1569"/>
      <c r="BH140" s="1569"/>
      <c r="BI140" s="1569"/>
      <c r="BJ140" s="1569"/>
      <c r="BK140" s="1569"/>
      <c r="BL140" s="1569"/>
      <c r="BM140" s="1569"/>
      <c r="BN140" s="1569"/>
      <c r="BO140" s="1569"/>
      <c r="BP140" s="1569"/>
      <c r="BQ140" s="1569"/>
      <c r="BR140" s="1569"/>
      <c r="BS140" s="1569"/>
      <c r="BT140" s="1569"/>
      <c r="BU140" s="1569"/>
      <c r="BV140" s="1569"/>
      <c r="BW140" s="1569"/>
      <c r="BX140" s="1569"/>
      <c r="BY140" s="1569"/>
      <c r="BZ140" s="1569"/>
      <c r="CA140" s="1569"/>
      <c r="CB140" s="1569"/>
      <c r="CC140" s="1569"/>
      <c r="CD140" s="1569"/>
      <c r="CE140" s="1569"/>
      <c r="CF140" s="1569"/>
      <c r="CG140" s="1569"/>
      <c r="CH140" s="1569"/>
      <c r="CI140" s="1569"/>
      <c r="CJ140" s="1569"/>
      <c r="CK140" s="1569"/>
      <c r="CL140" s="1569"/>
      <c r="CM140" s="1569"/>
      <c r="CN140" s="1569"/>
      <c r="CO140" s="1569"/>
      <c r="CP140" s="1569"/>
      <c r="CQ140" s="1569"/>
      <c r="CR140" s="1569"/>
      <c r="CS140" s="1569"/>
      <c r="CT140" s="1569"/>
      <c r="CU140" s="1569"/>
      <c r="CV140" s="1569"/>
      <c r="CW140" s="1569"/>
      <c r="CX140" s="1569"/>
      <c r="CY140" s="1569"/>
      <c r="CZ140" s="1569"/>
      <c r="DA140" s="1900"/>
      <c r="DB140" s="1569"/>
      <c r="DC140" s="1569"/>
      <c r="DD140" s="1569"/>
      <c r="DE140" s="1569"/>
      <c r="DF140" s="1900"/>
      <c r="DG140" s="1569"/>
      <c r="DH140" s="1569"/>
      <c r="DI140" s="1569"/>
      <c r="DJ140" s="1569"/>
      <c r="DK140" s="1900"/>
      <c r="DL140" s="1569">
        <v>0</v>
      </c>
      <c r="DM140" s="1569"/>
      <c r="DN140" s="38"/>
      <c r="DO140" s="1569"/>
      <c r="DP140" s="1900"/>
      <c r="DQ140" s="1569"/>
      <c r="DR140" s="1569"/>
      <c r="DS140" s="1569"/>
      <c r="DT140" s="1569"/>
      <c r="DU140" s="1900"/>
      <c r="DV140" s="1569"/>
      <c r="DW140" s="1569"/>
      <c r="DX140" s="1569"/>
      <c r="DY140" s="1569"/>
      <c r="DZ140" s="1900"/>
      <c r="EA140" s="1569"/>
      <c r="EB140" s="1569"/>
      <c r="EC140" s="1569"/>
      <c r="ED140" s="1569"/>
      <c r="EE140" s="1900"/>
    </row>
    <row r="141" spans="2:135">
      <c r="B141" s="1895" t="s">
        <v>485</v>
      </c>
      <c r="C141" s="1569"/>
      <c r="D141" s="1569"/>
      <c r="E141" s="1569"/>
      <c r="F141" s="1569"/>
      <c r="G141" s="1569"/>
      <c r="H141" s="1569"/>
      <c r="I141" s="1569"/>
      <c r="J141" s="1569"/>
      <c r="K141" s="1569"/>
      <c r="L141" s="1569"/>
      <c r="M141" s="1569"/>
      <c r="N141" s="1569"/>
      <c r="O141" s="1569"/>
      <c r="P141" s="1569"/>
      <c r="Q141" s="1569"/>
      <c r="R141" s="1569"/>
      <c r="S141" s="1569"/>
      <c r="T141" s="1569"/>
      <c r="U141" s="1569"/>
      <c r="V141" s="1569"/>
      <c r="W141" s="1569"/>
      <c r="X141" s="1569"/>
      <c r="Y141" s="1569"/>
      <c r="Z141" s="1569"/>
      <c r="AA141" s="1569"/>
      <c r="AB141" s="1569"/>
      <c r="AC141" s="1569"/>
      <c r="AD141" s="1569"/>
      <c r="AE141" s="1569"/>
      <c r="AF141" s="1569"/>
      <c r="AG141" s="1569"/>
      <c r="AH141" s="1569"/>
      <c r="AI141" s="1569"/>
      <c r="AJ141" s="1569"/>
      <c r="AK141" s="1569"/>
      <c r="AL141" s="1569"/>
      <c r="AM141" s="1569"/>
      <c r="AN141" s="1569"/>
      <c r="AO141" s="1569"/>
      <c r="AP141" s="1569"/>
      <c r="AQ141" s="1569"/>
      <c r="AR141" s="1569"/>
      <c r="AS141" s="1569"/>
      <c r="AT141" s="1569"/>
      <c r="AU141" s="1569"/>
      <c r="AV141" s="1569"/>
      <c r="AW141" s="1569"/>
      <c r="AX141" s="1569"/>
      <c r="AY141" s="1569"/>
      <c r="AZ141" s="1569"/>
      <c r="BA141" s="1569"/>
      <c r="BB141" s="1569"/>
      <c r="BC141" s="1569"/>
      <c r="BD141" s="1569"/>
      <c r="BE141" s="1569"/>
      <c r="BF141" s="1569"/>
      <c r="BG141" s="1569"/>
      <c r="BH141" s="1569"/>
      <c r="BI141" s="1569"/>
      <c r="BJ141" s="1569"/>
      <c r="BK141" s="1569"/>
      <c r="BL141" s="1569"/>
      <c r="BM141" s="1569"/>
      <c r="BN141" s="1569"/>
      <c r="BO141" s="1569"/>
      <c r="BP141" s="1569"/>
      <c r="BQ141" s="1569"/>
      <c r="BR141" s="1569"/>
      <c r="BS141" s="1569"/>
      <c r="BT141" s="1569"/>
      <c r="BU141" s="1569"/>
      <c r="BV141" s="1569"/>
      <c r="BW141" s="1569"/>
      <c r="BX141" s="1569"/>
      <c r="BY141" s="1569"/>
      <c r="BZ141" s="1569"/>
      <c r="CA141" s="1569"/>
      <c r="CB141" s="1569"/>
      <c r="CC141" s="1569"/>
      <c r="CD141" s="1569"/>
      <c r="CE141" s="1569"/>
      <c r="CF141" s="1569"/>
      <c r="CG141" s="1569"/>
      <c r="CH141" s="1569"/>
      <c r="CI141" s="1569"/>
      <c r="CJ141" s="1569"/>
      <c r="CK141" s="1569"/>
      <c r="CL141" s="1569"/>
      <c r="CM141" s="1569"/>
      <c r="CN141" s="1569"/>
      <c r="CO141" s="1569"/>
      <c r="CP141" s="1569"/>
      <c r="CQ141" s="1569"/>
      <c r="CR141" s="1569"/>
      <c r="CS141" s="1569"/>
      <c r="CT141" s="1569"/>
      <c r="CU141" s="1569"/>
      <c r="CV141" s="1569"/>
      <c r="CW141" s="1569"/>
      <c r="CX141" s="1569"/>
      <c r="CY141" s="1569"/>
      <c r="CZ141" s="1569"/>
      <c r="DA141" s="1900"/>
      <c r="DB141" s="1569"/>
      <c r="DC141" s="1569"/>
      <c r="DD141" s="1569">
        <v>492</v>
      </c>
      <c r="DE141" s="1569">
        <f>SUM(DE139:DE140)</f>
        <v>492</v>
      </c>
      <c r="DF141" s="1900"/>
      <c r="DG141" s="1569">
        <f>SUM(DG139:DG140)</f>
        <v>492</v>
      </c>
      <c r="DH141" s="1569">
        <f>SUM(DH139:DH140)</f>
        <v>492</v>
      </c>
      <c r="DI141" s="1569">
        <f>SUM(DI139:DI140)</f>
        <v>492</v>
      </c>
      <c r="DJ141" s="1569">
        <f>SUM(DJ139:DJ140)</f>
        <v>492</v>
      </c>
      <c r="DK141" s="1900"/>
      <c r="DL141" s="1569">
        <f>SUM(DL139:DL140)</f>
        <v>492</v>
      </c>
      <c r="DM141" s="1569">
        <f>SUM(DM139:DM140)</f>
        <v>492</v>
      </c>
      <c r="DN141" s="38">
        <f>SUM(DN139:DN140)</f>
        <v>492</v>
      </c>
      <c r="DO141" s="1569">
        <f>SUM(DO139:DO140)</f>
        <v>492</v>
      </c>
      <c r="DP141" s="1900"/>
      <c r="DQ141" s="1569">
        <f>SUM(DQ139:DQ140)</f>
        <v>492</v>
      </c>
      <c r="DR141" s="1569">
        <f>SUM(DR139:DR140)</f>
        <v>492</v>
      </c>
      <c r="DS141" s="1569">
        <f>SUM(DS139:DS140)</f>
        <v>492</v>
      </c>
      <c r="DT141" s="1569">
        <f>SUM(DT139:DT140)</f>
        <v>492</v>
      </c>
      <c r="DU141" s="1900"/>
      <c r="DV141" s="1569">
        <f>SUM(DV139:DV140)</f>
        <v>492</v>
      </c>
      <c r="DW141" s="1569">
        <f>SUM(DW139:DW140)</f>
        <v>492</v>
      </c>
      <c r="DX141" s="1569">
        <f>SUM(DX139:DX140)</f>
        <v>492</v>
      </c>
      <c r="DY141" s="1569">
        <f>SUM(DY139:DY140)</f>
        <v>492</v>
      </c>
      <c r="DZ141" s="1900"/>
      <c r="EA141" s="1569">
        <f>SUM(EA139:EA140)</f>
        <v>492</v>
      </c>
      <c r="EB141" s="1569">
        <f>SUM(EB139:EB140)</f>
        <v>492</v>
      </c>
      <c r="EC141" s="1569">
        <f>SUM(EC139:EC140)</f>
        <v>492</v>
      </c>
      <c r="ED141" s="1569">
        <f>SUM(ED139:ED140)</f>
        <v>492</v>
      </c>
      <c r="EE141" s="1900"/>
    </row>
    <row r="142" spans="2:135" ht="12" thickBot="1">
      <c r="B142" s="1896" t="s">
        <v>400</v>
      </c>
      <c r="C142" s="1897"/>
      <c r="D142" s="1897"/>
      <c r="E142" s="1897"/>
      <c r="F142" s="1897"/>
      <c r="G142" s="1897"/>
      <c r="H142" s="1897"/>
      <c r="I142" s="1897"/>
      <c r="J142" s="1897"/>
      <c r="K142" s="1897"/>
      <c r="L142" s="1897"/>
      <c r="M142" s="1897"/>
      <c r="N142" s="1897"/>
      <c r="O142" s="1897"/>
      <c r="P142" s="1897"/>
      <c r="Q142" s="1897"/>
      <c r="R142" s="1897"/>
      <c r="S142" s="1897"/>
      <c r="T142" s="1897"/>
      <c r="U142" s="1897"/>
      <c r="V142" s="1897"/>
      <c r="W142" s="1897"/>
      <c r="X142" s="1897"/>
      <c r="Y142" s="1897"/>
      <c r="Z142" s="1897"/>
      <c r="AA142" s="1897"/>
      <c r="AB142" s="1897"/>
      <c r="AC142" s="1897"/>
      <c r="AD142" s="1897"/>
      <c r="AE142" s="1897"/>
      <c r="AF142" s="1897"/>
      <c r="AG142" s="1897"/>
      <c r="AH142" s="1897"/>
      <c r="AI142" s="1897"/>
      <c r="AJ142" s="1897"/>
      <c r="AK142" s="1897"/>
      <c r="AL142" s="1897"/>
      <c r="AM142" s="1897"/>
      <c r="AN142" s="1897"/>
      <c r="AO142" s="1897"/>
      <c r="AP142" s="1897"/>
      <c r="AQ142" s="1897"/>
      <c r="AR142" s="1897"/>
      <c r="AS142" s="1897"/>
      <c r="AT142" s="1897"/>
      <c r="AU142" s="1897"/>
      <c r="AV142" s="1897"/>
      <c r="AW142" s="1897"/>
      <c r="AX142" s="1897"/>
      <c r="AY142" s="1897"/>
      <c r="AZ142" s="1897"/>
      <c r="BA142" s="1897"/>
      <c r="BB142" s="1897"/>
      <c r="BC142" s="1897"/>
      <c r="BD142" s="1897"/>
      <c r="BE142" s="1897"/>
      <c r="BF142" s="1897"/>
      <c r="BG142" s="1897"/>
      <c r="BH142" s="1897"/>
      <c r="BI142" s="1897"/>
      <c r="BJ142" s="1897"/>
      <c r="BK142" s="1897"/>
      <c r="BL142" s="1897"/>
      <c r="BM142" s="1897"/>
      <c r="BN142" s="1897"/>
      <c r="BO142" s="1897"/>
      <c r="BP142" s="1897"/>
      <c r="BQ142" s="1897"/>
      <c r="BR142" s="1897"/>
      <c r="BS142" s="1897"/>
      <c r="BT142" s="1897"/>
      <c r="BU142" s="1897"/>
      <c r="BV142" s="1897"/>
      <c r="BW142" s="1897"/>
      <c r="BX142" s="1897"/>
      <c r="BY142" s="1897"/>
      <c r="BZ142" s="1897"/>
      <c r="CA142" s="1897"/>
      <c r="CB142" s="1897"/>
      <c r="CC142" s="1897"/>
      <c r="CD142" s="1897"/>
      <c r="CE142" s="1897"/>
      <c r="CF142" s="1897"/>
      <c r="CG142" s="1897"/>
      <c r="CH142" s="1897"/>
      <c r="CI142" s="1897"/>
      <c r="CJ142" s="1897"/>
      <c r="CK142" s="1897"/>
      <c r="CL142" s="1897"/>
      <c r="CM142" s="1897"/>
      <c r="CN142" s="1897"/>
      <c r="CO142" s="1897"/>
      <c r="CP142" s="1897"/>
      <c r="CQ142" s="1897"/>
      <c r="CR142" s="1897"/>
      <c r="CS142" s="1897"/>
      <c r="CT142" s="1897"/>
      <c r="CU142" s="1897"/>
      <c r="CV142" s="1897"/>
      <c r="CW142" s="1897"/>
      <c r="CX142" s="1897"/>
      <c r="CY142" s="1897"/>
      <c r="CZ142" s="1897"/>
      <c r="DA142" s="1901"/>
      <c r="DB142" s="1897"/>
      <c r="DC142" s="1897"/>
      <c r="DD142" s="1897"/>
      <c r="DE142" s="1897">
        <f>AVERAGE(DE139,DE141)*(DE138/4)</f>
        <v>5.4119999999999999</v>
      </c>
      <c r="DF142" s="1901"/>
      <c r="DG142" s="1897">
        <f>AVERAGE(DG139,DG141)*(DG138/4)</f>
        <v>5.4119999999999999</v>
      </c>
      <c r="DH142" s="1897">
        <f>AVERAGE(DH139,DH141)*(DH138/4)</f>
        <v>5.4119999999999999</v>
      </c>
      <c r="DI142" s="1897">
        <f>AVERAGE(DI139,DI141)*(DI138/4)</f>
        <v>5.4119999999999999</v>
      </c>
      <c r="DJ142" s="1897">
        <f>AVERAGE(DJ139,DJ141)*(DJ138/4)</f>
        <v>5.4119999999999999</v>
      </c>
      <c r="DK142" s="1901"/>
      <c r="DL142" s="1897">
        <f>AVERAGE(DL139,DL141)*(DL138/4)</f>
        <v>5.4119999999999999</v>
      </c>
      <c r="DM142" s="1897">
        <f>AVERAGE(DM139,DM141)*(DM138/4)</f>
        <v>5.4119999999999999</v>
      </c>
      <c r="DN142" s="2214">
        <f>AVERAGE(DN139,DN141)*(DN138/4)</f>
        <v>5.4119999999999999</v>
      </c>
      <c r="DO142" s="1897">
        <f>AVERAGE(DO139,DO141)*(DO138/4)</f>
        <v>5.4119999999999999</v>
      </c>
      <c r="DP142" s="1901"/>
      <c r="DQ142" s="1897">
        <f>AVERAGE(DQ139,DQ141)*(DQ138/4)</f>
        <v>5.4119999999999999</v>
      </c>
      <c r="DR142" s="1897">
        <f>AVERAGE(DR139,DR141)*(DR138/4)</f>
        <v>5.4119999999999999</v>
      </c>
      <c r="DS142" s="1897">
        <f>AVERAGE(DS139,DS141)*(DS138/4)</f>
        <v>5.4119999999999999</v>
      </c>
      <c r="DT142" s="1897">
        <f>AVERAGE(DT139,DT141)*(DT138/4)</f>
        <v>5.4119999999999999</v>
      </c>
      <c r="DU142" s="1901"/>
      <c r="DV142" s="1897">
        <f>AVERAGE(DV139,DV141)*(DV138/4)</f>
        <v>5.4119999999999999</v>
      </c>
      <c r="DW142" s="1897">
        <f>AVERAGE(DW139,DW141)*(DW138/4)</f>
        <v>5.4119999999999999</v>
      </c>
      <c r="DX142" s="1897">
        <f>AVERAGE(DX139,DX141)*(DX138/4)</f>
        <v>5.4119999999999999</v>
      </c>
      <c r="DY142" s="1897">
        <f>AVERAGE(DY139,DY141)*(DY138/4)</f>
        <v>5.4119999999999999</v>
      </c>
      <c r="DZ142" s="1901"/>
      <c r="EA142" s="1897">
        <f>AVERAGE(EA139,EA141)*(EA138/4)</f>
        <v>5.4119999999999999</v>
      </c>
      <c r="EB142" s="1897">
        <f>AVERAGE(EB139,EB141)*(EB138/4)</f>
        <v>5.4119999999999999</v>
      </c>
      <c r="EC142" s="1897">
        <f>AVERAGE(EC139,EC141)*(EC138/4)</f>
        <v>5.4119999999999999</v>
      </c>
      <c r="ED142" s="1897">
        <f>AVERAGE(ED139,ED141)*(ED138/4)</f>
        <v>5.4119999999999999</v>
      </c>
      <c r="EE142" s="1901"/>
    </row>
    <row r="143" spans="2:135" ht="12" thickBot="1">
      <c r="DN143" s="2231"/>
    </row>
    <row r="144" spans="2:135" ht="12" thickBot="1">
      <c r="B144" s="754" t="s">
        <v>512</v>
      </c>
      <c r="C144" s="684"/>
      <c r="D144" s="684"/>
      <c r="E144" s="684"/>
      <c r="F144" s="684"/>
      <c r="G144" s="684"/>
      <c r="H144" s="684"/>
      <c r="I144" s="684"/>
      <c r="J144" s="684"/>
      <c r="K144" s="684"/>
      <c r="L144" s="684"/>
      <c r="M144" s="684"/>
      <c r="N144" s="684"/>
      <c r="O144" s="684"/>
      <c r="P144" s="684"/>
      <c r="Q144" s="684"/>
      <c r="R144" s="684"/>
      <c r="S144" s="684"/>
      <c r="T144" s="684"/>
      <c r="U144" s="684"/>
      <c r="V144" s="684"/>
      <c r="W144" s="684"/>
      <c r="X144" s="684"/>
      <c r="Y144" s="684"/>
      <c r="Z144" s="684"/>
      <c r="AA144" s="684"/>
      <c r="AB144" s="684"/>
      <c r="AC144" s="684"/>
      <c r="AD144" s="684"/>
      <c r="AE144" s="684"/>
      <c r="AF144" s="684"/>
      <c r="AG144" s="684"/>
      <c r="AH144" s="684"/>
      <c r="AI144" s="684"/>
      <c r="AJ144" s="684"/>
      <c r="AK144" s="684"/>
      <c r="AL144" s="684"/>
      <c r="AM144" s="684"/>
      <c r="AN144" s="684"/>
      <c r="AO144" s="684"/>
      <c r="AP144" s="684"/>
      <c r="AQ144" s="684"/>
      <c r="AR144" s="684"/>
      <c r="AS144" s="684"/>
      <c r="AT144" s="684"/>
      <c r="AU144" s="684"/>
      <c r="AV144" s="684"/>
      <c r="AW144" s="684"/>
      <c r="AX144" s="684"/>
      <c r="AY144" s="684"/>
      <c r="AZ144" s="684"/>
      <c r="BA144" s="684"/>
      <c r="BB144" s="684"/>
      <c r="BC144" s="684"/>
      <c r="BD144" s="684"/>
      <c r="BE144" s="684"/>
      <c r="BF144" s="684"/>
      <c r="BG144" s="684"/>
      <c r="BH144" s="684"/>
      <c r="BI144" s="684"/>
      <c r="BJ144" s="684"/>
      <c r="BK144" s="684"/>
      <c r="BL144" s="684"/>
      <c r="BM144" s="684"/>
      <c r="BN144" s="684"/>
      <c r="BO144" s="684"/>
      <c r="BP144" s="684"/>
      <c r="BQ144" s="684"/>
      <c r="BR144" s="684"/>
      <c r="BS144" s="684"/>
      <c r="BT144" s="684"/>
      <c r="BU144" s="684"/>
      <c r="BV144" s="684"/>
      <c r="BW144" s="684"/>
      <c r="BX144" s="684"/>
      <c r="BY144" s="684"/>
      <c r="BZ144" s="684"/>
      <c r="CA144" s="684"/>
      <c r="CB144" s="684"/>
      <c r="CC144" s="684"/>
      <c r="CD144" s="684"/>
      <c r="CE144" s="684"/>
      <c r="CF144" s="684"/>
      <c r="CG144" s="684"/>
      <c r="CH144" s="684"/>
      <c r="CI144" s="684"/>
      <c r="CJ144" s="684"/>
      <c r="CK144" s="684"/>
      <c r="CL144" s="684"/>
      <c r="CM144" s="684"/>
      <c r="CN144" s="684"/>
      <c r="CO144" s="684"/>
      <c r="CP144" s="684"/>
      <c r="CQ144" s="684"/>
      <c r="CR144" s="684"/>
      <c r="CS144" s="684"/>
      <c r="CT144" s="684"/>
      <c r="CU144" s="684"/>
      <c r="CV144" s="684"/>
      <c r="CW144" s="684"/>
      <c r="CX144" s="684"/>
      <c r="CY144" s="684"/>
      <c r="CZ144" s="684"/>
      <c r="DA144" s="684"/>
      <c r="DB144" s="684"/>
      <c r="DC144" s="684"/>
      <c r="DD144" s="684"/>
      <c r="DE144" s="684"/>
      <c r="DF144" s="684"/>
      <c r="DG144" s="684"/>
      <c r="DH144" s="684"/>
      <c r="DI144" s="684"/>
      <c r="DJ144" s="684"/>
      <c r="DK144" s="684"/>
      <c r="DL144" s="684"/>
      <c r="DM144" s="684"/>
      <c r="DN144" s="2232"/>
      <c r="DO144" s="684"/>
      <c r="DP144" s="1894"/>
      <c r="DQ144" s="684"/>
      <c r="DR144" s="684"/>
      <c r="DS144" s="684"/>
      <c r="DT144" s="684"/>
      <c r="DU144" s="1894"/>
      <c r="DV144" s="684"/>
      <c r="DW144" s="684"/>
      <c r="DX144" s="684"/>
      <c r="DY144" s="684"/>
      <c r="DZ144" s="1894"/>
      <c r="EA144" s="684"/>
      <c r="EB144" s="684"/>
      <c r="EC144" s="684"/>
      <c r="ED144" s="684"/>
      <c r="EE144" s="1894"/>
    </row>
    <row r="145" spans="2:135">
      <c r="B145" s="1902" t="s">
        <v>498</v>
      </c>
      <c r="C145" s="1903"/>
      <c r="D145" s="1903"/>
      <c r="E145" s="1903"/>
      <c r="F145" s="1903"/>
      <c r="G145" s="1903"/>
      <c r="H145" s="1903"/>
      <c r="I145" s="1903"/>
      <c r="J145" s="1903"/>
      <c r="K145" s="1903"/>
      <c r="L145" s="1903"/>
      <c r="M145" s="1903"/>
      <c r="N145" s="1903"/>
      <c r="O145" s="1903"/>
      <c r="P145" s="1903"/>
      <c r="Q145" s="1903"/>
      <c r="R145" s="1903"/>
      <c r="S145" s="1903"/>
      <c r="T145" s="1903"/>
      <c r="U145" s="1903"/>
      <c r="V145" s="1903"/>
      <c r="W145" s="1903"/>
      <c r="X145" s="1903"/>
      <c r="Y145" s="1903"/>
      <c r="Z145" s="1903"/>
      <c r="AA145" s="1903"/>
      <c r="AB145" s="1903"/>
      <c r="AC145" s="1903"/>
      <c r="AD145" s="1903"/>
      <c r="AE145" s="1903"/>
      <c r="AF145" s="1903"/>
      <c r="AG145" s="1903"/>
      <c r="AH145" s="1903"/>
      <c r="AI145" s="1903"/>
      <c r="AJ145" s="1903"/>
      <c r="AK145" s="1903"/>
      <c r="AL145" s="1903"/>
      <c r="AM145" s="1903"/>
      <c r="AN145" s="1903"/>
      <c r="AO145" s="1903"/>
      <c r="AP145" s="1903"/>
      <c r="AQ145" s="1903"/>
      <c r="AR145" s="1903"/>
      <c r="AS145" s="1903"/>
      <c r="AT145" s="1903"/>
      <c r="AU145" s="1903"/>
      <c r="AV145" s="1903"/>
      <c r="AW145" s="1903"/>
      <c r="AX145" s="1903"/>
      <c r="AY145" s="1903"/>
      <c r="AZ145" s="1903"/>
      <c r="BA145" s="1903"/>
      <c r="BB145" s="1903"/>
      <c r="BC145" s="1903"/>
      <c r="BD145" s="1903"/>
      <c r="BE145" s="1903"/>
      <c r="BF145" s="1903"/>
      <c r="BG145" s="1903"/>
      <c r="BH145" s="1903"/>
      <c r="BI145" s="1903"/>
      <c r="BJ145" s="1903"/>
      <c r="BK145" s="1903"/>
      <c r="BL145" s="1903"/>
      <c r="BM145" s="1903"/>
      <c r="BN145" s="1903"/>
      <c r="BO145" s="1903"/>
      <c r="BP145" s="1903"/>
      <c r="BQ145" s="1903"/>
      <c r="BR145" s="1903"/>
      <c r="BS145" s="1903"/>
      <c r="BT145" s="1903"/>
      <c r="BU145" s="1903"/>
      <c r="BV145" s="1903"/>
      <c r="BW145" s="1903"/>
      <c r="BX145" s="1903"/>
      <c r="BY145" s="1903"/>
      <c r="BZ145" s="1903"/>
      <c r="CA145" s="1903"/>
      <c r="CB145" s="1903"/>
      <c r="CC145" s="1903"/>
      <c r="CD145" s="1903"/>
      <c r="CE145" s="1903"/>
      <c r="CF145" s="1903"/>
      <c r="CG145" s="1903"/>
      <c r="CH145" s="1903"/>
      <c r="CI145" s="1903"/>
      <c r="CJ145" s="1903"/>
      <c r="CK145" s="1903"/>
      <c r="CL145" s="1903"/>
      <c r="CM145" s="1903"/>
      <c r="CN145" s="1903"/>
      <c r="CO145" s="1903"/>
      <c r="CP145" s="1903"/>
      <c r="CQ145" s="1903"/>
      <c r="CR145" s="1903"/>
      <c r="CS145" s="1903"/>
      <c r="CT145" s="1903"/>
      <c r="CU145" s="1903"/>
      <c r="CV145" s="1903"/>
      <c r="CW145" s="1904">
        <v>4.8000000000000001E-2</v>
      </c>
      <c r="CX145" s="1904">
        <v>4.8000000000000001E-2</v>
      </c>
      <c r="CY145" s="1904">
        <v>4.8000000000000001E-2</v>
      </c>
      <c r="CZ145" s="1904">
        <v>4.8000000000000001E-2</v>
      </c>
      <c r="DA145" s="1941"/>
      <c r="DB145" s="1904">
        <v>4.8000000000000001E-2</v>
      </c>
      <c r="DC145" s="1904">
        <v>4.8000000000000001E-2</v>
      </c>
      <c r="DD145" s="1904">
        <v>4.8000000000000001E-2</v>
      </c>
      <c r="DE145" s="1903">
        <f>DD145</f>
        <v>4.8000000000000001E-2</v>
      </c>
      <c r="DF145" s="1899"/>
      <c r="DG145" s="1903">
        <f>DE145</f>
        <v>4.8000000000000001E-2</v>
      </c>
      <c r="DH145" s="1903">
        <f>DG145</f>
        <v>4.8000000000000001E-2</v>
      </c>
      <c r="DI145" s="1903">
        <f>DH145</f>
        <v>4.8000000000000001E-2</v>
      </c>
      <c r="DJ145" s="1903">
        <f>DI145</f>
        <v>4.8000000000000001E-2</v>
      </c>
      <c r="DK145" s="1899"/>
      <c r="DL145" s="1903">
        <f>DJ145</f>
        <v>4.8000000000000001E-2</v>
      </c>
      <c r="DM145" s="1903">
        <f>DL145</f>
        <v>4.8000000000000001E-2</v>
      </c>
      <c r="DN145" s="2215">
        <f>DM145</f>
        <v>4.8000000000000001E-2</v>
      </c>
      <c r="DO145" s="1903">
        <f>DN145</f>
        <v>4.8000000000000001E-2</v>
      </c>
      <c r="DP145" s="1899"/>
      <c r="DQ145" s="1903">
        <f>DO145</f>
        <v>4.8000000000000001E-2</v>
      </c>
      <c r="DR145" s="1903">
        <f>DQ145</f>
        <v>4.8000000000000001E-2</v>
      </c>
      <c r="DS145" s="1903">
        <f>DR145</f>
        <v>4.8000000000000001E-2</v>
      </c>
      <c r="DT145" s="1903">
        <f>DS145</f>
        <v>4.8000000000000001E-2</v>
      </c>
      <c r="DU145" s="1899"/>
      <c r="DV145" s="1903">
        <f>DT145</f>
        <v>4.8000000000000001E-2</v>
      </c>
      <c r="DW145" s="1903">
        <f>DV145</f>
        <v>4.8000000000000001E-2</v>
      </c>
      <c r="DX145" s="1903">
        <f>DW145</f>
        <v>4.8000000000000001E-2</v>
      </c>
      <c r="DY145" s="1903">
        <f>DX145</f>
        <v>4.8000000000000001E-2</v>
      </c>
      <c r="DZ145" s="1899"/>
      <c r="EA145" s="1903">
        <f>DY145</f>
        <v>4.8000000000000001E-2</v>
      </c>
      <c r="EB145" s="1903">
        <f>EA145</f>
        <v>4.8000000000000001E-2</v>
      </c>
      <c r="EC145" s="1903">
        <f>EB145</f>
        <v>4.8000000000000001E-2</v>
      </c>
      <c r="ED145" s="1903">
        <f>EC145</f>
        <v>4.8000000000000001E-2</v>
      </c>
      <c r="EE145" s="1899"/>
    </row>
    <row r="146" spans="2:135">
      <c r="B146" s="1895" t="s">
        <v>483</v>
      </c>
      <c r="C146" s="1569"/>
      <c r="D146" s="1569"/>
      <c r="E146" s="1569"/>
      <c r="F146" s="1569"/>
      <c r="G146" s="1569"/>
      <c r="H146" s="1569"/>
      <c r="I146" s="1569"/>
      <c r="J146" s="1569"/>
      <c r="K146" s="1569"/>
      <c r="L146" s="1569"/>
      <c r="M146" s="1569"/>
      <c r="N146" s="1569"/>
      <c r="O146" s="1569"/>
      <c r="P146" s="1569"/>
      <c r="Q146" s="1569"/>
      <c r="R146" s="1569"/>
      <c r="S146" s="1569"/>
      <c r="T146" s="1569"/>
      <c r="U146" s="1569"/>
      <c r="V146" s="1569"/>
      <c r="W146" s="1569"/>
      <c r="X146" s="1569"/>
      <c r="Y146" s="1569"/>
      <c r="Z146" s="1569"/>
      <c r="AA146" s="1569"/>
      <c r="AB146" s="1569"/>
      <c r="AC146" s="1569"/>
      <c r="AD146" s="1569"/>
      <c r="AE146" s="1569"/>
      <c r="AF146" s="1569"/>
      <c r="AG146" s="1569"/>
      <c r="AH146" s="1569"/>
      <c r="AI146" s="1569"/>
      <c r="AJ146" s="1569"/>
      <c r="AK146" s="1569"/>
      <c r="AL146" s="1569"/>
      <c r="AM146" s="1569"/>
      <c r="AN146" s="1569"/>
      <c r="AO146" s="1569"/>
      <c r="AP146" s="1569"/>
      <c r="AQ146" s="1569"/>
      <c r="AR146" s="1569"/>
      <c r="AS146" s="1569"/>
      <c r="AT146" s="1569"/>
      <c r="AU146" s="1569"/>
      <c r="AV146" s="1569"/>
      <c r="AW146" s="1569"/>
      <c r="AX146" s="1569"/>
      <c r="AY146" s="1569"/>
      <c r="AZ146" s="1569"/>
      <c r="BA146" s="1569"/>
      <c r="BB146" s="1569"/>
      <c r="BC146" s="1569"/>
      <c r="BD146" s="1569"/>
      <c r="BE146" s="1569"/>
      <c r="BF146" s="1569"/>
      <c r="BG146" s="1569"/>
      <c r="BH146" s="1569"/>
      <c r="BI146" s="1569"/>
      <c r="BJ146" s="1569"/>
      <c r="BK146" s="1569"/>
      <c r="BL146" s="1569"/>
      <c r="BM146" s="1569"/>
      <c r="BN146" s="1569"/>
      <c r="BO146" s="1569"/>
      <c r="BP146" s="1569"/>
      <c r="BQ146" s="1569"/>
      <c r="BR146" s="1569"/>
      <c r="BS146" s="1569"/>
      <c r="BT146" s="1569"/>
      <c r="BU146" s="1569"/>
      <c r="BV146" s="1569"/>
      <c r="BW146" s="1569"/>
      <c r="BX146" s="1569"/>
      <c r="BY146" s="1569"/>
      <c r="BZ146" s="1569"/>
      <c r="CA146" s="1569"/>
      <c r="CB146" s="1569"/>
      <c r="CC146" s="1569"/>
      <c r="CD146" s="1569"/>
      <c r="CE146" s="1569"/>
      <c r="CF146" s="1569"/>
      <c r="CG146" s="1569"/>
      <c r="CH146" s="1569"/>
      <c r="CI146" s="1569"/>
      <c r="CJ146" s="1569"/>
      <c r="CK146" s="1569"/>
      <c r="CL146" s="1569"/>
      <c r="CM146" s="1569"/>
      <c r="CN146" s="1569"/>
      <c r="CO146" s="1569"/>
      <c r="CP146" s="1569"/>
      <c r="CQ146" s="1569"/>
      <c r="CR146" s="1569"/>
      <c r="CS146" s="1569"/>
      <c r="CT146" s="1569"/>
      <c r="CU146" s="1569"/>
      <c r="CV146" s="1569"/>
      <c r="CW146" s="1569"/>
      <c r="CX146" s="1569"/>
      <c r="CY146" s="1569"/>
      <c r="CZ146" s="1569"/>
      <c r="DA146" s="1900"/>
      <c r="DB146" s="1569"/>
      <c r="DC146" s="1569"/>
      <c r="DD146" s="1569"/>
      <c r="DE146" s="1569">
        <f>DD148</f>
        <v>1491</v>
      </c>
      <c r="DF146" s="1900"/>
      <c r="DG146" s="1569">
        <f>DE148</f>
        <v>1491</v>
      </c>
      <c r="DH146" s="1569">
        <f>DG148</f>
        <v>1491</v>
      </c>
      <c r="DI146" s="1569">
        <f>DH148</f>
        <v>1491</v>
      </c>
      <c r="DJ146" s="1569">
        <f>DI148</f>
        <v>1491</v>
      </c>
      <c r="DK146" s="1900"/>
      <c r="DL146" s="1569">
        <f>DJ148</f>
        <v>1491</v>
      </c>
      <c r="DM146" s="1569">
        <f>DL148</f>
        <v>1491</v>
      </c>
      <c r="DN146" s="38">
        <f>DM148</f>
        <v>1491</v>
      </c>
      <c r="DO146" s="1569">
        <f>DN148</f>
        <v>1491</v>
      </c>
      <c r="DP146" s="1900"/>
      <c r="DQ146" s="1569">
        <f>DO148</f>
        <v>1491</v>
      </c>
      <c r="DR146" s="1569">
        <f>DQ148</f>
        <v>1491</v>
      </c>
      <c r="DS146" s="1569">
        <f>DR148</f>
        <v>1491</v>
      </c>
      <c r="DT146" s="1569">
        <f>DS148</f>
        <v>1491</v>
      </c>
      <c r="DU146" s="1900"/>
      <c r="DV146" s="1569">
        <f>DT148</f>
        <v>1491</v>
      </c>
      <c r="DW146" s="1569">
        <f>DV148</f>
        <v>1491</v>
      </c>
      <c r="DX146" s="1569">
        <f>DW148</f>
        <v>1491</v>
      </c>
      <c r="DY146" s="1569">
        <f>DX148</f>
        <v>1491</v>
      </c>
      <c r="DZ146" s="1900"/>
      <c r="EA146" s="1569">
        <f>DY148</f>
        <v>1491</v>
      </c>
      <c r="EB146" s="1569">
        <f>EA148</f>
        <v>1491</v>
      </c>
      <c r="EC146" s="1569">
        <f>EB148</f>
        <v>1491</v>
      </c>
      <c r="ED146" s="1569">
        <f>EC148</f>
        <v>1491</v>
      </c>
      <c r="EE146" s="1900"/>
    </row>
    <row r="147" spans="2:135">
      <c r="B147" s="1895" t="s">
        <v>484</v>
      </c>
      <c r="C147" s="1569"/>
      <c r="D147" s="1569"/>
      <c r="E147" s="1569"/>
      <c r="F147" s="1569"/>
      <c r="G147" s="1569"/>
      <c r="H147" s="1569"/>
      <c r="I147" s="1569"/>
      <c r="J147" s="1569"/>
      <c r="K147" s="1569"/>
      <c r="L147" s="1569"/>
      <c r="M147" s="1569"/>
      <c r="N147" s="1569"/>
      <c r="O147" s="1569"/>
      <c r="P147" s="1569"/>
      <c r="Q147" s="1569"/>
      <c r="R147" s="1569"/>
      <c r="S147" s="1569"/>
      <c r="T147" s="1569"/>
      <c r="U147" s="1569"/>
      <c r="V147" s="1569"/>
      <c r="W147" s="1569"/>
      <c r="X147" s="1569"/>
      <c r="Y147" s="1569"/>
      <c r="Z147" s="1569"/>
      <c r="AA147" s="1569"/>
      <c r="AB147" s="1569"/>
      <c r="AC147" s="1569"/>
      <c r="AD147" s="1569"/>
      <c r="AE147" s="1569"/>
      <c r="AF147" s="1569"/>
      <c r="AG147" s="1569"/>
      <c r="AH147" s="1569"/>
      <c r="AI147" s="1569"/>
      <c r="AJ147" s="1569"/>
      <c r="AK147" s="1569"/>
      <c r="AL147" s="1569"/>
      <c r="AM147" s="1569"/>
      <c r="AN147" s="1569"/>
      <c r="AO147" s="1569"/>
      <c r="AP147" s="1569"/>
      <c r="AQ147" s="1569"/>
      <c r="AR147" s="1569"/>
      <c r="AS147" s="1569"/>
      <c r="AT147" s="1569"/>
      <c r="AU147" s="1569"/>
      <c r="AV147" s="1569"/>
      <c r="AW147" s="1569"/>
      <c r="AX147" s="1569"/>
      <c r="AY147" s="1569"/>
      <c r="AZ147" s="1569"/>
      <c r="BA147" s="1569"/>
      <c r="BB147" s="1569"/>
      <c r="BC147" s="1569"/>
      <c r="BD147" s="1569"/>
      <c r="BE147" s="1569"/>
      <c r="BF147" s="1569"/>
      <c r="BG147" s="1569"/>
      <c r="BH147" s="1569"/>
      <c r="BI147" s="1569"/>
      <c r="BJ147" s="1569"/>
      <c r="BK147" s="1569"/>
      <c r="BL147" s="1569"/>
      <c r="BM147" s="1569"/>
      <c r="BN147" s="1569"/>
      <c r="BO147" s="1569"/>
      <c r="BP147" s="1569"/>
      <c r="BQ147" s="1569"/>
      <c r="BR147" s="1569"/>
      <c r="BS147" s="1569"/>
      <c r="BT147" s="1569"/>
      <c r="BU147" s="1569"/>
      <c r="BV147" s="1569"/>
      <c r="BW147" s="1569"/>
      <c r="BX147" s="1569"/>
      <c r="BY147" s="1569"/>
      <c r="BZ147" s="1569"/>
      <c r="CA147" s="1569"/>
      <c r="CB147" s="1569"/>
      <c r="CC147" s="1569"/>
      <c r="CD147" s="1569"/>
      <c r="CE147" s="1569"/>
      <c r="CF147" s="1569"/>
      <c r="CG147" s="1569"/>
      <c r="CH147" s="1569"/>
      <c r="CI147" s="1569"/>
      <c r="CJ147" s="1569"/>
      <c r="CK147" s="1569"/>
      <c r="CL147" s="1569"/>
      <c r="CM147" s="1569"/>
      <c r="CN147" s="1569"/>
      <c r="CO147" s="1569"/>
      <c r="CP147" s="1569"/>
      <c r="CQ147" s="1569"/>
      <c r="CR147" s="1569"/>
      <c r="CS147" s="1569"/>
      <c r="CT147" s="1569"/>
      <c r="CU147" s="1569"/>
      <c r="CV147" s="1569"/>
      <c r="CW147" s="1569"/>
      <c r="CX147" s="1569"/>
      <c r="CY147" s="1569"/>
      <c r="CZ147" s="1569"/>
      <c r="DA147" s="1900"/>
      <c r="DB147" s="1569"/>
      <c r="DC147" s="1569"/>
      <c r="DD147" s="1569"/>
      <c r="DE147" s="1569"/>
      <c r="DF147" s="1900"/>
      <c r="DG147" s="1569"/>
      <c r="DH147" s="1569"/>
      <c r="DI147" s="1569"/>
      <c r="DJ147" s="1569"/>
      <c r="DK147" s="1900"/>
      <c r="DL147" s="1569">
        <v>0</v>
      </c>
      <c r="DM147" s="1569"/>
      <c r="DN147" s="38"/>
      <c r="DO147" s="1569"/>
      <c r="DP147" s="1900"/>
      <c r="DQ147" s="1569"/>
      <c r="DR147" s="1569"/>
      <c r="DS147" s="1569"/>
      <c r="DT147" s="1569"/>
      <c r="DU147" s="1900"/>
      <c r="DV147" s="1569"/>
      <c r="DW147" s="1569"/>
      <c r="DX147" s="1569"/>
      <c r="DY147" s="1569"/>
      <c r="DZ147" s="1900"/>
      <c r="EA147" s="1569"/>
      <c r="EB147" s="1569"/>
      <c r="EC147" s="1569"/>
      <c r="ED147" s="1569"/>
      <c r="EE147" s="1900"/>
    </row>
    <row r="148" spans="2:135">
      <c r="B148" s="1895" t="s">
        <v>485</v>
      </c>
      <c r="C148" s="1569"/>
      <c r="D148" s="1569"/>
      <c r="E148" s="1569"/>
      <c r="F148" s="1569"/>
      <c r="G148" s="1569"/>
      <c r="H148" s="1569"/>
      <c r="I148" s="1569"/>
      <c r="J148" s="1569"/>
      <c r="K148" s="1569"/>
      <c r="L148" s="1569"/>
      <c r="M148" s="1569"/>
      <c r="N148" s="1569"/>
      <c r="O148" s="1569"/>
      <c r="P148" s="1569"/>
      <c r="Q148" s="1569"/>
      <c r="R148" s="1569"/>
      <c r="S148" s="1569"/>
      <c r="T148" s="1569"/>
      <c r="U148" s="1569"/>
      <c r="V148" s="1569"/>
      <c r="W148" s="1569"/>
      <c r="X148" s="1569"/>
      <c r="Y148" s="1569"/>
      <c r="Z148" s="1569"/>
      <c r="AA148" s="1569"/>
      <c r="AB148" s="1569"/>
      <c r="AC148" s="1569"/>
      <c r="AD148" s="1569"/>
      <c r="AE148" s="1569"/>
      <c r="AF148" s="1569"/>
      <c r="AG148" s="1569"/>
      <c r="AH148" s="1569"/>
      <c r="AI148" s="1569"/>
      <c r="AJ148" s="1569"/>
      <c r="AK148" s="1569"/>
      <c r="AL148" s="1569"/>
      <c r="AM148" s="1569"/>
      <c r="AN148" s="1569"/>
      <c r="AO148" s="1569"/>
      <c r="AP148" s="1569"/>
      <c r="AQ148" s="1569"/>
      <c r="AR148" s="1569"/>
      <c r="AS148" s="1569"/>
      <c r="AT148" s="1569"/>
      <c r="AU148" s="1569"/>
      <c r="AV148" s="1569"/>
      <c r="AW148" s="1569"/>
      <c r="AX148" s="1569"/>
      <c r="AY148" s="1569"/>
      <c r="AZ148" s="1569"/>
      <c r="BA148" s="1569"/>
      <c r="BB148" s="1569"/>
      <c r="BC148" s="1569"/>
      <c r="BD148" s="1569"/>
      <c r="BE148" s="1569"/>
      <c r="BF148" s="1569"/>
      <c r="BG148" s="1569"/>
      <c r="BH148" s="1569"/>
      <c r="BI148" s="1569"/>
      <c r="BJ148" s="1569"/>
      <c r="BK148" s="1569"/>
      <c r="BL148" s="1569"/>
      <c r="BM148" s="1569"/>
      <c r="BN148" s="1569"/>
      <c r="BO148" s="1569"/>
      <c r="BP148" s="1569"/>
      <c r="BQ148" s="1569"/>
      <c r="BR148" s="1569"/>
      <c r="BS148" s="1569"/>
      <c r="BT148" s="1569"/>
      <c r="BU148" s="1569"/>
      <c r="BV148" s="1569"/>
      <c r="BW148" s="1569"/>
      <c r="BX148" s="1569"/>
      <c r="BY148" s="1569"/>
      <c r="BZ148" s="1569"/>
      <c r="CA148" s="1569"/>
      <c r="CB148" s="1569"/>
      <c r="CC148" s="1569"/>
      <c r="CD148" s="1569"/>
      <c r="CE148" s="1569"/>
      <c r="CF148" s="1569"/>
      <c r="CG148" s="1569"/>
      <c r="CH148" s="1569"/>
      <c r="CI148" s="1569"/>
      <c r="CJ148" s="1569"/>
      <c r="CK148" s="1569"/>
      <c r="CL148" s="1569"/>
      <c r="CM148" s="1569"/>
      <c r="CN148" s="1569"/>
      <c r="CO148" s="1569"/>
      <c r="CP148" s="1569"/>
      <c r="CQ148" s="1569"/>
      <c r="CR148" s="1569"/>
      <c r="CS148" s="1569"/>
      <c r="CT148" s="1569"/>
      <c r="CU148" s="1569"/>
      <c r="CV148" s="1569"/>
      <c r="CW148" s="1569"/>
      <c r="CX148" s="1569"/>
      <c r="CY148" s="1569"/>
      <c r="CZ148" s="1569"/>
      <c r="DA148" s="1900"/>
      <c r="DB148" s="1569"/>
      <c r="DC148" s="1569"/>
      <c r="DD148" s="1569">
        <v>1491</v>
      </c>
      <c r="DE148" s="1569">
        <f>SUM(DE146:DE147)</f>
        <v>1491</v>
      </c>
      <c r="DF148" s="1900"/>
      <c r="DG148" s="1569">
        <f>SUM(DG146:DG147)</f>
        <v>1491</v>
      </c>
      <c r="DH148" s="1569">
        <f>SUM(DH146:DH147)</f>
        <v>1491</v>
      </c>
      <c r="DI148" s="1569">
        <f>SUM(DI146:DI147)</f>
        <v>1491</v>
      </c>
      <c r="DJ148" s="1569">
        <f>SUM(DJ146:DJ147)</f>
        <v>1491</v>
      </c>
      <c r="DK148" s="1900"/>
      <c r="DL148" s="1569">
        <f>SUM(DL146:DL147)</f>
        <v>1491</v>
      </c>
      <c r="DM148" s="1569">
        <f>SUM(DM146:DM147)</f>
        <v>1491</v>
      </c>
      <c r="DN148" s="38">
        <f>SUM(DN146:DN147)</f>
        <v>1491</v>
      </c>
      <c r="DO148" s="1569">
        <f>SUM(DO146:DO147)</f>
        <v>1491</v>
      </c>
      <c r="DP148" s="1900"/>
      <c r="DQ148" s="1569">
        <f>SUM(DQ146:DQ147)</f>
        <v>1491</v>
      </c>
      <c r="DR148" s="1569">
        <f>SUM(DR146:DR147)</f>
        <v>1491</v>
      </c>
      <c r="DS148" s="1569">
        <f>SUM(DS146:DS147)</f>
        <v>1491</v>
      </c>
      <c r="DT148" s="1569">
        <f>SUM(DT146:DT147)</f>
        <v>1491</v>
      </c>
      <c r="DU148" s="1900"/>
      <c r="DV148" s="1569">
        <f>SUM(DV146:DV147)</f>
        <v>1491</v>
      </c>
      <c r="DW148" s="1569">
        <f>SUM(DW146:DW147)</f>
        <v>1491</v>
      </c>
      <c r="DX148" s="1569">
        <f>SUM(DX146:DX147)</f>
        <v>1491</v>
      </c>
      <c r="DY148" s="1569">
        <f>SUM(DY146:DY147)</f>
        <v>1491</v>
      </c>
      <c r="DZ148" s="1900"/>
      <c r="EA148" s="1569">
        <f>SUM(EA146:EA147)</f>
        <v>1491</v>
      </c>
      <c r="EB148" s="1569">
        <f>SUM(EB146:EB147)</f>
        <v>1491</v>
      </c>
      <c r="EC148" s="1569">
        <f>SUM(EC146:EC147)</f>
        <v>1491</v>
      </c>
      <c r="ED148" s="1569">
        <f>SUM(ED146:ED147)</f>
        <v>1491</v>
      </c>
      <c r="EE148" s="1900"/>
    </row>
    <row r="149" spans="2:135" ht="12" thickBot="1">
      <c r="B149" s="1896" t="s">
        <v>400</v>
      </c>
      <c r="C149" s="1897"/>
      <c r="D149" s="1897"/>
      <c r="E149" s="1897"/>
      <c r="F149" s="1897"/>
      <c r="G149" s="1897"/>
      <c r="H149" s="1897"/>
      <c r="I149" s="1897"/>
      <c r="J149" s="1897"/>
      <c r="K149" s="1897"/>
      <c r="L149" s="1897"/>
      <c r="M149" s="1897"/>
      <c r="N149" s="1897"/>
      <c r="O149" s="1897"/>
      <c r="P149" s="1897"/>
      <c r="Q149" s="1897"/>
      <c r="R149" s="1897"/>
      <c r="S149" s="1897"/>
      <c r="T149" s="1897"/>
      <c r="U149" s="1897"/>
      <c r="V149" s="1897"/>
      <c r="W149" s="1897"/>
      <c r="X149" s="1897"/>
      <c r="Y149" s="1897"/>
      <c r="Z149" s="1897"/>
      <c r="AA149" s="1897"/>
      <c r="AB149" s="1897"/>
      <c r="AC149" s="1897"/>
      <c r="AD149" s="1897"/>
      <c r="AE149" s="1897"/>
      <c r="AF149" s="1897"/>
      <c r="AG149" s="1897"/>
      <c r="AH149" s="1897"/>
      <c r="AI149" s="1897"/>
      <c r="AJ149" s="1897"/>
      <c r="AK149" s="1897"/>
      <c r="AL149" s="1897"/>
      <c r="AM149" s="1897"/>
      <c r="AN149" s="1897"/>
      <c r="AO149" s="1897"/>
      <c r="AP149" s="1897"/>
      <c r="AQ149" s="1897"/>
      <c r="AR149" s="1897"/>
      <c r="AS149" s="1897"/>
      <c r="AT149" s="1897"/>
      <c r="AU149" s="1897"/>
      <c r="AV149" s="1897"/>
      <c r="AW149" s="1897"/>
      <c r="AX149" s="1897"/>
      <c r="AY149" s="1897"/>
      <c r="AZ149" s="1897"/>
      <c r="BA149" s="1897"/>
      <c r="BB149" s="1897"/>
      <c r="BC149" s="1897"/>
      <c r="BD149" s="1897"/>
      <c r="BE149" s="1897"/>
      <c r="BF149" s="1897"/>
      <c r="BG149" s="1897"/>
      <c r="BH149" s="1897"/>
      <c r="BI149" s="1897"/>
      <c r="BJ149" s="1897"/>
      <c r="BK149" s="1897"/>
      <c r="BL149" s="1897"/>
      <c r="BM149" s="1897"/>
      <c r="BN149" s="1897"/>
      <c r="BO149" s="1897"/>
      <c r="BP149" s="1897"/>
      <c r="BQ149" s="1897"/>
      <c r="BR149" s="1897"/>
      <c r="BS149" s="1897"/>
      <c r="BT149" s="1897"/>
      <c r="BU149" s="1897"/>
      <c r="BV149" s="1897"/>
      <c r="BW149" s="1897"/>
      <c r="BX149" s="1897"/>
      <c r="BY149" s="1897"/>
      <c r="BZ149" s="1897"/>
      <c r="CA149" s="1897"/>
      <c r="CB149" s="1897"/>
      <c r="CC149" s="1897"/>
      <c r="CD149" s="1897"/>
      <c r="CE149" s="1897"/>
      <c r="CF149" s="1897"/>
      <c r="CG149" s="1897"/>
      <c r="CH149" s="1897"/>
      <c r="CI149" s="1897"/>
      <c r="CJ149" s="1897"/>
      <c r="CK149" s="1897"/>
      <c r="CL149" s="1897"/>
      <c r="CM149" s="1897"/>
      <c r="CN149" s="1897"/>
      <c r="CO149" s="1897"/>
      <c r="CP149" s="1897"/>
      <c r="CQ149" s="1897"/>
      <c r="CR149" s="1897"/>
      <c r="CS149" s="1897"/>
      <c r="CT149" s="1897"/>
      <c r="CU149" s="1897"/>
      <c r="CV149" s="1897"/>
      <c r="CW149" s="1897"/>
      <c r="CX149" s="1897"/>
      <c r="CY149" s="1897"/>
      <c r="CZ149" s="1897"/>
      <c r="DA149" s="1901"/>
      <c r="DB149" s="1897"/>
      <c r="DC149" s="1897"/>
      <c r="DD149" s="1897"/>
      <c r="DE149" s="1897">
        <f>AVERAGE(DE146,DE148)*(DE145/4)</f>
        <v>17.891999999999999</v>
      </c>
      <c r="DF149" s="1901"/>
      <c r="DG149" s="1897">
        <f>AVERAGE(DG146,DG148)*(DG145/4)</f>
        <v>17.891999999999999</v>
      </c>
      <c r="DH149" s="1897">
        <f>AVERAGE(DH146,DH148)*(DH145/4)</f>
        <v>17.891999999999999</v>
      </c>
      <c r="DI149" s="1897">
        <f>AVERAGE(DI146,DI148)*(DI145/4)</f>
        <v>17.891999999999999</v>
      </c>
      <c r="DJ149" s="1897">
        <f>AVERAGE(DJ146,DJ148)*(DJ145/4)</f>
        <v>17.891999999999999</v>
      </c>
      <c r="DK149" s="1901"/>
      <c r="DL149" s="1897">
        <f>AVERAGE(DL146,DL148)*(DL145/4)</f>
        <v>17.891999999999999</v>
      </c>
      <c r="DM149" s="1897">
        <f>AVERAGE(DM146,DM148)*(DM145/4)</f>
        <v>17.891999999999999</v>
      </c>
      <c r="DN149" s="2214">
        <f>AVERAGE(DN146,DN148)*(DN145/4)</f>
        <v>17.891999999999999</v>
      </c>
      <c r="DO149" s="1897">
        <f>AVERAGE(DO146,DO148)*(DO145/4)</f>
        <v>17.891999999999999</v>
      </c>
      <c r="DP149" s="1901"/>
      <c r="DQ149" s="1897">
        <f>AVERAGE(DQ146,DQ148)*(DQ145/4)</f>
        <v>17.891999999999999</v>
      </c>
      <c r="DR149" s="1897">
        <f>AVERAGE(DR146,DR148)*(DR145/4)</f>
        <v>17.891999999999999</v>
      </c>
      <c r="DS149" s="1897">
        <f>AVERAGE(DS146,DS148)*(DS145/4)</f>
        <v>17.891999999999999</v>
      </c>
      <c r="DT149" s="1897">
        <f>AVERAGE(DT146,DT148)*(DT145/4)</f>
        <v>17.891999999999999</v>
      </c>
      <c r="DU149" s="1901"/>
      <c r="DV149" s="1897">
        <f>AVERAGE(DV146,DV148)*(DV145/4)</f>
        <v>17.891999999999999</v>
      </c>
      <c r="DW149" s="1897">
        <f>AVERAGE(DW146,DW148)*(DW145/4)</f>
        <v>17.891999999999999</v>
      </c>
      <c r="DX149" s="1897">
        <f>AVERAGE(DX146,DX148)*(DX145/4)</f>
        <v>17.891999999999999</v>
      </c>
      <c r="DY149" s="1897">
        <f>AVERAGE(DY146,DY148)*(DY145/4)</f>
        <v>17.891999999999999</v>
      </c>
      <c r="DZ149" s="1901"/>
      <c r="EA149" s="1897">
        <f>AVERAGE(EA146,EA148)*(EA145/4)</f>
        <v>17.891999999999999</v>
      </c>
      <c r="EB149" s="1897">
        <f>AVERAGE(EB146,EB148)*(EB145/4)</f>
        <v>17.891999999999999</v>
      </c>
      <c r="EC149" s="1897">
        <f>AVERAGE(EC146,EC148)*(EC145/4)</f>
        <v>17.891999999999999</v>
      </c>
      <c r="ED149" s="1897">
        <f>AVERAGE(ED146,ED148)*(ED145/4)</f>
        <v>17.891999999999999</v>
      </c>
      <c r="EE149" s="1901"/>
    </row>
    <row r="150" spans="2:135" s="2207" customFormat="1" ht="12" thickBot="1">
      <c r="B150" s="1569"/>
      <c r="C150" s="1569"/>
      <c r="D150" s="1569"/>
      <c r="E150" s="1569"/>
      <c r="F150" s="1569"/>
      <c r="G150" s="1569"/>
      <c r="H150" s="1569"/>
      <c r="I150" s="1569"/>
      <c r="J150" s="1569"/>
      <c r="K150" s="1569"/>
      <c r="L150" s="1569"/>
      <c r="M150" s="1569"/>
      <c r="N150" s="1569"/>
      <c r="O150" s="1569"/>
      <c r="P150" s="1569"/>
      <c r="Q150" s="1569"/>
      <c r="R150" s="1569"/>
      <c r="S150" s="1569"/>
      <c r="T150" s="1569"/>
      <c r="U150" s="1569"/>
      <c r="V150" s="1569"/>
      <c r="W150" s="1569"/>
      <c r="X150" s="1569"/>
      <c r="Y150" s="1569"/>
      <c r="Z150" s="1569"/>
      <c r="AA150" s="1569"/>
      <c r="AB150" s="1569"/>
      <c r="AC150" s="1569"/>
      <c r="AD150" s="1569"/>
      <c r="AE150" s="1569"/>
      <c r="AF150" s="1569"/>
      <c r="AG150" s="1569"/>
      <c r="AH150" s="1569"/>
      <c r="AI150" s="1569"/>
      <c r="AJ150" s="1569"/>
      <c r="AK150" s="1569"/>
      <c r="AL150" s="1569"/>
      <c r="AM150" s="1569"/>
      <c r="AN150" s="1569"/>
      <c r="AO150" s="1569"/>
      <c r="AP150" s="1569"/>
      <c r="AQ150" s="1569"/>
      <c r="AR150" s="1569"/>
      <c r="AS150" s="1569"/>
      <c r="AT150" s="1569"/>
      <c r="AU150" s="1569"/>
      <c r="AV150" s="1569"/>
      <c r="AW150" s="1569"/>
      <c r="AX150" s="1569"/>
      <c r="AY150" s="1569"/>
      <c r="AZ150" s="1569"/>
      <c r="BA150" s="1569"/>
      <c r="BB150" s="1569"/>
      <c r="BC150" s="1569"/>
      <c r="BD150" s="1569"/>
      <c r="BE150" s="1569"/>
      <c r="BF150" s="1569"/>
      <c r="BG150" s="1569"/>
      <c r="BH150" s="1569"/>
      <c r="BI150" s="1569"/>
      <c r="BJ150" s="1569"/>
      <c r="BK150" s="1569"/>
      <c r="BL150" s="1569"/>
      <c r="BM150" s="1569"/>
      <c r="BN150" s="1569"/>
      <c r="BO150" s="1569"/>
      <c r="BP150" s="1569"/>
      <c r="BQ150" s="1569"/>
      <c r="BR150" s="1569"/>
      <c r="BS150" s="1569"/>
      <c r="BT150" s="1569"/>
      <c r="BU150" s="1569"/>
      <c r="BV150" s="1569"/>
      <c r="BW150" s="1569"/>
      <c r="BX150" s="1569"/>
      <c r="BY150" s="1569"/>
      <c r="BZ150" s="1569"/>
      <c r="CA150" s="1569"/>
      <c r="CB150" s="1569"/>
      <c r="CC150" s="1569"/>
      <c r="CD150" s="1569"/>
      <c r="CE150" s="1569"/>
      <c r="CF150" s="1569"/>
      <c r="CG150" s="1569"/>
      <c r="CH150" s="1569"/>
      <c r="CI150" s="1569"/>
      <c r="CJ150" s="1569"/>
      <c r="CK150" s="1569"/>
      <c r="CL150" s="1569"/>
      <c r="CM150" s="1569"/>
      <c r="CN150" s="1569"/>
      <c r="CO150" s="1569"/>
      <c r="CP150" s="1569"/>
      <c r="CQ150" s="1569"/>
      <c r="CR150" s="1569"/>
      <c r="CS150" s="1569"/>
      <c r="CT150" s="1569"/>
      <c r="CU150" s="1569"/>
      <c r="CV150" s="1569"/>
      <c r="CW150" s="1569"/>
      <c r="CX150" s="1569"/>
      <c r="CY150" s="1569"/>
      <c r="CZ150" s="1569"/>
      <c r="DA150" s="1569"/>
      <c r="DB150" s="1569"/>
      <c r="DC150" s="1569"/>
      <c r="DD150" s="1569"/>
      <c r="DE150" s="1569"/>
      <c r="DF150" s="1569"/>
      <c r="DG150" s="1569"/>
      <c r="DH150" s="1569"/>
      <c r="DI150" s="1569"/>
      <c r="DJ150" s="1569"/>
      <c r="DK150" s="1569"/>
      <c r="DL150" s="1569"/>
      <c r="DM150" s="1569"/>
      <c r="DN150" s="2230"/>
      <c r="DO150" s="1569"/>
      <c r="DP150" s="1569"/>
      <c r="DQ150" s="1569"/>
      <c r="DR150" s="1569"/>
      <c r="DS150" s="1569"/>
      <c r="DT150" s="1569"/>
      <c r="DU150" s="1569"/>
      <c r="DV150" s="1569"/>
      <c r="DW150" s="1569"/>
      <c r="DX150" s="1569"/>
      <c r="DY150" s="1569"/>
      <c r="DZ150" s="1569"/>
      <c r="EA150" s="1569"/>
      <c r="EB150" s="1569"/>
      <c r="EC150" s="1569"/>
      <c r="ED150" s="1569"/>
      <c r="EE150" s="1569"/>
    </row>
    <row r="151" spans="2:135" s="2207" customFormat="1" ht="12" thickBot="1">
      <c r="B151" s="754" t="s">
        <v>605</v>
      </c>
      <c r="C151" s="684"/>
      <c r="D151" s="684"/>
      <c r="E151" s="684"/>
      <c r="F151" s="684"/>
      <c r="G151" s="684"/>
      <c r="H151" s="684"/>
      <c r="I151" s="684"/>
      <c r="J151" s="684"/>
      <c r="K151" s="684"/>
      <c r="L151" s="684"/>
      <c r="M151" s="684"/>
      <c r="N151" s="684"/>
      <c r="O151" s="684"/>
      <c r="P151" s="684"/>
      <c r="Q151" s="684"/>
      <c r="R151" s="684"/>
      <c r="S151" s="684"/>
      <c r="T151" s="684"/>
      <c r="U151" s="684"/>
      <c r="V151" s="684"/>
      <c r="W151" s="684"/>
      <c r="X151" s="684"/>
      <c r="Y151" s="684"/>
      <c r="Z151" s="684"/>
      <c r="AA151" s="684"/>
      <c r="AB151" s="684"/>
      <c r="AC151" s="684"/>
      <c r="AD151" s="684"/>
      <c r="AE151" s="684"/>
      <c r="AF151" s="684"/>
      <c r="AG151" s="684"/>
      <c r="AH151" s="684"/>
      <c r="AI151" s="684"/>
      <c r="AJ151" s="684"/>
      <c r="AK151" s="684"/>
      <c r="AL151" s="684"/>
      <c r="AM151" s="684"/>
      <c r="AN151" s="684"/>
      <c r="AO151" s="684"/>
      <c r="AP151" s="684"/>
      <c r="AQ151" s="684"/>
      <c r="AR151" s="684"/>
      <c r="AS151" s="684"/>
      <c r="AT151" s="684"/>
      <c r="AU151" s="684"/>
      <c r="AV151" s="684"/>
      <c r="AW151" s="684"/>
      <c r="AX151" s="684"/>
      <c r="AY151" s="684"/>
      <c r="AZ151" s="684"/>
      <c r="BA151" s="684"/>
      <c r="BB151" s="684"/>
      <c r="BC151" s="684"/>
      <c r="BD151" s="684"/>
      <c r="BE151" s="684"/>
      <c r="BF151" s="684"/>
      <c r="BG151" s="684"/>
      <c r="BH151" s="684"/>
      <c r="BI151" s="684"/>
      <c r="BJ151" s="684"/>
      <c r="BK151" s="684"/>
      <c r="BL151" s="684"/>
      <c r="BM151" s="684"/>
      <c r="BN151" s="684"/>
      <c r="BO151" s="684"/>
      <c r="BP151" s="684"/>
      <c r="BQ151" s="684"/>
      <c r="BR151" s="684"/>
      <c r="BS151" s="684"/>
      <c r="BT151" s="684"/>
      <c r="BU151" s="684"/>
      <c r="BV151" s="684"/>
      <c r="BW151" s="684"/>
      <c r="BX151" s="684"/>
      <c r="BY151" s="684"/>
      <c r="BZ151" s="684"/>
      <c r="CA151" s="684"/>
      <c r="CB151" s="684"/>
      <c r="CC151" s="684"/>
      <c r="CD151" s="684"/>
      <c r="CE151" s="684"/>
      <c r="CF151" s="684"/>
      <c r="CG151" s="684"/>
      <c r="CH151" s="684"/>
      <c r="CI151" s="684"/>
      <c r="CJ151" s="684"/>
      <c r="CK151" s="684"/>
      <c r="CL151" s="684"/>
      <c r="CM151" s="684"/>
      <c r="CN151" s="684"/>
      <c r="CO151" s="684"/>
      <c r="CP151" s="684"/>
      <c r="CQ151" s="684"/>
      <c r="CR151" s="684"/>
      <c r="CS151" s="684"/>
      <c r="CT151" s="684"/>
      <c r="CU151" s="684"/>
      <c r="CV151" s="684"/>
      <c r="CW151" s="684"/>
      <c r="CX151" s="684"/>
      <c r="CY151" s="684"/>
      <c r="CZ151" s="684"/>
      <c r="DA151" s="684"/>
      <c r="DB151" s="684"/>
      <c r="DC151" s="684"/>
      <c r="DD151" s="684"/>
      <c r="DE151" s="684"/>
      <c r="DF151" s="684"/>
      <c r="DG151" s="684"/>
      <c r="DH151" s="684"/>
      <c r="DI151" s="684"/>
      <c r="DJ151" s="684"/>
      <c r="DK151" s="684"/>
      <c r="DL151" s="684"/>
      <c r="DM151" s="684"/>
      <c r="DN151" s="2232"/>
      <c r="DO151" s="684"/>
      <c r="DP151" s="1894"/>
      <c r="DQ151" s="684"/>
      <c r="DR151" s="684"/>
      <c r="DS151" s="684"/>
      <c r="DT151" s="684"/>
      <c r="DU151" s="1894"/>
      <c r="DV151" s="684"/>
      <c r="DW151" s="684"/>
      <c r="DX151" s="684"/>
      <c r="DY151" s="684"/>
      <c r="DZ151" s="1894"/>
      <c r="EA151" s="684"/>
      <c r="EB151" s="684"/>
      <c r="EC151" s="684"/>
      <c r="ED151" s="684"/>
      <c r="EE151" s="1894"/>
    </row>
    <row r="152" spans="2:135" s="2207" customFormat="1">
      <c r="B152" s="1902" t="s">
        <v>498</v>
      </c>
      <c r="C152" s="1903"/>
      <c r="D152" s="1903"/>
      <c r="E152" s="1903"/>
      <c r="F152" s="1903"/>
      <c r="G152" s="1903"/>
      <c r="H152" s="1903"/>
      <c r="I152" s="1903"/>
      <c r="J152" s="1903"/>
      <c r="K152" s="1903"/>
      <c r="L152" s="1903"/>
      <c r="M152" s="1903"/>
      <c r="N152" s="1903"/>
      <c r="O152" s="1903"/>
      <c r="P152" s="1903"/>
      <c r="Q152" s="1903"/>
      <c r="R152" s="1903"/>
      <c r="S152" s="1903"/>
      <c r="T152" s="1903"/>
      <c r="U152" s="1903"/>
      <c r="V152" s="1903"/>
      <c r="W152" s="1903"/>
      <c r="X152" s="1903"/>
      <c r="Y152" s="1903"/>
      <c r="Z152" s="1903"/>
      <c r="AA152" s="1903"/>
      <c r="AB152" s="1903"/>
      <c r="AC152" s="1903"/>
      <c r="AD152" s="1903"/>
      <c r="AE152" s="1903"/>
      <c r="AF152" s="1903"/>
      <c r="AG152" s="1903"/>
      <c r="AH152" s="1903"/>
      <c r="AI152" s="1903"/>
      <c r="AJ152" s="1903"/>
      <c r="AK152" s="1903"/>
      <c r="AL152" s="1903"/>
      <c r="AM152" s="1903"/>
      <c r="AN152" s="1903"/>
      <c r="AO152" s="1903"/>
      <c r="AP152" s="1903"/>
      <c r="AQ152" s="1903"/>
      <c r="AR152" s="1903"/>
      <c r="AS152" s="1903"/>
      <c r="AT152" s="1903"/>
      <c r="AU152" s="1903"/>
      <c r="AV152" s="1903"/>
      <c r="AW152" s="1903"/>
      <c r="AX152" s="1903"/>
      <c r="AY152" s="1903"/>
      <c r="AZ152" s="1903"/>
      <c r="BA152" s="1903"/>
      <c r="BB152" s="1903"/>
      <c r="BC152" s="1903"/>
      <c r="BD152" s="1903"/>
      <c r="BE152" s="1903"/>
      <c r="BF152" s="1903"/>
      <c r="BG152" s="1903"/>
      <c r="BH152" s="1903"/>
      <c r="BI152" s="1903"/>
      <c r="BJ152" s="1903"/>
      <c r="BK152" s="1903"/>
      <c r="BL152" s="1903"/>
      <c r="BM152" s="1903"/>
      <c r="BN152" s="1903"/>
      <c r="BO152" s="1903"/>
      <c r="BP152" s="1903"/>
      <c r="BQ152" s="1903"/>
      <c r="BR152" s="1903"/>
      <c r="BS152" s="1903"/>
      <c r="BT152" s="1903"/>
      <c r="BU152" s="1903"/>
      <c r="BV152" s="1903"/>
      <c r="BW152" s="1903"/>
      <c r="BX152" s="1903"/>
      <c r="BY152" s="1903"/>
      <c r="BZ152" s="1903"/>
      <c r="CA152" s="1903"/>
      <c r="CB152" s="1903"/>
      <c r="CC152" s="1903"/>
      <c r="CD152" s="1903"/>
      <c r="CE152" s="1903"/>
      <c r="CF152" s="1903"/>
      <c r="CG152" s="1903"/>
      <c r="CH152" s="1903"/>
      <c r="CI152" s="1903"/>
      <c r="CJ152" s="1903"/>
      <c r="CK152" s="1903"/>
      <c r="CL152" s="1903"/>
      <c r="CM152" s="1903"/>
      <c r="CN152" s="1903"/>
      <c r="CO152" s="1903"/>
      <c r="CP152" s="1903"/>
      <c r="CQ152" s="1903"/>
      <c r="CR152" s="1903"/>
      <c r="CS152" s="1903"/>
      <c r="CT152" s="1903"/>
      <c r="CU152" s="1903"/>
      <c r="CV152" s="1903"/>
      <c r="CW152" s="1904"/>
      <c r="CX152" s="1904"/>
      <c r="CY152" s="1904"/>
      <c r="CZ152" s="1904"/>
      <c r="DA152" s="1941"/>
      <c r="DB152" s="1904"/>
      <c r="DC152" s="1904"/>
      <c r="DD152" s="1904"/>
      <c r="DE152" s="1903"/>
      <c r="DF152" s="1899"/>
      <c r="DG152" s="1903"/>
      <c r="DH152" s="1903"/>
      <c r="DI152" s="1903"/>
      <c r="DJ152" s="1903"/>
      <c r="DK152" s="1899"/>
      <c r="DL152" s="1903"/>
      <c r="DM152" s="1903"/>
      <c r="DN152" s="2215">
        <v>4.65E-2</v>
      </c>
      <c r="DO152" s="1903">
        <f>DN152</f>
        <v>4.65E-2</v>
      </c>
      <c r="DP152" s="1899"/>
      <c r="DQ152" s="1903">
        <f>DO152</f>
        <v>4.65E-2</v>
      </c>
      <c r="DR152" s="1903">
        <f>DQ152</f>
        <v>4.65E-2</v>
      </c>
      <c r="DS152" s="1903">
        <f>DR152</f>
        <v>4.65E-2</v>
      </c>
      <c r="DT152" s="1903">
        <f>DS152</f>
        <v>4.65E-2</v>
      </c>
      <c r="DU152" s="1899"/>
      <c r="DV152" s="1903">
        <f>DT152</f>
        <v>4.65E-2</v>
      </c>
      <c r="DW152" s="1903">
        <f>DV152</f>
        <v>4.65E-2</v>
      </c>
      <c r="DX152" s="1903">
        <f>DW152</f>
        <v>4.65E-2</v>
      </c>
      <c r="DY152" s="1903">
        <f>DX152</f>
        <v>4.65E-2</v>
      </c>
      <c r="DZ152" s="1899"/>
      <c r="EA152" s="1903">
        <f>DY152</f>
        <v>4.65E-2</v>
      </c>
      <c r="EB152" s="1903">
        <f>EA152</f>
        <v>4.65E-2</v>
      </c>
      <c r="EC152" s="1903">
        <f>EB152</f>
        <v>4.65E-2</v>
      </c>
      <c r="ED152" s="1903">
        <f>EC152</f>
        <v>4.65E-2</v>
      </c>
      <c r="EE152" s="1899"/>
    </row>
    <row r="153" spans="2:135" s="2207" customFormat="1">
      <c r="B153" s="1895" t="s">
        <v>483</v>
      </c>
      <c r="C153" s="1569"/>
      <c r="D153" s="1569"/>
      <c r="E153" s="1569"/>
      <c r="F153" s="1569"/>
      <c r="G153" s="1569"/>
      <c r="H153" s="1569"/>
      <c r="I153" s="1569"/>
      <c r="J153" s="1569"/>
      <c r="K153" s="1569"/>
      <c r="L153" s="1569"/>
      <c r="M153" s="1569"/>
      <c r="N153" s="1569"/>
      <c r="O153" s="1569"/>
      <c r="P153" s="1569"/>
      <c r="Q153" s="1569"/>
      <c r="R153" s="1569"/>
      <c r="S153" s="1569"/>
      <c r="T153" s="1569"/>
      <c r="U153" s="1569"/>
      <c r="V153" s="1569"/>
      <c r="W153" s="1569"/>
      <c r="X153" s="1569"/>
      <c r="Y153" s="1569"/>
      <c r="Z153" s="1569"/>
      <c r="AA153" s="1569"/>
      <c r="AB153" s="1569"/>
      <c r="AC153" s="1569"/>
      <c r="AD153" s="1569"/>
      <c r="AE153" s="1569"/>
      <c r="AF153" s="1569"/>
      <c r="AG153" s="1569"/>
      <c r="AH153" s="1569"/>
      <c r="AI153" s="1569"/>
      <c r="AJ153" s="1569"/>
      <c r="AK153" s="1569"/>
      <c r="AL153" s="1569"/>
      <c r="AM153" s="1569"/>
      <c r="AN153" s="1569"/>
      <c r="AO153" s="1569"/>
      <c r="AP153" s="1569"/>
      <c r="AQ153" s="1569"/>
      <c r="AR153" s="1569"/>
      <c r="AS153" s="1569"/>
      <c r="AT153" s="1569"/>
      <c r="AU153" s="1569"/>
      <c r="AV153" s="1569"/>
      <c r="AW153" s="1569"/>
      <c r="AX153" s="1569"/>
      <c r="AY153" s="1569"/>
      <c r="AZ153" s="1569"/>
      <c r="BA153" s="1569"/>
      <c r="BB153" s="1569"/>
      <c r="BC153" s="1569"/>
      <c r="BD153" s="1569"/>
      <c r="BE153" s="1569"/>
      <c r="BF153" s="1569"/>
      <c r="BG153" s="1569"/>
      <c r="BH153" s="1569"/>
      <c r="BI153" s="1569"/>
      <c r="BJ153" s="1569"/>
      <c r="BK153" s="1569"/>
      <c r="BL153" s="1569"/>
      <c r="BM153" s="1569"/>
      <c r="BN153" s="1569"/>
      <c r="BO153" s="1569"/>
      <c r="BP153" s="1569"/>
      <c r="BQ153" s="1569"/>
      <c r="BR153" s="1569"/>
      <c r="BS153" s="1569"/>
      <c r="BT153" s="1569"/>
      <c r="BU153" s="1569"/>
      <c r="BV153" s="1569"/>
      <c r="BW153" s="1569"/>
      <c r="BX153" s="1569"/>
      <c r="BY153" s="1569"/>
      <c r="BZ153" s="1569"/>
      <c r="CA153" s="1569"/>
      <c r="CB153" s="1569"/>
      <c r="CC153" s="1569"/>
      <c r="CD153" s="1569"/>
      <c r="CE153" s="1569"/>
      <c r="CF153" s="1569"/>
      <c r="CG153" s="1569"/>
      <c r="CH153" s="1569"/>
      <c r="CI153" s="1569"/>
      <c r="CJ153" s="1569"/>
      <c r="CK153" s="1569"/>
      <c r="CL153" s="1569"/>
      <c r="CM153" s="1569"/>
      <c r="CN153" s="1569"/>
      <c r="CO153" s="1569"/>
      <c r="CP153" s="1569"/>
      <c r="CQ153" s="1569"/>
      <c r="CR153" s="1569"/>
      <c r="CS153" s="1569"/>
      <c r="CT153" s="1569"/>
      <c r="CU153" s="1569"/>
      <c r="CV153" s="1569"/>
      <c r="CW153" s="1569"/>
      <c r="CX153" s="1569"/>
      <c r="CY153" s="1569"/>
      <c r="CZ153" s="1569"/>
      <c r="DA153" s="1900"/>
      <c r="DB153" s="1569"/>
      <c r="DC153" s="1569"/>
      <c r="DD153" s="1569"/>
      <c r="DE153" s="1569"/>
      <c r="DF153" s="1900"/>
      <c r="DG153" s="1569"/>
      <c r="DH153" s="1569"/>
      <c r="DI153" s="1569"/>
      <c r="DJ153" s="1569"/>
      <c r="DK153" s="1900"/>
      <c r="DL153" s="1569"/>
      <c r="DM153" s="1569"/>
      <c r="DN153" s="38">
        <v>590</v>
      </c>
      <c r="DO153" s="1569">
        <f>DN155</f>
        <v>590</v>
      </c>
      <c r="DP153" s="1900"/>
      <c r="DQ153" s="1569">
        <f>DO155</f>
        <v>590</v>
      </c>
      <c r="DR153" s="1569">
        <f>DQ155</f>
        <v>590</v>
      </c>
      <c r="DS153" s="1569">
        <f>DR155</f>
        <v>590</v>
      </c>
      <c r="DT153" s="1569">
        <f>DS155</f>
        <v>590</v>
      </c>
      <c r="DU153" s="1900"/>
      <c r="DV153" s="1569">
        <f>DT155</f>
        <v>590</v>
      </c>
      <c r="DW153" s="1569">
        <f>DV155</f>
        <v>590</v>
      </c>
      <c r="DX153" s="1569">
        <f>DW155</f>
        <v>590</v>
      </c>
      <c r="DY153" s="1569">
        <f>DX155</f>
        <v>590</v>
      </c>
      <c r="DZ153" s="1900"/>
      <c r="EA153" s="1569">
        <f>DY155</f>
        <v>590</v>
      </c>
      <c r="EB153" s="1569">
        <f>EA155</f>
        <v>590</v>
      </c>
      <c r="EC153" s="1569">
        <f>EB155</f>
        <v>590</v>
      </c>
      <c r="ED153" s="1569">
        <f>EC155</f>
        <v>590</v>
      </c>
      <c r="EE153" s="1900"/>
    </row>
    <row r="154" spans="2:135" s="2207" customFormat="1">
      <c r="B154" s="1895" t="s">
        <v>484</v>
      </c>
      <c r="C154" s="1569"/>
      <c r="D154" s="1569"/>
      <c r="E154" s="1569"/>
      <c r="F154" s="1569"/>
      <c r="G154" s="1569"/>
      <c r="H154" s="1569"/>
      <c r="I154" s="1569"/>
      <c r="J154" s="1569"/>
      <c r="K154" s="1569"/>
      <c r="L154" s="1569"/>
      <c r="M154" s="1569"/>
      <c r="N154" s="1569"/>
      <c r="O154" s="1569"/>
      <c r="P154" s="1569"/>
      <c r="Q154" s="1569"/>
      <c r="R154" s="1569"/>
      <c r="S154" s="1569"/>
      <c r="T154" s="1569"/>
      <c r="U154" s="1569"/>
      <c r="V154" s="1569"/>
      <c r="W154" s="1569"/>
      <c r="X154" s="1569"/>
      <c r="Y154" s="1569"/>
      <c r="Z154" s="1569"/>
      <c r="AA154" s="1569"/>
      <c r="AB154" s="1569"/>
      <c r="AC154" s="1569"/>
      <c r="AD154" s="1569"/>
      <c r="AE154" s="1569"/>
      <c r="AF154" s="1569"/>
      <c r="AG154" s="1569"/>
      <c r="AH154" s="1569"/>
      <c r="AI154" s="1569"/>
      <c r="AJ154" s="1569"/>
      <c r="AK154" s="1569"/>
      <c r="AL154" s="1569"/>
      <c r="AM154" s="1569"/>
      <c r="AN154" s="1569"/>
      <c r="AO154" s="1569"/>
      <c r="AP154" s="1569"/>
      <c r="AQ154" s="1569"/>
      <c r="AR154" s="1569"/>
      <c r="AS154" s="1569"/>
      <c r="AT154" s="1569"/>
      <c r="AU154" s="1569"/>
      <c r="AV154" s="1569"/>
      <c r="AW154" s="1569"/>
      <c r="AX154" s="1569"/>
      <c r="AY154" s="1569"/>
      <c r="AZ154" s="1569"/>
      <c r="BA154" s="1569"/>
      <c r="BB154" s="1569"/>
      <c r="BC154" s="1569"/>
      <c r="BD154" s="1569"/>
      <c r="BE154" s="1569"/>
      <c r="BF154" s="1569"/>
      <c r="BG154" s="1569"/>
      <c r="BH154" s="1569"/>
      <c r="BI154" s="1569"/>
      <c r="BJ154" s="1569"/>
      <c r="BK154" s="1569"/>
      <c r="BL154" s="1569"/>
      <c r="BM154" s="1569"/>
      <c r="BN154" s="1569"/>
      <c r="BO154" s="1569"/>
      <c r="BP154" s="1569"/>
      <c r="BQ154" s="1569"/>
      <c r="BR154" s="1569"/>
      <c r="BS154" s="1569"/>
      <c r="BT154" s="1569"/>
      <c r="BU154" s="1569"/>
      <c r="BV154" s="1569"/>
      <c r="BW154" s="1569"/>
      <c r="BX154" s="1569"/>
      <c r="BY154" s="1569"/>
      <c r="BZ154" s="1569"/>
      <c r="CA154" s="1569"/>
      <c r="CB154" s="1569"/>
      <c r="CC154" s="1569"/>
      <c r="CD154" s="1569"/>
      <c r="CE154" s="1569"/>
      <c r="CF154" s="1569"/>
      <c r="CG154" s="1569"/>
      <c r="CH154" s="1569"/>
      <c r="CI154" s="1569"/>
      <c r="CJ154" s="1569"/>
      <c r="CK154" s="1569"/>
      <c r="CL154" s="1569"/>
      <c r="CM154" s="1569"/>
      <c r="CN154" s="1569"/>
      <c r="CO154" s="1569"/>
      <c r="CP154" s="1569"/>
      <c r="CQ154" s="1569"/>
      <c r="CR154" s="1569"/>
      <c r="CS154" s="1569"/>
      <c r="CT154" s="1569"/>
      <c r="CU154" s="1569"/>
      <c r="CV154" s="1569"/>
      <c r="CW154" s="1569"/>
      <c r="CX154" s="1569"/>
      <c r="CY154" s="1569"/>
      <c r="CZ154" s="1569"/>
      <c r="DA154" s="1900"/>
      <c r="DB154" s="1569"/>
      <c r="DC154" s="1569"/>
      <c r="DD154" s="1569"/>
      <c r="DE154" s="1569"/>
      <c r="DF154" s="1900"/>
      <c r="DG154" s="1569"/>
      <c r="DH154" s="1569"/>
      <c r="DI154" s="1569"/>
      <c r="DJ154" s="1569"/>
      <c r="DK154" s="1900"/>
      <c r="DL154" s="1569"/>
      <c r="DM154" s="1569"/>
      <c r="DN154" s="38"/>
      <c r="DO154" s="1569"/>
      <c r="DP154" s="1900"/>
      <c r="DQ154" s="1569"/>
      <c r="DR154" s="1569"/>
      <c r="DS154" s="1569"/>
      <c r="DT154" s="1569"/>
      <c r="DU154" s="1900"/>
      <c r="DV154" s="1569"/>
      <c r="DW154" s="1569"/>
      <c r="DX154" s="1569"/>
      <c r="DY154" s="1569"/>
      <c r="DZ154" s="1900"/>
      <c r="EA154" s="1569"/>
      <c r="EB154" s="1569"/>
      <c r="EC154" s="1569"/>
      <c r="ED154" s="1569"/>
      <c r="EE154" s="1900"/>
    </row>
    <row r="155" spans="2:135" s="2207" customFormat="1">
      <c r="B155" s="1895" t="s">
        <v>485</v>
      </c>
      <c r="C155" s="1569"/>
      <c r="D155" s="1569"/>
      <c r="E155" s="1569"/>
      <c r="F155" s="1569"/>
      <c r="G155" s="1569"/>
      <c r="H155" s="1569"/>
      <c r="I155" s="1569"/>
      <c r="J155" s="1569"/>
      <c r="K155" s="1569"/>
      <c r="L155" s="1569"/>
      <c r="M155" s="1569"/>
      <c r="N155" s="1569"/>
      <c r="O155" s="1569"/>
      <c r="P155" s="1569"/>
      <c r="Q155" s="1569"/>
      <c r="R155" s="1569"/>
      <c r="S155" s="1569"/>
      <c r="T155" s="1569"/>
      <c r="U155" s="1569"/>
      <c r="V155" s="1569"/>
      <c r="W155" s="1569"/>
      <c r="X155" s="1569"/>
      <c r="Y155" s="1569"/>
      <c r="Z155" s="1569"/>
      <c r="AA155" s="1569"/>
      <c r="AB155" s="1569"/>
      <c r="AC155" s="1569"/>
      <c r="AD155" s="1569"/>
      <c r="AE155" s="1569"/>
      <c r="AF155" s="1569"/>
      <c r="AG155" s="1569"/>
      <c r="AH155" s="1569"/>
      <c r="AI155" s="1569"/>
      <c r="AJ155" s="1569"/>
      <c r="AK155" s="1569"/>
      <c r="AL155" s="1569"/>
      <c r="AM155" s="1569"/>
      <c r="AN155" s="1569"/>
      <c r="AO155" s="1569"/>
      <c r="AP155" s="1569"/>
      <c r="AQ155" s="1569"/>
      <c r="AR155" s="1569"/>
      <c r="AS155" s="1569"/>
      <c r="AT155" s="1569"/>
      <c r="AU155" s="1569"/>
      <c r="AV155" s="1569"/>
      <c r="AW155" s="1569"/>
      <c r="AX155" s="1569"/>
      <c r="AY155" s="1569"/>
      <c r="AZ155" s="1569"/>
      <c r="BA155" s="1569"/>
      <c r="BB155" s="1569"/>
      <c r="BC155" s="1569"/>
      <c r="BD155" s="1569"/>
      <c r="BE155" s="1569"/>
      <c r="BF155" s="1569"/>
      <c r="BG155" s="1569"/>
      <c r="BH155" s="1569"/>
      <c r="BI155" s="1569"/>
      <c r="BJ155" s="1569"/>
      <c r="BK155" s="1569"/>
      <c r="BL155" s="1569"/>
      <c r="BM155" s="1569"/>
      <c r="BN155" s="1569"/>
      <c r="BO155" s="1569"/>
      <c r="BP155" s="1569"/>
      <c r="BQ155" s="1569"/>
      <c r="BR155" s="1569"/>
      <c r="BS155" s="1569"/>
      <c r="BT155" s="1569"/>
      <c r="BU155" s="1569"/>
      <c r="BV155" s="1569"/>
      <c r="BW155" s="1569"/>
      <c r="BX155" s="1569"/>
      <c r="BY155" s="1569"/>
      <c r="BZ155" s="1569"/>
      <c r="CA155" s="1569"/>
      <c r="CB155" s="1569"/>
      <c r="CC155" s="1569"/>
      <c r="CD155" s="1569"/>
      <c r="CE155" s="1569"/>
      <c r="CF155" s="1569"/>
      <c r="CG155" s="1569"/>
      <c r="CH155" s="1569"/>
      <c r="CI155" s="1569"/>
      <c r="CJ155" s="1569"/>
      <c r="CK155" s="1569"/>
      <c r="CL155" s="1569"/>
      <c r="CM155" s="1569"/>
      <c r="CN155" s="1569"/>
      <c r="CO155" s="1569"/>
      <c r="CP155" s="1569"/>
      <c r="CQ155" s="1569"/>
      <c r="CR155" s="1569"/>
      <c r="CS155" s="1569"/>
      <c r="CT155" s="1569"/>
      <c r="CU155" s="1569"/>
      <c r="CV155" s="1569"/>
      <c r="CW155" s="1569"/>
      <c r="CX155" s="1569"/>
      <c r="CY155" s="1569"/>
      <c r="CZ155" s="1569"/>
      <c r="DA155" s="1900"/>
      <c r="DB155" s="1569"/>
      <c r="DC155" s="1569"/>
      <c r="DD155" s="1569"/>
      <c r="DE155" s="1569"/>
      <c r="DF155" s="1900"/>
      <c r="DG155" s="1569"/>
      <c r="DH155" s="1569"/>
      <c r="DI155" s="1569"/>
      <c r="DJ155" s="1569"/>
      <c r="DK155" s="1900"/>
      <c r="DL155" s="1569"/>
      <c r="DM155" s="1569"/>
      <c r="DN155" s="38">
        <f>SUM(DN153:DN154)</f>
        <v>590</v>
      </c>
      <c r="DO155" s="1569">
        <f>SUM(DO153:DO154)</f>
        <v>590</v>
      </c>
      <c r="DP155" s="1900"/>
      <c r="DQ155" s="1569">
        <f>SUM(DQ153:DQ154)</f>
        <v>590</v>
      </c>
      <c r="DR155" s="1569">
        <f>SUM(DR153:DR154)</f>
        <v>590</v>
      </c>
      <c r="DS155" s="1569">
        <f>SUM(DS153:DS154)</f>
        <v>590</v>
      </c>
      <c r="DT155" s="1569">
        <f>SUM(DT153:DT154)</f>
        <v>590</v>
      </c>
      <c r="DU155" s="1900"/>
      <c r="DV155" s="1569">
        <f>SUM(DV153:DV154)</f>
        <v>590</v>
      </c>
      <c r="DW155" s="1569">
        <f>SUM(DW153:DW154)</f>
        <v>590</v>
      </c>
      <c r="DX155" s="1569">
        <f>SUM(DX153:DX154)</f>
        <v>590</v>
      </c>
      <c r="DY155" s="1569">
        <f>SUM(DY153:DY154)</f>
        <v>590</v>
      </c>
      <c r="DZ155" s="1900"/>
      <c r="EA155" s="1569">
        <f>SUM(EA153:EA154)</f>
        <v>590</v>
      </c>
      <c r="EB155" s="1569">
        <f>SUM(EB153:EB154)</f>
        <v>590</v>
      </c>
      <c r="EC155" s="1569">
        <f>SUM(EC153:EC154)</f>
        <v>590</v>
      </c>
      <c r="ED155" s="1569">
        <f>SUM(ED153:ED154)</f>
        <v>590</v>
      </c>
      <c r="EE155" s="1900"/>
    </row>
    <row r="156" spans="2:135" s="2207" customFormat="1" ht="12" thickBot="1">
      <c r="B156" s="1896" t="s">
        <v>400</v>
      </c>
      <c r="C156" s="1897"/>
      <c r="D156" s="1897"/>
      <c r="E156" s="1897"/>
      <c r="F156" s="1897"/>
      <c r="G156" s="1897"/>
      <c r="H156" s="1897"/>
      <c r="I156" s="1897"/>
      <c r="J156" s="1897"/>
      <c r="K156" s="1897"/>
      <c r="L156" s="1897"/>
      <c r="M156" s="1897"/>
      <c r="N156" s="1897"/>
      <c r="O156" s="1897"/>
      <c r="P156" s="1897"/>
      <c r="Q156" s="1897"/>
      <c r="R156" s="1897"/>
      <c r="S156" s="1897"/>
      <c r="T156" s="1897"/>
      <c r="U156" s="1897"/>
      <c r="V156" s="1897"/>
      <c r="W156" s="1897"/>
      <c r="X156" s="1897"/>
      <c r="Y156" s="1897"/>
      <c r="Z156" s="1897"/>
      <c r="AA156" s="1897"/>
      <c r="AB156" s="1897"/>
      <c r="AC156" s="1897"/>
      <c r="AD156" s="1897"/>
      <c r="AE156" s="1897"/>
      <c r="AF156" s="1897"/>
      <c r="AG156" s="1897"/>
      <c r="AH156" s="1897"/>
      <c r="AI156" s="1897"/>
      <c r="AJ156" s="1897"/>
      <c r="AK156" s="1897"/>
      <c r="AL156" s="1897"/>
      <c r="AM156" s="1897"/>
      <c r="AN156" s="1897"/>
      <c r="AO156" s="1897"/>
      <c r="AP156" s="1897"/>
      <c r="AQ156" s="1897"/>
      <c r="AR156" s="1897"/>
      <c r="AS156" s="1897"/>
      <c r="AT156" s="1897"/>
      <c r="AU156" s="1897"/>
      <c r="AV156" s="1897"/>
      <c r="AW156" s="1897"/>
      <c r="AX156" s="1897"/>
      <c r="AY156" s="1897"/>
      <c r="AZ156" s="1897"/>
      <c r="BA156" s="1897"/>
      <c r="BB156" s="1897"/>
      <c r="BC156" s="1897"/>
      <c r="BD156" s="1897"/>
      <c r="BE156" s="1897"/>
      <c r="BF156" s="1897"/>
      <c r="BG156" s="1897"/>
      <c r="BH156" s="1897"/>
      <c r="BI156" s="1897"/>
      <c r="BJ156" s="1897"/>
      <c r="BK156" s="1897"/>
      <c r="BL156" s="1897"/>
      <c r="BM156" s="1897"/>
      <c r="BN156" s="1897"/>
      <c r="BO156" s="1897"/>
      <c r="BP156" s="1897"/>
      <c r="BQ156" s="1897"/>
      <c r="BR156" s="1897"/>
      <c r="BS156" s="1897"/>
      <c r="BT156" s="1897"/>
      <c r="BU156" s="1897"/>
      <c r="BV156" s="1897"/>
      <c r="BW156" s="1897"/>
      <c r="BX156" s="1897"/>
      <c r="BY156" s="1897"/>
      <c r="BZ156" s="1897"/>
      <c r="CA156" s="1897"/>
      <c r="CB156" s="1897"/>
      <c r="CC156" s="1897"/>
      <c r="CD156" s="1897"/>
      <c r="CE156" s="1897"/>
      <c r="CF156" s="1897"/>
      <c r="CG156" s="1897"/>
      <c r="CH156" s="1897"/>
      <c r="CI156" s="1897"/>
      <c r="CJ156" s="1897"/>
      <c r="CK156" s="1897"/>
      <c r="CL156" s="1897"/>
      <c r="CM156" s="1897"/>
      <c r="CN156" s="1897"/>
      <c r="CO156" s="1897"/>
      <c r="CP156" s="1897"/>
      <c r="CQ156" s="1897"/>
      <c r="CR156" s="1897"/>
      <c r="CS156" s="1897"/>
      <c r="CT156" s="1897"/>
      <c r="CU156" s="1897"/>
      <c r="CV156" s="1897"/>
      <c r="CW156" s="1897"/>
      <c r="CX156" s="1897"/>
      <c r="CY156" s="1897"/>
      <c r="CZ156" s="1897"/>
      <c r="DA156" s="1901"/>
      <c r="DB156" s="1897"/>
      <c r="DC156" s="1897"/>
      <c r="DD156" s="1897"/>
      <c r="DE156" s="1897"/>
      <c r="DF156" s="1901"/>
      <c r="DG156" s="1897"/>
      <c r="DH156" s="1897"/>
      <c r="DI156" s="1897"/>
      <c r="DJ156" s="1897"/>
      <c r="DK156" s="1901"/>
      <c r="DL156" s="1897"/>
      <c r="DM156" s="1897"/>
      <c r="DN156" s="2214">
        <f>AVERAGE(DN153,DN155)*(DN152/4)</f>
        <v>6.8587499999999997</v>
      </c>
      <c r="DO156" s="1897">
        <f>AVERAGE(DO153,DO155)*(DO152/4)</f>
        <v>6.8587499999999997</v>
      </c>
      <c r="DP156" s="1901"/>
      <c r="DQ156" s="1897">
        <f>AVERAGE(DQ153,DQ155)*(DQ152/4)</f>
        <v>6.8587499999999997</v>
      </c>
      <c r="DR156" s="1897">
        <f>AVERAGE(DR153,DR155)*(DR152/4)</f>
        <v>6.8587499999999997</v>
      </c>
      <c r="DS156" s="1897">
        <f>AVERAGE(DS153,DS155)*(DS152/4)</f>
        <v>6.8587499999999997</v>
      </c>
      <c r="DT156" s="1897">
        <f>AVERAGE(DT153,DT155)*(DT152/4)</f>
        <v>6.8587499999999997</v>
      </c>
      <c r="DU156" s="1901"/>
      <c r="DV156" s="1897">
        <f>AVERAGE(DV153,DV155)*(DV152/4)</f>
        <v>6.8587499999999997</v>
      </c>
      <c r="DW156" s="1897">
        <f>AVERAGE(DW153,DW155)*(DW152/4)</f>
        <v>6.8587499999999997</v>
      </c>
      <c r="DX156" s="1897">
        <f>AVERAGE(DX153,DX155)*(DX152/4)</f>
        <v>6.8587499999999997</v>
      </c>
      <c r="DY156" s="1897">
        <f>AVERAGE(DY153,DY155)*(DY152/4)</f>
        <v>6.8587499999999997</v>
      </c>
      <c r="DZ156" s="1901"/>
      <c r="EA156" s="1897">
        <f>AVERAGE(EA153,EA155)*(EA152/4)</f>
        <v>6.8587499999999997</v>
      </c>
      <c r="EB156" s="1897">
        <f>AVERAGE(EB153,EB155)*(EB152/4)</f>
        <v>6.8587499999999997</v>
      </c>
      <c r="EC156" s="1897">
        <f>AVERAGE(EC153,EC155)*(EC152/4)</f>
        <v>6.8587499999999997</v>
      </c>
      <c r="ED156" s="1897">
        <f>AVERAGE(ED153,ED155)*(ED152/4)</f>
        <v>6.8587499999999997</v>
      </c>
      <c r="EE156" s="1901"/>
    </row>
    <row r="157" spans="2:135" ht="12" thickBot="1">
      <c r="DN157" s="2231"/>
    </row>
    <row r="158" spans="2:135" ht="12" thickBot="1">
      <c r="B158" s="754" t="s">
        <v>39</v>
      </c>
      <c r="C158" s="684"/>
      <c r="D158" s="684"/>
      <c r="E158" s="684"/>
      <c r="F158" s="684"/>
      <c r="G158" s="684"/>
      <c r="H158" s="684"/>
      <c r="I158" s="684"/>
      <c r="J158" s="684"/>
      <c r="K158" s="684"/>
      <c r="L158" s="684"/>
      <c r="M158" s="684"/>
      <c r="N158" s="684"/>
      <c r="O158" s="684"/>
      <c r="P158" s="684"/>
      <c r="Q158" s="684"/>
      <c r="R158" s="684"/>
      <c r="S158" s="684"/>
      <c r="T158" s="684"/>
      <c r="U158" s="684"/>
      <c r="V158" s="684"/>
      <c r="W158" s="684"/>
      <c r="X158" s="684"/>
      <c r="Y158" s="684"/>
      <c r="Z158" s="684"/>
      <c r="AA158" s="684"/>
      <c r="AB158" s="684"/>
      <c r="AC158" s="684"/>
      <c r="AD158" s="684"/>
      <c r="AE158" s="684"/>
      <c r="AF158" s="684"/>
      <c r="AG158" s="684"/>
      <c r="AH158" s="684"/>
      <c r="AI158" s="684"/>
      <c r="AJ158" s="684"/>
      <c r="AK158" s="684"/>
      <c r="AL158" s="684"/>
      <c r="AM158" s="684"/>
      <c r="AN158" s="684"/>
      <c r="AO158" s="684"/>
      <c r="AP158" s="684"/>
      <c r="AQ158" s="684"/>
      <c r="AR158" s="684"/>
      <c r="AS158" s="684"/>
      <c r="AT158" s="684"/>
      <c r="AU158" s="684"/>
      <c r="AV158" s="684"/>
      <c r="AW158" s="684"/>
      <c r="AX158" s="684"/>
      <c r="AY158" s="684"/>
      <c r="AZ158" s="684"/>
      <c r="BA158" s="684"/>
      <c r="BB158" s="684"/>
      <c r="BC158" s="684"/>
      <c r="BD158" s="684"/>
      <c r="BE158" s="684"/>
      <c r="BF158" s="684"/>
      <c r="BG158" s="684"/>
      <c r="BH158" s="684"/>
      <c r="BI158" s="684"/>
      <c r="BJ158" s="684"/>
      <c r="BK158" s="684"/>
      <c r="BL158" s="684"/>
      <c r="BM158" s="684"/>
      <c r="BN158" s="684"/>
      <c r="BO158" s="684"/>
      <c r="BP158" s="684"/>
      <c r="BQ158" s="684"/>
      <c r="BR158" s="684"/>
      <c r="BS158" s="684"/>
      <c r="BT158" s="684"/>
      <c r="BU158" s="684"/>
      <c r="BV158" s="684"/>
      <c r="BW158" s="684"/>
      <c r="BX158" s="684"/>
      <c r="BY158" s="684"/>
      <c r="BZ158" s="684"/>
      <c r="CA158" s="684"/>
      <c r="CB158" s="684"/>
      <c r="CC158" s="684"/>
      <c r="CD158" s="684"/>
      <c r="CE158" s="684"/>
      <c r="CF158" s="684"/>
      <c r="CG158" s="684"/>
      <c r="CH158" s="684"/>
      <c r="CI158" s="684"/>
      <c r="CJ158" s="684"/>
      <c r="CK158" s="684"/>
      <c r="CL158" s="684"/>
      <c r="CM158" s="684"/>
      <c r="CN158" s="684"/>
      <c r="CO158" s="684"/>
      <c r="CP158" s="684"/>
      <c r="CQ158" s="684"/>
      <c r="CR158" s="684"/>
      <c r="CS158" s="684"/>
      <c r="CT158" s="684"/>
      <c r="CU158" s="684"/>
      <c r="CV158" s="684"/>
      <c r="CW158" s="684"/>
      <c r="CX158" s="684"/>
      <c r="CY158" s="684"/>
      <c r="CZ158" s="684"/>
      <c r="DA158" s="684"/>
      <c r="DB158" s="684"/>
      <c r="DC158" s="684"/>
      <c r="DD158" s="684"/>
      <c r="DE158" s="684"/>
      <c r="DF158" s="684"/>
      <c r="DG158" s="684"/>
      <c r="DH158" s="684"/>
      <c r="DI158" s="684"/>
      <c r="DJ158" s="684"/>
      <c r="DK158" s="684"/>
      <c r="DL158" s="684"/>
      <c r="DM158" s="684"/>
      <c r="DN158" s="2232"/>
      <c r="DO158" s="684"/>
      <c r="DP158" s="1894"/>
      <c r="DQ158" s="684"/>
      <c r="DR158" s="684"/>
      <c r="DS158" s="684"/>
      <c r="DT158" s="684"/>
      <c r="DU158" s="1894"/>
      <c r="DV158" s="684"/>
      <c r="DW158" s="684"/>
      <c r="DX158" s="684"/>
      <c r="DY158" s="684"/>
      <c r="DZ158" s="1894"/>
      <c r="EA158" s="684"/>
      <c r="EB158" s="684"/>
      <c r="EC158" s="684"/>
      <c r="ED158" s="684"/>
      <c r="EE158" s="1894"/>
    </row>
    <row r="159" spans="2:135">
      <c r="B159" s="1902" t="s">
        <v>498</v>
      </c>
      <c r="C159" s="1903"/>
      <c r="D159" s="1903"/>
      <c r="E159" s="1903"/>
      <c r="F159" s="1903"/>
      <c r="G159" s="1903"/>
      <c r="H159" s="1903"/>
      <c r="I159" s="1903"/>
      <c r="J159" s="1903"/>
      <c r="K159" s="1903"/>
      <c r="L159" s="1903"/>
      <c r="M159" s="1903"/>
      <c r="N159" s="1903"/>
      <c r="O159" s="1903"/>
      <c r="P159" s="1903"/>
      <c r="Q159" s="1903"/>
      <c r="R159" s="1903"/>
      <c r="S159" s="1903"/>
      <c r="T159" s="1903"/>
      <c r="U159" s="1903"/>
      <c r="V159" s="1903"/>
      <c r="W159" s="1903"/>
      <c r="X159" s="1903"/>
      <c r="Y159" s="1903"/>
      <c r="Z159" s="1903"/>
      <c r="AA159" s="1903"/>
      <c r="AB159" s="1903"/>
      <c r="AC159" s="1903"/>
      <c r="AD159" s="1903"/>
      <c r="AE159" s="1903"/>
      <c r="AF159" s="1903"/>
      <c r="AG159" s="1903"/>
      <c r="AH159" s="1903"/>
      <c r="AI159" s="1903"/>
      <c r="AJ159" s="1903"/>
      <c r="AK159" s="1903"/>
      <c r="AL159" s="1903"/>
      <c r="AM159" s="1903"/>
      <c r="AN159" s="1903"/>
      <c r="AO159" s="1903"/>
      <c r="AP159" s="1903"/>
      <c r="AQ159" s="1903"/>
      <c r="AR159" s="1903"/>
      <c r="AS159" s="1903"/>
      <c r="AT159" s="1903"/>
      <c r="AU159" s="1903"/>
      <c r="AV159" s="1903"/>
      <c r="AW159" s="1903"/>
      <c r="AX159" s="1903"/>
      <c r="AY159" s="1903"/>
      <c r="AZ159" s="1903"/>
      <c r="BA159" s="1903"/>
      <c r="BB159" s="1903"/>
      <c r="BC159" s="1903"/>
      <c r="BD159" s="1903"/>
      <c r="BE159" s="1903"/>
      <c r="BF159" s="1903"/>
      <c r="BG159" s="1903"/>
      <c r="BH159" s="1903"/>
      <c r="BI159" s="1903"/>
      <c r="BJ159" s="1903"/>
      <c r="BK159" s="1903"/>
      <c r="BL159" s="1903"/>
      <c r="BM159" s="1903"/>
      <c r="BN159" s="1903"/>
      <c r="BO159" s="1903"/>
      <c r="BP159" s="1903"/>
      <c r="BQ159" s="1903"/>
      <c r="BR159" s="1903"/>
      <c r="BS159" s="1903"/>
      <c r="BT159" s="1903"/>
      <c r="BU159" s="1903"/>
      <c r="BV159" s="1903"/>
      <c r="BW159" s="1903"/>
      <c r="BX159" s="1903"/>
      <c r="BY159" s="1903"/>
      <c r="BZ159" s="1903"/>
      <c r="CA159" s="1903"/>
      <c r="CB159" s="1903"/>
      <c r="CC159" s="1903"/>
      <c r="CD159" s="1903"/>
      <c r="CE159" s="1903"/>
      <c r="CF159" s="1903"/>
      <c r="CG159" s="1903"/>
      <c r="CH159" s="1903"/>
      <c r="CI159" s="1903"/>
      <c r="CJ159" s="1903"/>
      <c r="CK159" s="1903"/>
      <c r="CL159" s="1903"/>
      <c r="CM159" s="1903"/>
      <c r="CN159" s="1903"/>
      <c r="CO159" s="1903"/>
      <c r="CP159" s="1903"/>
      <c r="CQ159" s="1903"/>
      <c r="CR159" s="1903"/>
      <c r="CS159" s="1903"/>
      <c r="CT159" s="1903"/>
      <c r="CU159" s="1903"/>
      <c r="CV159" s="1903"/>
      <c r="CW159" s="1904"/>
      <c r="CX159" s="1904"/>
      <c r="CY159" s="1942"/>
      <c r="CZ159" s="1942"/>
      <c r="DA159" s="1943"/>
      <c r="DB159" s="1942"/>
      <c r="DC159" s="1942"/>
      <c r="DD159" s="1944">
        <v>0.03</v>
      </c>
      <c r="DE159" s="1944">
        <f>DD159</f>
        <v>0.03</v>
      </c>
      <c r="DF159" s="1945"/>
      <c r="DG159" s="1944">
        <f>DE159</f>
        <v>0.03</v>
      </c>
      <c r="DH159" s="1944">
        <f>DG159</f>
        <v>0.03</v>
      </c>
      <c r="DI159" s="1944">
        <f>DH159</f>
        <v>0.03</v>
      </c>
      <c r="DJ159" s="1944">
        <f>DI159</f>
        <v>0.03</v>
      </c>
      <c r="DK159" s="1945"/>
      <c r="DL159" s="1944">
        <f>DJ159</f>
        <v>0.03</v>
      </c>
      <c r="DM159" s="1944">
        <f>DL159</f>
        <v>0.03</v>
      </c>
      <c r="DN159" s="2213">
        <f>DM159</f>
        <v>0.03</v>
      </c>
      <c r="DO159" s="1944">
        <f>DN159</f>
        <v>0.03</v>
      </c>
      <c r="DP159" s="1945"/>
      <c r="DQ159" s="1944">
        <f>DO159</f>
        <v>0.03</v>
      </c>
      <c r="DR159" s="1944">
        <f>DQ159</f>
        <v>0.03</v>
      </c>
      <c r="DS159" s="1944">
        <f>DR159</f>
        <v>0.03</v>
      </c>
      <c r="DT159" s="1944">
        <f>DS159</f>
        <v>0.03</v>
      </c>
      <c r="DU159" s="1945"/>
      <c r="DV159" s="1944">
        <f>DT159</f>
        <v>0.03</v>
      </c>
      <c r="DW159" s="1944">
        <f>DV159</f>
        <v>0.03</v>
      </c>
      <c r="DX159" s="1944">
        <f>DW159</f>
        <v>0.03</v>
      </c>
      <c r="DY159" s="1944">
        <f>DX159</f>
        <v>0.03</v>
      </c>
      <c r="DZ159" s="1945"/>
      <c r="EA159" s="1944">
        <f>DY159</f>
        <v>0.03</v>
      </c>
      <c r="EB159" s="1944">
        <f>EA159</f>
        <v>0.03</v>
      </c>
      <c r="EC159" s="1944">
        <f>EB159</f>
        <v>0.03</v>
      </c>
      <c r="ED159" s="1944">
        <f>EC159</f>
        <v>0.03</v>
      </c>
      <c r="EE159" s="1945"/>
    </row>
    <row r="160" spans="2:135">
      <c r="B160" s="1895" t="s">
        <v>483</v>
      </c>
      <c r="C160" s="1569"/>
      <c r="D160" s="1569"/>
      <c r="E160" s="1569"/>
      <c r="F160" s="1569"/>
      <c r="G160" s="1569"/>
      <c r="H160" s="1569"/>
      <c r="I160" s="1569"/>
      <c r="J160" s="1569"/>
      <c r="K160" s="1569"/>
      <c r="L160" s="1569"/>
      <c r="M160" s="1569"/>
      <c r="N160" s="1569"/>
      <c r="O160" s="1569"/>
      <c r="P160" s="1569"/>
      <c r="Q160" s="1569"/>
      <c r="R160" s="1569"/>
      <c r="S160" s="1569"/>
      <c r="T160" s="1569"/>
      <c r="U160" s="1569"/>
      <c r="V160" s="1569"/>
      <c r="W160" s="1569"/>
      <c r="X160" s="1569"/>
      <c r="Y160" s="1569"/>
      <c r="Z160" s="1569"/>
      <c r="AA160" s="1569"/>
      <c r="AB160" s="1569"/>
      <c r="AC160" s="1569"/>
      <c r="AD160" s="1569"/>
      <c r="AE160" s="1569"/>
      <c r="AF160" s="1569"/>
      <c r="AG160" s="1569"/>
      <c r="AH160" s="1569"/>
      <c r="AI160" s="1569"/>
      <c r="AJ160" s="1569"/>
      <c r="AK160" s="1569"/>
      <c r="AL160" s="1569"/>
      <c r="AM160" s="1569"/>
      <c r="AN160" s="1569"/>
      <c r="AO160" s="1569"/>
      <c r="AP160" s="1569"/>
      <c r="AQ160" s="1569"/>
      <c r="AR160" s="1569"/>
      <c r="AS160" s="1569"/>
      <c r="AT160" s="1569"/>
      <c r="AU160" s="1569"/>
      <c r="AV160" s="1569"/>
      <c r="AW160" s="1569"/>
      <c r="AX160" s="1569"/>
      <c r="AY160" s="1569"/>
      <c r="AZ160" s="1569"/>
      <c r="BA160" s="1569"/>
      <c r="BB160" s="1569"/>
      <c r="BC160" s="1569"/>
      <c r="BD160" s="1569"/>
      <c r="BE160" s="1569"/>
      <c r="BF160" s="1569"/>
      <c r="BG160" s="1569"/>
      <c r="BH160" s="1569"/>
      <c r="BI160" s="1569"/>
      <c r="BJ160" s="1569"/>
      <c r="BK160" s="1569"/>
      <c r="BL160" s="1569"/>
      <c r="BM160" s="1569"/>
      <c r="BN160" s="1569"/>
      <c r="BO160" s="1569"/>
      <c r="BP160" s="1569"/>
      <c r="BQ160" s="1569"/>
      <c r="BR160" s="1569"/>
      <c r="BS160" s="1569"/>
      <c r="BT160" s="1569"/>
      <c r="BU160" s="1569"/>
      <c r="BV160" s="1569"/>
      <c r="BW160" s="1569"/>
      <c r="BX160" s="1569"/>
      <c r="BY160" s="1569"/>
      <c r="BZ160" s="1569"/>
      <c r="CA160" s="1569"/>
      <c r="CB160" s="1569"/>
      <c r="CC160" s="1569"/>
      <c r="CD160" s="1569"/>
      <c r="CE160" s="1569"/>
      <c r="CF160" s="1569"/>
      <c r="CG160" s="1569"/>
      <c r="CH160" s="1569"/>
      <c r="CI160" s="1569"/>
      <c r="CJ160" s="1569"/>
      <c r="CK160" s="1569"/>
      <c r="CL160" s="1569"/>
      <c r="CM160" s="1569"/>
      <c r="CN160" s="1569"/>
      <c r="CO160" s="1569"/>
      <c r="CP160" s="1569"/>
      <c r="CQ160" s="1569"/>
      <c r="CR160" s="1569"/>
      <c r="CS160" s="1569"/>
      <c r="CT160" s="1569"/>
      <c r="CU160" s="1569"/>
      <c r="CV160" s="1569"/>
      <c r="CW160" s="1569"/>
      <c r="CX160" s="1569"/>
      <c r="CY160" s="1569"/>
      <c r="CZ160" s="1569"/>
      <c r="DA160" s="1900"/>
      <c r="DB160" s="1569"/>
      <c r="DC160" s="1569"/>
      <c r="DD160" s="1569"/>
      <c r="DE160" s="1569">
        <f>DD162</f>
        <v>511</v>
      </c>
      <c r="DF160" s="1900"/>
      <c r="DG160" s="1569">
        <f>DE162</f>
        <v>511</v>
      </c>
      <c r="DH160" s="1569">
        <f>DG162</f>
        <v>511</v>
      </c>
      <c r="DI160" s="1569">
        <f>DH162</f>
        <v>511</v>
      </c>
      <c r="DJ160" s="1569">
        <f>DI162</f>
        <v>511</v>
      </c>
      <c r="DK160" s="1900"/>
      <c r="DL160" s="1569">
        <f>DJ162</f>
        <v>511</v>
      </c>
      <c r="DM160" s="1569">
        <f>DL162</f>
        <v>511</v>
      </c>
      <c r="DN160" s="38">
        <f>DM162</f>
        <v>511</v>
      </c>
      <c r="DO160" s="1569">
        <f>DN162</f>
        <v>625</v>
      </c>
      <c r="DP160" s="1900"/>
      <c r="DQ160" s="1569">
        <f>DO162</f>
        <v>625</v>
      </c>
      <c r="DR160" s="1569">
        <f>DQ162</f>
        <v>625</v>
      </c>
      <c r="DS160" s="1569">
        <f>DR162</f>
        <v>625</v>
      </c>
      <c r="DT160" s="1569">
        <f>DS162</f>
        <v>625</v>
      </c>
      <c r="DU160" s="1900"/>
      <c r="DV160" s="1569">
        <f>DT162</f>
        <v>625</v>
      </c>
      <c r="DW160" s="1569">
        <f>DV162</f>
        <v>625</v>
      </c>
      <c r="DX160" s="1569">
        <f>DW162</f>
        <v>625</v>
      </c>
      <c r="DY160" s="1569">
        <f>DX162</f>
        <v>625</v>
      </c>
      <c r="DZ160" s="1900"/>
      <c r="EA160" s="1569">
        <f>DY162</f>
        <v>625</v>
      </c>
      <c r="EB160" s="1569">
        <f>EA162</f>
        <v>625</v>
      </c>
      <c r="EC160" s="1569">
        <f>EB162</f>
        <v>625</v>
      </c>
      <c r="ED160" s="1569">
        <f>EC162</f>
        <v>625</v>
      </c>
      <c r="EE160" s="1900"/>
    </row>
    <row r="161" spans="2:135">
      <c r="B161" s="1895" t="s">
        <v>484</v>
      </c>
      <c r="C161" s="1569"/>
      <c r="D161" s="1569"/>
      <c r="E161" s="1569"/>
      <c r="F161" s="1569"/>
      <c r="G161" s="1569"/>
      <c r="H161" s="1569"/>
      <c r="I161" s="1569"/>
      <c r="J161" s="1569"/>
      <c r="K161" s="1569"/>
      <c r="L161" s="1569"/>
      <c r="M161" s="1569"/>
      <c r="N161" s="1569"/>
      <c r="O161" s="1569"/>
      <c r="P161" s="1569"/>
      <c r="Q161" s="1569"/>
      <c r="R161" s="1569"/>
      <c r="S161" s="1569"/>
      <c r="T161" s="1569"/>
      <c r="U161" s="1569"/>
      <c r="V161" s="1569"/>
      <c r="W161" s="1569"/>
      <c r="X161" s="1569"/>
      <c r="Y161" s="1569"/>
      <c r="Z161" s="1569"/>
      <c r="AA161" s="1569"/>
      <c r="AB161" s="1569"/>
      <c r="AC161" s="1569"/>
      <c r="AD161" s="1569"/>
      <c r="AE161" s="1569"/>
      <c r="AF161" s="1569"/>
      <c r="AG161" s="1569"/>
      <c r="AH161" s="1569"/>
      <c r="AI161" s="1569"/>
      <c r="AJ161" s="1569"/>
      <c r="AK161" s="1569"/>
      <c r="AL161" s="1569"/>
      <c r="AM161" s="1569"/>
      <c r="AN161" s="1569"/>
      <c r="AO161" s="1569"/>
      <c r="AP161" s="1569"/>
      <c r="AQ161" s="1569"/>
      <c r="AR161" s="1569"/>
      <c r="AS161" s="1569"/>
      <c r="AT161" s="1569"/>
      <c r="AU161" s="1569"/>
      <c r="AV161" s="1569"/>
      <c r="AW161" s="1569"/>
      <c r="AX161" s="1569"/>
      <c r="AY161" s="1569"/>
      <c r="AZ161" s="1569"/>
      <c r="BA161" s="1569"/>
      <c r="BB161" s="1569"/>
      <c r="BC161" s="1569"/>
      <c r="BD161" s="1569"/>
      <c r="BE161" s="1569"/>
      <c r="BF161" s="1569"/>
      <c r="BG161" s="1569"/>
      <c r="BH161" s="1569"/>
      <c r="BI161" s="1569"/>
      <c r="BJ161" s="1569"/>
      <c r="BK161" s="1569"/>
      <c r="BL161" s="1569"/>
      <c r="BM161" s="1569"/>
      <c r="BN161" s="1569"/>
      <c r="BO161" s="1569"/>
      <c r="BP161" s="1569"/>
      <c r="BQ161" s="1569"/>
      <c r="BR161" s="1569"/>
      <c r="BS161" s="1569"/>
      <c r="BT161" s="1569"/>
      <c r="BU161" s="1569"/>
      <c r="BV161" s="1569"/>
      <c r="BW161" s="1569"/>
      <c r="BX161" s="1569"/>
      <c r="BY161" s="1569"/>
      <c r="BZ161" s="1569"/>
      <c r="CA161" s="1569"/>
      <c r="CB161" s="1569"/>
      <c r="CC161" s="1569"/>
      <c r="CD161" s="1569"/>
      <c r="CE161" s="1569"/>
      <c r="CF161" s="1569"/>
      <c r="CG161" s="1569"/>
      <c r="CH161" s="1569"/>
      <c r="CI161" s="1569"/>
      <c r="CJ161" s="1569"/>
      <c r="CK161" s="1569"/>
      <c r="CL161" s="1569"/>
      <c r="CM161" s="1569"/>
      <c r="CN161" s="1569"/>
      <c r="CO161" s="1569"/>
      <c r="CP161" s="1569"/>
      <c r="CQ161" s="1569"/>
      <c r="CR161" s="1569"/>
      <c r="CS161" s="1569"/>
      <c r="CT161" s="1569"/>
      <c r="CU161" s="1569"/>
      <c r="CV161" s="1569"/>
      <c r="CW161" s="1569"/>
      <c r="CX161" s="1569"/>
      <c r="CY161" s="1569"/>
      <c r="CZ161" s="1569"/>
      <c r="DA161" s="1900"/>
      <c r="DB161" s="1569"/>
      <c r="DC161" s="1569"/>
      <c r="DD161" s="1569"/>
      <c r="DE161" s="1569">
        <v>0</v>
      </c>
      <c r="DF161" s="1900"/>
      <c r="DG161" s="1569"/>
      <c r="DH161" s="1569"/>
      <c r="DI161" s="1569"/>
      <c r="DJ161" s="1569">
        <v>0</v>
      </c>
      <c r="DK161" s="1900"/>
      <c r="DL161" s="1569">
        <v>0</v>
      </c>
      <c r="DM161" s="1569"/>
      <c r="DN161" s="38"/>
      <c r="DO161" s="1569"/>
      <c r="DP161" s="1900"/>
      <c r="DQ161" s="1569"/>
      <c r="DR161" s="1569"/>
      <c r="DS161" s="1569"/>
      <c r="DT161" s="1569"/>
      <c r="DU161" s="1900"/>
      <c r="DV161" s="1569"/>
      <c r="DW161" s="1569"/>
      <c r="DX161" s="1569"/>
      <c r="DY161" s="1569"/>
      <c r="DZ161" s="1900"/>
      <c r="EA161" s="1569"/>
      <c r="EB161" s="1569"/>
      <c r="EC161" s="1569"/>
      <c r="ED161" s="1569"/>
      <c r="EE161" s="1900"/>
    </row>
    <row r="162" spans="2:135">
      <c r="B162" s="1895" t="s">
        <v>485</v>
      </c>
      <c r="C162" s="1569"/>
      <c r="D162" s="1569"/>
      <c r="E162" s="1569"/>
      <c r="F162" s="1569"/>
      <c r="G162" s="1569"/>
      <c r="H162" s="1569"/>
      <c r="I162" s="1569"/>
      <c r="J162" s="1569"/>
      <c r="K162" s="1569"/>
      <c r="L162" s="1569"/>
      <c r="M162" s="1569"/>
      <c r="N162" s="1569"/>
      <c r="O162" s="1569"/>
      <c r="P162" s="1569"/>
      <c r="Q162" s="1569"/>
      <c r="R162" s="1569"/>
      <c r="S162" s="1569"/>
      <c r="T162" s="1569"/>
      <c r="U162" s="1569"/>
      <c r="V162" s="1569"/>
      <c r="W162" s="1569"/>
      <c r="X162" s="1569"/>
      <c r="Y162" s="1569"/>
      <c r="Z162" s="1569"/>
      <c r="AA162" s="1569"/>
      <c r="AB162" s="1569"/>
      <c r="AC162" s="1569"/>
      <c r="AD162" s="1569"/>
      <c r="AE162" s="1569"/>
      <c r="AF162" s="1569"/>
      <c r="AG162" s="1569"/>
      <c r="AH162" s="1569"/>
      <c r="AI162" s="1569"/>
      <c r="AJ162" s="1569"/>
      <c r="AK162" s="1569"/>
      <c r="AL162" s="1569"/>
      <c r="AM162" s="1569"/>
      <c r="AN162" s="1569"/>
      <c r="AO162" s="1569"/>
      <c r="AP162" s="1569"/>
      <c r="AQ162" s="1569"/>
      <c r="AR162" s="1569"/>
      <c r="AS162" s="1569"/>
      <c r="AT162" s="1569"/>
      <c r="AU162" s="1569"/>
      <c r="AV162" s="1569"/>
      <c r="AW162" s="1569"/>
      <c r="AX162" s="1569"/>
      <c r="AY162" s="1569"/>
      <c r="AZ162" s="1569"/>
      <c r="BA162" s="1569"/>
      <c r="BB162" s="1569"/>
      <c r="BC162" s="1569"/>
      <c r="BD162" s="1569"/>
      <c r="BE162" s="1569"/>
      <c r="BF162" s="1569"/>
      <c r="BG162" s="1569"/>
      <c r="BH162" s="1569"/>
      <c r="BI162" s="1569"/>
      <c r="BJ162" s="1569"/>
      <c r="BK162" s="1569"/>
      <c r="BL162" s="1569"/>
      <c r="BM162" s="1569"/>
      <c r="BN162" s="1569"/>
      <c r="BO162" s="1569"/>
      <c r="BP162" s="1569"/>
      <c r="BQ162" s="1569"/>
      <c r="BR162" s="1569"/>
      <c r="BS162" s="1569"/>
      <c r="BT162" s="1569"/>
      <c r="BU162" s="1569"/>
      <c r="BV162" s="1569"/>
      <c r="BW162" s="1569"/>
      <c r="BX162" s="1569"/>
      <c r="BY162" s="1569"/>
      <c r="BZ162" s="1569"/>
      <c r="CA162" s="1569"/>
      <c r="CB162" s="1569"/>
      <c r="CC162" s="1569"/>
      <c r="CD162" s="1569"/>
      <c r="CE162" s="1569"/>
      <c r="CF162" s="1569"/>
      <c r="CG162" s="1569"/>
      <c r="CH162" s="1569"/>
      <c r="CI162" s="1569"/>
      <c r="CJ162" s="1569"/>
      <c r="CK162" s="1569"/>
      <c r="CL162" s="1569"/>
      <c r="CM162" s="1569"/>
      <c r="CN162" s="1569"/>
      <c r="CO162" s="1569"/>
      <c r="CP162" s="1569"/>
      <c r="CQ162" s="1569"/>
      <c r="CR162" s="1569"/>
      <c r="CS162" s="1569"/>
      <c r="CT162" s="1569"/>
      <c r="CU162" s="1569"/>
      <c r="CV162" s="1569"/>
      <c r="CW162" s="1569"/>
      <c r="CX162" s="1569"/>
      <c r="CY162" s="1569">
        <f>40+16</f>
        <v>56</v>
      </c>
      <c r="CZ162" s="1569"/>
      <c r="DA162" s="1900"/>
      <c r="DB162" s="1569"/>
      <c r="DC162" s="1569"/>
      <c r="DD162" s="1569">
        <f>33+35+443</f>
        <v>511</v>
      </c>
      <c r="DE162" s="1569">
        <f>SUM(DE160:DE161)</f>
        <v>511</v>
      </c>
      <c r="DF162" s="1900"/>
      <c r="DG162" s="1569">
        <f>SUM(DG160:DG161)</f>
        <v>511</v>
      </c>
      <c r="DH162" s="1569">
        <f>SUM(DH160:DH161)</f>
        <v>511</v>
      </c>
      <c r="DI162" s="1569">
        <f>SUM(DI160:DI161)</f>
        <v>511</v>
      </c>
      <c r="DJ162" s="1569">
        <f>SUM(DJ160:DJ161)</f>
        <v>511</v>
      </c>
      <c r="DK162" s="1900"/>
      <c r="DL162" s="1569">
        <f>SUM(DL160:DL161)</f>
        <v>511</v>
      </c>
      <c r="DM162" s="1569">
        <f>SUM(DM160:DM161)</f>
        <v>511</v>
      </c>
      <c r="DN162" s="38">
        <v>625</v>
      </c>
      <c r="DO162" s="1569">
        <f>SUM(DO160:DO161)</f>
        <v>625</v>
      </c>
      <c r="DP162" s="1900"/>
      <c r="DQ162" s="1569">
        <f>SUM(DQ160:DQ161)</f>
        <v>625</v>
      </c>
      <c r="DR162" s="1569">
        <f>SUM(DR160:DR161)</f>
        <v>625</v>
      </c>
      <c r="DS162" s="1569">
        <f>SUM(DS160:DS161)</f>
        <v>625</v>
      </c>
      <c r="DT162" s="1569">
        <f>SUM(DT160:DT161)</f>
        <v>625</v>
      </c>
      <c r="DU162" s="1900"/>
      <c r="DV162" s="1569">
        <f>SUM(DV160:DV161)</f>
        <v>625</v>
      </c>
      <c r="DW162" s="1569">
        <f>SUM(DW160:DW161)</f>
        <v>625</v>
      </c>
      <c r="DX162" s="1569">
        <f>SUM(DX160:DX161)</f>
        <v>625</v>
      </c>
      <c r="DY162" s="1569">
        <f>SUM(DY160:DY161)</f>
        <v>625</v>
      </c>
      <c r="DZ162" s="1900"/>
      <c r="EA162" s="1569">
        <f>SUM(EA160:EA161)</f>
        <v>625</v>
      </c>
      <c r="EB162" s="1569">
        <f>SUM(EB160:EB161)</f>
        <v>625</v>
      </c>
      <c r="EC162" s="1569">
        <f>SUM(EC160:EC161)</f>
        <v>625</v>
      </c>
      <c r="ED162" s="1569">
        <f>SUM(ED160:ED161)</f>
        <v>625</v>
      </c>
      <c r="EE162" s="1900"/>
    </row>
    <row r="163" spans="2:135" ht="12" thickBot="1">
      <c r="B163" s="1896" t="s">
        <v>400</v>
      </c>
      <c r="C163" s="1897"/>
      <c r="D163" s="1897"/>
      <c r="E163" s="1897"/>
      <c r="F163" s="1897"/>
      <c r="G163" s="1897"/>
      <c r="H163" s="1897"/>
      <c r="I163" s="1897"/>
      <c r="J163" s="1897"/>
      <c r="K163" s="1897"/>
      <c r="L163" s="1897"/>
      <c r="M163" s="1897"/>
      <c r="N163" s="1897"/>
      <c r="O163" s="1897"/>
      <c r="P163" s="1897"/>
      <c r="Q163" s="1897"/>
      <c r="R163" s="1897"/>
      <c r="S163" s="1897"/>
      <c r="T163" s="1897"/>
      <c r="U163" s="1897"/>
      <c r="V163" s="1897"/>
      <c r="W163" s="1897"/>
      <c r="X163" s="1897"/>
      <c r="Y163" s="1897"/>
      <c r="Z163" s="1897"/>
      <c r="AA163" s="1897"/>
      <c r="AB163" s="1897"/>
      <c r="AC163" s="1897"/>
      <c r="AD163" s="1897"/>
      <c r="AE163" s="1897"/>
      <c r="AF163" s="1897"/>
      <c r="AG163" s="1897"/>
      <c r="AH163" s="1897"/>
      <c r="AI163" s="1897"/>
      <c r="AJ163" s="1897"/>
      <c r="AK163" s="1897"/>
      <c r="AL163" s="1897"/>
      <c r="AM163" s="1897"/>
      <c r="AN163" s="1897"/>
      <c r="AO163" s="1897"/>
      <c r="AP163" s="1897"/>
      <c r="AQ163" s="1897"/>
      <c r="AR163" s="1897"/>
      <c r="AS163" s="1897"/>
      <c r="AT163" s="1897"/>
      <c r="AU163" s="1897"/>
      <c r="AV163" s="1897"/>
      <c r="AW163" s="1897"/>
      <c r="AX163" s="1897"/>
      <c r="AY163" s="1897"/>
      <c r="AZ163" s="1897"/>
      <c r="BA163" s="1897"/>
      <c r="BB163" s="1897"/>
      <c r="BC163" s="1897"/>
      <c r="BD163" s="1897"/>
      <c r="BE163" s="1897"/>
      <c r="BF163" s="1897"/>
      <c r="BG163" s="1897"/>
      <c r="BH163" s="1897"/>
      <c r="BI163" s="1897"/>
      <c r="BJ163" s="1897"/>
      <c r="BK163" s="1897"/>
      <c r="BL163" s="1897"/>
      <c r="BM163" s="1897"/>
      <c r="BN163" s="1897"/>
      <c r="BO163" s="1897"/>
      <c r="BP163" s="1897"/>
      <c r="BQ163" s="1897"/>
      <c r="BR163" s="1897"/>
      <c r="BS163" s="1897"/>
      <c r="BT163" s="1897"/>
      <c r="BU163" s="1897"/>
      <c r="BV163" s="1897"/>
      <c r="BW163" s="1897"/>
      <c r="BX163" s="1897"/>
      <c r="BY163" s="1897"/>
      <c r="BZ163" s="1897"/>
      <c r="CA163" s="1897"/>
      <c r="CB163" s="1897"/>
      <c r="CC163" s="1897"/>
      <c r="CD163" s="1897"/>
      <c r="CE163" s="1897"/>
      <c r="CF163" s="1897"/>
      <c r="CG163" s="1897"/>
      <c r="CH163" s="1897"/>
      <c r="CI163" s="1897"/>
      <c r="CJ163" s="1897"/>
      <c r="CK163" s="1897"/>
      <c r="CL163" s="1897"/>
      <c r="CM163" s="1897"/>
      <c r="CN163" s="1897"/>
      <c r="CO163" s="1897"/>
      <c r="CP163" s="1897"/>
      <c r="CQ163" s="1897"/>
      <c r="CR163" s="1897"/>
      <c r="CS163" s="1897"/>
      <c r="CT163" s="1897"/>
      <c r="CU163" s="1897"/>
      <c r="CV163" s="1897"/>
      <c r="CW163" s="1897"/>
      <c r="CX163" s="1897"/>
      <c r="CY163" s="1897"/>
      <c r="CZ163" s="1897"/>
      <c r="DA163" s="1901"/>
      <c r="DB163" s="1897"/>
      <c r="DC163" s="1897"/>
      <c r="DD163" s="1897"/>
      <c r="DE163" s="1897">
        <f>AVERAGE(DE160,DE162)*(DE159/4)</f>
        <v>3.8325</v>
      </c>
      <c r="DF163" s="1901"/>
      <c r="DG163" s="1897">
        <f>AVERAGE(DG160,DG162)*(DG159/4)</f>
        <v>3.8325</v>
      </c>
      <c r="DH163" s="1897">
        <f>AVERAGE(DH160,DH162)*(DH159/4)</f>
        <v>3.8325</v>
      </c>
      <c r="DI163" s="1897">
        <f>AVERAGE(DI160,DI162)*(DI159/4)</f>
        <v>3.8325</v>
      </c>
      <c r="DJ163" s="1897">
        <f>AVERAGE(DJ160,DJ162)*(DJ159/4)</f>
        <v>3.8325</v>
      </c>
      <c r="DK163" s="1901"/>
      <c r="DL163" s="1897">
        <f>AVERAGE(DL160,DL162)*(DL159/4)</f>
        <v>3.8325</v>
      </c>
      <c r="DM163" s="1897">
        <f>AVERAGE(DM160,DM162)*(DM159/4)</f>
        <v>3.8325</v>
      </c>
      <c r="DN163" s="2214">
        <f>AVERAGE(DN160,DN162)*(DN159/4)</f>
        <v>4.26</v>
      </c>
      <c r="DO163" s="1897">
        <f>AVERAGE(DO160,DO162)*(DO159/4)</f>
        <v>4.6875</v>
      </c>
      <c r="DP163" s="1901"/>
      <c r="DQ163" s="1897">
        <f>AVERAGE(DQ160,DQ162)*(DQ159/4)</f>
        <v>4.6875</v>
      </c>
      <c r="DR163" s="1897">
        <f>AVERAGE(DR160,DR162)*(DR159/4)</f>
        <v>4.6875</v>
      </c>
      <c r="DS163" s="1897">
        <f>AVERAGE(DS160,DS162)*(DS159/4)</f>
        <v>4.6875</v>
      </c>
      <c r="DT163" s="1897">
        <f>AVERAGE(DT160,DT162)*(DT159/4)</f>
        <v>4.6875</v>
      </c>
      <c r="DU163" s="1901"/>
      <c r="DV163" s="1897">
        <f>AVERAGE(DV160,DV162)*(DV159/4)</f>
        <v>4.6875</v>
      </c>
      <c r="DW163" s="1897">
        <f>AVERAGE(DW160,DW162)*(DW159/4)</f>
        <v>4.6875</v>
      </c>
      <c r="DX163" s="1897">
        <f>AVERAGE(DX160,DX162)*(DX159/4)</f>
        <v>4.6875</v>
      </c>
      <c r="DY163" s="1897">
        <f>AVERAGE(DY160,DY162)*(DY159/4)</f>
        <v>4.6875</v>
      </c>
      <c r="DZ163" s="1901"/>
      <c r="EA163" s="1897">
        <f>AVERAGE(EA160,EA162)*(EA159/4)</f>
        <v>4.6875</v>
      </c>
      <c r="EB163" s="1897">
        <f>AVERAGE(EB160,EB162)*(EB159/4)</f>
        <v>4.6875</v>
      </c>
      <c r="EC163" s="1897">
        <f>AVERAGE(EC160,EC162)*(EC159/4)</f>
        <v>4.6875</v>
      </c>
      <c r="ED163" s="1897">
        <f>AVERAGE(ED160,ED162)*(ED159/4)</f>
        <v>4.6875</v>
      </c>
      <c r="EE163" s="1901"/>
    </row>
    <row r="164" spans="2:135" s="2124" customFormat="1">
      <c r="B164" s="1569"/>
      <c r="C164" s="1569"/>
      <c r="D164" s="1569"/>
      <c r="E164" s="1569"/>
      <c r="F164" s="1569"/>
      <c r="G164" s="1569"/>
      <c r="H164" s="1569"/>
      <c r="I164" s="1569"/>
      <c r="J164" s="1569"/>
      <c r="K164" s="1569"/>
      <c r="L164" s="1569"/>
      <c r="M164" s="1569"/>
      <c r="N164" s="1569"/>
      <c r="O164" s="1569"/>
      <c r="P164" s="1569"/>
      <c r="Q164" s="1569"/>
      <c r="R164" s="1569"/>
      <c r="S164" s="1569"/>
      <c r="T164" s="1569"/>
      <c r="U164" s="1569"/>
      <c r="V164" s="1569"/>
      <c r="W164" s="1569"/>
      <c r="X164" s="1569"/>
      <c r="Y164" s="1569"/>
      <c r="Z164" s="1569"/>
      <c r="AA164" s="1569"/>
      <c r="AB164" s="1569"/>
      <c r="AC164" s="1569"/>
      <c r="AD164" s="1569"/>
      <c r="AE164" s="1569"/>
      <c r="AF164" s="1569"/>
      <c r="AG164" s="1569"/>
      <c r="AH164" s="1569"/>
      <c r="AI164" s="1569"/>
      <c r="AJ164" s="1569"/>
      <c r="AK164" s="1569"/>
      <c r="AL164" s="1569"/>
      <c r="AM164" s="1569"/>
      <c r="AN164" s="1569"/>
      <c r="AO164" s="1569"/>
      <c r="AP164" s="1569"/>
      <c r="AQ164" s="1569"/>
      <c r="AR164" s="1569"/>
      <c r="AS164" s="1569"/>
      <c r="AT164" s="1569"/>
      <c r="AU164" s="1569"/>
      <c r="AV164" s="1569"/>
      <c r="AW164" s="1569"/>
      <c r="AX164" s="1569"/>
      <c r="AY164" s="1569"/>
      <c r="AZ164" s="1569"/>
      <c r="BA164" s="1569"/>
      <c r="BB164" s="1569"/>
      <c r="BC164" s="1569"/>
      <c r="BD164" s="1569"/>
      <c r="BE164" s="1569"/>
      <c r="BF164" s="1569"/>
      <c r="BG164" s="1569"/>
      <c r="BH164" s="1569"/>
      <c r="BI164" s="1569"/>
      <c r="BJ164" s="1569"/>
      <c r="BK164" s="1569"/>
      <c r="BL164" s="1569"/>
      <c r="BM164" s="1569"/>
      <c r="BN164" s="1569"/>
      <c r="BO164" s="1569"/>
      <c r="BP164" s="1569"/>
      <c r="BQ164" s="1569"/>
      <c r="BR164" s="1569"/>
      <c r="BS164" s="1569"/>
      <c r="BT164" s="1569"/>
      <c r="BU164" s="1569"/>
      <c r="BV164" s="1569"/>
      <c r="BW164" s="1569"/>
      <c r="BX164" s="1569"/>
      <c r="BY164" s="1569"/>
      <c r="BZ164" s="1569"/>
      <c r="CA164" s="1569"/>
      <c r="CB164" s="1569"/>
      <c r="CC164" s="1569"/>
      <c r="CD164" s="1569"/>
      <c r="CE164" s="1569"/>
      <c r="CF164" s="1569"/>
      <c r="CG164" s="1569"/>
      <c r="CH164" s="1569"/>
      <c r="CI164" s="1569"/>
      <c r="CJ164" s="1569"/>
      <c r="CK164" s="1569"/>
      <c r="CL164" s="1569"/>
      <c r="CM164" s="1569"/>
      <c r="CN164" s="1569"/>
      <c r="CO164" s="1569"/>
      <c r="CP164" s="1569"/>
      <c r="CQ164" s="1569"/>
      <c r="CR164" s="1569"/>
      <c r="CS164" s="1569"/>
      <c r="CT164" s="1569"/>
      <c r="CU164" s="1569"/>
      <c r="CV164" s="1569"/>
      <c r="CW164" s="1569"/>
      <c r="CX164" s="1569"/>
      <c r="CY164" s="1569"/>
      <c r="CZ164" s="1569"/>
      <c r="DA164" s="1569"/>
      <c r="DB164" s="1569"/>
      <c r="DC164" s="1569"/>
      <c r="DD164" s="1569"/>
      <c r="DE164" s="1569"/>
      <c r="DF164" s="1569"/>
      <c r="DG164" s="1569"/>
      <c r="DH164" s="1569"/>
      <c r="DI164" s="1569"/>
      <c r="DJ164" s="1569"/>
      <c r="DK164" s="1569"/>
      <c r="DL164" s="1569"/>
      <c r="DM164" s="1569"/>
      <c r="DN164" s="2230"/>
      <c r="DO164" s="1569"/>
      <c r="DP164" s="1569"/>
      <c r="DQ164" s="1569"/>
      <c r="DR164" s="1569"/>
      <c r="DS164" s="1569"/>
      <c r="DT164" s="1569"/>
      <c r="DU164" s="1569"/>
      <c r="DV164" s="1569"/>
      <c r="DW164" s="1569"/>
      <c r="DX164" s="1569"/>
      <c r="DY164" s="1569"/>
      <c r="DZ164" s="1569"/>
      <c r="EA164" s="1569"/>
      <c r="EB164" s="1569"/>
      <c r="EC164" s="1569"/>
      <c r="ED164" s="1569"/>
      <c r="EE164" s="1569"/>
    </row>
    <row r="165" spans="2:135" s="2124" customFormat="1">
      <c r="B165" s="1569"/>
      <c r="C165" s="1569"/>
      <c r="D165" s="1569"/>
      <c r="E165" s="1569"/>
      <c r="F165" s="1569"/>
      <c r="G165" s="1569"/>
      <c r="H165" s="1569"/>
      <c r="I165" s="1569"/>
      <c r="J165" s="1569"/>
      <c r="K165" s="1569"/>
      <c r="L165" s="1569"/>
      <c r="M165" s="1569"/>
      <c r="N165" s="1569"/>
      <c r="O165" s="1569"/>
      <c r="P165" s="1569"/>
      <c r="Q165" s="1569"/>
      <c r="R165" s="1569"/>
      <c r="S165" s="1569"/>
      <c r="T165" s="1569"/>
      <c r="U165" s="1569"/>
      <c r="V165" s="1569"/>
      <c r="W165" s="1569"/>
      <c r="X165" s="1569"/>
      <c r="Y165" s="1569"/>
      <c r="Z165" s="1569"/>
      <c r="AA165" s="1569"/>
      <c r="AB165" s="1569"/>
      <c r="AC165" s="1569"/>
      <c r="AD165" s="1569"/>
      <c r="AE165" s="1569"/>
      <c r="AF165" s="1569"/>
      <c r="AG165" s="1569"/>
      <c r="AH165" s="1569"/>
      <c r="AI165" s="1569"/>
      <c r="AJ165" s="1569"/>
      <c r="AK165" s="1569"/>
      <c r="AL165" s="1569"/>
      <c r="AM165" s="1569"/>
      <c r="AN165" s="1569"/>
      <c r="AO165" s="1569"/>
      <c r="AP165" s="1569"/>
      <c r="AQ165" s="1569"/>
      <c r="AR165" s="1569"/>
      <c r="AS165" s="1569"/>
      <c r="AT165" s="1569"/>
      <c r="AU165" s="1569"/>
      <c r="AV165" s="1569"/>
      <c r="AW165" s="1569"/>
      <c r="AX165" s="1569"/>
      <c r="AY165" s="1569"/>
      <c r="AZ165" s="1569"/>
      <c r="BA165" s="1569"/>
      <c r="BB165" s="1569"/>
      <c r="BC165" s="1569"/>
      <c r="BD165" s="1569"/>
      <c r="BE165" s="1569"/>
      <c r="BF165" s="1569"/>
      <c r="BG165" s="1569"/>
      <c r="BH165" s="1569"/>
      <c r="BI165" s="1569"/>
      <c r="BJ165" s="1569"/>
      <c r="BK165" s="1569"/>
      <c r="BL165" s="1569"/>
      <c r="BM165" s="1569"/>
      <c r="BN165" s="1569"/>
      <c r="BO165" s="1569"/>
      <c r="BP165" s="1569"/>
      <c r="BQ165" s="1569"/>
      <c r="BR165" s="1569"/>
      <c r="BS165" s="1569"/>
      <c r="BT165" s="1569"/>
      <c r="BU165" s="1569"/>
      <c r="BV165" s="1569"/>
      <c r="BW165" s="1569"/>
      <c r="BX165" s="1569"/>
      <c r="BY165" s="1569"/>
      <c r="BZ165" s="1569"/>
      <c r="CA165" s="1569"/>
      <c r="CB165" s="1569"/>
      <c r="CC165" s="1569"/>
      <c r="CD165" s="1569"/>
      <c r="CE165" s="1569"/>
      <c r="CF165" s="1569"/>
      <c r="CG165" s="1569"/>
      <c r="CH165" s="1569"/>
      <c r="CI165" s="1569"/>
      <c r="CJ165" s="1569"/>
      <c r="CK165" s="1569"/>
      <c r="CL165" s="1569"/>
      <c r="CM165" s="1569"/>
      <c r="CN165" s="1569"/>
      <c r="CO165" s="1569"/>
      <c r="CP165" s="1569"/>
      <c r="CQ165" s="1569"/>
      <c r="CR165" s="1569"/>
      <c r="CS165" s="1569"/>
      <c r="CT165" s="1569"/>
      <c r="CU165" s="1569"/>
      <c r="CV165" s="1569"/>
      <c r="CW165" s="1569"/>
      <c r="CX165" s="1569"/>
      <c r="CY165" s="1569"/>
      <c r="CZ165" s="1569"/>
      <c r="DA165" s="1569"/>
      <c r="DB165" s="1569"/>
      <c r="DC165" s="1569"/>
      <c r="DD165" s="1569"/>
      <c r="DE165" s="1569"/>
      <c r="DF165" s="1569"/>
      <c r="DG165" s="1569"/>
      <c r="DH165" s="1569"/>
      <c r="DI165" s="1569"/>
      <c r="DJ165" s="1569"/>
      <c r="DK165" s="1569"/>
      <c r="DL165" s="1569"/>
      <c r="DM165" s="1569"/>
      <c r="DN165" s="2230"/>
      <c r="DO165" s="1569"/>
      <c r="DP165" s="1569"/>
      <c r="DQ165" s="1569"/>
      <c r="DR165" s="1569"/>
      <c r="DS165" s="1569"/>
      <c r="DT165" s="1569"/>
      <c r="DU165" s="1569"/>
      <c r="DV165" s="1569"/>
      <c r="DW165" s="1569"/>
      <c r="DX165" s="1569"/>
      <c r="DY165" s="1569"/>
      <c r="DZ165" s="1569"/>
      <c r="EA165" s="1569"/>
      <c r="EB165" s="1569"/>
      <c r="EC165" s="1569"/>
      <c r="ED165" s="1569"/>
      <c r="EE165" s="1569"/>
    </row>
    <row r="166" spans="2:135">
      <c r="B166" s="1568" t="s">
        <v>564</v>
      </c>
      <c r="DG166">
        <f>110/4</f>
        <v>27.5</v>
      </c>
      <c r="DH166">
        <f>DG166</f>
        <v>27.5</v>
      </c>
      <c r="DI166" s="2120">
        <f>DH166</f>
        <v>27.5</v>
      </c>
      <c r="DJ166" s="2120">
        <f>DI166</f>
        <v>27.5</v>
      </c>
      <c r="DL166">
        <f>DJ166</f>
        <v>27.5</v>
      </c>
      <c r="DM166">
        <f>DL166</f>
        <v>27.5</v>
      </c>
      <c r="DN166" s="1539">
        <f>DM166</f>
        <v>27.5</v>
      </c>
      <c r="DO166">
        <f>DN166</f>
        <v>27.5</v>
      </c>
      <c r="DQ166" s="2120">
        <f>DO166</f>
        <v>27.5</v>
      </c>
      <c r="DR166" s="2120">
        <f>DQ166</f>
        <v>27.5</v>
      </c>
      <c r="DS166" s="2120">
        <f>DR166</f>
        <v>27.5</v>
      </c>
      <c r="DT166" s="2120">
        <f>DS166</f>
        <v>27.5</v>
      </c>
      <c r="DV166" s="2161">
        <f>DT166</f>
        <v>27.5</v>
      </c>
      <c r="DW166" s="2161">
        <f>DV166</f>
        <v>27.5</v>
      </c>
      <c r="DX166" s="2161">
        <f>DW166</f>
        <v>27.5</v>
      </c>
      <c r="DY166" s="2161">
        <f>DX166</f>
        <v>27.5</v>
      </c>
      <c r="EA166" s="2248">
        <f>DY166</f>
        <v>27.5</v>
      </c>
      <c r="EB166" s="2248">
        <f>EA166</f>
        <v>27.5</v>
      </c>
      <c r="EC166" s="2248">
        <f>EB166</f>
        <v>27.5</v>
      </c>
      <c r="ED166" s="2248">
        <f>EC166</f>
        <v>27.5</v>
      </c>
    </row>
    <row r="167" spans="2:135">
      <c r="B167" s="1569"/>
    </row>
    <row r="168" spans="2:135">
      <c r="B168" s="1569"/>
    </row>
    <row r="169" spans="2:135">
      <c r="B169" s="1569"/>
    </row>
    <row r="170" spans="2:135">
      <c r="B170" s="1569"/>
    </row>
    <row r="171" spans="2:135">
      <c r="B171" s="1569"/>
    </row>
    <row r="172" spans="2:135">
      <c r="B172" s="1569"/>
    </row>
    <row r="173" spans="2:135">
      <c r="B173" s="1569"/>
    </row>
    <row r="174" spans="2:135">
      <c r="B174" s="1569"/>
    </row>
    <row r="175" spans="2:135">
      <c r="B175" s="1569"/>
    </row>
    <row r="176" spans="2:135">
      <c r="B176" s="1569"/>
    </row>
    <row r="177" spans="2:2">
      <c r="B177" s="1569"/>
    </row>
    <row r="178" spans="2:2">
      <c r="B178" s="1569"/>
    </row>
    <row r="179" spans="2:2">
      <c r="B179" s="1569"/>
    </row>
    <row r="180" spans="2:2">
      <c r="B180" s="1569"/>
    </row>
    <row r="181" spans="2:2">
      <c r="B181" s="1569"/>
    </row>
    <row r="182" spans="2:2">
      <c r="B182" s="1569"/>
    </row>
    <row r="183" spans="2:2">
      <c r="B183" s="1569"/>
    </row>
    <row r="184" spans="2:2">
      <c r="B184" s="1569"/>
    </row>
    <row r="185" spans="2:2">
      <c r="B185" s="1569"/>
    </row>
    <row r="186" spans="2:2">
      <c r="B186" s="1569"/>
    </row>
    <row r="187" spans="2:2">
      <c r="B187" s="1569"/>
    </row>
    <row r="188" spans="2:2">
      <c r="B188" s="1569"/>
    </row>
    <row r="189" spans="2:2">
      <c r="B189" s="1569"/>
    </row>
    <row r="190" spans="2:2">
      <c r="B190" s="1569"/>
    </row>
    <row r="191" spans="2:2">
      <c r="B191" s="1569"/>
    </row>
    <row r="192" spans="2:2">
      <c r="B192" s="1569"/>
    </row>
    <row r="193" spans="2:2">
      <c r="B193" s="1569"/>
    </row>
    <row r="194" spans="2:2">
      <c r="B194" s="1569"/>
    </row>
    <row r="195" spans="2:2">
      <c r="B195" s="1569"/>
    </row>
    <row r="196" spans="2:2">
      <c r="B196" s="1569"/>
    </row>
    <row r="197" spans="2:2">
      <c r="B197" s="1569"/>
    </row>
    <row r="198" spans="2:2">
      <c r="B198" s="1569"/>
    </row>
    <row r="199" spans="2:2">
      <c r="B199" s="1569"/>
    </row>
    <row r="200" spans="2:2">
      <c r="B200" s="1569"/>
    </row>
    <row r="201" spans="2:2">
      <c r="B201" s="1569"/>
    </row>
    <row r="202" spans="2:2">
      <c r="B202" s="1569"/>
    </row>
    <row r="203" spans="2:2">
      <c r="B203" s="1569"/>
    </row>
    <row r="204" spans="2:2">
      <c r="B204" s="1569"/>
    </row>
    <row r="205" spans="2:2">
      <c r="B205" s="1569"/>
    </row>
    <row r="206" spans="2:2">
      <c r="B206" s="1569"/>
    </row>
    <row r="207" spans="2:2">
      <c r="B207" s="1569"/>
    </row>
    <row r="208" spans="2:2">
      <c r="B208" s="1569"/>
    </row>
    <row r="209" spans="2:2">
      <c r="B209" s="1569"/>
    </row>
    <row r="210" spans="2:2">
      <c r="B210" s="1569"/>
    </row>
    <row r="211" spans="2:2">
      <c r="B211" s="1569"/>
    </row>
    <row r="212" spans="2:2">
      <c r="B212" s="1569"/>
    </row>
    <row r="213" spans="2:2">
      <c r="B213" s="1569"/>
    </row>
    <row r="214" spans="2:2">
      <c r="B214" s="1569"/>
    </row>
    <row r="215" spans="2:2">
      <c r="B215" s="1569"/>
    </row>
    <row r="216" spans="2:2">
      <c r="B216" s="1569"/>
    </row>
    <row r="217" spans="2:2">
      <c r="B217" s="1569"/>
    </row>
    <row r="218" spans="2:2">
      <c r="B218" s="1569"/>
    </row>
    <row r="219" spans="2:2">
      <c r="B219" s="1569"/>
    </row>
    <row r="220" spans="2:2">
      <c r="B220" s="1569"/>
    </row>
    <row r="221" spans="2:2">
      <c r="B221" s="1569"/>
    </row>
    <row r="222" spans="2:2">
      <c r="B222" s="1569"/>
    </row>
    <row r="223" spans="2:2">
      <c r="B223" s="1569"/>
    </row>
    <row r="224" spans="2:2">
      <c r="B224" s="1569"/>
    </row>
    <row r="225" spans="2:2">
      <c r="B225" s="1569"/>
    </row>
    <row r="226" spans="2:2">
      <c r="B226" s="1569"/>
    </row>
    <row r="227" spans="2:2">
      <c r="B227" s="1569"/>
    </row>
    <row r="228" spans="2:2">
      <c r="B228" s="1569"/>
    </row>
    <row r="229" spans="2:2">
      <c r="B229" s="1569"/>
    </row>
    <row r="230" spans="2:2">
      <c r="B230" s="1569"/>
    </row>
    <row r="231" spans="2:2">
      <c r="B231" s="1569"/>
    </row>
    <row r="232" spans="2:2">
      <c r="B232" s="1569"/>
    </row>
    <row r="233" spans="2:2">
      <c r="B233" s="1569"/>
    </row>
    <row r="234" spans="2:2">
      <c r="B234" s="1569"/>
    </row>
    <row r="235" spans="2:2">
      <c r="B235" s="1569"/>
    </row>
    <row r="236" spans="2:2">
      <c r="B236" s="1569"/>
    </row>
    <row r="237" spans="2:2">
      <c r="B237" s="1569"/>
    </row>
    <row r="238" spans="2:2">
      <c r="B238" s="1569"/>
    </row>
    <row r="239" spans="2:2">
      <c r="B239" s="1569"/>
    </row>
    <row r="240" spans="2:2">
      <c r="B240" s="1569"/>
    </row>
    <row r="241" spans="2:2">
      <c r="B241" s="1569"/>
    </row>
    <row r="242" spans="2:2">
      <c r="B242" s="1569"/>
    </row>
    <row r="243" spans="2:2">
      <c r="B243" s="1569"/>
    </row>
    <row r="244" spans="2:2">
      <c r="B244" s="1569"/>
    </row>
    <row r="245" spans="2:2">
      <c r="B245" s="1569"/>
    </row>
    <row r="246" spans="2:2">
      <c r="B246" s="1569"/>
    </row>
    <row r="247" spans="2:2">
      <c r="B247" s="1569"/>
    </row>
    <row r="248" spans="2:2">
      <c r="B248" s="1569"/>
    </row>
    <row r="249" spans="2:2">
      <c r="B249" s="1569"/>
    </row>
    <row r="250" spans="2:2">
      <c r="B250" s="1569"/>
    </row>
    <row r="251" spans="2:2">
      <c r="B251" s="1569"/>
    </row>
    <row r="252" spans="2:2">
      <c r="B252" s="1569"/>
    </row>
    <row r="253" spans="2:2">
      <c r="B253" s="1569"/>
    </row>
    <row r="254" spans="2:2">
      <c r="B254" s="1569"/>
    </row>
    <row r="255" spans="2:2">
      <c r="B255" s="1569"/>
    </row>
    <row r="256" spans="2:2">
      <c r="B256" s="1569"/>
    </row>
    <row r="257" spans="2:2">
      <c r="B257" s="1569"/>
    </row>
    <row r="258" spans="2:2">
      <c r="B258" s="1569"/>
    </row>
    <row r="259" spans="2:2">
      <c r="B259" s="1569"/>
    </row>
    <row r="260" spans="2:2">
      <c r="B260" s="1569"/>
    </row>
    <row r="261" spans="2:2">
      <c r="B261" s="1569"/>
    </row>
    <row r="262" spans="2:2">
      <c r="B262" s="1569"/>
    </row>
  </sheetData>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C4:V48"/>
  <sheetViews>
    <sheetView showGridLines="0" topLeftCell="B1" zoomScaleNormal="100" zoomScaleSheetLayoutView="100" workbookViewId="0">
      <selection activeCell="K56" sqref="K56"/>
    </sheetView>
  </sheetViews>
  <sheetFormatPr defaultRowHeight="11.25" outlineLevelRow="1" outlineLevelCol="1"/>
  <cols>
    <col min="3" max="3" width="23.6640625" customWidth="1"/>
    <col min="5" max="7" width="9.33203125" style="2346" hidden="1" customWidth="1" outlineLevel="1"/>
    <col min="8" max="10" width="9.33203125" style="2200" hidden="1" customWidth="1" outlineLevel="1"/>
    <col min="11" max="11" width="9.33203125" style="2346" customWidth="1" collapsed="1"/>
    <col min="12" max="13" width="9.33203125" style="2346" customWidth="1"/>
    <col min="15" max="15" width="9.83203125" bestFit="1" customWidth="1"/>
  </cols>
  <sheetData>
    <row r="4" spans="3:22" hidden="1" outlineLevel="1"/>
    <row r="5" spans="3:22" ht="12.75" hidden="1" outlineLevel="1">
      <c r="C5" s="2076" t="s">
        <v>549</v>
      </c>
      <c r="D5" s="2077"/>
      <c r="E5" s="2077"/>
      <c r="F5" s="2077"/>
      <c r="G5" s="2077"/>
      <c r="H5" s="2078"/>
      <c r="I5" s="2078"/>
      <c r="J5" s="2078"/>
      <c r="K5" s="2078"/>
      <c r="L5" s="2078"/>
      <c r="M5" s="2078"/>
      <c r="N5" s="2079" t="s">
        <v>550</v>
      </c>
      <c r="O5" s="2079" t="s">
        <v>551</v>
      </c>
      <c r="P5" s="2079" t="s">
        <v>552</v>
      </c>
      <c r="Q5" s="2079" t="s">
        <v>551</v>
      </c>
      <c r="R5" s="2080"/>
      <c r="S5" s="2079">
        <v>2015</v>
      </c>
    </row>
    <row r="6" spans="3:22" ht="12.75" hidden="1" outlineLevel="1">
      <c r="C6" s="2081" t="s">
        <v>553</v>
      </c>
      <c r="D6" s="2082"/>
      <c r="E6" s="2082"/>
      <c r="F6" s="2082"/>
      <c r="G6" s="2082"/>
      <c r="N6" s="2083"/>
      <c r="O6" s="2083"/>
      <c r="P6" s="2083"/>
      <c r="Q6" s="2083"/>
      <c r="R6" s="2080"/>
      <c r="S6" s="2083"/>
    </row>
    <row r="7" spans="3:22" ht="12.75" hidden="1" outlineLevel="1">
      <c r="C7" s="2081"/>
      <c r="D7" s="2082"/>
      <c r="E7" s="2082"/>
      <c r="F7" s="2082"/>
      <c r="G7" s="2082"/>
      <c r="H7" s="2084"/>
      <c r="I7" s="2084"/>
      <c r="J7" s="2084"/>
      <c r="K7" s="2084"/>
      <c r="L7" s="2084"/>
      <c r="M7" s="2084"/>
      <c r="R7" s="2080"/>
    </row>
    <row r="8" spans="3:22" ht="12.75" hidden="1" outlineLevel="1">
      <c r="C8" s="2081" t="s">
        <v>324</v>
      </c>
      <c r="D8" s="2082"/>
      <c r="E8" s="2082"/>
      <c r="F8" s="2082"/>
      <c r="G8" s="2082"/>
      <c r="R8" s="2080"/>
      <c r="S8">
        <v>1830.8</v>
      </c>
    </row>
    <row r="9" spans="3:22" ht="12.75" hidden="1" outlineLevel="1">
      <c r="C9" s="2081" t="s">
        <v>206</v>
      </c>
      <c r="D9" s="2082"/>
      <c r="E9" s="2082"/>
      <c r="F9" s="2082"/>
      <c r="G9" s="2082"/>
      <c r="R9" s="2080"/>
      <c r="S9">
        <v>443.1</v>
      </c>
    </row>
    <row r="10" spans="3:22" ht="12.75" hidden="1" outlineLevel="1">
      <c r="C10" s="2081" t="s">
        <v>555</v>
      </c>
      <c r="D10" s="2082"/>
      <c r="E10" s="2082"/>
      <c r="F10" s="2082"/>
      <c r="G10" s="2082"/>
      <c r="R10" s="2080"/>
      <c r="S10">
        <v>203.5</v>
      </c>
    </row>
    <row r="11" spans="3:22" ht="12.75" hidden="1" outlineLevel="1">
      <c r="C11" s="2081"/>
      <c r="D11" s="2082"/>
      <c r="E11" s="2082"/>
      <c r="F11" s="2082"/>
      <c r="G11" s="2082"/>
      <c r="R11" s="2080"/>
      <c r="S11" t="s">
        <v>554</v>
      </c>
    </row>
    <row r="12" spans="3:22" ht="12.75" hidden="1" outlineLevel="1">
      <c r="R12" s="2080"/>
      <c r="S12">
        <v>127</v>
      </c>
    </row>
    <row r="13" spans="3:22" collapsed="1"/>
    <row r="14" spans="3:22">
      <c r="N14" s="1689"/>
      <c r="Q14" s="1689"/>
    </row>
    <row r="15" spans="3:22" ht="12.75">
      <c r="C15" s="2092" t="s">
        <v>556</v>
      </c>
      <c r="D15" s="2093"/>
      <c r="E15" s="2094" t="s">
        <v>138</v>
      </c>
      <c r="F15" s="2095"/>
      <c r="G15" s="2097"/>
      <c r="H15" s="2094" t="s">
        <v>615</v>
      </c>
      <c r="I15" s="2095"/>
      <c r="J15" s="2097"/>
      <c r="K15" s="2359" t="s">
        <v>621</v>
      </c>
      <c r="L15" s="2096"/>
      <c r="M15" s="2097"/>
      <c r="N15" s="2094" t="s">
        <v>562</v>
      </c>
      <c r="O15" s="2095"/>
      <c r="P15" s="2097"/>
      <c r="Q15" s="2095" t="s">
        <v>590</v>
      </c>
      <c r="R15" s="2095"/>
      <c r="S15" s="2097"/>
      <c r="T15" s="2095" t="s">
        <v>613</v>
      </c>
      <c r="U15" s="2095"/>
      <c r="V15" s="2097"/>
    </row>
    <row r="16" spans="3:22">
      <c r="C16" s="2098"/>
      <c r="D16" s="2099"/>
      <c r="E16" s="2100" t="s">
        <v>557</v>
      </c>
      <c r="F16" s="2101" t="s">
        <v>552</v>
      </c>
      <c r="G16" s="2102" t="s">
        <v>478</v>
      </c>
      <c r="H16" s="2100" t="s">
        <v>557</v>
      </c>
      <c r="I16" s="2101" t="s">
        <v>552</v>
      </c>
      <c r="J16" s="2102" t="s">
        <v>478</v>
      </c>
      <c r="K16" s="2100" t="s">
        <v>557</v>
      </c>
      <c r="L16" s="2101" t="s">
        <v>552</v>
      </c>
      <c r="M16" s="2102" t="s">
        <v>478</v>
      </c>
      <c r="N16" s="2100" t="s">
        <v>557</v>
      </c>
      <c r="O16" s="2101" t="s">
        <v>552</v>
      </c>
      <c r="P16" s="2102" t="s">
        <v>478</v>
      </c>
      <c r="Q16" s="2101" t="s">
        <v>557</v>
      </c>
      <c r="R16" s="2101" t="s">
        <v>552</v>
      </c>
      <c r="S16" s="2102" t="s">
        <v>478</v>
      </c>
      <c r="T16" s="2101" t="s">
        <v>557</v>
      </c>
      <c r="U16" s="2101" t="s">
        <v>552</v>
      </c>
      <c r="V16" s="2102" t="s">
        <v>478</v>
      </c>
    </row>
    <row r="17" spans="3:22">
      <c r="C17" s="2103" t="s">
        <v>420</v>
      </c>
      <c r="D17" s="2104"/>
      <c r="E17" s="2355">
        <f>Model!DP9</f>
        <v>118214</v>
      </c>
      <c r="F17" s="2105">
        <v>118214</v>
      </c>
      <c r="G17" s="2106">
        <f>E17-F17</f>
        <v>0</v>
      </c>
      <c r="H17" s="2355">
        <f>Model!DQ9</f>
        <v>30740</v>
      </c>
      <c r="I17" s="2105">
        <v>30740</v>
      </c>
      <c r="J17" s="2106">
        <f t="shared" ref="J17:J22" si="0">H17-I17</f>
        <v>0</v>
      </c>
      <c r="K17" s="2355">
        <f ca="1">Model!DR9</f>
        <v>33566.861696755666</v>
      </c>
      <c r="L17" s="2105">
        <v>32190.98</v>
      </c>
      <c r="M17" s="2106">
        <f ca="1">K17-L17</f>
        <v>1375.8816967556668</v>
      </c>
      <c r="N17" s="2355">
        <f ca="1">Model!DU9</f>
        <v>131454.61490573912</v>
      </c>
      <c r="O17" s="2105">
        <v>130028.32</v>
      </c>
      <c r="P17" s="2106">
        <f t="shared" ref="P17:P22" ca="1" si="1">N17-O17</f>
        <v>1426.2949057391088</v>
      </c>
      <c r="Q17" s="2105">
        <f ca="1">Model!DZ9</f>
        <v>135817.36550103012</v>
      </c>
      <c r="R17" s="2105">
        <v>138234.73000000001</v>
      </c>
      <c r="S17" s="2106">
        <f t="shared" ref="S17:S22" ca="1" si="2">Q17-R17</f>
        <v>-2417.3644989698951</v>
      </c>
      <c r="T17" s="2105">
        <f ca="1">Model!EE9</f>
        <v>138296.89428763979</v>
      </c>
      <c r="U17" s="2105">
        <v>143291.07</v>
      </c>
      <c r="V17" s="2106">
        <f t="shared" ref="V17:V22" ca="1" si="3">T17-U17</f>
        <v>-4994.1757123602147</v>
      </c>
    </row>
    <row r="18" spans="3:22" outlineLevel="1">
      <c r="C18" s="2107" t="s">
        <v>298</v>
      </c>
      <c r="D18" s="1569"/>
      <c r="E18" s="2356">
        <f>Model!DP97</f>
        <v>0.24792325782056271</v>
      </c>
      <c r="F18" s="2109">
        <v>0.24792325782056271</v>
      </c>
      <c r="G18" s="2112">
        <f t="shared" ref="G18:G22" si="4">E18-F18</f>
        <v>0</v>
      </c>
      <c r="H18" s="2356">
        <f>Model!DQ97</f>
        <v>0.24196486662329214</v>
      </c>
      <c r="I18" s="2109">
        <v>0.24196486662329214</v>
      </c>
      <c r="J18" s="2363">
        <f t="shared" si="0"/>
        <v>0</v>
      </c>
      <c r="K18" s="2356">
        <f ca="1">Model!DR97</f>
        <v>0.24866307433647672</v>
      </c>
      <c r="L18" s="2362">
        <v>0.2492</v>
      </c>
      <c r="M18" s="2363">
        <f t="shared" ref="M18:M22" ca="1" si="5">K18-L18</f>
        <v>-5.3692566352328552E-4</v>
      </c>
      <c r="N18" s="2356">
        <f ca="1">Model!DU97</f>
        <v>0.24313811205036423</v>
      </c>
      <c r="O18" s="2109">
        <v>0.24110000000000001</v>
      </c>
      <c r="P18" s="2110">
        <f t="shared" ca="1" si="1"/>
        <v>2.0381120503642214E-3</v>
      </c>
      <c r="Q18" s="2109">
        <f ca="1">Model!DZ97</f>
        <v>0.24393102219614243</v>
      </c>
      <c r="R18" s="2109">
        <v>0.2379</v>
      </c>
      <c r="S18" s="2110">
        <f t="shared" ca="1" si="2"/>
        <v>6.0310221961424326E-3</v>
      </c>
      <c r="T18" s="2109">
        <f ca="1">Model!EE97</f>
        <v>0.24490777623623042</v>
      </c>
      <c r="U18" s="2109">
        <v>0.23719999999999999</v>
      </c>
      <c r="V18" s="2110">
        <f t="shared" ca="1" si="3"/>
        <v>7.7077762362304236E-3</v>
      </c>
    </row>
    <row r="19" spans="3:22" ht="12.75">
      <c r="C19" s="2111" t="s">
        <v>237</v>
      </c>
      <c r="D19" s="1569"/>
      <c r="E19" s="2357">
        <f>Model!DP79</f>
        <v>9003</v>
      </c>
      <c r="F19" s="2108">
        <v>9003</v>
      </c>
      <c r="G19" s="2112">
        <f t="shared" si="4"/>
        <v>0</v>
      </c>
      <c r="H19" s="2357">
        <f>Model!DQ79</f>
        <v>2140</v>
      </c>
      <c r="I19" s="2108">
        <v>2140</v>
      </c>
      <c r="J19" s="2112">
        <f t="shared" si="0"/>
        <v>0</v>
      </c>
      <c r="K19" s="2357">
        <f ca="1">Model!DR79</f>
        <v>2477.2168996184305</v>
      </c>
      <c r="L19" s="2108">
        <v>2426.14</v>
      </c>
      <c r="M19" s="2112">
        <f t="shared" ca="1" si="5"/>
        <v>51.076899618430616</v>
      </c>
      <c r="N19" s="2357">
        <f ca="1">Model!DU79</f>
        <v>9185.3911251925565</v>
      </c>
      <c r="O19" s="2108">
        <v>9214.7000000000007</v>
      </c>
      <c r="P19" s="2112">
        <f t="shared" ca="1" si="1"/>
        <v>-29.308874807444226</v>
      </c>
      <c r="Q19" s="2108">
        <f ca="1">Model!DZ79</f>
        <v>9735.220245669032</v>
      </c>
      <c r="R19" s="2108">
        <v>9848.77</v>
      </c>
      <c r="S19" s="2112">
        <f t="shared" ca="1" si="2"/>
        <v>-113.54975433096843</v>
      </c>
      <c r="T19" s="2108">
        <f ca="1">Model!EE79</f>
        <v>9930.9198862091907</v>
      </c>
      <c r="U19" s="2108">
        <v>10356.540000000001</v>
      </c>
      <c r="V19" s="2112">
        <f t="shared" ca="1" si="3"/>
        <v>-425.62011379081014</v>
      </c>
    </row>
    <row r="20" spans="3:22" ht="12.75">
      <c r="C20" s="2111" t="s">
        <v>24</v>
      </c>
      <c r="D20" s="1569"/>
      <c r="E20" s="2357">
        <f>Model!DP76</f>
        <v>7680</v>
      </c>
      <c r="F20" s="2108">
        <v>7680</v>
      </c>
      <c r="G20" s="2112">
        <f t="shared" si="4"/>
        <v>0</v>
      </c>
      <c r="H20" s="2357">
        <f>Model!DQ76</f>
        <v>1809</v>
      </c>
      <c r="I20" s="2108">
        <v>1809</v>
      </c>
      <c r="J20" s="2112">
        <f t="shared" si="0"/>
        <v>0</v>
      </c>
      <c r="K20" s="2357">
        <f ca="1">Model!DR76</f>
        <v>2092.5589827854706</v>
      </c>
      <c r="L20" s="2108">
        <v>2052.4299999999998</v>
      </c>
      <c r="M20" s="2112">
        <f t="shared" ca="1" si="5"/>
        <v>40.128982785470726</v>
      </c>
      <c r="N20" s="2357">
        <f ca="1">Model!DU76</f>
        <v>7722.7373807773693</v>
      </c>
      <c r="O20" s="2108">
        <v>7782.16</v>
      </c>
      <c r="P20" s="2112">
        <f t="shared" ca="1" si="1"/>
        <v>-59.422619222630601</v>
      </c>
      <c r="Q20" s="2108">
        <f ca="1">Model!DZ76</f>
        <v>8213.0354308889928</v>
      </c>
      <c r="R20" s="2108">
        <v>8225.7900000000009</v>
      </c>
      <c r="S20" s="2112">
        <f t="shared" ca="1" si="2"/>
        <v>-12.754569111008095</v>
      </c>
      <c r="T20" s="2108">
        <f ca="1">Model!EE76</f>
        <v>8374.7486810840091</v>
      </c>
      <c r="U20" s="2108">
        <v>8776.84</v>
      </c>
      <c r="V20" s="2112">
        <f t="shared" ca="1" si="3"/>
        <v>-402.091318915991</v>
      </c>
    </row>
    <row r="21" spans="3:22" ht="12.75" outlineLevel="1">
      <c r="C21" s="2111" t="s">
        <v>236</v>
      </c>
      <c r="D21" s="1569"/>
      <c r="E21" s="2357">
        <f>Model!DP41</f>
        <v>5503</v>
      </c>
      <c r="F21" s="2108">
        <v>5503</v>
      </c>
      <c r="G21" s="2112">
        <f t="shared" si="4"/>
        <v>0</v>
      </c>
      <c r="H21" s="2357">
        <f>Model!DQ41</f>
        <v>1295</v>
      </c>
      <c r="I21" s="2108">
        <v>1295</v>
      </c>
      <c r="J21" s="2112">
        <f t="shared" si="0"/>
        <v>0</v>
      </c>
      <c r="K21" s="2357">
        <f ca="1">Model!DR41</f>
        <v>1534.1932926178474</v>
      </c>
      <c r="L21" s="2108">
        <v>1543.16</v>
      </c>
      <c r="M21" s="2112">
        <f t="shared" ca="1" si="5"/>
        <v>-8.9667073821526628</v>
      </c>
      <c r="N21" s="2357">
        <f ca="1">Model!DU41</f>
        <v>5763.711453904014</v>
      </c>
      <c r="O21" s="2108">
        <v>5748.48</v>
      </c>
      <c r="P21" s="2112">
        <f ca="1">N21-O21</f>
        <v>15.231453904014415</v>
      </c>
      <c r="Q21" s="2108">
        <f ca="1">Model!DZ41</f>
        <v>6367.7947797037805</v>
      </c>
      <c r="R21" s="2108">
        <v>6223.49</v>
      </c>
      <c r="S21" s="2112">
        <f t="shared" ca="1" si="2"/>
        <v>144.3047797037807</v>
      </c>
      <c r="T21" s="2108">
        <f ca="1">Model!EE41</f>
        <v>6515.1960929959605</v>
      </c>
      <c r="U21" s="2108">
        <v>6597.23</v>
      </c>
      <c r="V21" s="2112">
        <f t="shared" ca="1" si="3"/>
        <v>-82.033907004039065</v>
      </c>
    </row>
    <row r="22" spans="3:22">
      <c r="C22" s="2113" t="s">
        <v>324</v>
      </c>
      <c r="D22" s="2114"/>
      <c r="E22" s="2358">
        <f>Model!DP46</f>
        <v>5.1015733140165009</v>
      </c>
      <c r="F22" s="2115">
        <v>5.1015733140165009</v>
      </c>
      <c r="G22" s="2116">
        <f t="shared" si="4"/>
        <v>0</v>
      </c>
      <c r="H22" s="2358">
        <f>Model!DQ46</f>
        <v>1.2807833053110473</v>
      </c>
      <c r="I22" s="2115">
        <v>1.2807833053110473</v>
      </c>
      <c r="J22" s="2116">
        <f t="shared" si="0"/>
        <v>0</v>
      </c>
      <c r="K22" s="2358">
        <f ca="1">Model!DR46</f>
        <v>1.5408670389247578</v>
      </c>
      <c r="L22" s="2115">
        <v>1.54</v>
      </c>
      <c r="M22" s="2116">
        <f t="shared" ca="1" si="5"/>
        <v>8.6703892475781252E-4</v>
      </c>
      <c r="N22" s="2358">
        <f ca="1">Model!DU46</f>
        <v>5.7689336700130847</v>
      </c>
      <c r="O22" s="2115">
        <v>5.76</v>
      </c>
      <c r="P22" s="2116">
        <f t="shared" ca="1" si="1"/>
        <v>8.9336700130848712E-3</v>
      </c>
      <c r="Q22" s="2115">
        <f ca="1">Model!DZ46</f>
        <v>6.5619782360225836</v>
      </c>
      <c r="R22" s="2115">
        <v>6.35</v>
      </c>
      <c r="S22" s="2116">
        <f t="shared" ca="1" si="2"/>
        <v>0.21197823602258392</v>
      </c>
      <c r="T22" s="2115">
        <f ca="1">Model!EE46</f>
        <v>7.0691959944911762</v>
      </c>
      <c r="U22" s="2115">
        <v>6.98</v>
      </c>
      <c r="V22" s="2116">
        <f t="shared" ca="1" si="3"/>
        <v>8.9195994491175767E-2</v>
      </c>
    </row>
    <row r="23" spans="3:22" s="2346" customFormat="1">
      <c r="C23" s="1569"/>
      <c r="D23" s="1569"/>
      <c r="E23" s="2364"/>
      <c r="F23" s="2364"/>
      <c r="G23" s="2364"/>
      <c r="H23" s="2364"/>
      <c r="I23" s="2364"/>
      <c r="J23" s="2364"/>
      <c r="K23" s="2364"/>
      <c r="L23" s="2364"/>
      <c r="M23" s="2364"/>
      <c r="N23" s="2364"/>
      <c r="O23" s="2364"/>
      <c r="P23" s="2364"/>
      <c r="Q23" s="2364"/>
      <c r="R23" s="2364"/>
      <c r="S23" s="2364"/>
      <c r="T23" s="2364"/>
      <c r="U23" s="2364"/>
      <c r="V23" s="2364"/>
    </row>
    <row r="24" spans="3:22">
      <c r="N24" s="23" t="s">
        <v>207</v>
      </c>
      <c r="O24" s="23" t="s">
        <v>208</v>
      </c>
      <c r="P24" s="23" t="s">
        <v>624</v>
      </c>
      <c r="Q24" s="1689"/>
      <c r="T24" s="1689"/>
      <c r="U24" s="2249"/>
      <c r="V24" s="2249"/>
    </row>
    <row r="25" spans="3:22">
      <c r="C25" t="s">
        <v>631</v>
      </c>
      <c r="N25" s="2348">
        <v>5.45</v>
      </c>
      <c r="O25" s="2360">
        <v>5.7</v>
      </c>
      <c r="P25" s="2348">
        <f>AVERAGE(N25:O25)</f>
        <v>5.5750000000000002</v>
      </c>
      <c r="T25" s="2249"/>
      <c r="U25" s="2249"/>
      <c r="V25" s="2249"/>
    </row>
    <row r="26" spans="3:22" s="2346" customFormat="1">
      <c r="C26" s="2346" t="s">
        <v>622</v>
      </c>
      <c r="L26" s="1502"/>
      <c r="N26" s="2348">
        <v>0.3</v>
      </c>
      <c r="O26" s="2348">
        <v>0.35</v>
      </c>
      <c r="P26" s="2348">
        <f>AVERAGE(N26:O26)</f>
        <v>0.32499999999999996</v>
      </c>
    </row>
    <row r="27" spans="3:22" s="2346" customFormat="1">
      <c r="C27" s="2389" t="s">
        <v>632</v>
      </c>
      <c r="L27" s="1502"/>
      <c r="N27" s="2387">
        <f>SUM(N25:N26)</f>
        <v>5.75</v>
      </c>
      <c r="O27" s="2387">
        <f>SUM(O25:O26)</f>
        <v>6.05</v>
      </c>
      <c r="P27" s="2348">
        <f>AVERAGE(N27:O27)</f>
        <v>5.9</v>
      </c>
      <c r="R27" s="1607"/>
    </row>
    <row r="28" spans="3:22">
      <c r="C28" s="4" t="s">
        <v>623</v>
      </c>
      <c r="L28" s="1502"/>
      <c r="M28" s="1502"/>
      <c r="N28" s="2361">
        <f>N27/$F$22-1</f>
        <v>0.12710327698358381</v>
      </c>
      <c r="O28" s="2361">
        <f>O27/$F$22-1</f>
        <v>0.1859086653479447</v>
      </c>
      <c r="T28" s="2249"/>
      <c r="U28" s="2249"/>
      <c r="V28" s="2249"/>
    </row>
    <row r="29" spans="3:22" s="2346" customFormat="1">
      <c r="C29" s="4" t="s">
        <v>619</v>
      </c>
      <c r="L29" s="1502"/>
      <c r="M29" s="1502"/>
      <c r="N29" s="2361">
        <f>N26/(N25+N26)</f>
        <v>5.2173913043478258E-2</v>
      </c>
      <c r="O29" s="2361">
        <f>O26/(O25+O26)</f>
        <v>5.7851239669421482E-2</v>
      </c>
    </row>
    <row r="30" spans="3:22" s="2388" customFormat="1">
      <c r="C30" s="4"/>
      <c r="N30" s="2390"/>
      <c r="O30" s="2390"/>
    </row>
    <row r="31" spans="3:22">
      <c r="C31" t="s">
        <v>441</v>
      </c>
      <c r="N31" s="2391"/>
      <c r="T31" s="2249"/>
      <c r="U31" s="2249"/>
      <c r="V31" s="2249"/>
    </row>
    <row r="32" spans="3:22">
      <c r="C32" s="2103" t="s">
        <v>420</v>
      </c>
      <c r="D32" s="2104"/>
      <c r="E32" s="2104"/>
      <c r="F32" s="2104"/>
      <c r="G32" s="2104"/>
      <c r="H32" s="2104"/>
      <c r="I32" s="2104"/>
      <c r="J32" s="2104"/>
      <c r="K32" s="2104"/>
      <c r="L32" s="2104"/>
      <c r="M32" s="2104"/>
      <c r="N32" s="2191">
        <f t="shared" ref="N32:O35" ca="1" si="6">N17/E17-1</f>
        <v>0.11200547232763558</v>
      </c>
      <c r="O32" s="2191">
        <f t="shared" si="6"/>
        <v>9.9940108616576762E-2</v>
      </c>
      <c r="P32" s="2104"/>
      <c r="Q32" s="2191">
        <f t="shared" ref="Q32:R35" ca="1" si="7">Q17/N17-1</f>
        <v>3.3188265002482842E-2</v>
      </c>
      <c r="R32" s="2191">
        <f t="shared" si="7"/>
        <v>6.3112481957776634E-2</v>
      </c>
      <c r="S32" s="2193"/>
      <c r="T32" s="2191">
        <f t="shared" ref="T32:U35" ca="1" si="8">T17/Q17-1</f>
        <v>1.8256345773330906E-2</v>
      </c>
      <c r="U32" s="2191">
        <f t="shared" si="8"/>
        <v>3.6577927992480497E-2</v>
      </c>
      <c r="V32" s="2193"/>
    </row>
    <row r="33" spans="3:22" hidden="1" outlineLevel="1">
      <c r="C33" s="2107" t="s">
        <v>298</v>
      </c>
      <c r="D33" s="1569"/>
      <c r="E33" s="1569"/>
      <c r="F33" s="1569"/>
      <c r="G33" s="1569"/>
      <c r="H33" s="1569"/>
      <c r="I33" s="1569"/>
      <c r="J33" s="1569"/>
      <c r="K33" s="1569"/>
      <c r="L33" s="1569"/>
      <c r="M33" s="1569"/>
      <c r="N33" s="2109">
        <f t="shared" ca="1" si="6"/>
        <v>-1.9300915179413236E-2</v>
      </c>
      <c r="O33" s="2109">
        <f t="shared" si="6"/>
        <v>-2.7521652791046791E-2</v>
      </c>
      <c r="P33" s="1569"/>
      <c r="Q33" s="2109">
        <f t="shared" ca="1" si="7"/>
        <v>3.2611511995863651E-3</v>
      </c>
      <c r="R33" s="2109">
        <f t="shared" si="7"/>
        <v>-1.3272501036914131E-2</v>
      </c>
      <c r="S33" s="2194"/>
      <c r="T33" s="2109">
        <f t="shared" ca="1" si="8"/>
        <v>4.0042223055278825E-3</v>
      </c>
      <c r="U33" s="2109">
        <f t="shared" si="8"/>
        <v>-2.9424127784783982E-3</v>
      </c>
      <c r="V33" s="2194"/>
    </row>
    <row r="34" spans="3:22" ht="12.75" collapsed="1">
      <c r="C34" s="2111" t="s">
        <v>237</v>
      </c>
      <c r="D34" s="1569"/>
      <c r="E34" s="1569"/>
      <c r="F34" s="1569"/>
      <c r="G34" s="1569"/>
      <c r="H34" s="2190"/>
      <c r="I34" s="2190"/>
      <c r="J34" s="2190"/>
      <c r="K34" s="2190"/>
      <c r="L34" s="2190"/>
      <c r="M34" s="2190"/>
      <c r="N34" s="2109">
        <f t="shared" ca="1" si="6"/>
        <v>2.0258927601083609E-2</v>
      </c>
      <c r="O34" s="2109">
        <f t="shared" si="6"/>
        <v>2.3514384094190932E-2</v>
      </c>
      <c r="P34" s="1569"/>
      <c r="Q34" s="2109">
        <f t="shared" ca="1" si="7"/>
        <v>5.9859086345106505E-2</v>
      </c>
      <c r="R34" s="2109">
        <f t="shared" si="7"/>
        <v>6.8810704634985287E-2</v>
      </c>
      <c r="S34" s="2194"/>
      <c r="T34" s="2109">
        <f t="shared" ca="1" si="8"/>
        <v>2.0102230417151645E-2</v>
      </c>
      <c r="U34" s="2109">
        <f t="shared" si="8"/>
        <v>5.1556691850860537E-2</v>
      </c>
      <c r="V34" s="2194"/>
    </row>
    <row r="35" spans="3:22" ht="12.75">
      <c r="C35" s="2111" t="s">
        <v>24</v>
      </c>
      <c r="D35" s="1569"/>
      <c r="E35" s="1569"/>
      <c r="F35" s="1569"/>
      <c r="G35" s="1569"/>
      <c r="H35" s="1569"/>
      <c r="I35" s="1569"/>
      <c r="J35" s="1569"/>
      <c r="K35" s="1569"/>
      <c r="L35" s="1569"/>
      <c r="M35" s="1569"/>
      <c r="N35" s="2109">
        <f t="shared" ca="1" si="6"/>
        <v>5.564763122053229E-3</v>
      </c>
      <c r="O35" s="2109">
        <f t="shared" si="6"/>
        <v>1.330208333333327E-2</v>
      </c>
      <c r="P35" s="1569"/>
      <c r="Q35" s="2109">
        <f t="shared" ca="1" si="7"/>
        <v>6.3487598494806008E-2</v>
      </c>
      <c r="R35" s="2109">
        <f t="shared" si="7"/>
        <v>5.7006024034458536E-2</v>
      </c>
      <c r="S35" s="2194"/>
      <c r="T35" s="2109">
        <f t="shared" ca="1" si="8"/>
        <v>1.9689827415917183E-2</v>
      </c>
      <c r="U35" s="2109">
        <f t="shared" si="8"/>
        <v>6.6990526137914896E-2</v>
      </c>
      <c r="V35" s="2194"/>
    </row>
    <row r="36" spans="3:22">
      <c r="C36" s="2113" t="s">
        <v>324</v>
      </c>
      <c r="D36" s="2114"/>
      <c r="E36" s="2114"/>
      <c r="F36" s="2114"/>
      <c r="G36" s="2114"/>
      <c r="H36" s="2114"/>
      <c r="I36" s="2114"/>
      <c r="J36" s="2114"/>
      <c r="K36" s="2114"/>
      <c r="L36" s="2114"/>
      <c r="M36" s="2114"/>
      <c r="N36" s="2192">
        <f ca="1">N22/E22-1</f>
        <v>0.13081461637785741</v>
      </c>
      <c r="O36" s="2192">
        <f>O22/F22-1</f>
        <v>0.12906345659572915</v>
      </c>
      <c r="P36" s="2114"/>
      <c r="Q36" s="2192">
        <f ca="1">Q22/N22-1</f>
        <v>0.13746813733216312</v>
      </c>
      <c r="R36" s="2192">
        <f>R22/O22-1</f>
        <v>0.10243055555555558</v>
      </c>
      <c r="S36" s="2195"/>
      <c r="T36" s="2192">
        <f ca="1">T22/Q22-1</f>
        <v>7.7296470702108433E-2</v>
      </c>
      <c r="U36" s="2192">
        <f>U22/R22-1</f>
        <v>9.9212598425197029E-2</v>
      </c>
      <c r="V36" s="2195"/>
    </row>
    <row r="37" spans="3:22" s="2346" customFormat="1">
      <c r="C37" s="1569"/>
      <c r="D37" s="1569"/>
      <c r="E37" s="1569"/>
      <c r="F37" s="1569"/>
      <c r="G37" s="1569"/>
      <c r="H37" s="1569"/>
      <c r="I37" s="1569"/>
      <c r="J37" s="1569"/>
      <c r="K37" s="1569"/>
      <c r="L37" s="1569"/>
      <c r="M37" s="1569"/>
      <c r="N37" s="2109"/>
      <c r="O37" s="2109"/>
      <c r="P37" s="1569"/>
      <c r="Q37" s="2109"/>
      <c r="R37" s="2109"/>
      <c r="S37" s="1569"/>
      <c r="T37" s="2109"/>
      <c r="U37" s="2109"/>
      <c r="V37" s="1569"/>
    </row>
    <row r="38" spans="3:22" s="2346" customFormat="1">
      <c r="C38" s="2346" t="s">
        <v>620</v>
      </c>
      <c r="N38" s="23" t="s">
        <v>207</v>
      </c>
      <c r="O38" s="23" t="s">
        <v>208</v>
      </c>
      <c r="P38" s="23" t="s">
        <v>624</v>
      </c>
    </row>
    <row r="39" spans="3:22">
      <c r="C39" s="2349" t="s">
        <v>324</v>
      </c>
      <c r="D39" s="2350"/>
      <c r="E39" s="2350"/>
      <c r="F39" s="2350"/>
      <c r="G39" s="2350"/>
      <c r="H39" s="2350"/>
      <c r="I39" s="2350"/>
      <c r="J39" s="2350"/>
      <c r="K39" s="2350"/>
      <c r="L39" s="2350"/>
      <c r="M39" s="2350"/>
      <c r="N39" s="2351">
        <f>N27/F22-1</f>
        <v>0.12710327698358381</v>
      </c>
      <c r="O39" s="2351">
        <f>O27/F22-1</f>
        <v>0.1859086653479447</v>
      </c>
      <c r="P39" s="2395">
        <f>AVERAGE(N39:O39)</f>
        <v>0.15650597116576426</v>
      </c>
      <c r="Q39" s="2351"/>
      <c r="R39" s="2351"/>
      <c r="S39" s="2352"/>
      <c r="T39" s="2351"/>
      <c r="U39" s="2351"/>
      <c r="V39" s="2353"/>
    </row>
    <row r="41" spans="3:22">
      <c r="S41" s="1689"/>
      <c r="T41" s="1689"/>
      <c r="U41" s="1689"/>
    </row>
    <row r="42" spans="3:22" s="2388" customFormat="1">
      <c r="C42" s="1" t="s">
        <v>628</v>
      </c>
      <c r="N42" s="2392" t="s">
        <v>207</v>
      </c>
      <c r="O42" s="2392" t="s">
        <v>208</v>
      </c>
      <c r="P42" s="1" t="s">
        <v>624</v>
      </c>
    </row>
    <row r="43" spans="3:22" s="2346" customFormat="1">
      <c r="C43" s="4" t="s">
        <v>625</v>
      </c>
      <c r="N43" s="2393">
        <v>996</v>
      </c>
      <c r="O43" s="2393">
        <v>996</v>
      </c>
      <c r="P43" s="2393">
        <f>AVERAGE(N43:O43)</f>
        <v>996</v>
      </c>
    </row>
    <row r="44" spans="3:22" s="2388" customFormat="1">
      <c r="C44" s="4" t="s">
        <v>626</v>
      </c>
      <c r="N44" s="2393">
        <f>N26*N43</f>
        <v>298.8</v>
      </c>
      <c r="O44" s="2393">
        <f>O26*O43</f>
        <v>348.59999999999997</v>
      </c>
      <c r="P44" s="2393">
        <f>AVERAGE(N44:O44)</f>
        <v>323.7</v>
      </c>
    </row>
    <row r="45" spans="3:22" s="2388" customFormat="1">
      <c r="C45" s="4" t="s">
        <v>627</v>
      </c>
      <c r="N45" s="2393">
        <f ca="1">Model!DU28*(8/12)</f>
        <v>3745.3255442898017</v>
      </c>
      <c r="O45" s="2393">
        <f ca="1">N45</f>
        <v>3745.3255442898017</v>
      </c>
      <c r="P45" s="2393">
        <f ca="1">O45</f>
        <v>3745.3255442898017</v>
      </c>
    </row>
    <row r="46" spans="3:22" s="2388" customFormat="1">
      <c r="C46" s="4"/>
      <c r="N46" s="2361">
        <f ca="1">N44/N45</f>
        <v>7.9779446797503747E-2</v>
      </c>
      <c r="O46" s="2361">
        <f ca="1">O44/O45</f>
        <v>9.307602126375436E-2</v>
      </c>
      <c r="P46" s="2361">
        <f ca="1">P44/P45</f>
        <v>8.6427734030629061E-2</v>
      </c>
      <c r="Q46" s="1237"/>
    </row>
    <row r="47" spans="3:22" s="2388" customFormat="1">
      <c r="C47" s="4" t="s">
        <v>629</v>
      </c>
      <c r="N47" s="2361">
        <v>0.253</v>
      </c>
      <c r="O47" s="2361">
        <v>0.253</v>
      </c>
      <c r="P47" s="2361">
        <v>0.253</v>
      </c>
      <c r="Q47" s="1237"/>
    </row>
    <row r="48" spans="3:22" s="2388" customFormat="1">
      <c r="C48" s="4" t="s">
        <v>630</v>
      </c>
      <c r="N48" s="2361">
        <f ca="1">N47-N46</f>
        <v>0.17322055320249624</v>
      </c>
      <c r="O48" s="2361">
        <f t="shared" ref="O48:P48" ca="1" si="9">O47-O46</f>
        <v>0.15992397873624564</v>
      </c>
      <c r="P48" s="2361">
        <f t="shared" ca="1" si="9"/>
        <v>0.16657226596937094</v>
      </c>
      <c r="Q48" s="1237"/>
    </row>
  </sheetData>
  <pageMargins left="0.7" right="0.7" top="0.75" bottom="0.75" header="0.3" footer="0.3"/>
  <pageSetup orientation="landscape"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C193"/>
  <sheetViews>
    <sheetView showGridLines="0" zoomScaleNormal="100" zoomScaleSheetLayoutView="100" workbookViewId="0">
      <pane xSplit="5" ySplit="11" topLeftCell="AN86" activePane="bottomRight" state="frozen"/>
      <selection pane="topRight" activeCell="F1" sqref="F1"/>
      <selection pane="bottomLeft" activeCell="A12" sqref="A12"/>
      <selection pane="bottomRight" activeCell="AV111" sqref="AV111"/>
    </sheetView>
  </sheetViews>
  <sheetFormatPr defaultRowHeight="11.25" outlineLevelCol="1"/>
  <cols>
    <col min="2" max="2" width="5" customWidth="1"/>
    <col min="3" max="3" width="16.83203125" customWidth="1"/>
    <col min="5" max="5" width="29.6640625" customWidth="1"/>
    <col min="6" max="14" width="9.33203125" hidden="1" customWidth="1" outlineLevel="1"/>
    <col min="15" max="15" width="9.33203125" collapsed="1"/>
    <col min="16" max="19" width="9.33203125" hidden="1" customWidth="1" outlineLevel="1"/>
    <col min="20" max="20" width="9.33203125" collapsed="1"/>
    <col min="21" max="24" width="9.33203125" hidden="1" customWidth="1" outlineLevel="1"/>
    <col min="25" max="25" width="12.1640625" bestFit="1" customWidth="1" collapsed="1"/>
    <col min="26" max="29" width="0" hidden="1" customWidth="1" outlineLevel="1"/>
    <col min="30" max="30" width="9.33203125" collapsed="1"/>
    <col min="34" max="34" width="10.1640625" bestFit="1" customWidth="1"/>
    <col min="46" max="50" width="9.33203125" style="2161"/>
    <col min="51" max="55" width="9.33203125" style="2248"/>
  </cols>
  <sheetData>
    <row r="1" spans="1:55" ht="13.5">
      <c r="C1" s="1035" t="s">
        <v>297</v>
      </c>
    </row>
    <row r="3" spans="1:55" ht="12" thickBot="1"/>
    <row r="4" spans="1:55" ht="18.75">
      <c r="E4" s="508" t="s">
        <v>52</v>
      </c>
      <c r="F4" s="513"/>
      <c r="G4" s="513"/>
      <c r="H4" s="513"/>
      <c r="I4" s="513"/>
      <c r="J4" s="514"/>
      <c r="K4" s="514"/>
      <c r="L4" s="514"/>
      <c r="M4" s="514"/>
      <c r="N4" s="514"/>
      <c r="O4" s="515"/>
      <c r="P4" s="516"/>
      <c r="Q4" s="509"/>
      <c r="R4" s="517"/>
      <c r="S4" s="518"/>
      <c r="T4" s="509"/>
      <c r="U4" s="517"/>
      <c r="V4" s="517"/>
      <c r="W4" s="519"/>
      <c r="X4" s="517"/>
      <c r="Y4" s="509"/>
      <c r="Z4" s="517"/>
      <c r="AA4" s="517"/>
      <c r="AB4" s="517"/>
      <c r="AC4" s="517"/>
      <c r="AD4" s="509"/>
      <c r="AE4" s="509"/>
      <c r="AF4" s="509"/>
      <c r="AG4" s="509"/>
      <c r="AH4" s="509"/>
      <c r="AI4" s="509"/>
      <c r="AJ4" s="509"/>
      <c r="AK4" s="509"/>
      <c r="AL4" s="509"/>
      <c r="AM4" s="509"/>
      <c r="AN4" s="1618"/>
      <c r="AO4" s="509"/>
      <c r="AP4" s="509"/>
      <c r="AQ4" s="509"/>
      <c r="AR4" s="509"/>
      <c r="AS4" s="1618"/>
      <c r="AT4" s="509"/>
      <c r="AU4" s="509"/>
      <c r="AV4" s="509"/>
      <c r="AW4" s="509"/>
      <c r="AX4" s="1618"/>
      <c r="AY4" s="509"/>
      <c r="AZ4" s="509"/>
      <c r="BA4" s="509"/>
      <c r="BB4" s="509"/>
      <c r="BC4" s="1618"/>
    </row>
    <row r="5" spans="1:55" ht="12" thickBot="1">
      <c r="E5" s="65" t="s">
        <v>113</v>
      </c>
      <c r="F5" s="66"/>
      <c r="G5" s="66"/>
      <c r="H5" s="66"/>
      <c r="I5" s="66"/>
      <c r="J5" s="66"/>
      <c r="K5" s="66"/>
      <c r="L5" s="66"/>
      <c r="M5" s="66"/>
      <c r="N5" s="66"/>
      <c r="O5" s="66"/>
      <c r="P5" s="66"/>
      <c r="Q5" s="66"/>
      <c r="R5" s="66"/>
      <c r="S5" s="66"/>
      <c r="T5" s="66"/>
      <c r="U5" s="67"/>
      <c r="V5" s="67"/>
      <c r="W5" s="67"/>
      <c r="X5" s="67"/>
      <c r="Y5" s="66"/>
      <c r="Z5" s="67"/>
      <c r="AA5" s="66"/>
      <c r="AB5" s="66"/>
      <c r="AC5" s="67"/>
      <c r="AD5" s="66"/>
      <c r="AE5" s="66"/>
      <c r="AF5" s="66"/>
      <c r="AG5" s="66"/>
      <c r="AH5" s="66"/>
      <c r="AI5" s="66"/>
      <c r="AJ5" s="66"/>
      <c r="AK5" s="66"/>
      <c r="AL5" s="66"/>
      <c r="AM5" s="66"/>
      <c r="AN5" s="1619"/>
      <c r="AO5" s="66"/>
      <c r="AP5" s="66"/>
      <c r="AQ5" s="66"/>
      <c r="AR5" s="66"/>
      <c r="AS5" s="1619"/>
      <c r="AT5" s="66"/>
      <c r="AU5" s="66"/>
      <c r="AV5" s="66"/>
      <c r="AW5" s="66"/>
      <c r="AX5" s="1619"/>
      <c r="AY5" s="66"/>
      <c r="AZ5" s="66"/>
      <c r="BA5" s="66"/>
      <c r="BB5" s="66"/>
      <c r="BC5" s="1619"/>
    </row>
    <row r="6" spans="1:55">
      <c r="A6" s="54"/>
      <c r="B6" s="54"/>
      <c r="C6" s="54"/>
      <c r="D6" s="54"/>
      <c r="E6" s="54"/>
      <c r="F6" s="54"/>
      <c r="G6" s="54"/>
      <c r="H6" s="54"/>
      <c r="I6" s="54"/>
      <c r="J6" s="54"/>
      <c r="K6" s="54"/>
      <c r="L6" s="54"/>
      <c r="M6" s="54"/>
      <c r="N6" s="54"/>
      <c r="O6" s="54"/>
      <c r="P6" s="58"/>
      <c r="Q6" s="57"/>
      <c r="R6" s="54"/>
      <c r="S6" s="54"/>
      <c r="T6" s="54"/>
      <c r="U6" s="54"/>
      <c r="V6" s="54"/>
      <c r="W6" s="54"/>
      <c r="X6" s="54"/>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4"/>
      <c r="AZ6" s="54"/>
      <c r="BA6" s="54"/>
      <c r="BB6" s="54"/>
      <c r="BC6" s="54"/>
    </row>
    <row r="7" spans="1:55">
      <c r="A7" s="54"/>
      <c r="B7" s="54"/>
      <c r="C7" s="1233" t="s">
        <v>303</v>
      </c>
      <c r="D7" s="54"/>
      <c r="F7" s="54"/>
      <c r="G7" s="54"/>
      <c r="H7" s="54"/>
      <c r="I7" s="54"/>
      <c r="J7" s="54"/>
      <c r="K7" s="54"/>
      <c r="L7" s="54"/>
      <c r="M7" s="54"/>
      <c r="N7" s="54"/>
      <c r="O7" s="54"/>
      <c r="P7" s="54"/>
      <c r="Q7" s="58"/>
      <c r="R7" s="54"/>
      <c r="S7" s="54"/>
      <c r="T7" s="63">
        <f>Model!CV46</f>
        <v>3.121121765911012</v>
      </c>
      <c r="U7" s="63">
        <f>Model!CW46</f>
        <v>0.71554862194487778</v>
      </c>
      <c r="V7" s="63">
        <f>Model!CX46</f>
        <v>0.91314724499325528</v>
      </c>
      <c r="W7" s="63">
        <f>Model!CY46</f>
        <v>0.91256717651922292</v>
      </c>
      <c r="X7" s="63">
        <f>Model!CZ46</f>
        <v>0.73767951234631679</v>
      </c>
      <c r="Y7" s="63">
        <f>Model!DA46</f>
        <v>3.2789425558036727</v>
      </c>
      <c r="Z7" s="63">
        <f>Model!DB46</f>
        <v>0.78347280334728031</v>
      </c>
      <c r="AA7" s="63">
        <f>Model!DC46</f>
        <v>1.1794823172466107</v>
      </c>
      <c r="AB7" s="63">
        <f>Model!DD46</f>
        <v>1.0186865021770681</v>
      </c>
      <c r="AC7" s="63">
        <f>Model!DE46</f>
        <v>0.87891156462585029</v>
      </c>
      <c r="AD7" s="63">
        <f>Model!DF46</f>
        <v>3.8760793244140808</v>
      </c>
      <c r="AE7" s="63"/>
      <c r="AF7" s="63"/>
      <c r="AG7" s="63"/>
      <c r="AH7" s="63"/>
      <c r="AI7" s="63">
        <f>Model!DK46</f>
        <v>4.5921390970048703</v>
      </c>
      <c r="AJ7" s="63"/>
      <c r="AK7" s="63"/>
      <c r="AL7" s="63"/>
      <c r="AM7" s="63"/>
      <c r="AN7" s="63">
        <f>Model!DP46</f>
        <v>5.1015733140165009</v>
      </c>
      <c r="AO7" s="63"/>
      <c r="AP7" s="63"/>
      <c r="AQ7" s="63"/>
      <c r="AR7" s="63"/>
      <c r="AS7" s="63">
        <f ca="1">Model!DU46</f>
        <v>5.7689336700130847</v>
      </c>
      <c r="AT7" s="63"/>
      <c r="AU7" s="63"/>
      <c r="AV7" s="63"/>
      <c r="AW7" s="63"/>
      <c r="AX7" s="63">
        <f ca="1">Model!DZ46</f>
        <v>6.5619782360225836</v>
      </c>
      <c r="AY7" s="63"/>
      <c r="AZ7" s="63"/>
      <c r="BA7" s="63"/>
      <c r="BB7" s="63"/>
      <c r="BC7" s="63">
        <f ca="1">Model!EE46</f>
        <v>7.0691959944911762</v>
      </c>
    </row>
    <row r="8" spans="1:55" ht="12" thickBot="1">
      <c r="A8" s="54"/>
      <c r="B8" s="54"/>
      <c r="C8" s="54"/>
      <c r="D8" s="54"/>
      <c r="E8" s="54"/>
      <c r="F8" s="54"/>
      <c r="G8" s="54"/>
      <c r="H8" s="54"/>
      <c r="I8" s="54"/>
      <c r="J8" s="54"/>
      <c r="K8" s="54"/>
      <c r="L8" s="54"/>
      <c r="M8" s="54"/>
      <c r="N8" s="54"/>
      <c r="O8" s="54"/>
      <c r="P8" s="54"/>
      <c r="Q8" s="54"/>
      <c r="R8" s="54"/>
      <c r="S8" s="54"/>
      <c r="T8" s="54"/>
      <c r="U8" s="54"/>
      <c r="V8" s="54"/>
      <c r="W8" s="54"/>
      <c r="X8" s="54"/>
      <c r="Y8" s="54"/>
      <c r="Z8" s="54"/>
      <c r="AA8" s="54"/>
      <c r="AB8" s="54"/>
      <c r="AC8" s="54"/>
      <c r="AD8" s="1267"/>
      <c r="AE8" s="1267"/>
      <c r="AF8" s="1267"/>
      <c r="AG8" s="1267"/>
      <c r="AH8" s="1267"/>
      <c r="AI8" s="54"/>
      <c r="AJ8" s="54"/>
      <c r="AK8" s="54"/>
      <c r="AL8" s="54"/>
      <c r="AM8" s="54"/>
      <c r="AN8" s="54"/>
      <c r="AO8" s="54"/>
      <c r="AP8" s="54"/>
      <c r="AQ8" s="54"/>
      <c r="AR8" s="54"/>
      <c r="AS8" s="54"/>
      <c r="AT8" s="54"/>
      <c r="AU8" s="54"/>
      <c r="AV8" s="54"/>
      <c r="AW8" s="54"/>
      <c r="AX8" s="54"/>
      <c r="AY8" s="54"/>
      <c r="AZ8" s="54"/>
      <c r="BA8" s="54"/>
      <c r="BB8" s="54"/>
      <c r="BC8" s="54"/>
    </row>
    <row r="9" spans="1:55" ht="13.5" thickBot="1">
      <c r="A9" s="54"/>
      <c r="B9" s="54"/>
      <c r="C9" s="1002" t="s">
        <v>111</v>
      </c>
      <c r="D9" s="54"/>
      <c r="E9" s="1038"/>
      <c r="F9" s="528" t="s">
        <v>143</v>
      </c>
      <c r="G9" s="528"/>
      <c r="H9" s="528"/>
      <c r="I9" s="528"/>
      <c r="J9" s="529"/>
      <c r="K9" s="528" t="s">
        <v>143</v>
      </c>
      <c r="L9" s="528"/>
      <c r="M9" s="528"/>
      <c r="N9" s="528"/>
      <c r="O9" s="529"/>
      <c r="P9" s="528" t="s">
        <v>143</v>
      </c>
      <c r="Q9" s="528"/>
      <c r="R9" s="528"/>
      <c r="S9" s="528"/>
      <c r="T9" s="529"/>
      <c r="U9" s="528" t="s">
        <v>143</v>
      </c>
      <c r="V9" s="528"/>
      <c r="W9" s="528"/>
      <c r="X9" s="528"/>
      <c r="Y9" s="529"/>
      <c r="Z9" s="528" t="s">
        <v>143</v>
      </c>
      <c r="AA9" s="528"/>
      <c r="AB9" s="528"/>
      <c r="AC9" s="528"/>
      <c r="AD9" s="529"/>
      <c r="AE9" s="528" t="s">
        <v>143</v>
      </c>
      <c r="AF9" s="528"/>
      <c r="AG9" s="528"/>
      <c r="AH9" s="528"/>
      <c r="AI9" s="529"/>
      <c r="AJ9" s="528" t="s">
        <v>143</v>
      </c>
      <c r="AK9" s="528"/>
      <c r="AL9" s="528"/>
      <c r="AM9" s="528"/>
      <c r="AN9" s="529"/>
      <c r="AO9" s="528" t="s">
        <v>143</v>
      </c>
      <c r="AP9" s="528"/>
      <c r="AQ9" s="528"/>
      <c r="AR9" s="528"/>
      <c r="AS9" s="529"/>
      <c r="AT9" s="528" t="s">
        <v>143</v>
      </c>
      <c r="AU9" s="528"/>
      <c r="AV9" s="528"/>
      <c r="AW9" s="528"/>
      <c r="AX9" s="529"/>
      <c r="AY9" s="528" t="s">
        <v>143</v>
      </c>
      <c r="AZ9" s="528"/>
      <c r="BA9" s="528"/>
      <c r="BB9" s="528"/>
      <c r="BC9" s="529"/>
    </row>
    <row r="10" spans="1:55" ht="12" thickBot="1">
      <c r="A10" s="54"/>
      <c r="B10" s="54"/>
      <c r="C10" s="54"/>
      <c r="D10" s="54"/>
      <c r="E10" s="1039"/>
      <c r="F10" s="532" t="s">
        <v>144</v>
      </c>
      <c r="G10" s="532" t="s">
        <v>145</v>
      </c>
      <c r="H10" s="532" t="s">
        <v>146</v>
      </c>
      <c r="I10" s="532" t="s">
        <v>147</v>
      </c>
      <c r="J10" s="534">
        <v>2011</v>
      </c>
      <c r="K10" s="532" t="s">
        <v>144</v>
      </c>
      <c r="L10" s="532" t="s">
        <v>145</v>
      </c>
      <c r="M10" s="532" t="s">
        <v>146</v>
      </c>
      <c r="N10" s="532" t="s">
        <v>147</v>
      </c>
      <c r="O10" s="534">
        <f>J10+1</f>
        <v>2012</v>
      </c>
      <c r="P10" s="530" t="s">
        <v>144</v>
      </c>
      <c r="Q10" s="530" t="s">
        <v>145</v>
      </c>
      <c r="R10" s="530" t="s">
        <v>146</v>
      </c>
      <c r="S10" s="530" t="s">
        <v>147</v>
      </c>
      <c r="T10" s="534">
        <f>O10+1</f>
        <v>2013</v>
      </c>
      <c r="U10" s="530" t="s">
        <v>144</v>
      </c>
      <c r="V10" s="530" t="s">
        <v>145</v>
      </c>
      <c r="W10" s="530" t="s">
        <v>146</v>
      </c>
      <c r="X10" s="530" t="s">
        <v>147</v>
      </c>
      <c r="Y10" s="534">
        <f>T10+1</f>
        <v>2014</v>
      </c>
      <c r="Z10" s="530" t="s">
        <v>144</v>
      </c>
      <c r="AA10" s="530" t="s">
        <v>145</v>
      </c>
      <c r="AB10" s="530" t="s">
        <v>146</v>
      </c>
      <c r="AC10" s="530" t="s">
        <v>147</v>
      </c>
      <c r="AD10" s="534">
        <f>Y10+1</f>
        <v>2015</v>
      </c>
      <c r="AE10" s="530" t="s">
        <v>144</v>
      </c>
      <c r="AF10" s="530" t="s">
        <v>148</v>
      </c>
      <c r="AG10" s="530" t="s">
        <v>149</v>
      </c>
      <c r="AH10" s="530" t="s">
        <v>150</v>
      </c>
      <c r="AI10" s="682">
        <f>AD10+1</f>
        <v>2016</v>
      </c>
      <c r="AJ10" s="530" t="s">
        <v>144</v>
      </c>
      <c r="AK10" s="530" t="s">
        <v>148</v>
      </c>
      <c r="AL10" s="530" t="s">
        <v>149</v>
      </c>
      <c r="AM10" s="530" t="s">
        <v>150</v>
      </c>
      <c r="AN10" s="682">
        <f>AI10+1</f>
        <v>2017</v>
      </c>
      <c r="AO10" s="530" t="s">
        <v>144</v>
      </c>
      <c r="AP10" s="530" t="s">
        <v>148</v>
      </c>
      <c r="AQ10" s="530" t="s">
        <v>149</v>
      </c>
      <c r="AR10" s="530" t="s">
        <v>150</v>
      </c>
      <c r="AS10" s="682">
        <f>AN10+1</f>
        <v>2018</v>
      </c>
      <c r="AT10" s="530" t="s">
        <v>144</v>
      </c>
      <c r="AU10" s="530" t="s">
        <v>148</v>
      </c>
      <c r="AV10" s="530" t="s">
        <v>149</v>
      </c>
      <c r="AW10" s="530" t="s">
        <v>150</v>
      </c>
      <c r="AX10" s="682">
        <f>AS10+1</f>
        <v>2019</v>
      </c>
      <c r="AY10" s="530" t="s">
        <v>144</v>
      </c>
      <c r="AZ10" s="530" t="s">
        <v>148</v>
      </c>
      <c r="BA10" s="530" t="s">
        <v>149</v>
      </c>
      <c r="BB10" s="530" t="s">
        <v>150</v>
      </c>
      <c r="BC10" s="682">
        <f>AX10+1</f>
        <v>2020</v>
      </c>
    </row>
    <row r="11" spans="1:55" s="50" customFormat="1" ht="12.75" customHeight="1" thickBot="1">
      <c r="A11" s="965"/>
      <c r="B11" s="965"/>
      <c r="C11" s="965"/>
      <c r="D11" s="965"/>
      <c r="E11" s="966" t="s">
        <v>90</v>
      </c>
      <c r="F11" s="967">
        <f>'US Retail'!CH8</f>
        <v>40512</v>
      </c>
      <c r="G11" s="967">
        <f>'US Retail'!CI8</f>
        <v>40602</v>
      </c>
      <c r="H11" s="967">
        <f>'US Retail'!CJ8</f>
        <v>40694</v>
      </c>
      <c r="I11" s="967">
        <f>'US Retail'!CK8</f>
        <v>40786</v>
      </c>
      <c r="J11" s="1079">
        <f>'US Retail'!CL8</f>
        <v>40786</v>
      </c>
      <c r="K11" s="967">
        <f>'US Retail'!CM8</f>
        <v>40877</v>
      </c>
      <c r="L11" s="967">
        <f>'US Retail'!CN8</f>
        <v>40968</v>
      </c>
      <c r="M11" s="967">
        <f>'US Retail'!CO8</f>
        <v>41060</v>
      </c>
      <c r="N11" s="967">
        <f>'US Retail'!CP8</f>
        <v>41152</v>
      </c>
      <c r="O11" s="1079">
        <f>'US Retail'!CQ8</f>
        <v>41152</v>
      </c>
      <c r="P11" s="967">
        <f>'US Retail'!CR8</f>
        <v>41243</v>
      </c>
      <c r="Q11" s="967">
        <f>'US Retail'!CS8</f>
        <v>41333</v>
      </c>
      <c r="R11" s="967">
        <f>'US Retail'!CT8</f>
        <v>41425</v>
      </c>
      <c r="S11" s="967">
        <f>'US Retail'!CU8</f>
        <v>41517</v>
      </c>
      <c r="T11" s="1079">
        <f>'US Retail'!CV8</f>
        <v>41517</v>
      </c>
      <c r="U11" s="967">
        <f>'US Retail'!CW8</f>
        <v>41608</v>
      </c>
      <c r="V11" s="967">
        <f>'US Retail'!CX8</f>
        <v>41698</v>
      </c>
      <c r="W11" s="967">
        <f>'US Retail'!CY8</f>
        <v>41790</v>
      </c>
      <c r="X11" s="967">
        <f>'US Retail'!CZ8</f>
        <v>41882</v>
      </c>
      <c r="Y11" s="1079">
        <f>'US Retail'!DA8</f>
        <v>41882</v>
      </c>
      <c r="Z11" s="967">
        <f>'US Retail'!DB8</f>
        <v>41973</v>
      </c>
      <c r="AA11" s="967">
        <f>'US Retail'!DC8</f>
        <v>42063</v>
      </c>
      <c r="AB11" s="967">
        <f>'US Retail'!DD8</f>
        <v>42155</v>
      </c>
      <c r="AC11" s="967">
        <f>'US Retail'!DE8</f>
        <v>42247</v>
      </c>
      <c r="AD11" s="1079">
        <f>'US Retail'!DF8</f>
        <v>42247</v>
      </c>
      <c r="AE11" s="967">
        <f>'US Retail'!DG8</f>
        <v>42338</v>
      </c>
      <c r="AF11" s="967">
        <f>'US Retail'!DH8</f>
        <v>42429</v>
      </c>
      <c r="AG11" s="967">
        <f>'US Retail'!DI8</f>
        <v>42521</v>
      </c>
      <c r="AH11" s="967">
        <f>'US Retail'!DJ8</f>
        <v>42613</v>
      </c>
      <c r="AI11" s="1079">
        <f>'US Retail'!DK8</f>
        <v>42613</v>
      </c>
      <c r="AJ11" s="1862">
        <f>'US Retail'!DL8</f>
        <v>42704</v>
      </c>
      <c r="AK11" s="967">
        <f>'US Retail'!DM8</f>
        <v>42794</v>
      </c>
      <c r="AL11" s="967">
        <f>'US Retail'!DN8</f>
        <v>42886</v>
      </c>
      <c r="AM11" s="1863">
        <f>'US Retail'!DO8</f>
        <v>42978</v>
      </c>
      <c r="AN11" s="1079">
        <f>'US Retail'!DP8</f>
        <v>42978</v>
      </c>
      <c r="AO11" s="1862">
        <f>'US Retail'!DQ8</f>
        <v>43069</v>
      </c>
      <c r="AP11" s="967">
        <f>'US Retail'!DR8</f>
        <v>43159</v>
      </c>
      <c r="AQ11" s="967">
        <f>'US Retail'!DS8</f>
        <v>43251</v>
      </c>
      <c r="AR11" s="1863">
        <f>'US Retail'!DT8</f>
        <v>43343</v>
      </c>
      <c r="AS11" s="1079">
        <f>'US Retail'!DU8</f>
        <v>43343</v>
      </c>
      <c r="AT11" s="1862">
        <f>'US Retail'!DV8</f>
        <v>43434</v>
      </c>
      <c r="AU11" s="967">
        <f>'US Retail'!DW8</f>
        <v>43524</v>
      </c>
      <c r="AV11" s="967">
        <f>'US Retail'!DX8</f>
        <v>43616</v>
      </c>
      <c r="AW11" s="1863">
        <f>'US Retail'!DY8</f>
        <v>43708</v>
      </c>
      <c r="AX11" s="1079">
        <f>'US Retail'!DZ8</f>
        <v>43708</v>
      </c>
      <c r="AY11" s="1862">
        <f>'US Retail'!EA8</f>
        <v>43799</v>
      </c>
      <c r="AZ11" s="967">
        <f>'US Retail'!EB8</f>
        <v>43890</v>
      </c>
      <c r="BA11" s="967">
        <f>'US Retail'!EC8</f>
        <v>43982</v>
      </c>
      <c r="BB11" s="1863">
        <f>'US Retail'!ED8</f>
        <v>44074</v>
      </c>
      <c r="BC11" s="1079">
        <f>'US Retail'!EE8</f>
        <v>44074</v>
      </c>
    </row>
    <row r="12" spans="1:55" ht="3.75" customHeight="1">
      <c r="A12" s="54"/>
      <c r="B12" s="54"/>
      <c r="C12" s="54"/>
      <c r="D12" s="54"/>
      <c r="E12" s="968"/>
      <c r="F12" s="969"/>
      <c r="G12" s="969"/>
      <c r="H12" s="969"/>
      <c r="I12" s="969"/>
      <c r="J12" s="1080"/>
      <c r="K12" s="969"/>
      <c r="L12" s="969"/>
      <c r="M12" s="969"/>
      <c r="N12" s="969"/>
      <c r="O12" s="1080"/>
      <c r="P12" s="1060"/>
      <c r="Q12" s="1060"/>
      <c r="R12" s="1060"/>
      <c r="S12" s="1061"/>
      <c r="T12" s="1080"/>
      <c r="U12" s="1060"/>
      <c r="V12" s="1060"/>
      <c r="W12" s="1060"/>
      <c r="X12" s="1060"/>
      <c r="Y12" s="1080"/>
      <c r="Z12" s="1060"/>
      <c r="AA12" s="1060"/>
      <c r="AB12" s="1060"/>
      <c r="AC12" s="1060"/>
      <c r="AD12" s="1080"/>
      <c r="AE12" s="1060"/>
      <c r="AF12" s="1060"/>
      <c r="AG12" s="1060"/>
      <c r="AH12" s="1060"/>
      <c r="AI12" s="1080"/>
      <c r="AJ12" s="1864"/>
      <c r="AK12" s="969"/>
      <c r="AL12" s="969"/>
      <c r="AM12" s="1865"/>
      <c r="AN12" s="1080"/>
      <c r="AO12" s="1864"/>
      <c r="AP12" s="969"/>
      <c r="AQ12" s="969"/>
      <c r="AR12" s="1865"/>
      <c r="AS12" s="1080"/>
      <c r="AT12" s="1864"/>
      <c r="AU12" s="969"/>
      <c r="AV12" s="969"/>
      <c r="AW12" s="1865"/>
      <c r="AX12" s="1080"/>
      <c r="AY12" s="1864"/>
      <c r="AZ12" s="969"/>
      <c r="BA12" s="969"/>
      <c r="BB12" s="1865"/>
      <c r="BC12" s="1080"/>
    </row>
    <row r="13" spans="1:55" s="38" customFormat="1">
      <c r="A13" s="64"/>
      <c r="B13" s="64"/>
      <c r="C13" s="64"/>
      <c r="D13" s="64"/>
      <c r="E13" s="1068" t="s">
        <v>431</v>
      </c>
      <c r="F13" s="1058">
        <f>'US Retail'!CH219</f>
        <v>8.9999999999999993E-3</v>
      </c>
      <c r="G13" s="1058">
        <f>'US Retail'!CI219</f>
        <v>3.9E-2</v>
      </c>
      <c r="H13" s="1058">
        <f>'US Retail'!CJ219</f>
        <v>4.1000000000000002E-2</v>
      </c>
      <c r="I13" s="1058">
        <f>'US Retail'!CK219</f>
        <v>4.3999999999999997E-2</v>
      </c>
      <c r="J13" s="1070">
        <f>'US Retail'!CL219</f>
        <v>3.3383868177320863E-2</v>
      </c>
      <c r="K13" s="1058">
        <f>'US Retail'!CM219</f>
        <v>2.5999999999999999E-2</v>
      </c>
      <c r="L13" s="1058">
        <f>'US Retail'!CN219</f>
        <v>-3.9E-2</v>
      </c>
      <c r="M13" s="1058">
        <f>'US Retail'!CO219</f>
        <v>-9.9000000000000005E-2</v>
      </c>
      <c r="N13" s="1058">
        <f>'US Retail'!CP219</f>
        <v>-0.128</v>
      </c>
      <c r="O13" s="1070">
        <f>'US Retail'!CQ219</f>
        <v>-4.6710068933001114E-2</v>
      </c>
      <c r="P13" s="1058">
        <f>'US Retail'!CR219</f>
        <v>-0.113</v>
      </c>
      <c r="Q13" s="1058">
        <f>'US Retail'!CS219</f>
        <v>-2.7E-2</v>
      </c>
      <c r="R13" s="1058">
        <f>'US Retail'!CT219</f>
        <v>0.02</v>
      </c>
      <c r="S13" s="1062">
        <f>'US Retail'!CU219</f>
        <v>6.4000000000000001E-2</v>
      </c>
      <c r="T13" s="1070">
        <f>'US Retail'!CV219</f>
        <v>-1.6169970205103135E-2</v>
      </c>
      <c r="U13" s="1058">
        <f>'US Retail'!CW219</f>
        <v>7.1999999999999995E-2</v>
      </c>
      <c r="V13" s="1058">
        <f>'US Retail'!CX219</f>
        <v>5.8000000000000003E-2</v>
      </c>
      <c r="W13" s="1058">
        <f>'US Retail'!CY219</f>
        <v>6.3E-2</v>
      </c>
      <c r="X13" s="1058">
        <f>'US Retail'!CZ219</f>
        <v>8.2000000000000003E-2</v>
      </c>
      <c r="Y13" s="1070">
        <f>'US Retail'!DA219</f>
        <v>6.8725459867810867E-2</v>
      </c>
      <c r="Z13" s="1058">
        <f>'US Retail'!DB219</f>
        <v>8.3000000000000004E-2</v>
      </c>
      <c r="AA13" s="1058">
        <f>'US Retail'!DC219</f>
        <v>9.7000000000000003E-2</v>
      </c>
      <c r="AB13" s="1058">
        <f>'US Retail'!DD219</f>
        <v>9.0999999999999998E-2</v>
      </c>
      <c r="AC13" s="1058">
        <f>'US Retail'!DE219</f>
        <v>0.1</v>
      </c>
      <c r="AD13" s="1070">
        <f>'US Retail'!DF219</f>
        <v>9.2854146194171205E-2</v>
      </c>
      <c r="AE13" s="1058">
        <f>'US Retail'!DG219</f>
        <v>9.2999999999999999E-2</v>
      </c>
      <c r="AF13" s="1058">
        <f>'US Retail'!DH219</f>
        <v>2.1999999999999999E-2</v>
      </c>
      <c r="AG13" s="1058">
        <f>'US Retail'!DI219</f>
        <v>0.06</v>
      </c>
      <c r="AH13" s="1058">
        <f>'US Retail'!DJ219</f>
        <v>0.05</v>
      </c>
      <c r="AI13" s="1070">
        <f>'US Retail'!DK219</f>
        <v>5.5949787962660924E-2</v>
      </c>
      <c r="AJ13" s="1866">
        <f>'US Retail'!DL219</f>
        <v>0.02</v>
      </c>
      <c r="AK13" s="1058">
        <f>'US Retail'!DM219</f>
        <v>4.2000000000000003E-2</v>
      </c>
      <c r="AL13" s="1058">
        <f>'US Retail'!DN219</f>
        <v>5.8000000000000003E-2</v>
      </c>
      <c r="AM13" s="1062">
        <f>'US Retail'!DO219</f>
        <v>5.6000000000000001E-2</v>
      </c>
      <c r="AN13" s="1070">
        <f>'US Retail'!DP219</f>
        <v>4.4165354623359798E-2</v>
      </c>
      <c r="AO13" s="1866">
        <f>'US Retail'!DQ219</f>
        <v>7.3999999999999996E-2</v>
      </c>
      <c r="AP13" s="1058">
        <f>'US Retail'!DR219</f>
        <v>2.9108978292639254E-2</v>
      </c>
      <c r="AQ13" s="1058">
        <f>'US Retail'!DS219</f>
        <v>-4.5810509971397906E-3</v>
      </c>
      <c r="AR13" s="1062">
        <f>'US Retail'!DT219</f>
        <v>2.9972537048190473E-2</v>
      </c>
      <c r="AS13" s="1070">
        <f>'US Retail'!DU219</f>
        <v>3.1158249500242263E-2</v>
      </c>
      <c r="AT13" s="1866">
        <f>'US Retail'!DV219</f>
        <v>1.8507827401141874E-2</v>
      </c>
      <c r="AU13" s="1058">
        <f ca="1">'US Retail'!DW219</f>
        <v>2.4017120405588788E-2</v>
      </c>
      <c r="AV13" s="1058">
        <f ca="1">'US Retail'!DX219</f>
        <v>1.2115192381281226E-2</v>
      </c>
      <c r="AW13" s="1062">
        <f>'US Retail'!DY219</f>
        <v>4.6285430256365112E-2</v>
      </c>
      <c r="AX13" s="1070">
        <f ca="1">'US Retail'!DZ219</f>
        <v>2.5350044193463317E-2</v>
      </c>
      <c r="AY13" s="1866">
        <f>'US Retail'!EA219</f>
        <v>3.6683420895950558E-2</v>
      </c>
      <c r="AZ13" s="1058">
        <f ca="1">'US Retail'!EB219</f>
        <v>2.7031420614511914E-2</v>
      </c>
      <c r="BA13" s="1058">
        <f ca="1">'US Retail'!EC219</f>
        <v>1.4605839746983262E-2</v>
      </c>
      <c r="BB13" s="1062">
        <f>'US Retail'!ED219</f>
        <v>4.8439605780938644E-2</v>
      </c>
      <c r="BC13" s="1070">
        <f ca="1">'US Retail'!EE219</f>
        <v>3.1713000969238792E-2</v>
      </c>
    </row>
    <row r="14" spans="1:55" s="38" customFormat="1" ht="12" thickBot="1">
      <c r="A14" s="64"/>
      <c r="B14" s="64"/>
      <c r="C14" s="64"/>
      <c r="D14" s="64"/>
      <c r="E14" s="1037" t="s">
        <v>430</v>
      </c>
      <c r="F14" s="1063">
        <f>'US Retail'!CH220</f>
        <v>4.0000000000000001E-3</v>
      </c>
      <c r="G14" s="1063">
        <f>'US Retail'!CI220</f>
        <v>4.2999999999999997E-2</v>
      </c>
      <c r="H14" s="1063">
        <f>'US Retail'!CJ220</f>
        <v>3.9E-2</v>
      </c>
      <c r="I14" s="1063">
        <f>'US Retail'!CK220</f>
        <v>4.5999999999999999E-2</v>
      </c>
      <c r="J14" s="1071">
        <f>'US Retail'!CL220</f>
        <v>3.352973326058422E-2</v>
      </c>
      <c r="K14" s="1063">
        <f>'US Retail'!CM220</f>
        <v>2.4E-2</v>
      </c>
      <c r="L14" s="1063">
        <f>'US Retail'!CN220</f>
        <v>2.1000000000000001E-2</v>
      </c>
      <c r="M14" s="1063">
        <f>'US Retail'!CO220</f>
        <v>-8.9999999999999993E-3</v>
      </c>
      <c r="N14" s="1063">
        <f>'US Retail'!CP220</f>
        <v>-1.2999999999999999E-2</v>
      </c>
      <c r="O14" s="1071">
        <f>'US Retail'!CQ220</f>
        <v>5.8539466912501332E-3</v>
      </c>
      <c r="P14" s="1063">
        <f>'US Retail'!CR220</f>
        <v>-0.02</v>
      </c>
      <c r="Q14" s="1063">
        <f>'US Retail'!CS220</f>
        <v>-2.5999999999999999E-2</v>
      </c>
      <c r="R14" s="1063">
        <f>'US Retail'!CT220</f>
        <v>4.0000000000000001E-3</v>
      </c>
      <c r="S14" s="1064">
        <f>'US Retail'!CU220</f>
        <v>1.6E-2</v>
      </c>
      <c r="T14" s="1071">
        <f>'US Retail'!CV220</f>
        <v>-7.1882673594601655E-3</v>
      </c>
      <c r="U14" s="1063">
        <f>'US Retail'!CW220</f>
        <v>2.1999999999999999E-2</v>
      </c>
      <c r="V14" s="1063">
        <f>'US Retail'!CX220</f>
        <v>0.02</v>
      </c>
      <c r="W14" s="1063">
        <f>'US Retail'!CY220</f>
        <v>2.1999999999999999E-2</v>
      </c>
      <c r="X14" s="1063">
        <f>'US Retail'!CZ220</f>
        <v>1.2999999999999999E-2</v>
      </c>
      <c r="Y14" s="1071">
        <f>'US Retail'!DA220</f>
        <v>1.9279229622152526E-2</v>
      </c>
      <c r="Z14" s="1063">
        <f>'US Retail'!DB220</f>
        <v>1.4999999999999999E-2</v>
      </c>
      <c r="AA14" s="1063">
        <f>'US Retail'!DC220</f>
        <v>2.5000000000000001E-2</v>
      </c>
      <c r="AB14" s="1063">
        <f>'US Retail'!DD220</f>
        <v>1.6E-2</v>
      </c>
      <c r="AC14" s="1063">
        <f>'US Retail'!DE220</f>
        <v>4.0000000000000001E-3</v>
      </c>
      <c r="AD14" s="1071">
        <f>'US Retail'!DF220</f>
        <v>1.5333463267307943E-2</v>
      </c>
      <c r="AE14" s="1063">
        <f>'US Retail'!DG220</f>
        <v>-6.0000000000000001E-3</v>
      </c>
      <c r="AF14" s="1063">
        <f>'US Retail'!DH220</f>
        <v>-3.0000000000000001E-3</v>
      </c>
      <c r="AG14" s="1063">
        <f>'US Retail'!DI220</f>
        <v>1E-3</v>
      </c>
      <c r="AH14" s="1063">
        <f>'US Retail'!DJ220</f>
        <v>-3.0000000000000001E-3</v>
      </c>
      <c r="AI14" s="1071">
        <f>'US Retail'!DK220</f>
        <v>-2.7029207776308618E-3</v>
      </c>
      <c r="AJ14" s="1867">
        <f>'US Retail'!DL220</f>
        <v>-5.0000000000000001E-3</v>
      </c>
      <c r="AK14" s="1063">
        <f>'US Retail'!DM220</f>
        <v>-8.0000000000000002E-3</v>
      </c>
      <c r="AL14" s="1063">
        <f>'US Retail'!DN220</f>
        <v>-4.0000000000000001E-3</v>
      </c>
      <c r="AM14" s="1064">
        <f>'US Retail'!DO220</f>
        <v>-2.1000000000000001E-2</v>
      </c>
      <c r="AN14" s="1071">
        <f>'US Retail'!DP220</f>
        <v>-9.3433948234053019E-3</v>
      </c>
      <c r="AO14" s="1867">
        <f>'US Retail'!DQ220</f>
        <v>-8.9999999999999993E-3</v>
      </c>
      <c r="AP14" s="1063">
        <f>'US Retail'!DR220</f>
        <v>-0.01</v>
      </c>
      <c r="AQ14" s="1063">
        <f>'US Retail'!DS220</f>
        <v>-0.01</v>
      </c>
      <c r="AR14" s="1064">
        <f>'US Retail'!DT220</f>
        <v>-0.01</v>
      </c>
      <c r="AS14" s="1071">
        <f>'US Retail'!DU220</f>
        <v>-9.7608609996138497E-3</v>
      </c>
      <c r="AT14" s="1867">
        <f>'US Retail'!DV220</f>
        <v>-0.01</v>
      </c>
      <c r="AU14" s="1063">
        <f>'US Retail'!DW220</f>
        <v>-0.01</v>
      </c>
      <c r="AV14" s="1063">
        <f>'US Retail'!DX220</f>
        <v>-0.01</v>
      </c>
      <c r="AW14" s="1064">
        <f>'US Retail'!DY220</f>
        <v>-0.01</v>
      </c>
      <c r="AX14" s="1071">
        <f>'US Retail'!DZ220</f>
        <v>-1.0000000000000004E-2</v>
      </c>
      <c r="AY14" s="1867">
        <f>'US Retail'!EA220</f>
        <v>-0.01</v>
      </c>
      <c r="AZ14" s="1063">
        <f>'US Retail'!EB220</f>
        <v>-0.01</v>
      </c>
      <c r="BA14" s="1063">
        <f>'US Retail'!EC220</f>
        <v>-0.01</v>
      </c>
      <c r="BB14" s="1064">
        <f>'US Retail'!ED220</f>
        <v>-0.01</v>
      </c>
      <c r="BC14" s="1071">
        <f>'US Retail'!EE220</f>
        <v>-0.01</v>
      </c>
    </row>
    <row r="15" spans="1:55" s="38" customFormat="1" ht="5.25" customHeight="1">
      <c r="A15" s="64"/>
      <c r="B15" s="64"/>
      <c r="C15" s="64"/>
      <c r="D15" s="64"/>
      <c r="E15" s="1036"/>
      <c r="F15" s="1059"/>
      <c r="G15" s="1059"/>
      <c r="H15" s="1059"/>
      <c r="I15" s="1059"/>
      <c r="J15" s="1072"/>
      <c r="K15" s="1059"/>
      <c r="L15" s="1059"/>
      <c r="M15" s="1059"/>
      <c r="N15" s="1059"/>
      <c r="O15" s="1072"/>
      <c r="P15" s="1059"/>
      <c r="Q15" s="1059"/>
      <c r="R15" s="1059"/>
      <c r="S15" s="1065"/>
      <c r="T15" s="1072"/>
      <c r="U15" s="1059"/>
      <c r="V15" s="1059"/>
      <c r="W15" s="1059"/>
      <c r="X15" s="1059"/>
      <c r="Y15" s="1072"/>
      <c r="Z15" s="1059"/>
      <c r="AA15" s="1059"/>
      <c r="AB15" s="1059"/>
      <c r="AC15" s="1059"/>
      <c r="AD15" s="1072"/>
      <c r="AE15" s="1059"/>
      <c r="AF15" s="1059"/>
      <c r="AG15" s="1059"/>
      <c r="AH15" s="1059"/>
      <c r="AI15" s="1072"/>
      <c r="AJ15" s="1868"/>
      <c r="AK15" s="1059"/>
      <c r="AL15" s="1059"/>
      <c r="AM15" s="1065"/>
      <c r="AN15" s="1072"/>
      <c r="AO15" s="1868"/>
      <c r="AP15" s="1059"/>
      <c r="AQ15" s="1059"/>
      <c r="AR15" s="1065"/>
      <c r="AS15" s="1072"/>
      <c r="AT15" s="1868"/>
      <c r="AU15" s="1059"/>
      <c r="AV15" s="1059"/>
      <c r="AW15" s="1065"/>
      <c r="AX15" s="1072"/>
      <c r="AY15" s="1868"/>
      <c r="AZ15" s="1059"/>
      <c r="BA15" s="1059"/>
      <c r="BB15" s="1065"/>
      <c r="BC15" s="1072"/>
    </row>
    <row r="16" spans="1:55" s="23" customFormat="1">
      <c r="A16" s="68"/>
      <c r="B16" s="972"/>
      <c r="C16" s="972"/>
      <c r="D16" s="972"/>
      <c r="E16" s="973" t="s">
        <v>455</v>
      </c>
      <c r="F16" s="970">
        <f>Model!CH9</f>
        <v>17344</v>
      </c>
      <c r="G16" s="970">
        <f>Model!CI9</f>
        <v>18502</v>
      </c>
      <c r="H16" s="970">
        <f>Model!CJ9</f>
        <v>18371</v>
      </c>
      <c r="I16" s="970">
        <f>Model!CK9</f>
        <v>17967</v>
      </c>
      <c r="J16" s="1073">
        <f>SUM(F16:I16)</f>
        <v>72184</v>
      </c>
      <c r="K16" s="970">
        <f>Model!CM9</f>
        <v>18157</v>
      </c>
      <c r="L16" s="970">
        <f>Model!CN9</f>
        <v>18651</v>
      </c>
      <c r="M16" s="970">
        <f>Model!CO9</f>
        <v>17752</v>
      </c>
      <c r="N16" s="970">
        <f>Model!CP9</f>
        <v>17073</v>
      </c>
      <c r="O16" s="1073">
        <f>Model!CQ9</f>
        <v>71633</v>
      </c>
      <c r="P16" s="970">
        <f>Model!CR9</f>
        <v>17316</v>
      </c>
      <c r="Q16" s="970">
        <f>Model!CS9</f>
        <v>18647</v>
      </c>
      <c r="R16" s="970">
        <f>Model!CT9</f>
        <v>18313</v>
      </c>
      <c r="S16" s="971">
        <f>Model!CU9</f>
        <v>17941</v>
      </c>
      <c r="T16" s="1073">
        <f>Model!CV9</f>
        <v>72217</v>
      </c>
      <c r="U16" s="970">
        <f>Model!CW9</f>
        <v>18329</v>
      </c>
      <c r="V16" s="970">
        <f>Model!CX9</f>
        <v>19605</v>
      </c>
      <c r="W16" s="970">
        <f>Model!CY9</f>
        <v>19401</v>
      </c>
      <c r="X16" s="970">
        <f>Model!CZ9</f>
        <v>19057</v>
      </c>
      <c r="Y16" s="1073">
        <f>Model!DA9</f>
        <v>76392</v>
      </c>
      <c r="Z16" s="970">
        <f>Model!DB9</f>
        <v>19554</v>
      </c>
      <c r="AA16" s="970">
        <f>Model!DC9</f>
        <v>26573</v>
      </c>
      <c r="AB16" s="970">
        <f>Model!DD9</f>
        <v>28795</v>
      </c>
      <c r="AC16" s="970">
        <f>Model!DE9</f>
        <v>28522</v>
      </c>
      <c r="AD16" s="1073">
        <f>Model!DF9</f>
        <v>103444</v>
      </c>
      <c r="AE16" s="970">
        <f>Model!DG9</f>
        <v>29033</v>
      </c>
      <c r="AF16" s="970">
        <f>Model!DH9</f>
        <v>30184</v>
      </c>
      <c r="AG16" s="970">
        <f>Model!DI9</f>
        <v>29498</v>
      </c>
      <c r="AH16" s="970">
        <f>Model!DJ9</f>
        <v>28636</v>
      </c>
      <c r="AI16" s="1073">
        <f>Model!DK9</f>
        <v>117351</v>
      </c>
      <c r="AJ16" s="1869">
        <f>Model!DL9</f>
        <v>28501</v>
      </c>
      <c r="AK16" s="970">
        <f>Model!DM9</f>
        <v>29446</v>
      </c>
      <c r="AL16" s="970">
        <f>Model!DN9</f>
        <v>30118</v>
      </c>
      <c r="AM16" s="971">
        <f>Model!DO9</f>
        <v>30149</v>
      </c>
      <c r="AN16" s="1073">
        <f>Model!DP9</f>
        <v>118214</v>
      </c>
      <c r="AO16" s="1869">
        <f>Model!DQ9</f>
        <v>30740</v>
      </c>
      <c r="AP16" s="970">
        <f ca="1">Model!DR9</f>
        <v>33566.861696755666</v>
      </c>
      <c r="AQ16" s="970">
        <f ca="1">Model!DS9</f>
        <v>33846.769999439988</v>
      </c>
      <c r="AR16" s="971">
        <f>Model!DT9</f>
        <v>33300.983209543454</v>
      </c>
      <c r="AS16" s="1073">
        <f ca="1">Model!DU9</f>
        <v>131454.61490573912</v>
      </c>
      <c r="AT16" s="1869">
        <f>Model!DV9</f>
        <v>33290.238599673678</v>
      </c>
      <c r="AU16" s="970">
        <f ca="1">Model!DW9</f>
        <v>34360.8961025096</v>
      </c>
      <c r="AV16" s="970">
        <f ca="1">Model!DX9</f>
        <v>34363.933544856904</v>
      </c>
      <c r="AW16" s="971">
        <f>Model!DY9</f>
        <v>33802.297253989949</v>
      </c>
      <c r="AX16" s="1073">
        <f ca="1">Model!DZ9</f>
        <v>135817.36550103012</v>
      </c>
      <c r="AY16" s="1869">
        <f>Model!EA9</f>
        <v>33888.349850143466</v>
      </c>
      <c r="AZ16" s="970">
        <f ca="1">Model!EB9</f>
        <v>34959.600922786703</v>
      </c>
      <c r="BA16" s="970">
        <f ca="1">Model!EC9</f>
        <v>34993.838013079541</v>
      </c>
      <c r="BB16" s="971">
        <f>Model!ED9</f>
        <v>34455.105501630089</v>
      </c>
      <c r="BC16" s="1073">
        <f ca="1">Model!EE9</f>
        <v>138296.89428763979</v>
      </c>
    </row>
    <row r="17" spans="1:55" s="23" customFormat="1">
      <c r="A17" s="68"/>
      <c r="B17" s="972"/>
      <c r="C17" s="972"/>
      <c r="D17" s="972"/>
      <c r="E17" s="973" t="s">
        <v>232</v>
      </c>
      <c r="F17" s="970">
        <f>Model!CH60</f>
        <v>4987</v>
      </c>
      <c r="G17" s="970">
        <f>Model!CI60</f>
        <v>5380</v>
      </c>
      <c r="H17" s="970">
        <f>Model!CJ60</f>
        <v>5204</v>
      </c>
      <c r="I17" s="970">
        <f>Model!CK60</f>
        <v>5129</v>
      </c>
      <c r="J17" s="1073">
        <f>Model!CL60</f>
        <v>20700</v>
      </c>
      <c r="K17" s="970">
        <f>Model!CM60</f>
        <v>5149</v>
      </c>
      <c r="L17" s="970">
        <f>Model!CN60</f>
        <v>5461</v>
      </c>
      <c r="M17" s="970">
        <f>Model!CO60</f>
        <v>5074</v>
      </c>
      <c r="N17" s="970">
        <f>Model!CP60</f>
        <v>4967</v>
      </c>
      <c r="O17" s="1073">
        <f>Model!CQ60</f>
        <v>20651</v>
      </c>
      <c r="P17" s="970">
        <f>Model!CR60</f>
        <v>5154</v>
      </c>
      <c r="Q17" s="970">
        <f>Model!CS60</f>
        <v>5679</v>
      </c>
      <c r="R17" s="970">
        <f>Model!CT60</f>
        <v>5342</v>
      </c>
      <c r="S17" s="970">
        <f>Model!CU60</f>
        <v>5183</v>
      </c>
      <c r="T17" s="1073">
        <f>Model!CV60</f>
        <v>21358</v>
      </c>
      <c r="U17" s="970">
        <f>Model!CW60</f>
        <v>5215</v>
      </c>
      <c r="V17" s="970">
        <f>Model!CX60</f>
        <v>5701</v>
      </c>
      <c r="W17" s="970">
        <f>Model!CY60</f>
        <v>5481</v>
      </c>
      <c r="X17" s="970">
        <f>Model!CZ60</f>
        <v>5316</v>
      </c>
      <c r="Y17" s="1073">
        <f>Model!DA60</f>
        <v>21713</v>
      </c>
      <c r="Z17" s="970">
        <f>Model!DB60</f>
        <v>5348</v>
      </c>
      <c r="AA17" s="970">
        <f>Model!DC60</f>
        <v>6937</v>
      </c>
      <c r="AB17" s="970">
        <f>Model!DD60</f>
        <v>7550</v>
      </c>
      <c r="AC17" s="970">
        <f>Model!DE60</f>
        <v>7374</v>
      </c>
      <c r="AD17" s="1073">
        <f>Model!DF60</f>
        <v>27209</v>
      </c>
      <c r="AE17" s="970">
        <f>Model!DG60</f>
        <v>7548</v>
      </c>
      <c r="AF17" s="970">
        <f>Model!DH60</f>
        <v>8012</v>
      </c>
      <c r="AG17" s="970">
        <f>Model!DI60</f>
        <v>7589</v>
      </c>
      <c r="AH17" s="970">
        <f>Model!DJ60</f>
        <v>7163</v>
      </c>
      <c r="AI17" s="1073">
        <f>Model!DK60</f>
        <v>30312</v>
      </c>
      <c r="AJ17" s="1869">
        <f>Model!DL60</f>
        <v>7174</v>
      </c>
      <c r="AK17" s="970">
        <f>Model!DM60</f>
        <v>7610</v>
      </c>
      <c r="AL17" s="970">
        <f>Model!DN60</f>
        <v>7194</v>
      </c>
      <c r="AM17" s="971">
        <f>Model!DO60</f>
        <v>7330</v>
      </c>
      <c r="AN17" s="1073">
        <f>Model!DP60</f>
        <v>29308</v>
      </c>
      <c r="AO17" s="1869">
        <f>Model!DQ60</f>
        <v>7438</v>
      </c>
      <c r="AP17" s="970">
        <f ca="1">Model!DR60</f>
        <v>8346.8390253425878</v>
      </c>
      <c r="AQ17" s="970">
        <f ca="1">Model!DS60</f>
        <v>8181.3036935442333</v>
      </c>
      <c r="AR17" s="971">
        <f>Model!DT60</f>
        <v>7995.4841696022559</v>
      </c>
      <c r="AS17" s="1073">
        <f ca="1">Model!DU60</f>
        <v>31961.626888489078</v>
      </c>
      <c r="AT17" s="1869">
        <f>Model!DV60</f>
        <v>7980.5777207918818</v>
      </c>
      <c r="AU17" s="970">
        <f ca="1">Model!DW60</f>
        <v>8568.1062221134598</v>
      </c>
      <c r="AV17" s="970">
        <f ca="1">Model!DX60</f>
        <v>8381.776412285737</v>
      </c>
      <c r="AW17" s="971">
        <f>Model!DY60</f>
        <v>8199.6084434622862</v>
      </c>
      <c r="AX17" s="1073">
        <f ca="1">Model!DZ60</f>
        <v>33130.068798653367</v>
      </c>
      <c r="AY17" s="1869">
        <f>Model!EA60</f>
        <v>8170.7739832998295</v>
      </c>
      <c r="AZ17" s="970">
        <f ca="1">Model!EB60</f>
        <v>8742.9773569173849</v>
      </c>
      <c r="BA17" s="970">
        <f ca="1">Model!EC60</f>
        <v>8569.1310341027765</v>
      </c>
      <c r="BB17" s="971">
        <f>Model!ED60</f>
        <v>8387.1024660429139</v>
      </c>
      <c r="BC17" s="1073">
        <f ca="1">Model!EE60</f>
        <v>33869.9848403629</v>
      </c>
    </row>
    <row r="18" spans="1:55" s="23" customFormat="1">
      <c r="A18" s="68"/>
      <c r="B18" s="972"/>
      <c r="C18" s="972"/>
      <c r="D18" s="972"/>
      <c r="E18" s="973" t="s">
        <v>233</v>
      </c>
      <c r="F18" s="970">
        <f>Model!CH18</f>
        <v>4004</v>
      </c>
      <c r="G18" s="970">
        <f>Model!CI18</f>
        <v>4117</v>
      </c>
      <c r="H18" s="970">
        <f>Model!CJ18</f>
        <v>4203</v>
      </c>
      <c r="I18" s="970">
        <f>Model!CK18</f>
        <v>4237</v>
      </c>
      <c r="J18" s="1073">
        <f>Model!CL18</f>
        <v>16561</v>
      </c>
      <c r="K18" s="970">
        <f>Model!CM18</f>
        <v>4204</v>
      </c>
      <c r="L18" s="970">
        <f>Model!CN18</f>
        <v>4284</v>
      </c>
      <c r="M18" s="970">
        <f>Model!CO18</f>
        <v>4141</v>
      </c>
      <c r="N18" s="970">
        <f>Model!CP18</f>
        <v>4249</v>
      </c>
      <c r="O18" s="1073">
        <f>Model!CQ18</f>
        <v>16878</v>
      </c>
      <c r="P18" s="970">
        <f>Model!CR18</f>
        <v>4398</v>
      </c>
      <c r="Q18" s="970">
        <f>Model!CS18</f>
        <v>4497</v>
      </c>
      <c r="R18" s="970">
        <f>Model!CT18</f>
        <v>4362</v>
      </c>
      <c r="S18" s="971">
        <f>Model!CU18</f>
        <v>4286</v>
      </c>
      <c r="T18" s="1073">
        <f>Model!CV18</f>
        <v>17543</v>
      </c>
      <c r="U18" s="970">
        <f>Model!CW18</f>
        <v>4379</v>
      </c>
      <c r="V18" s="970">
        <f>Model!CX18</f>
        <v>4569</v>
      </c>
      <c r="W18" s="970">
        <f>Model!CY18</f>
        <v>4551</v>
      </c>
      <c r="X18" s="970">
        <f>Model!CZ18</f>
        <v>4493</v>
      </c>
      <c r="Y18" s="1073">
        <f>Model!DA18</f>
        <v>17992</v>
      </c>
      <c r="Z18" s="970">
        <f>Model!DB18</f>
        <v>4456</v>
      </c>
      <c r="AA18" s="970">
        <f>Model!DC18</f>
        <v>5606</v>
      </c>
      <c r="AB18" s="970">
        <f>Model!DD18</f>
        <v>6080</v>
      </c>
      <c r="AC18" s="970">
        <f>Model!DE18</f>
        <v>6429</v>
      </c>
      <c r="AD18" s="1073">
        <f>Model!DF18</f>
        <v>22571</v>
      </c>
      <c r="AE18" s="970">
        <f>Model!DG18</f>
        <v>6034</v>
      </c>
      <c r="AF18" s="970">
        <f>Model!DH18</f>
        <v>6084</v>
      </c>
      <c r="AG18" s="970">
        <f>Model!DI18</f>
        <v>5967</v>
      </c>
      <c r="AH18" s="970">
        <f>Model!DJ18</f>
        <v>6049</v>
      </c>
      <c r="AI18" s="1073">
        <f>Model!DK18</f>
        <v>24134</v>
      </c>
      <c r="AJ18" s="1869">
        <f>Model!DL18</f>
        <v>5686</v>
      </c>
      <c r="AK18" s="970">
        <f>Model!DM18</f>
        <v>6124</v>
      </c>
      <c r="AL18" s="970">
        <f>Model!DN18</f>
        <v>5712</v>
      </c>
      <c r="AM18" s="971">
        <f>Model!DO18</f>
        <v>6218</v>
      </c>
      <c r="AN18" s="1073">
        <f>Model!DP18</f>
        <v>23740</v>
      </c>
      <c r="AO18" s="1869">
        <f>Model!DQ18</f>
        <v>5907</v>
      </c>
      <c r="AP18" s="970">
        <f>Model!DR18</f>
        <v>6415.4821041039313</v>
      </c>
      <c r="AQ18" s="970">
        <f>Model!DS18</f>
        <v>6405.027361458473</v>
      </c>
      <c r="AR18" s="971">
        <f>Model!DT18</f>
        <v>6299.1350444760055</v>
      </c>
      <c r="AS18" s="1073">
        <f>Model!DU18</f>
        <v>25026.644510038412</v>
      </c>
      <c r="AT18" s="1869">
        <f>Model!DV18</f>
        <v>6316.7288629040859</v>
      </c>
      <c r="AU18" s="970">
        <f>Model!DW18</f>
        <v>6597.9346812630383</v>
      </c>
      <c r="AV18" s="970">
        <f>Model!DX18</f>
        <v>6407.2405828947849</v>
      </c>
      <c r="AW18" s="971">
        <f>Model!DY18</f>
        <v>6267.3689953158409</v>
      </c>
      <c r="AX18" s="1073">
        <f>Model!DZ18</f>
        <v>25589.273122377752</v>
      </c>
      <c r="AY18" s="1869">
        <f>Model!EA18</f>
        <v>6458.78755302022</v>
      </c>
      <c r="AZ18" s="970">
        <f>Model!EB18</f>
        <v>6747.5875373052104</v>
      </c>
      <c r="BA18" s="970">
        <f>Model!EC18</f>
        <v>6552.1793694937269</v>
      </c>
      <c r="BB18" s="971">
        <f>Model!ED18</f>
        <v>6408.9214540731164</v>
      </c>
      <c r="BC18" s="1073">
        <f>Model!EE18</f>
        <v>26167.475913892271</v>
      </c>
    </row>
    <row r="19" spans="1:55" s="23" customFormat="1">
      <c r="A19" s="68"/>
      <c r="B19" s="972"/>
      <c r="C19" s="972"/>
      <c r="D19" s="972"/>
      <c r="E19" s="973" t="s">
        <v>391</v>
      </c>
      <c r="F19" s="970">
        <f>Model!CH22</f>
        <v>941</v>
      </c>
      <c r="G19" s="970">
        <f>Model!CI22</f>
        <v>1207</v>
      </c>
      <c r="H19" s="970">
        <f>Model!CJ22</f>
        <v>951</v>
      </c>
      <c r="I19" s="970">
        <f>Model!CK22</f>
        <v>1266</v>
      </c>
      <c r="J19" s="1073">
        <f>Model!CL22</f>
        <v>4365</v>
      </c>
      <c r="K19" s="970">
        <f>Model!CM22</f>
        <v>900</v>
      </c>
      <c r="L19" s="970">
        <f>Model!CN22</f>
        <v>1105</v>
      </c>
      <c r="M19" s="970">
        <f>Model!CO22</f>
        <v>873</v>
      </c>
      <c r="N19" s="970">
        <f>Model!CP22</f>
        <v>586</v>
      </c>
      <c r="O19" s="1073">
        <f>Model!CQ22</f>
        <v>3464</v>
      </c>
      <c r="P19" s="970">
        <f>Model!CR22</f>
        <v>705</v>
      </c>
      <c r="Q19" s="970">
        <f>Model!CS22</f>
        <v>1215</v>
      </c>
      <c r="R19" s="970">
        <f>Model!CT22</f>
        <v>991</v>
      </c>
      <c r="S19" s="971">
        <f>Model!CU22</f>
        <v>1029</v>
      </c>
      <c r="T19" s="1073">
        <f>Model!CV22</f>
        <v>3940</v>
      </c>
      <c r="U19" s="970">
        <f>Model!CW22</f>
        <v>924</v>
      </c>
      <c r="V19" s="970">
        <f>Model!CX22</f>
        <v>1275</v>
      </c>
      <c r="W19" s="970">
        <f>Model!CY22</f>
        <v>1026</v>
      </c>
      <c r="X19" s="970">
        <f>Model!CZ22</f>
        <v>969</v>
      </c>
      <c r="Y19" s="1073">
        <f>Model!DA22</f>
        <v>4194</v>
      </c>
      <c r="Z19" s="970">
        <f>Model!DB22</f>
        <v>1054</v>
      </c>
      <c r="AA19" s="970">
        <f>Model!DC22</f>
        <v>1377</v>
      </c>
      <c r="AB19" s="970">
        <f>Model!DD22</f>
        <v>1401</v>
      </c>
      <c r="AC19" s="970">
        <f>Model!DE22</f>
        <v>836</v>
      </c>
      <c r="AD19" s="1073">
        <f>Model!DF22</f>
        <v>4668</v>
      </c>
      <c r="AE19" s="970">
        <f>Model!DG22</f>
        <v>1468</v>
      </c>
      <c r="AF19" s="970">
        <f>Model!DH22</f>
        <v>1860</v>
      </c>
      <c r="AG19" s="970">
        <f>Model!DI22</f>
        <v>1533</v>
      </c>
      <c r="AH19" s="970">
        <f>Model!DJ22</f>
        <v>1140</v>
      </c>
      <c r="AI19" s="1073">
        <f>Model!DK22</f>
        <v>6001</v>
      </c>
      <c r="AJ19" s="1869">
        <f>Model!DL22</f>
        <v>1447</v>
      </c>
      <c r="AK19" s="970">
        <f>Model!DM22</f>
        <v>1479</v>
      </c>
      <c r="AL19" s="970">
        <f>Model!DN22</f>
        <v>1517</v>
      </c>
      <c r="AM19" s="971">
        <f>Model!DO22</f>
        <v>1114</v>
      </c>
      <c r="AN19" s="1073">
        <f>Model!DP22</f>
        <v>5557</v>
      </c>
      <c r="AO19" s="1869">
        <f>Model!DQ22</f>
        <v>1335</v>
      </c>
      <c r="AP19" s="970">
        <f ca="1">Model!DR22</f>
        <v>1958.5589827854703</v>
      </c>
      <c r="AQ19" s="970">
        <f ca="1">Model!DS22</f>
        <v>1822.7108103980572</v>
      </c>
      <c r="AR19" s="971">
        <f>Model!DT22</f>
        <v>1817.4675875938412</v>
      </c>
      <c r="AS19" s="1073">
        <f ca="1">Model!DU22</f>
        <v>6933.7373807773793</v>
      </c>
      <c r="AT19" s="1869">
        <f>Model!DV22</f>
        <v>1688.1445882831288</v>
      </c>
      <c r="AU19" s="970">
        <f ca="1">Model!DW22</f>
        <v>1997.680172854698</v>
      </c>
      <c r="AV19" s="970">
        <f ca="1">Model!DX22</f>
        <v>2017.3883448000149</v>
      </c>
      <c r="AW19" s="971">
        <f>Model!DY22</f>
        <v>2055.8223249511507</v>
      </c>
      <c r="AX19" s="1073">
        <f ca="1">Model!DZ22</f>
        <v>7759.035430888971</v>
      </c>
      <c r="AY19" s="1869">
        <f>Model!EA22</f>
        <v>1736.2821606749424</v>
      </c>
      <c r="AZ19" s="970">
        <f ca="1">Model!EB22</f>
        <v>2022.898451616451</v>
      </c>
      <c r="BA19" s="970">
        <f ca="1">Model!EC22</f>
        <v>2059.8041800181127</v>
      </c>
      <c r="BB19" s="971">
        <f>Model!ED22</f>
        <v>2101.7638887745029</v>
      </c>
      <c r="BC19" s="1073">
        <f ca="1">Model!EE22</f>
        <v>7920.7486810840219</v>
      </c>
    </row>
    <row r="20" spans="1:55" s="23" customFormat="1" ht="12" thickBot="1">
      <c r="A20" s="68"/>
      <c r="B20" s="972"/>
      <c r="C20" s="972"/>
      <c r="D20" s="972"/>
      <c r="E20" s="996" t="s">
        <v>235</v>
      </c>
      <c r="F20" s="1066">
        <f>Model!CH41</f>
        <v>639</v>
      </c>
      <c r="G20" s="1066">
        <f>Model!CI41</f>
        <v>802</v>
      </c>
      <c r="H20" s="1066">
        <f>Model!CJ41</f>
        <v>670</v>
      </c>
      <c r="I20" s="1066">
        <f>Model!CK41</f>
        <v>599</v>
      </c>
      <c r="J20" s="1074">
        <f>Model!CL41</f>
        <v>2710</v>
      </c>
      <c r="K20" s="1066">
        <f>Model!CM41</f>
        <v>619</v>
      </c>
      <c r="L20" s="1066">
        <f>Model!CN41</f>
        <v>767</v>
      </c>
      <c r="M20" s="1066">
        <f>Model!CO41</f>
        <v>628</v>
      </c>
      <c r="N20" s="1066">
        <f>Model!CP41</f>
        <v>553</v>
      </c>
      <c r="O20" s="1074">
        <f>Model!CQ41</f>
        <v>2567</v>
      </c>
      <c r="P20" s="1066">
        <f>Model!CR41</f>
        <v>553</v>
      </c>
      <c r="Q20" s="1066">
        <f>Model!CS41</f>
        <v>915</v>
      </c>
      <c r="R20" s="1066">
        <f>Model!CT41</f>
        <v>812</v>
      </c>
      <c r="S20" s="1067">
        <f>Model!CU41</f>
        <v>702</v>
      </c>
      <c r="T20" s="1074">
        <f>Model!CV41</f>
        <v>2982</v>
      </c>
      <c r="U20" s="1066">
        <f>Model!CW41</f>
        <v>688</v>
      </c>
      <c r="V20" s="1066">
        <f>Model!CX41</f>
        <v>880</v>
      </c>
      <c r="W20" s="1066">
        <f>Model!CY41</f>
        <v>883</v>
      </c>
      <c r="X20" s="1066">
        <f>Model!CZ41</f>
        <v>714</v>
      </c>
      <c r="Y20" s="1074">
        <f>Model!DA41</f>
        <v>3165</v>
      </c>
      <c r="Z20" s="1066">
        <f>Model!DB41</f>
        <v>749</v>
      </c>
      <c r="AA20" s="1066">
        <f>Model!DC41</f>
        <v>1244</v>
      </c>
      <c r="AB20" s="1066">
        <f>Model!DD41</f>
        <v>1123</v>
      </c>
      <c r="AC20" s="1066">
        <f>Model!DE41</f>
        <v>969</v>
      </c>
      <c r="AD20" s="1074">
        <f>Model!DF41</f>
        <v>4085</v>
      </c>
      <c r="AE20" s="1066">
        <f>Model!DG41</f>
        <v>1132</v>
      </c>
      <c r="AF20" s="1066">
        <f>Model!DH41</f>
        <v>1423</v>
      </c>
      <c r="AG20" s="1066">
        <f>Model!DI41</f>
        <v>1288</v>
      </c>
      <c r="AH20" s="1066">
        <f>Model!DJ41</f>
        <v>1166</v>
      </c>
      <c r="AI20" s="1074">
        <f>Model!DK41</f>
        <v>5009</v>
      </c>
      <c r="AJ20" s="1870">
        <f>Model!DL41</f>
        <v>1201</v>
      </c>
      <c r="AK20" s="1066">
        <f>Model!DM41</f>
        <v>1476</v>
      </c>
      <c r="AL20" s="1066">
        <f>Model!DN41</f>
        <v>1441</v>
      </c>
      <c r="AM20" s="1067">
        <f>Model!DO41</f>
        <v>1385</v>
      </c>
      <c r="AN20" s="1074">
        <f>Model!DP41</f>
        <v>5503</v>
      </c>
      <c r="AO20" s="1870">
        <f>Model!DQ41</f>
        <v>1295</v>
      </c>
      <c r="AP20" s="1066">
        <f ca="1">Model!DR41</f>
        <v>1534.1932926178474</v>
      </c>
      <c r="AQ20" s="1066">
        <f ca="1">Model!DS41</f>
        <v>1505.9410997368495</v>
      </c>
      <c r="AR20" s="1067">
        <f ca="1">Model!DT41</f>
        <v>1428.5770615493066</v>
      </c>
      <c r="AS20" s="1074">
        <f ca="1">Model!DU41</f>
        <v>5763.711453904014</v>
      </c>
      <c r="AT20" s="1870">
        <f ca="1">Model!DV41</f>
        <v>1401.6215331997109</v>
      </c>
      <c r="AU20" s="1066">
        <f ca="1">Model!DW41</f>
        <v>1656.4289374137215</v>
      </c>
      <c r="AV20" s="1066">
        <f ca="1">Model!DX41</f>
        <v>1675.2470796763214</v>
      </c>
      <c r="AW20" s="1067">
        <f ca="1">Model!DY41</f>
        <v>1634.497229414048</v>
      </c>
      <c r="AX20" s="1074">
        <f ca="1">Model!DZ41</f>
        <v>6367.7947797037805</v>
      </c>
      <c r="AY20" s="1870">
        <f ca="1">Model!EA41</f>
        <v>1446.9545027976137</v>
      </c>
      <c r="AZ20" s="1066">
        <f ca="1">Model!EB41</f>
        <v>1679.9419307136095</v>
      </c>
      <c r="BA20" s="1066">
        <f ca="1">Model!EC41</f>
        <v>1713.0647830979533</v>
      </c>
      <c r="BB20" s="1067">
        <f ca="1">Model!ED41</f>
        <v>1675.234876386771</v>
      </c>
      <c r="BC20" s="1074">
        <f ca="1">Model!EE41</f>
        <v>6515.1960929959605</v>
      </c>
    </row>
    <row r="21" spans="1:55">
      <c r="A21" s="54"/>
      <c r="B21" s="54"/>
      <c r="C21" s="54"/>
      <c r="D21" s="54"/>
      <c r="E21" s="1040" t="s">
        <v>324</v>
      </c>
      <c r="F21" s="1041">
        <f>Model!CH46</f>
        <v>0.68393449641442794</v>
      </c>
      <c r="G21" s="1041">
        <f>Model!CI46</f>
        <v>0.86422413793103448</v>
      </c>
      <c r="H21" s="1041">
        <f>Model!CJ46</f>
        <v>0.72652353068748643</v>
      </c>
      <c r="I21" s="1041">
        <f>Model!CK46</f>
        <v>0.65773580762051165</v>
      </c>
      <c r="J21" s="1075">
        <f>SUM(F21:I21)</f>
        <v>2.93241797265346</v>
      </c>
      <c r="K21" s="1041">
        <f>Model!CM46</f>
        <v>0.71</v>
      </c>
      <c r="L21" s="1041">
        <f>Model!CN46</f>
        <v>0.87687207042414539</v>
      </c>
      <c r="M21" s="1041">
        <f>Model!CO46</f>
        <v>0.72</v>
      </c>
      <c r="N21" s="1041">
        <f>Model!CP46</f>
        <v>0.63</v>
      </c>
      <c r="O21" s="1075">
        <f>Model!CQ46</f>
        <v>2.93</v>
      </c>
      <c r="P21" s="1041">
        <f>Model!CR46</f>
        <v>0.58137089991589574</v>
      </c>
      <c r="Q21" s="1041">
        <f>Model!CS46</f>
        <v>0.95972309628697294</v>
      </c>
      <c r="R21" s="1041">
        <f>Model!CT46</f>
        <v>0.84671532846715325</v>
      </c>
      <c r="S21" s="1069">
        <f>Model!CU46</f>
        <v>0.73331244124099026</v>
      </c>
      <c r="T21" s="1075">
        <f>Model!CV46</f>
        <v>3.121121765911012</v>
      </c>
      <c r="U21" s="1041">
        <f>Model!CW46</f>
        <v>0.71554862194487778</v>
      </c>
      <c r="V21" s="1041">
        <f>Model!CX46</f>
        <v>0.91314724499325528</v>
      </c>
      <c r="W21" s="1041">
        <f>Model!CY46</f>
        <v>0.91256717651922292</v>
      </c>
      <c r="X21" s="1041">
        <f>Model!CZ46</f>
        <v>0.73767951234631679</v>
      </c>
      <c r="Y21" s="1075">
        <f>Model!DA46</f>
        <v>3.2789425558036727</v>
      </c>
      <c r="Z21" s="1041">
        <f>Model!DB46</f>
        <v>0.78347280334728031</v>
      </c>
      <c r="AA21" s="1041">
        <f>Model!DC46</f>
        <v>1.1794823172466107</v>
      </c>
      <c r="AB21" s="1041">
        <f>Model!DD46</f>
        <v>1.0186865021770681</v>
      </c>
      <c r="AC21" s="1041">
        <f>Model!DE46</f>
        <v>0.87891156462585029</v>
      </c>
      <c r="AD21" s="1075">
        <f>Model!DF46</f>
        <v>3.8760793244140808</v>
      </c>
      <c r="AE21" s="1041">
        <f>Model!DG46</f>
        <v>1.0304023302384855</v>
      </c>
      <c r="AF21" s="1041">
        <f>Model!DH46</f>
        <v>1.3074237412715912</v>
      </c>
      <c r="AG21" s="1041">
        <f>Model!DI46</f>
        <v>1.1836059547877229</v>
      </c>
      <c r="AH21" s="1041">
        <f>Model!DJ46</f>
        <v>1.0707070707070707</v>
      </c>
      <c r="AI21" s="1075">
        <f>Model!DK46</f>
        <v>4.5921390970048703</v>
      </c>
      <c r="AJ21" s="1871">
        <f>Model!DL46</f>
        <v>1.1035560047780943</v>
      </c>
      <c r="AK21" s="1872">
        <f>Model!DM46</f>
        <v>1.3597420543528327</v>
      </c>
      <c r="AL21" s="1872">
        <f>Model!DN46</f>
        <v>1.3310548679105858</v>
      </c>
      <c r="AM21" s="1873">
        <f>Model!DO46</f>
        <v>1.3072203869749881</v>
      </c>
      <c r="AN21" s="1075">
        <f>Model!DP46</f>
        <v>5.1015733140165009</v>
      </c>
      <c r="AO21" s="1871">
        <f>Model!DQ46</f>
        <v>1.2807833053110473</v>
      </c>
      <c r="AP21" s="1872">
        <f ca="1">Model!DR46</f>
        <v>1.5408670389247578</v>
      </c>
      <c r="AQ21" s="1872">
        <f ca="1">Model!DS46</f>
        <v>1.5124919489037392</v>
      </c>
      <c r="AR21" s="1873">
        <f ca="1">Model!DT46</f>
        <v>1.4347913768735403</v>
      </c>
      <c r="AS21" s="1075">
        <f ca="1">Model!DU46</f>
        <v>5.7689336700130847</v>
      </c>
      <c r="AT21" s="1871">
        <f ca="1">Model!DV46</f>
        <v>1.416392701727091</v>
      </c>
      <c r="AU21" s="1872">
        <f ca="1">Model!DW46</f>
        <v>1.6947711794590334</v>
      </c>
      <c r="AV21" s="1872">
        <f ca="1">Model!DX46</f>
        <v>1.7356817259382828</v>
      </c>
      <c r="AW21" s="1873">
        <f ca="1">Model!DY46</f>
        <v>1.7151326288981761</v>
      </c>
      <c r="AX21" s="1075">
        <f ca="1">Model!DZ46</f>
        <v>6.5619782360225836</v>
      </c>
      <c r="AY21" s="1871">
        <f ca="1">Model!EA46</f>
        <v>1.5380194203814843</v>
      </c>
      <c r="AZ21" s="1872">
        <f ca="1">Model!EB46</f>
        <v>1.8091210111551781</v>
      </c>
      <c r="BA21" s="1872">
        <f ca="1">Model!EC46</f>
        <v>1.8693406433696269</v>
      </c>
      <c r="BB21" s="1873">
        <f ca="1">Model!ED46</f>
        <v>1.8527149195848873</v>
      </c>
      <c r="BC21" s="1075">
        <f ca="1">Model!EE46</f>
        <v>7.0691959944911762</v>
      </c>
    </row>
    <row r="22" spans="1:55" ht="12" thickBot="1">
      <c r="A22" s="54"/>
      <c r="B22" s="54"/>
      <c r="C22" s="54"/>
      <c r="D22" s="54"/>
      <c r="E22" s="1042" t="s">
        <v>237</v>
      </c>
      <c r="F22" s="1043">
        <f>Model!CH79</f>
        <v>1256</v>
      </c>
      <c r="G22" s="1043">
        <f>Model!CI79</f>
        <v>1519</v>
      </c>
      <c r="H22" s="1043">
        <f>Model!CJ79</f>
        <v>1270</v>
      </c>
      <c r="I22" s="1043">
        <f>Model!CK79</f>
        <v>1180</v>
      </c>
      <c r="J22" s="1076">
        <f>SUM(F22:I22)</f>
        <v>5225</v>
      </c>
      <c r="K22" s="1043">
        <f>Model!CM79</f>
        <v>1222</v>
      </c>
      <c r="L22" s="1043">
        <f>Model!CN79</f>
        <v>1460</v>
      </c>
      <c r="M22" s="1043">
        <f>Model!CO79</f>
        <v>1248</v>
      </c>
      <c r="N22" s="1043">
        <f>Model!CP79</f>
        <v>1078</v>
      </c>
      <c r="O22" s="1076">
        <f>Model!CQ79</f>
        <v>5008</v>
      </c>
      <c r="P22" s="1043">
        <f>Model!CR79</f>
        <v>1163</v>
      </c>
      <c r="Q22" s="1043">
        <f>Model!CS79</f>
        <v>1650</v>
      </c>
      <c r="R22" s="1043">
        <f>Model!CT79</f>
        <v>1500</v>
      </c>
      <c r="S22" s="1044">
        <f>Model!CU79</f>
        <v>1355</v>
      </c>
      <c r="T22" s="1076">
        <f>Model!CV79</f>
        <v>5668</v>
      </c>
      <c r="U22" s="1043">
        <f>Model!CW79</f>
        <v>1365</v>
      </c>
      <c r="V22" s="1043">
        <f>Model!CX79</f>
        <v>1596</v>
      </c>
      <c r="W22" s="1043">
        <f>Model!CY79</f>
        <v>1572</v>
      </c>
      <c r="X22" s="1043">
        <f>Model!CZ79</f>
        <v>1389</v>
      </c>
      <c r="Y22" s="1076">
        <f>Model!DA79</f>
        <v>5922</v>
      </c>
      <c r="Z22" s="1043">
        <f>Model!DB79</f>
        <v>1457</v>
      </c>
      <c r="AA22" s="1043">
        <f>Model!DC79</f>
        <v>2130</v>
      </c>
      <c r="AB22" s="1043">
        <f>Model!DD79</f>
        <v>2091</v>
      </c>
      <c r="AC22" s="1043">
        <f>Model!DE79</f>
        <v>1815</v>
      </c>
      <c r="AD22" s="1076">
        <f>Model!DF79</f>
        <v>7493</v>
      </c>
      <c r="AE22" s="1043">
        <f>Model!DG79</f>
        <v>2020</v>
      </c>
      <c r="AF22" s="1043">
        <f>Model!DH79</f>
        <v>2461</v>
      </c>
      <c r="AG22" s="1043">
        <f>Model!DI79</f>
        <v>2165</v>
      </c>
      <c r="AH22" s="1043">
        <f>Model!DJ79</f>
        <v>1911</v>
      </c>
      <c r="AI22" s="1076">
        <f>Model!DK79</f>
        <v>8557</v>
      </c>
      <c r="AJ22" s="1874">
        <f>Model!DL79</f>
        <v>2063</v>
      </c>
      <c r="AK22" s="1043">
        <f>Model!DM79</f>
        <v>2346</v>
      </c>
      <c r="AL22" s="1043">
        <f>Model!DN79</f>
        <v>2385</v>
      </c>
      <c r="AM22" s="1044">
        <f>Model!DO79</f>
        <v>2209</v>
      </c>
      <c r="AN22" s="1076">
        <f>Model!DP79</f>
        <v>9003</v>
      </c>
      <c r="AO22" s="1874">
        <f>Model!DQ79</f>
        <v>2140</v>
      </c>
      <c r="AP22" s="1043">
        <f ca="1">Model!DR79</f>
        <v>2477.2168996184305</v>
      </c>
      <c r="AQ22" s="1043">
        <f ca="1">Model!DS79</f>
        <v>2335.8424263675342</v>
      </c>
      <c r="AR22" s="1044">
        <f>Model!DT79</f>
        <v>2232.3317992065918</v>
      </c>
      <c r="AS22" s="1076">
        <f ca="1">Model!DU79</f>
        <v>9185.3911251925565</v>
      </c>
      <c r="AT22" s="1874">
        <f>Model!DV79</f>
        <v>2192.6566005623822</v>
      </c>
      <c r="AU22" s="1043">
        <f ca="1">Model!DW79</f>
        <v>2527.4479917174963</v>
      </c>
      <c r="AV22" s="1043">
        <f ca="1">Model!DX79</f>
        <v>2537.6116847968906</v>
      </c>
      <c r="AW22" s="1044">
        <f>Model!DY79</f>
        <v>2477.5039685922625</v>
      </c>
      <c r="AX22" s="1076">
        <f ca="1">Model!DZ79</f>
        <v>9735.220245669032</v>
      </c>
      <c r="AY22" s="1874">
        <f>Model!EA79</f>
        <v>2248.8883265064219</v>
      </c>
      <c r="AZ22" s="1043">
        <f ca="1">Model!EB79</f>
        <v>2561.0431768826375</v>
      </c>
      <c r="BA22" s="1043">
        <f ca="1">Model!EC79</f>
        <v>2588.6652298687618</v>
      </c>
      <c r="BB22" s="1044">
        <f>Model!ED79</f>
        <v>2532.3231529513691</v>
      </c>
      <c r="BC22" s="1076">
        <f ca="1">Model!EE79</f>
        <v>9930.9198862091907</v>
      </c>
    </row>
    <row r="23" spans="1:55" s="39" customFormat="1" ht="12" thickBot="1">
      <c r="A23" s="62"/>
      <c r="B23" s="62"/>
      <c r="C23" s="62"/>
      <c r="D23" s="62"/>
      <c r="E23" s="1053"/>
      <c r="F23" s="974"/>
      <c r="G23" s="974"/>
      <c r="H23" s="974"/>
      <c r="I23" s="974"/>
      <c r="J23" s="975"/>
      <c r="K23" s="975"/>
      <c r="L23" s="975"/>
      <c r="M23" s="975"/>
      <c r="N23" s="975"/>
      <c r="O23" s="975"/>
      <c r="P23" s="975"/>
      <c r="Q23" s="975"/>
      <c r="R23" s="975"/>
      <c r="S23" s="975"/>
      <c r="T23" s="976">
        <v>3.0025767288750087</v>
      </c>
      <c r="U23" s="976"/>
      <c r="V23" s="976"/>
      <c r="W23" s="976"/>
      <c r="X23" s="976"/>
      <c r="Y23" s="977"/>
      <c r="Z23" s="976"/>
      <c r="AA23" s="976"/>
      <c r="AB23" s="976"/>
      <c r="AC23" s="976"/>
      <c r="AD23" s="977"/>
      <c r="AE23" s="977"/>
      <c r="AF23" s="977"/>
      <c r="AG23" s="977"/>
      <c r="AH23" s="977"/>
      <c r="AI23" s="977"/>
      <c r="AJ23" s="977"/>
      <c r="AK23" s="977"/>
      <c r="AL23" s="977"/>
      <c r="AM23" s="977"/>
      <c r="AN23" s="977"/>
      <c r="AO23" s="977"/>
      <c r="AP23" s="977"/>
      <c r="AQ23" s="977"/>
      <c r="AR23" s="977"/>
      <c r="AS23" s="977"/>
      <c r="AT23" s="977"/>
      <c r="AU23" s="977"/>
      <c r="AV23" s="977"/>
      <c r="AW23" s="977"/>
      <c r="AX23" s="977"/>
      <c r="AY23" s="977"/>
      <c r="AZ23" s="977"/>
      <c r="BA23" s="977"/>
      <c r="BB23" s="977"/>
      <c r="BC23" s="977"/>
    </row>
    <row r="24" spans="1:55" s="45" customFormat="1" ht="12" thickBot="1">
      <c r="A24" s="161"/>
      <c r="B24" s="161"/>
      <c r="C24" s="161"/>
      <c r="D24" s="161"/>
      <c r="E24" s="1045" t="s">
        <v>458</v>
      </c>
      <c r="F24" s="1046"/>
      <c r="G24" s="1046"/>
      <c r="H24" s="1046"/>
      <c r="I24" s="1046"/>
      <c r="J24" s="1047"/>
      <c r="K24" s="1047"/>
      <c r="L24" s="1047"/>
      <c r="M24" s="1047"/>
      <c r="N24" s="1047"/>
      <c r="O24" s="1047"/>
      <c r="P24" s="1047"/>
      <c r="Q24" s="1047"/>
      <c r="R24" s="1047"/>
      <c r="S24" s="1047"/>
      <c r="T24" s="1047"/>
      <c r="U24" s="1047"/>
      <c r="V24" s="1047"/>
      <c r="W24" s="1047"/>
      <c r="X24" s="1047"/>
      <c r="Y24" s="1047"/>
      <c r="Z24" s="1047"/>
      <c r="AA24" s="1047"/>
      <c r="AB24" s="1047"/>
      <c r="AC24" s="1047"/>
      <c r="AD24" s="1047"/>
      <c r="AE24" s="1047"/>
      <c r="AF24" s="1047"/>
      <c r="AG24" s="1047"/>
      <c r="AH24" s="1047"/>
      <c r="AI24" s="1047"/>
      <c r="AJ24" s="1047"/>
      <c r="AK24" s="1047"/>
      <c r="AL24" s="1047"/>
      <c r="AM24" s="1047"/>
      <c r="AN24" s="1047"/>
      <c r="AO24" s="1047"/>
      <c r="AP24" s="1047"/>
      <c r="AQ24" s="1047"/>
      <c r="AR24" s="1047"/>
      <c r="AS24" s="1047"/>
      <c r="AT24" s="1047"/>
      <c r="AU24" s="1047"/>
      <c r="AV24" s="1047"/>
      <c r="AW24" s="1047"/>
      <c r="AX24" s="1047"/>
      <c r="AY24" s="1047"/>
      <c r="AZ24" s="1047"/>
      <c r="BA24" s="1047"/>
      <c r="BB24" s="1047"/>
      <c r="BC24" s="1047"/>
    </row>
    <row r="25" spans="1:55" s="33" customFormat="1">
      <c r="A25" s="161"/>
      <c r="B25" s="161"/>
      <c r="C25" s="161"/>
      <c r="D25" s="161"/>
      <c r="E25" s="1048"/>
      <c r="F25" s="1081"/>
      <c r="G25" s="1049"/>
      <c r="H25" s="1049"/>
      <c r="I25" s="1082"/>
      <c r="J25" s="1088"/>
      <c r="K25" s="1050"/>
      <c r="L25" s="1050"/>
      <c r="M25" s="1050"/>
      <c r="N25" s="1050"/>
      <c r="O25" s="1088"/>
      <c r="P25" s="1050"/>
      <c r="Q25" s="1050"/>
      <c r="R25" s="1050"/>
      <c r="S25" s="1050"/>
      <c r="T25" s="1094"/>
      <c r="U25" s="1051"/>
      <c r="V25" s="1051"/>
      <c r="W25" s="1051"/>
      <c r="X25" s="1051"/>
      <c r="Y25" s="1094"/>
      <c r="Z25" s="1051"/>
      <c r="AA25" s="1051"/>
      <c r="AB25" s="1051"/>
      <c r="AC25" s="1051"/>
      <c r="AD25" s="1094"/>
      <c r="AE25" s="1875"/>
      <c r="AF25" s="1051"/>
      <c r="AG25" s="1051"/>
      <c r="AH25" s="1876"/>
      <c r="AI25" s="1094"/>
      <c r="AJ25" s="1875"/>
      <c r="AK25" s="1051"/>
      <c r="AL25" s="1051"/>
      <c r="AM25" s="1876"/>
      <c r="AN25" s="1094"/>
      <c r="AO25" s="1875"/>
      <c r="AP25" s="1051"/>
      <c r="AQ25" s="1051"/>
      <c r="AR25" s="1876"/>
      <c r="AS25" s="1094"/>
      <c r="AT25" s="1875"/>
      <c r="AU25" s="1051"/>
      <c r="AV25" s="1051"/>
      <c r="AW25" s="1876"/>
      <c r="AX25" s="1094"/>
      <c r="AY25" s="1875"/>
      <c r="AZ25" s="1051"/>
      <c r="BA25" s="1051"/>
      <c r="BB25" s="1876"/>
      <c r="BC25" s="1094"/>
    </row>
    <row r="26" spans="1:55" s="49" customFormat="1">
      <c r="A26" s="161"/>
      <c r="B26" s="315"/>
      <c r="C26" s="315"/>
      <c r="D26" s="315"/>
      <c r="E26" s="1000" t="s">
        <v>157</v>
      </c>
      <c r="F26" s="605"/>
      <c r="G26" s="302"/>
      <c r="H26" s="302"/>
      <c r="I26" s="606"/>
      <c r="J26" s="1089"/>
      <c r="K26" s="302"/>
      <c r="L26" s="302"/>
      <c r="M26" s="302"/>
      <c r="N26" s="302"/>
      <c r="O26" s="1089"/>
      <c r="P26" s="302"/>
      <c r="Q26" s="302"/>
      <c r="R26" s="302"/>
      <c r="S26" s="302"/>
      <c r="T26" s="1089"/>
      <c r="U26" s="302"/>
      <c r="V26" s="302"/>
      <c r="W26" s="302"/>
      <c r="X26" s="302"/>
      <c r="Y26" s="1089"/>
      <c r="Z26" s="302"/>
      <c r="AA26" s="302"/>
      <c r="AB26" s="302"/>
      <c r="AC26" s="302"/>
      <c r="AD26" s="1089"/>
      <c r="AE26" s="605"/>
      <c r="AF26" s="302"/>
      <c r="AG26" s="302"/>
      <c r="AH26" s="606"/>
      <c r="AI26" s="1089"/>
      <c r="AJ26" s="605"/>
      <c r="AK26" s="302"/>
      <c r="AL26" s="302"/>
      <c r="AM26" s="606"/>
      <c r="AN26" s="1089"/>
      <c r="AO26" s="605"/>
      <c r="AP26" s="302"/>
      <c r="AQ26" s="302"/>
      <c r="AR26" s="606"/>
      <c r="AS26" s="1089"/>
      <c r="AT26" s="605"/>
      <c r="AU26" s="302"/>
      <c r="AV26" s="302"/>
      <c r="AW26" s="606"/>
      <c r="AX26" s="1089"/>
      <c r="AY26" s="605"/>
      <c r="AZ26" s="302"/>
      <c r="BA26" s="302"/>
      <c r="BB26" s="606"/>
      <c r="BC26" s="1089"/>
    </row>
    <row r="27" spans="1:55" s="42" customFormat="1">
      <c r="A27" s="161"/>
      <c r="B27" s="82"/>
      <c r="C27" s="82"/>
      <c r="D27" s="82"/>
      <c r="E27" s="546" t="s">
        <v>346</v>
      </c>
      <c r="F27" s="546">
        <f>F78</f>
        <v>0.02</v>
      </c>
      <c r="G27" s="80">
        <f>G78</f>
        <v>4.4999999999999998E-2</v>
      </c>
      <c r="H27" s="80">
        <f>H78</f>
        <v>4.5999999999999999E-2</v>
      </c>
      <c r="I27" s="883">
        <f>CHOOSE(MATCH($C$9,$C$173:$C$175,0),I77,I78,I79)</f>
        <v>3.4000000000000002E-2</v>
      </c>
      <c r="J27" s="953">
        <f>'US Retail'!CL45</f>
        <v>3.6277634961439542E-2</v>
      </c>
      <c r="K27" s="80">
        <f>CHOOSE(MATCH($C$9,$C$173:$C$175,0),K77,K78,K79)</f>
        <v>1.7999999999999999E-2</v>
      </c>
      <c r="L27" s="80">
        <f>CHOOSE(MATCH($C$9,$C$173:$C$175,0),L77,L78,L79)</f>
        <v>-4.9000000000000002E-2</v>
      </c>
      <c r="M27" s="80">
        <f>CHOOSE(MATCH($C$9,$C$173:$C$175,0),M77,M78,M79)</f>
        <v>-9.0999999999999998E-2</v>
      </c>
      <c r="N27" s="80">
        <f>CHOOSE(MATCH($C$9,$C$173:$C$175,0),N77,N78,N79)</f>
        <v>-0.08</v>
      </c>
      <c r="O27" s="953">
        <f>'US Retail'!CQ45</f>
        <v>-5.0890109890109891E-2</v>
      </c>
      <c r="P27" s="80">
        <f>CHOOSE(MATCH($C$9,$C$173:$C$175,0),P77,P78,P79)</f>
        <v>-4.8000000000000001E-2</v>
      </c>
      <c r="Q27" s="80">
        <f>CHOOSE(MATCH($C$9,$C$173:$C$175,0),Q77,Q78,Q79)</f>
        <v>4.2999999999999997E-2</v>
      </c>
      <c r="R27" s="80">
        <f>CHOOSE(MATCH($C$9,$C$173:$C$175,0),R77,R78,R79)</f>
        <v>7.0999999999999994E-2</v>
      </c>
      <c r="S27" s="80">
        <f>CHOOSE(MATCH($C$9,$C$173:$C$175,0),S77,S78,S79)</f>
        <v>7.0999999999999994E-2</v>
      </c>
      <c r="T27" s="953">
        <f>'US Retail'!CV45</f>
        <v>3.2428571428571473E-2</v>
      </c>
      <c r="U27" s="80">
        <f>CHOOSE(MATCH($C$9,$C$173:$C$175,0),U77,U78,U79)</f>
        <v>5.5E-2</v>
      </c>
      <c r="V27" s="80">
        <f>CHOOSE(MATCH($C$9,$C$173:$C$175,0),V77,V78,V79)</f>
        <v>2.1999999999999999E-2</v>
      </c>
      <c r="W27" s="80">
        <f>CHOOSE(MATCH($C$9,$C$173:$C$175,0),W77,W78,W79)</f>
        <v>4.1000000000000002E-2</v>
      </c>
      <c r="X27" s="80">
        <f>CHOOSE(MATCH($C$9,$C$173:$C$175,0),X77,X78,X79)</f>
        <v>3.9E-2</v>
      </c>
      <c r="Y27" s="953">
        <f>'US Retail'!DA45</f>
        <v>3.9119366626065633E-2</v>
      </c>
      <c r="Z27" s="80">
        <f>CHOOSE(MATCH($C$9,$C$173:$C$175,0),Z77,Z78,Z79)</f>
        <v>4.1000000000000002E-2</v>
      </c>
      <c r="AA27" s="80">
        <f>CHOOSE(MATCH($C$9,$C$173:$C$175,0),AA77,AA78,AA79)</f>
        <v>0.05</v>
      </c>
      <c r="AB27" s="80">
        <f>CHOOSE(MATCH($C$9,$C$173:$C$175,0),AB77,AB78,AB79)</f>
        <v>4.1000000000000002E-2</v>
      </c>
      <c r="AC27" s="80">
        <f>CHOOSE(MATCH($C$9,$C$173:$C$175,0),AC77,AC78,AC79)</f>
        <v>5.0999999999999997E-2</v>
      </c>
      <c r="AD27" s="953">
        <f>'US Retail'!DF45</f>
        <v>4.5718007694148799E-2</v>
      </c>
      <c r="AE27" s="80">
        <f t="shared" ref="AE27:AX27" si="0">CHOOSE(MATCH($C$9,$C$173:$C$175,0),AE77,AE78,AE79)</f>
        <v>4.7E-2</v>
      </c>
      <c r="AF27" s="80">
        <f t="shared" si="0"/>
        <v>2.8000000000000001E-2</v>
      </c>
      <c r="AG27" s="80">
        <f t="shared" si="0"/>
        <v>4.4999999999999998E-2</v>
      </c>
      <c r="AH27" s="80">
        <f t="shared" si="0"/>
        <v>3.9E-2</v>
      </c>
      <c r="AI27" s="953">
        <f t="shared" si="0"/>
        <v>0</v>
      </c>
      <c r="AJ27" s="546">
        <f t="shared" si="0"/>
        <v>3.5000000000000003E-2</v>
      </c>
      <c r="AK27" s="80">
        <f t="shared" si="0"/>
        <v>7.9000000000000001E-2</v>
      </c>
      <c r="AL27" s="80">
        <f t="shared" si="0"/>
        <v>8.3000000000000004E-2</v>
      </c>
      <c r="AM27" s="883">
        <f t="shared" si="0"/>
        <v>8.6999999999999994E-2</v>
      </c>
      <c r="AN27" s="953">
        <f t="shared" si="0"/>
        <v>7.1043080236941281E-2</v>
      </c>
      <c r="AO27" s="546">
        <f t="shared" si="0"/>
        <v>8.8999999999999996E-2</v>
      </c>
      <c r="AP27" s="80">
        <f>CHOOSE(MATCH($C$9,$C$173:$C$175,0),AP77,AP78,AP79)</f>
        <v>4.5999999999999999E-2</v>
      </c>
      <c r="AQ27" s="80">
        <f t="shared" si="0"/>
        <v>0.02</v>
      </c>
      <c r="AR27" s="883">
        <f t="shared" si="0"/>
        <v>0.02</v>
      </c>
      <c r="AS27" s="953">
        <f t="shared" si="0"/>
        <v>0</v>
      </c>
      <c r="AT27" s="546">
        <f t="shared" si="0"/>
        <v>0.02</v>
      </c>
      <c r="AU27" s="80">
        <f t="shared" si="0"/>
        <v>3.4000000000000002E-2</v>
      </c>
      <c r="AV27" s="80">
        <f t="shared" si="0"/>
        <v>3.5000000000000003E-2</v>
      </c>
      <c r="AW27" s="883">
        <f t="shared" si="0"/>
        <v>3.5000000000000003E-2</v>
      </c>
      <c r="AX27" s="953">
        <f t="shared" si="0"/>
        <v>0</v>
      </c>
      <c r="AY27" s="546">
        <f t="shared" ref="AY27:BC27" si="1">CHOOSE(MATCH($C$9,$C$173:$C$175,0),AY77,AY78,AY79)</f>
        <v>3.5000000000000003E-2</v>
      </c>
      <c r="AZ27" s="80">
        <f t="shared" si="1"/>
        <v>3.5000000000000003E-2</v>
      </c>
      <c r="BA27" s="80">
        <f t="shared" si="1"/>
        <v>3.5000000000000003E-2</v>
      </c>
      <c r="BB27" s="883">
        <f t="shared" si="1"/>
        <v>3.5000000000000003E-2</v>
      </c>
      <c r="BC27" s="953">
        <f t="shared" si="1"/>
        <v>0</v>
      </c>
    </row>
    <row r="28" spans="1:55">
      <c r="A28" s="161"/>
      <c r="B28" s="54"/>
      <c r="C28" s="54"/>
      <c r="D28" s="54"/>
      <c r="E28" s="538"/>
      <c r="F28" s="538"/>
      <c r="G28" s="64"/>
      <c r="H28" s="64"/>
      <c r="I28" s="539"/>
      <c r="J28" s="619"/>
      <c r="K28" s="64"/>
      <c r="L28" s="64"/>
      <c r="M28" s="64"/>
      <c r="N28" s="64"/>
      <c r="O28" s="619"/>
      <c r="P28" s="64"/>
      <c r="Q28" s="64"/>
      <c r="R28" s="64"/>
      <c r="S28" s="64"/>
      <c r="T28" s="619"/>
      <c r="U28" s="64"/>
      <c r="V28" s="64"/>
      <c r="W28" s="64"/>
      <c r="X28" s="64"/>
      <c r="Y28" s="619"/>
      <c r="Z28" s="64"/>
      <c r="AA28" s="64"/>
      <c r="AB28" s="64"/>
      <c r="AC28" s="64"/>
      <c r="AD28" s="619"/>
      <c r="AE28" s="64"/>
      <c r="AF28" s="64"/>
      <c r="AG28" s="64"/>
      <c r="AH28" s="64"/>
      <c r="AI28" s="619"/>
      <c r="AJ28" s="538"/>
      <c r="AK28" s="64"/>
      <c r="AL28" s="64"/>
      <c r="AM28" s="539"/>
      <c r="AN28" s="619"/>
      <c r="AO28" s="538"/>
      <c r="AP28" s="64"/>
      <c r="AQ28" s="64"/>
      <c r="AR28" s="539"/>
      <c r="AS28" s="619"/>
      <c r="AT28" s="538"/>
      <c r="AU28" s="64"/>
      <c r="AV28" s="64"/>
      <c r="AW28" s="539"/>
      <c r="AX28" s="619"/>
      <c r="AY28" s="538"/>
      <c r="AZ28" s="64"/>
      <c r="BA28" s="64"/>
      <c r="BB28" s="539"/>
      <c r="BC28" s="619"/>
    </row>
    <row r="29" spans="1:55" s="44" customFormat="1">
      <c r="A29" s="161"/>
      <c r="B29" s="252"/>
      <c r="C29" s="252"/>
      <c r="D29" s="252"/>
      <c r="E29" s="1001" t="s">
        <v>434</v>
      </c>
      <c r="F29" s="980"/>
      <c r="G29" s="249"/>
      <c r="H29" s="249"/>
      <c r="I29" s="979"/>
      <c r="J29" s="814"/>
      <c r="K29" s="249"/>
      <c r="L29" s="249"/>
      <c r="M29" s="249"/>
      <c r="N29" s="249"/>
      <c r="O29" s="814"/>
      <c r="P29" s="249"/>
      <c r="Q29" s="249"/>
      <c r="R29" s="249"/>
      <c r="S29" s="249"/>
      <c r="T29" s="814"/>
      <c r="U29" s="1564"/>
      <c r="V29" s="1564"/>
      <c r="W29" s="1564"/>
      <c r="X29" s="1564"/>
      <c r="Y29" s="814"/>
      <c r="Z29" s="249"/>
      <c r="AA29" s="249"/>
      <c r="AB29" s="249"/>
      <c r="AC29" s="249"/>
      <c r="AD29" s="814"/>
      <c r="AE29" s="249"/>
      <c r="AF29" s="249"/>
      <c r="AG29" s="249"/>
      <c r="AH29" s="249"/>
      <c r="AI29" s="814"/>
      <c r="AJ29" s="980"/>
      <c r="AK29" s="249"/>
      <c r="AL29" s="249"/>
      <c r="AM29" s="979"/>
      <c r="AN29" s="814"/>
      <c r="AO29" s="980"/>
      <c r="AP29" s="249"/>
      <c r="AQ29" s="249"/>
      <c r="AR29" s="979"/>
      <c r="AS29" s="814"/>
      <c r="AT29" s="980"/>
      <c r="AU29" s="249"/>
      <c r="AV29" s="249"/>
      <c r="AW29" s="979"/>
      <c r="AX29" s="814"/>
      <c r="AY29" s="980"/>
      <c r="AZ29" s="249"/>
      <c r="BA29" s="249"/>
      <c r="BB29" s="979"/>
      <c r="BC29" s="814"/>
    </row>
    <row r="30" spans="1:55" s="44" customFormat="1">
      <c r="A30" s="161"/>
      <c r="B30" s="252"/>
      <c r="C30" s="252"/>
      <c r="D30" s="252"/>
      <c r="E30" s="563" t="s">
        <v>97</v>
      </c>
      <c r="F30" s="980">
        <f>'US Retail'!CH152</f>
        <v>2.5000000000000001E-3</v>
      </c>
      <c r="G30" s="249">
        <f>'US Retail'!CI152</f>
        <v>-7.4999999999999997E-3</v>
      </c>
      <c r="H30" s="249">
        <f>'US Retail'!CJ152</f>
        <v>0.01</v>
      </c>
      <c r="I30" s="249">
        <f>'US Retail'!CK152</f>
        <v>1.4999999999999999E-2</v>
      </c>
      <c r="J30" s="814">
        <f>'US Retail'!CL152</f>
        <v>4.9591481849773356E-3</v>
      </c>
      <c r="K30" s="980">
        <f>'US Retail'!CM152</f>
        <v>-2.18E-2</v>
      </c>
      <c r="L30" s="249">
        <f>'US Retail'!CN152</f>
        <v>5.0000000000000001E-3</v>
      </c>
      <c r="M30" s="249">
        <f>'US Retail'!CO152</f>
        <v>1.0999999999999999E-2</v>
      </c>
      <c r="N30" s="249">
        <f>'US Retail'!CP152</f>
        <v>-2.5000000000000001E-3</v>
      </c>
      <c r="O30" s="814">
        <f>'US Retail'!CQ152</f>
        <v>-2.3267652965947017E-3</v>
      </c>
      <c r="P30" s="249">
        <f>'US Retail'!CR152</f>
        <v>-0.01</v>
      </c>
      <c r="Q30" s="249">
        <f>'US Retail'!CS152</f>
        <v>-0.01</v>
      </c>
      <c r="R30" s="249">
        <f>CHOOSE(MATCH($C$9,$C$173:$C$175,0),R86,R87,R88)</f>
        <v>5.0000000000000001E-3</v>
      </c>
      <c r="S30" s="249">
        <f>CHOOSE(MATCH($C$9,$C$173:$C$175,0),S86,S87,S88)</f>
        <v>5.0000000000000001E-3</v>
      </c>
      <c r="T30" s="814">
        <f>'US Retail'!CV152</f>
        <v>-1.8328690254022506E-3</v>
      </c>
      <c r="U30" s="249">
        <f>CHOOSE(MATCH($C$9,$C$173:$C$175,0),U86,U87,U88)</f>
        <v>0</v>
      </c>
      <c r="V30" s="249">
        <f>CHOOSE(MATCH($C$9,$C$173:$C$175,0),V86,V87,V88)</f>
        <v>0</v>
      </c>
      <c r="W30" s="249">
        <f>CHOOSE(MATCH($C$9,$C$173:$C$175,0),W86,W87,W88)</f>
        <v>0</v>
      </c>
      <c r="X30" s="249">
        <f>CHOOSE(MATCH($C$9,$C$173:$C$175,0),X86,X87,X88)</f>
        <v>0</v>
      </c>
      <c r="Y30" s="814">
        <f>'US Retail'!DA152</f>
        <v>2.2913990299411324E-5</v>
      </c>
      <c r="Z30" s="249">
        <f>CHOOSE(MATCH($C$9,$C$173:$C$175,0),Z86,Z87,Z88)</f>
        <v>0</v>
      </c>
      <c r="AA30" s="249">
        <f>CHOOSE(MATCH($C$9,$C$173:$C$175,0),AA86,AA87,AA88)</f>
        <v>0</v>
      </c>
      <c r="AB30" s="249">
        <f>CHOOSE(MATCH($C$9,$C$173:$C$175,0),AB86,AB87,AB88)</f>
        <v>0</v>
      </c>
      <c r="AC30" s="249">
        <f>CHOOSE(MATCH($C$9,$C$173:$C$175,0),AC86,AC87,AC88)</f>
        <v>0</v>
      </c>
      <c r="AD30" s="814">
        <f>'US Retail'!DF152</f>
        <v>-2.089047001669897E-4</v>
      </c>
      <c r="AE30" s="249">
        <f t="shared" ref="AE30:AX30" si="2">CHOOSE(MATCH($C$9,$C$173:$C$175,0),AE86,AE87,AE88)</f>
        <v>0.02</v>
      </c>
      <c r="AF30" s="249">
        <f t="shared" si="2"/>
        <v>0.02</v>
      </c>
      <c r="AG30" s="249">
        <f t="shared" si="2"/>
        <v>0</v>
      </c>
      <c r="AH30" s="249">
        <f t="shared" si="2"/>
        <v>-0.01</v>
      </c>
      <c r="AI30" s="814">
        <f t="shared" si="2"/>
        <v>0</v>
      </c>
      <c r="AJ30" s="980">
        <f t="shared" si="2"/>
        <v>-2.5000000000000001E-2</v>
      </c>
      <c r="AK30" s="249">
        <f t="shared" si="2"/>
        <v>-2.5000000000000001E-2</v>
      </c>
      <c r="AL30" s="249">
        <f t="shared" si="2"/>
        <v>-2.5000000000000001E-2</v>
      </c>
      <c r="AM30" s="979">
        <f t="shared" si="2"/>
        <v>-2.5000000000000001E-2</v>
      </c>
      <c r="AN30" s="814">
        <f t="shared" si="2"/>
        <v>-2.473519679693259E-2</v>
      </c>
      <c r="AO30" s="980">
        <f t="shared" si="2"/>
        <v>-2.5000000000000001E-2</v>
      </c>
      <c r="AP30" s="249">
        <f t="shared" si="2"/>
        <v>-0.02</v>
      </c>
      <c r="AQ30" s="249">
        <f t="shared" si="2"/>
        <v>-0.01</v>
      </c>
      <c r="AR30" s="979">
        <f t="shared" si="2"/>
        <v>-0.01</v>
      </c>
      <c r="AS30" s="814">
        <f t="shared" si="2"/>
        <v>0</v>
      </c>
      <c r="AT30" s="980">
        <f t="shared" si="2"/>
        <v>-0.01</v>
      </c>
      <c r="AU30" s="249">
        <f t="shared" si="2"/>
        <v>-0.01</v>
      </c>
      <c r="AV30" s="249">
        <f t="shared" si="2"/>
        <v>-0.01</v>
      </c>
      <c r="AW30" s="979">
        <f t="shared" si="2"/>
        <v>-0.01</v>
      </c>
      <c r="AX30" s="814">
        <f t="shared" si="2"/>
        <v>0</v>
      </c>
      <c r="AY30" s="980">
        <f t="shared" ref="AY30:BC30" si="3">CHOOSE(MATCH($C$9,$C$173:$C$175,0),AY86,AY87,AY88)</f>
        <v>-0.01</v>
      </c>
      <c r="AZ30" s="249">
        <f t="shared" si="3"/>
        <v>-0.01</v>
      </c>
      <c r="BA30" s="249">
        <f t="shared" si="3"/>
        <v>-0.01</v>
      </c>
      <c r="BB30" s="979">
        <f t="shared" si="3"/>
        <v>-0.01</v>
      </c>
      <c r="BC30" s="814">
        <f t="shared" si="3"/>
        <v>0</v>
      </c>
    </row>
    <row r="31" spans="1:55" s="44" customFormat="1">
      <c r="A31" s="161"/>
      <c r="B31" s="252"/>
      <c r="C31" s="252"/>
      <c r="D31" s="252"/>
      <c r="E31" s="563" t="s">
        <v>33</v>
      </c>
      <c r="F31" s="980">
        <f>'US Retail'!CH153</f>
        <v>0.01</v>
      </c>
      <c r="G31" s="249">
        <f>'US Retail'!CI153</f>
        <v>0.01</v>
      </c>
      <c r="H31" s="249">
        <f>'US Retail'!CJ153</f>
        <v>0.01</v>
      </c>
      <c r="I31" s="249">
        <f>'US Retail'!CK153</f>
        <v>0.01</v>
      </c>
      <c r="J31" s="814">
        <f>'US Retail'!CL153</f>
        <v>1.0000000000000231E-2</v>
      </c>
      <c r="K31" s="980">
        <f>'US Retail'!CM153</f>
        <v>0</v>
      </c>
      <c r="L31" s="249">
        <f>'US Retail'!CN153</f>
        <v>0.01</v>
      </c>
      <c r="M31" s="249">
        <f>'US Retail'!CO153</f>
        <v>0.01</v>
      </c>
      <c r="N31" s="249">
        <f>'US Retail'!CP153</f>
        <v>-0.05</v>
      </c>
      <c r="O31" s="814">
        <f>'US Retail'!CQ153</f>
        <v>-6.1116019530341736E-3</v>
      </c>
      <c r="P31" s="249">
        <f>'US Retail'!CR153</f>
        <v>0.16489649700574116</v>
      </c>
      <c r="Q31" s="249">
        <f>'US Retail'!CS153</f>
        <v>7.5464910442641697E-2</v>
      </c>
      <c r="R31" s="249">
        <f>CHOOSE(MATCH($C$9,$C$173:$C$175,0),R91,R92,R93)</f>
        <v>0.11742155639234308</v>
      </c>
      <c r="S31" s="249">
        <f>CHOOSE(MATCH($C$9,$C$173:$C$175,0),S91,S92,S93)</f>
        <v>0.05</v>
      </c>
      <c r="T31" s="814">
        <f>'US Retail'!CV153</f>
        <v>0.10358294548827041</v>
      </c>
      <c r="U31" s="249">
        <f>CHOOSE(MATCH($C$9,$C$173:$C$175,0),U91,U92,U93)</f>
        <v>0</v>
      </c>
      <c r="V31" s="249">
        <f>CHOOSE(MATCH($C$9,$C$173:$C$175,0),V91,V92,V93)</f>
        <v>0</v>
      </c>
      <c r="W31" s="249">
        <f>CHOOSE(MATCH($C$9,$C$173:$C$175,0),W91,W92,W93)</f>
        <v>0</v>
      </c>
      <c r="X31" s="249">
        <f>CHOOSE(MATCH($C$9,$C$173:$C$175,0),X91,X92,X93)</f>
        <v>0</v>
      </c>
      <c r="Y31" s="814">
        <f>'US Retail'!DA153</f>
        <v>1.388400940980139E-3</v>
      </c>
      <c r="Z31" s="249">
        <f>CHOOSE(MATCH($C$9,$C$173:$C$175,0),Z91,Z92,Z93)</f>
        <v>0</v>
      </c>
      <c r="AA31" s="249">
        <f>CHOOSE(MATCH($C$9,$C$173:$C$175,0),AA91,AA92,AA93)</f>
        <v>0</v>
      </c>
      <c r="AB31" s="249">
        <f>CHOOSE(MATCH($C$9,$C$173:$C$175,0),AB91,AB92,AB93)</f>
        <v>0</v>
      </c>
      <c r="AC31" s="249">
        <f>CHOOSE(MATCH($C$9,$C$173:$C$175,0),AC91,AC92,AC93)</f>
        <v>0</v>
      </c>
      <c r="AD31" s="814">
        <f>'US Retail'!DF153</f>
        <v>-2.2832608042504532E-3</v>
      </c>
      <c r="AE31" s="249">
        <f t="shared" ref="AE31:AX31" si="4">CHOOSE(MATCH($C$9,$C$173:$C$175,0),AE91,AE92,AE93)</f>
        <v>0</v>
      </c>
      <c r="AF31" s="249">
        <f t="shared" si="4"/>
        <v>0</v>
      </c>
      <c r="AG31" s="249">
        <f t="shared" si="4"/>
        <v>0</v>
      </c>
      <c r="AH31" s="249">
        <f t="shared" si="4"/>
        <v>-0.01</v>
      </c>
      <c r="AI31" s="814">
        <f t="shared" si="4"/>
        <v>0</v>
      </c>
      <c r="AJ31" s="980">
        <f t="shared" si="4"/>
        <v>-2.5000000000000001E-2</v>
      </c>
      <c r="AK31" s="249">
        <f t="shared" si="4"/>
        <v>-2.5000000000000001E-2</v>
      </c>
      <c r="AL31" s="249">
        <f t="shared" si="4"/>
        <v>-2.5000000000000001E-2</v>
      </c>
      <c r="AM31" s="979">
        <f t="shared" si="4"/>
        <v>-2.5000000000000001E-2</v>
      </c>
      <c r="AN31" s="814">
        <f t="shared" si="4"/>
        <v>-2.5893828807303509E-2</v>
      </c>
      <c r="AO31" s="980">
        <f t="shared" si="4"/>
        <v>-2.5000000000000001E-2</v>
      </c>
      <c r="AP31" s="249">
        <f t="shared" si="4"/>
        <v>-0.02</v>
      </c>
      <c r="AQ31" s="249">
        <f t="shared" si="4"/>
        <v>-0.02</v>
      </c>
      <c r="AR31" s="979">
        <f t="shared" si="4"/>
        <v>-0.01</v>
      </c>
      <c r="AS31" s="814">
        <f t="shared" si="4"/>
        <v>0</v>
      </c>
      <c r="AT31" s="980">
        <f t="shared" si="4"/>
        <v>-0.01</v>
      </c>
      <c r="AU31" s="249">
        <f t="shared" si="4"/>
        <v>-0.01</v>
      </c>
      <c r="AV31" s="249">
        <f t="shared" si="4"/>
        <v>-0.01</v>
      </c>
      <c r="AW31" s="979">
        <f t="shared" si="4"/>
        <v>-0.01</v>
      </c>
      <c r="AX31" s="814">
        <f t="shared" si="4"/>
        <v>0</v>
      </c>
      <c r="AY31" s="980">
        <f t="shared" ref="AY31:BC31" si="5">CHOOSE(MATCH($C$9,$C$173:$C$175,0),AY91,AY92,AY93)</f>
        <v>-0.01</v>
      </c>
      <c r="AZ31" s="249">
        <f t="shared" si="5"/>
        <v>-0.01</v>
      </c>
      <c r="BA31" s="249">
        <f t="shared" si="5"/>
        <v>-0.01</v>
      </c>
      <c r="BB31" s="979">
        <f t="shared" si="5"/>
        <v>-0.01</v>
      </c>
      <c r="BC31" s="814">
        <f t="shared" si="5"/>
        <v>0</v>
      </c>
    </row>
    <row r="32" spans="1:55" s="44" customFormat="1">
      <c r="A32" s="161"/>
      <c r="B32" s="252"/>
      <c r="C32" s="252"/>
      <c r="D32" s="252"/>
      <c r="E32" s="981" t="s">
        <v>392</v>
      </c>
      <c r="F32" s="980">
        <f>'US Retail'!CH154</f>
        <v>2.2258615653757197E-2</v>
      </c>
      <c r="G32" s="249">
        <f>'US Retail'!CI154</f>
        <v>9.6049282520778156E-3</v>
      </c>
      <c r="H32" s="249">
        <f>'US Retail'!CJ154</f>
        <v>2.2364554842307705E-2</v>
      </c>
      <c r="I32" s="979">
        <f>'US Retail'!CK154</f>
        <v>2.7329346312757963E-2</v>
      </c>
      <c r="J32" s="814">
        <f>'US Retail'!CL154</f>
        <v>2.0305540699236735E-2</v>
      </c>
      <c r="K32" s="980">
        <f>'US Retail'!CM154</f>
        <v>-1.0918156147935565E-2</v>
      </c>
      <c r="L32" s="249">
        <f>'US Retail'!CN154</f>
        <v>2.4672508440922503E-2</v>
      </c>
      <c r="M32" s="249">
        <f>'US Retail'!CO154</f>
        <v>3.4219721949157567E-2</v>
      </c>
      <c r="N32" s="979">
        <f>'US Retail'!CP154</f>
        <v>1.6419535658729556E-2</v>
      </c>
      <c r="O32" s="814">
        <f>'US Retail'!CQ154</f>
        <v>1.533559164961984E-2</v>
      </c>
      <c r="P32" s="249">
        <f>'US Retail'!CR154</f>
        <v>3.7853840052913812E-2</v>
      </c>
      <c r="Q32" s="249">
        <f>'US Retail'!CS154</f>
        <v>1.6522613215731008E-2</v>
      </c>
      <c r="R32" s="249">
        <f>'US Retail'!CT154</f>
        <v>3.7540487788673804E-2</v>
      </c>
      <c r="S32" s="249">
        <f>'US Retail'!CU154</f>
        <v>2.7504928156751429E-2</v>
      </c>
      <c r="T32" s="814">
        <f>'US Retail'!CV154</f>
        <v>3.0720205059496131E-2</v>
      </c>
      <c r="U32" s="249">
        <f>'US Retail'!CW154</f>
        <v>1.2616591184839709E-3</v>
      </c>
      <c r="V32" s="249">
        <f>'US Retail'!CX154</f>
        <v>6.9653698386402674E-3</v>
      </c>
      <c r="W32" s="249">
        <f>'US Retail'!CY154</f>
        <v>5.0472243558621344E-3</v>
      </c>
      <c r="X32" s="249">
        <f>'US Retail'!CZ154</f>
        <v>6.6998331936976019E-3</v>
      </c>
      <c r="Y32" s="814">
        <f>'US Retail'!DA154</f>
        <v>5.0162115452514477E-3</v>
      </c>
      <c r="Z32" s="249">
        <f>'US Retail'!DB154</f>
        <v>1.0038322994389892E-2</v>
      </c>
      <c r="AA32" s="249">
        <f>'US Retail'!DC154</f>
        <v>3.142230428904158E-3</v>
      </c>
      <c r="AB32" s="249">
        <f>'US Retail'!DD154</f>
        <v>-1.1267427713826939E-3</v>
      </c>
      <c r="AC32" s="249">
        <f>'US Retail'!DE154</f>
        <v>-4.1597001169546566E-4</v>
      </c>
      <c r="AD32" s="814">
        <f>'US Retail'!DF154</f>
        <v>2.8138009269957909E-3</v>
      </c>
      <c r="AE32" s="249">
        <f>'US Retail'!DG154</f>
        <v>2.2028028668988675E-2</v>
      </c>
      <c r="AF32" s="249">
        <f>'US Retail'!DH154</f>
        <v>2.0551136353020194E-2</v>
      </c>
      <c r="AG32" s="249">
        <f>'US Retail'!DI154</f>
        <v>2.3312564755453291E-3</v>
      </c>
      <c r="AH32" s="249">
        <f>'US Retail'!DJ154</f>
        <v>-7.3180208189531637E-3</v>
      </c>
      <c r="AI32" s="814">
        <f>'US Retail'!DK154</f>
        <v>9.0809422339168666E-3</v>
      </c>
      <c r="AJ32" s="980">
        <f>'US Retail'!DL154</f>
        <v>-2.2394260274528954E-2</v>
      </c>
      <c r="AK32" s="249">
        <f>'US Retail'!DM154</f>
        <v>-2.2128272932685822E-2</v>
      </c>
      <c r="AL32" s="249">
        <f>'US Retail'!DN154</f>
        <v>-2.2222829789093401E-2</v>
      </c>
      <c r="AM32" s="979">
        <f>'US Retail'!DO154</f>
        <v>-2.1629927868559218E-2</v>
      </c>
      <c r="AN32" s="814">
        <f>'US Retail'!DP154</f>
        <v>-2.1905545306079133E-2</v>
      </c>
      <c r="AO32" s="980">
        <f>'US Retail'!DQ154</f>
        <v>-2.2375477095455953E-2</v>
      </c>
      <c r="AP32" s="249">
        <f ca="1">'US Retail'!DR154</f>
        <v>-2.2108359172784531E-2</v>
      </c>
      <c r="AQ32" s="249">
        <f ca="1">'US Retail'!DS154</f>
        <v>-1.718895925023689E-2</v>
      </c>
      <c r="AR32" s="979">
        <f>'US Retail'!DT154</f>
        <v>-1.6590893466335355E-2</v>
      </c>
      <c r="AS32" s="814">
        <f ca="1">'US Retail'!DU154</f>
        <v>-1.9594708368441238E-2</v>
      </c>
      <c r="AT32" s="980">
        <f>'US Retail'!DV154</f>
        <v>-7.6574688918373823E-4</v>
      </c>
      <c r="AU32" s="249">
        <f ca="1">'US Retail'!DW154</f>
        <v>-3.3606865102209227E-4</v>
      </c>
      <c r="AV32" s="249">
        <f ca="1">'US Retail'!DX154</f>
        <v>-4.8876293679067651E-4</v>
      </c>
      <c r="AW32" s="979">
        <f>'US Retail'!DY154</f>
        <v>4.6770257527439796E-4</v>
      </c>
      <c r="AX32" s="814">
        <f ca="1">'US Retail'!DZ154</f>
        <v>-4.6524289026383947E-4</v>
      </c>
      <c r="AY32" s="980">
        <f>'US Retail'!EA154</f>
        <v>-7.8368952811025405E-4</v>
      </c>
      <c r="AZ32" s="249">
        <f ca="1">'US Retail'!EB154</f>
        <v>-3.5782821935881337E-4</v>
      </c>
      <c r="BA32" s="249">
        <f ca="1">'US Retail'!EC154</f>
        <v>-5.0912414843662379E-4</v>
      </c>
      <c r="BB32" s="979">
        <f>'US Retail'!ED154</f>
        <v>4.3782077961562749E-4</v>
      </c>
      <c r="BC32" s="814">
        <f ca="1">'US Retail'!EE154</f>
        <v>-2.829214235036126E-4</v>
      </c>
    </row>
    <row r="33" spans="1:55" s="44" customFormat="1">
      <c r="A33" s="161"/>
      <c r="B33" s="252"/>
      <c r="C33" s="252"/>
      <c r="D33" s="252"/>
      <c r="E33" s="980"/>
      <c r="F33" s="980"/>
      <c r="G33" s="249"/>
      <c r="H33" s="249"/>
      <c r="I33" s="979"/>
      <c r="J33" s="814"/>
      <c r="K33" s="249"/>
      <c r="L33" s="249"/>
      <c r="M33" s="249"/>
      <c r="N33" s="249"/>
      <c r="O33" s="814"/>
      <c r="P33" s="249"/>
      <c r="Q33" s="249"/>
      <c r="R33" s="249"/>
      <c r="S33" s="249"/>
      <c r="T33" s="814"/>
      <c r="U33" s="249"/>
      <c r="V33" s="249"/>
      <c r="W33" s="249"/>
      <c r="X33" s="249"/>
      <c r="Y33" s="814"/>
      <c r="Z33" s="249"/>
      <c r="AA33" s="249"/>
      <c r="AB33" s="249"/>
      <c r="AC33" s="249"/>
      <c r="AD33" s="814"/>
      <c r="AE33" s="249"/>
      <c r="AF33" s="249"/>
      <c r="AG33" s="249"/>
      <c r="AH33" s="249"/>
      <c r="AI33" s="814"/>
      <c r="AJ33" s="980"/>
      <c r="AK33" s="249"/>
      <c r="AL33" s="249"/>
      <c r="AM33" s="979"/>
      <c r="AN33" s="814"/>
      <c r="AO33" s="980"/>
      <c r="AP33" s="249"/>
      <c r="AQ33" s="249"/>
      <c r="AR33" s="979"/>
      <c r="AS33" s="814"/>
      <c r="AT33" s="980"/>
      <c r="AU33" s="249"/>
      <c r="AV33" s="249"/>
      <c r="AW33" s="979"/>
      <c r="AX33" s="814"/>
      <c r="AY33" s="980"/>
      <c r="AZ33" s="249"/>
      <c r="BA33" s="249"/>
      <c r="BB33" s="979"/>
      <c r="BC33" s="814"/>
    </row>
    <row r="34" spans="1:55" s="47" customFormat="1">
      <c r="A34" s="161"/>
      <c r="B34" s="982"/>
      <c r="C34" s="982"/>
      <c r="D34" s="982"/>
      <c r="E34" s="1001" t="s">
        <v>337</v>
      </c>
      <c r="F34" s="978"/>
      <c r="G34" s="983"/>
      <c r="H34" s="983"/>
      <c r="I34" s="984"/>
      <c r="J34" s="1090"/>
      <c r="K34" s="983"/>
      <c r="L34" s="983"/>
      <c r="M34" s="983"/>
      <c r="N34" s="983"/>
      <c r="O34" s="814"/>
      <c r="P34" s="983"/>
      <c r="Q34" s="983"/>
      <c r="R34" s="983"/>
      <c r="S34" s="983"/>
      <c r="T34" s="1090"/>
      <c r="U34" s="983"/>
      <c r="V34" s="983"/>
      <c r="W34" s="983"/>
      <c r="X34" s="983"/>
      <c r="Y34" s="1090"/>
      <c r="Z34" s="983"/>
      <c r="AA34" s="983"/>
      <c r="AB34" s="983"/>
      <c r="AC34" s="983"/>
      <c r="AD34" s="1090"/>
      <c r="AE34" s="983"/>
      <c r="AF34" s="983"/>
      <c r="AG34" s="983"/>
      <c r="AH34" s="983"/>
      <c r="AI34" s="1090"/>
      <c r="AJ34" s="978"/>
      <c r="AK34" s="983"/>
      <c r="AL34" s="983"/>
      <c r="AM34" s="984"/>
      <c r="AN34" s="1090"/>
      <c r="AO34" s="978"/>
      <c r="AP34" s="983"/>
      <c r="AQ34" s="983"/>
      <c r="AR34" s="984"/>
      <c r="AS34" s="1090"/>
      <c r="AT34" s="978"/>
      <c r="AU34" s="983"/>
      <c r="AV34" s="983"/>
      <c r="AW34" s="984"/>
      <c r="AX34" s="1090"/>
      <c r="AY34" s="978"/>
      <c r="AZ34" s="983"/>
      <c r="BA34" s="983"/>
      <c r="BB34" s="984"/>
      <c r="BC34" s="1090"/>
    </row>
    <row r="35" spans="1:55" s="44" customFormat="1">
      <c r="A35" s="161"/>
      <c r="B35" s="252"/>
      <c r="C35" s="252"/>
      <c r="D35" s="252"/>
      <c r="E35" s="563" t="s">
        <v>456</v>
      </c>
      <c r="F35" s="980">
        <f>'US Retail'!CH171</f>
        <v>4.0000000000000001E-3</v>
      </c>
      <c r="G35" s="249">
        <f>'US Retail'!CI171</f>
        <v>4.2999999999999997E-2</v>
      </c>
      <c r="H35" s="249">
        <f>'US Retail'!CJ171</f>
        <v>3.9E-2</v>
      </c>
      <c r="I35" s="883">
        <f>'US Retail'!CK171</f>
        <v>4.5999999999999999E-2</v>
      </c>
      <c r="J35" s="814">
        <f>'US Retail'!CL171</f>
        <v>3.352973326058422E-2</v>
      </c>
      <c r="K35" s="980">
        <f>'US Retail'!CM171</f>
        <v>2.4E-2</v>
      </c>
      <c r="L35" s="249">
        <f>'US Retail'!CN171</f>
        <v>2.1000000000000001E-2</v>
      </c>
      <c r="M35" s="249">
        <f>'US Retail'!CO171</f>
        <v>-8.9999999999999993E-3</v>
      </c>
      <c r="N35" s="883">
        <f>'US Retail'!CP171</f>
        <v>-1.2999999999999999E-2</v>
      </c>
      <c r="O35" s="814">
        <f>'US Retail'!CQ171</f>
        <v>5.8539466912501332E-3</v>
      </c>
      <c r="P35" s="80">
        <f>'US Retail'!CR171</f>
        <v>-0.02</v>
      </c>
      <c r="Q35" s="80">
        <f>'US Retail'!CS171</f>
        <v>-2.5999999999999999E-2</v>
      </c>
      <c r="R35" s="80">
        <f>CHOOSE(MATCH($C$9,$C$173:$C$175,0),R99,R100,R101)</f>
        <v>4.0000000000000001E-3</v>
      </c>
      <c r="S35" s="80">
        <f>CHOOSE(MATCH($C$9,$C$173:$C$175,0),S99,S100,S101)</f>
        <v>1.6E-2</v>
      </c>
      <c r="T35" s="814">
        <f>'US Retail'!CV171</f>
        <v>-7.1882673594601655E-3</v>
      </c>
      <c r="U35" s="80">
        <f>CHOOSE(MATCH($C$9,$C$173:$C$175,0),U99,U100,U101)</f>
        <v>2.1999999999999999E-2</v>
      </c>
      <c r="V35" s="80">
        <f>CHOOSE(MATCH($C$9,$C$173:$C$175,0),V99,V100,V101)</f>
        <v>0.02</v>
      </c>
      <c r="W35" s="80">
        <f>CHOOSE(MATCH($C$9,$C$173:$C$175,0),W99,W100,W101)</f>
        <v>2.1999999999999999E-2</v>
      </c>
      <c r="X35" s="80">
        <f>CHOOSE(MATCH($C$9,$C$173:$C$175,0),X99,X100,X101)</f>
        <v>1.2999999999999999E-2</v>
      </c>
      <c r="Y35" s="814">
        <f>'US Retail'!DA171</f>
        <v>1.9279229622152526E-2</v>
      </c>
      <c r="Z35" s="80">
        <f>CHOOSE(MATCH($C$9,$C$173:$C$175,0),Z99,Z100,Z101)</f>
        <v>1.4999999999999999E-2</v>
      </c>
      <c r="AA35" s="80">
        <f>CHOOSE(MATCH($C$9,$C$173:$C$175,0),AA99,AA100,AA101)</f>
        <v>2.5000000000000001E-2</v>
      </c>
      <c r="AB35" s="80">
        <f>CHOOSE(MATCH($C$9,$C$173:$C$175,0),AB99,AB100,AB101)</f>
        <v>1.6E-2</v>
      </c>
      <c r="AC35" s="80">
        <f>CHOOSE(MATCH($C$9,$C$173:$C$175,0),AC99,AC100,AC101)</f>
        <v>4.0000000000000001E-3</v>
      </c>
      <c r="AD35" s="814">
        <f>'US Retail'!DF171</f>
        <v>1.5333463267307943E-2</v>
      </c>
      <c r="AE35" s="80">
        <f t="shared" ref="AE35:AX35" si="6">CHOOSE(MATCH($C$9,$C$173:$C$175,0),AE99,AE100,AE101)</f>
        <v>-6.0000000000000001E-3</v>
      </c>
      <c r="AF35" s="80">
        <f t="shared" si="6"/>
        <v>-3.0000000000000001E-3</v>
      </c>
      <c r="AG35" s="80">
        <f t="shared" si="6"/>
        <v>1E-3</v>
      </c>
      <c r="AH35" s="80">
        <f t="shared" si="6"/>
        <v>-3.0000000000000001E-3</v>
      </c>
      <c r="AI35" s="814">
        <f t="shared" si="6"/>
        <v>0</v>
      </c>
      <c r="AJ35" s="980">
        <f t="shared" si="6"/>
        <v>-5.0000000000000001E-3</v>
      </c>
      <c r="AK35" s="249">
        <f t="shared" si="6"/>
        <v>-8.0000000000000002E-3</v>
      </c>
      <c r="AL35" s="249">
        <f t="shared" si="6"/>
        <v>-4.0000000000000001E-3</v>
      </c>
      <c r="AM35" s="979">
        <f t="shared" si="6"/>
        <v>-2.1000000000000001E-2</v>
      </c>
      <c r="AN35" s="814">
        <f t="shared" si="6"/>
        <v>-9.3433948234053019E-3</v>
      </c>
      <c r="AO35" s="980">
        <f t="shared" si="6"/>
        <v>-8.9999999999999993E-3</v>
      </c>
      <c r="AP35" s="249">
        <f t="shared" si="6"/>
        <v>-0.01</v>
      </c>
      <c r="AQ35" s="249">
        <f t="shared" si="6"/>
        <v>-0.01</v>
      </c>
      <c r="AR35" s="979">
        <f t="shared" si="6"/>
        <v>-0.01</v>
      </c>
      <c r="AS35" s="814">
        <f t="shared" si="6"/>
        <v>0</v>
      </c>
      <c r="AT35" s="980">
        <f>CHOOSE(MATCH($C$9,$C$173:$C$175,0),AT99,AT100,AT101)</f>
        <v>-0.01</v>
      </c>
      <c r="AU35" s="249">
        <f>CHOOSE(MATCH($C$9,$C$173:$C$175,0),AU99,AU100,AU101)</f>
        <v>-0.01</v>
      </c>
      <c r="AV35" s="249">
        <f t="shared" si="6"/>
        <v>-0.01</v>
      </c>
      <c r="AW35" s="979">
        <f t="shared" si="6"/>
        <v>-0.01</v>
      </c>
      <c r="AX35" s="814">
        <f t="shared" si="6"/>
        <v>0</v>
      </c>
      <c r="AY35" s="980">
        <f t="shared" ref="AY35:BC35" si="7">CHOOSE(MATCH($C$9,$C$173:$C$175,0),AY99,AY100,AY101)</f>
        <v>-0.01</v>
      </c>
      <c r="AZ35" s="249">
        <f t="shared" si="7"/>
        <v>-0.01</v>
      </c>
      <c r="BA35" s="249">
        <f t="shared" si="7"/>
        <v>-0.01</v>
      </c>
      <c r="BB35" s="979">
        <f t="shared" si="7"/>
        <v>-0.01</v>
      </c>
      <c r="BC35" s="814">
        <f t="shared" si="7"/>
        <v>0</v>
      </c>
    </row>
    <row r="36" spans="1:55" s="44" customFormat="1">
      <c r="A36" s="161"/>
      <c r="B36" s="252"/>
      <c r="C36" s="252"/>
      <c r="D36" s="252"/>
      <c r="E36" s="563" t="s">
        <v>457</v>
      </c>
      <c r="F36" s="980">
        <f>'US Retail'!CH168</f>
        <v>0.3515000775008903</v>
      </c>
      <c r="G36" s="249">
        <f>'US Retail'!CI168</f>
        <v>0.35865616178432824</v>
      </c>
      <c r="H36" s="249">
        <f>'US Retail'!CJ168</f>
        <v>0.34380890110378587</v>
      </c>
      <c r="I36" s="979">
        <f>'US Retail'!CK168</f>
        <v>0.33818340804082542</v>
      </c>
      <c r="J36" s="814">
        <f>'US Retail'!CL168</f>
        <v>0.34825912602721609</v>
      </c>
      <c r="K36" s="980">
        <f>'US Retail'!CM168</f>
        <v>0.35096923714018402</v>
      </c>
      <c r="L36" s="249">
        <f>'US Retail'!CN168</f>
        <v>0.35720797604553339</v>
      </c>
      <c r="M36" s="249">
        <f>'US Retail'!CO168</f>
        <v>0.33885456492919142</v>
      </c>
      <c r="N36" s="979">
        <f>'US Retail'!CP168</f>
        <v>0.32642948940031596</v>
      </c>
      <c r="O36" s="814">
        <f>'US Retail'!CQ168</f>
        <v>0.34389162474209606</v>
      </c>
      <c r="P36" s="249">
        <f>'US Retail'!CR168</f>
        <v>0.34835860616626413</v>
      </c>
      <c r="Q36" s="249">
        <f>'US Retail'!CS168</f>
        <v>0.35756064819348149</v>
      </c>
      <c r="R36" s="249">
        <f>'US Retail'!CT168</f>
        <v>0.30489629575632693</v>
      </c>
      <c r="S36" s="249">
        <f>'US Retail'!CU168</f>
        <v>0.3170887855270153</v>
      </c>
      <c r="T36" s="814">
        <f>'US Retail'!CV168</f>
        <v>0.33230730429047034</v>
      </c>
      <c r="U36" s="249">
        <f>'US Retail'!CW168</f>
        <v>0.31209553754374142</v>
      </c>
      <c r="V36" s="249">
        <f>'US Retail'!CX168</f>
        <v>0.3369067141120039</v>
      </c>
      <c r="W36" s="249">
        <f>'US Retail'!CY168</f>
        <v>0.30343603664767943</v>
      </c>
      <c r="X36" s="249">
        <f>'US Retail'!CZ168</f>
        <v>0.3105047372570201</v>
      </c>
      <c r="Y36" s="814">
        <f>'US Retail'!DA168</f>
        <v>0.31625524965417123</v>
      </c>
      <c r="Z36" s="249">
        <f>'US Retail'!DB168</f>
        <v>0.30758556955578237</v>
      </c>
      <c r="AA36" s="249">
        <f>'US Retail'!DC168</f>
        <v>0.32505881959126287</v>
      </c>
      <c r="AB36" s="249">
        <f ca="1">'US Retail'!DD168</f>
        <v>0.29715820584944841</v>
      </c>
      <c r="AC36" s="249">
        <f ca="1">'US Retail'!DE168</f>
        <v>0.26151101867375581</v>
      </c>
      <c r="AD36" s="814">
        <f ca="1">'US Retail'!DF168</f>
        <v>0.29844864827576795</v>
      </c>
      <c r="AE36" s="249">
        <f>'US Retail'!DG168</f>
        <v>0.30816251446946319</v>
      </c>
      <c r="AF36" s="249">
        <f ca="1">'US Retail'!DH168</f>
        <v>0.32360018457471734</v>
      </c>
      <c r="AG36" s="249">
        <f ca="1">'US Retail'!DI168</f>
        <v>0.29648684936906416</v>
      </c>
      <c r="AH36" s="249">
        <f ca="1">'US Retail'!DJ168</f>
        <v>0.29101907405030064</v>
      </c>
      <c r="AI36" s="814">
        <f ca="1">'US Retail'!DK168</f>
        <v>0.30542525880479998</v>
      </c>
      <c r="AJ36" s="980">
        <f>'US Retail'!DL168</f>
        <v>0.30679258047567265</v>
      </c>
      <c r="AK36" s="249">
        <f>'US Retail'!DM168</f>
        <v>0.3138773274377879</v>
      </c>
      <c r="AL36" s="249">
        <f>'US Retail'!DN168</f>
        <v>0.27869658604555203</v>
      </c>
      <c r="AM36" s="979">
        <f>'US Retail'!DO168</f>
        <v>0.30174822164497311</v>
      </c>
      <c r="AN36" s="814">
        <f>'US Retail'!DP168</f>
        <v>0.3004193047433853</v>
      </c>
      <c r="AO36" s="980">
        <f>'US Retail'!DQ168</f>
        <v>0.30896042584566635</v>
      </c>
      <c r="AP36" s="249">
        <f>'US Retail'!DR168</f>
        <v>0.3168773274377879</v>
      </c>
      <c r="AQ36" s="249">
        <f>'US Retail'!DS168</f>
        <v>0.28369658604555203</v>
      </c>
      <c r="AR36" s="979">
        <f>'US Retail'!DT168</f>
        <v>0.30674822164497312</v>
      </c>
      <c r="AS36" s="814">
        <f>'US Retail'!DU168</f>
        <v>0.30389518391636983</v>
      </c>
      <c r="AT36" s="980">
        <f>'US Retail'!DV168</f>
        <v>0.31396042584566636</v>
      </c>
      <c r="AU36" s="249">
        <f>'US Retail'!DW168</f>
        <v>0.32187732743778791</v>
      </c>
      <c r="AV36" s="249">
        <f>'US Retail'!DX168</f>
        <v>0.28869658604555204</v>
      </c>
      <c r="AW36" s="979">
        <f>'US Retail'!DY168</f>
        <v>0.31174822164497312</v>
      </c>
      <c r="AX36" s="814">
        <f>'US Retail'!DZ168</f>
        <v>0.30890300469351378</v>
      </c>
      <c r="AY36" s="980">
        <f>'US Retail'!EA168</f>
        <v>0.31396042584566636</v>
      </c>
      <c r="AZ36" s="249">
        <f>'US Retail'!EB168</f>
        <v>0.32187732743778791</v>
      </c>
      <c r="BA36" s="249">
        <f>'US Retail'!EC168</f>
        <v>0.28869658604555204</v>
      </c>
      <c r="BB36" s="979">
        <f>'US Retail'!ED168</f>
        <v>0.31174822164497312</v>
      </c>
      <c r="BC36" s="814">
        <f>'US Retail'!EE168</f>
        <v>0.30889368206858336</v>
      </c>
    </row>
    <row r="37" spans="1:55" s="44" customFormat="1">
      <c r="A37" s="161"/>
      <c r="B37" s="252"/>
      <c r="C37" s="252"/>
      <c r="D37" s="252"/>
      <c r="E37" s="981" t="s">
        <v>109</v>
      </c>
      <c r="F37" s="980">
        <f>'US Retail'!CH169</f>
        <v>1.6200719044819123E-2</v>
      </c>
      <c r="G37" s="249">
        <f>'US Retail'!CI169</f>
        <v>-3.83440681044106E-3</v>
      </c>
      <c r="H37" s="249">
        <f>'US Retail'!CJ169</f>
        <v>2.9917552621974153E-3</v>
      </c>
      <c r="I37" s="979">
        <f>'US Retail'!CK169</f>
        <v>-1.1464981802499663E-2</v>
      </c>
      <c r="J37" s="814">
        <f>'US Retail'!CL169</f>
        <v>8.2036536874990906E-4</v>
      </c>
      <c r="K37" s="980">
        <f>'US Retail'!CM169</f>
        <v>-5.3084036070627505E-4</v>
      </c>
      <c r="L37" s="249">
        <f>'US Retail'!CN169</f>
        <v>-1.4481857387948494E-3</v>
      </c>
      <c r="M37" s="249">
        <f>'US Retail'!CO169</f>
        <v>-4.9543361745944536E-3</v>
      </c>
      <c r="N37" s="979">
        <f>'US Retail'!CP169</f>
        <v>-1.1753918640509453E-2</v>
      </c>
      <c r="O37" s="814">
        <f>'US Retail'!CQ169</f>
        <v>-4.3675012851200345E-3</v>
      </c>
      <c r="P37" s="249">
        <f>'US Retail'!CR169</f>
        <v>-2.6106309739198919E-3</v>
      </c>
      <c r="Q37" s="249">
        <f>'US Retail'!CS169</f>
        <v>3.5267214794809654E-4</v>
      </c>
      <c r="R37" s="249">
        <f>CHOOSE(MATCH($C$9,$C$173:$C$175,0),R108,R109,R110)</f>
        <v>-3.3958269172864486E-2</v>
      </c>
      <c r="S37" s="249">
        <f>CHOOSE(MATCH($C$9,$C$173:$C$175,0),S108,S109,S110)</f>
        <v>-9.3407038733006598E-3</v>
      </c>
      <c r="T37" s="814">
        <f>'US Retail'!CV169</f>
        <v>-1.1584320451625718E-2</v>
      </c>
      <c r="U37" s="249">
        <f>CHOOSE(MATCH($C$9,$C$173:$C$175,0),U108,U109,U110)</f>
        <v>-3.6263068622522709E-2</v>
      </c>
      <c r="V37" s="249">
        <f>CHOOSE(MATCH($C$9,$C$173:$C$175,0),V108,V109,V110)</f>
        <v>-2.0653934081477587E-2</v>
      </c>
      <c r="W37" s="249">
        <f>CHOOSE(MATCH($C$9,$C$173:$C$175,0),W108,W109,W110)</f>
        <v>-1.4602591086474992E-3</v>
      </c>
      <c r="X37" s="249">
        <f>CHOOSE(MATCH($C$9,$C$173:$C$175,0),X108,X109,X110)</f>
        <v>-6.5840482699952019E-3</v>
      </c>
      <c r="Y37" s="814">
        <f>'US Retail'!DA169</f>
        <v>-1.6052054636299107E-2</v>
      </c>
      <c r="Z37" s="249">
        <f>CHOOSE(MATCH($C$9,$C$173:$C$175,0),Z108,Z109,Z110)</f>
        <v>-4.5099679879590515E-3</v>
      </c>
      <c r="AA37" s="249">
        <f>CHOOSE(MATCH($C$9,$C$173:$C$175,0),AA108,AA109,AA110)</f>
        <v>-1.1847894520741031E-2</v>
      </c>
      <c r="AB37" s="249">
        <f ca="1">CHOOSE(MATCH($C$9,$C$173:$C$175,0),AB108,AB109,AB110)</f>
        <v>-6.2778307982310211E-3</v>
      </c>
      <c r="AC37" s="249">
        <f ca="1">CHOOSE(MATCH($C$9,$C$173:$C$175,0),AC108,AC109,AC110)</f>
        <v>-4.899371858326429E-2</v>
      </c>
      <c r="AD37" s="814">
        <f ca="1">'US Retail'!DF169</f>
        <v>-1.7806601378403286E-2</v>
      </c>
      <c r="AE37" s="249">
        <f t="shared" ref="AE37:AX37" si="8">CHOOSE(MATCH($C$9,$C$173:$C$175,0),AE108,AE109,AE110)</f>
        <v>5.7694491368082135E-4</v>
      </c>
      <c r="AF37" s="249">
        <f t="shared" ca="1" si="8"/>
        <v>-1.4586350165455286E-3</v>
      </c>
      <c r="AG37" s="249">
        <f t="shared" ca="1" si="8"/>
        <v>-6.7135648038424423E-4</v>
      </c>
      <c r="AH37" s="249">
        <f t="shared" ca="1" si="8"/>
        <v>2.9508055376544828E-2</v>
      </c>
      <c r="AI37" s="814">
        <f t="shared" si="8"/>
        <v>0</v>
      </c>
      <c r="AJ37" s="980">
        <f t="shared" si="8"/>
        <v>-1.3699339937905397E-3</v>
      </c>
      <c r="AK37" s="249">
        <f t="shared" ca="1" si="8"/>
        <v>-9.7228571369294414E-3</v>
      </c>
      <c r="AL37" s="249">
        <f t="shared" ca="1" si="8"/>
        <v>-1.7790263323512134E-2</v>
      </c>
      <c r="AM37" s="979">
        <f t="shared" ca="1" si="8"/>
        <v>1.0729147594672472E-2</v>
      </c>
      <c r="AN37" s="814">
        <f t="shared" ca="1" si="8"/>
        <v>-5.0059540614146858E-3</v>
      </c>
      <c r="AO37" s="980">
        <f t="shared" si="8"/>
        <v>2.1678453699937039E-3</v>
      </c>
      <c r="AP37" s="249">
        <f t="shared" si="8"/>
        <v>3.0000000000000001E-3</v>
      </c>
      <c r="AQ37" s="249">
        <f t="shared" si="8"/>
        <v>5.0000000000000001E-3</v>
      </c>
      <c r="AR37" s="979">
        <f t="shared" si="8"/>
        <v>5.0000000000000001E-3</v>
      </c>
      <c r="AS37" s="814">
        <f t="shared" si="8"/>
        <v>0</v>
      </c>
      <c r="AT37" s="980">
        <f t="shared" si="8"/>
        <v>5.0000000000000001E-3</v>
      </c>
      <c r="AU37" s="249">
        <f t="shared" si="8"/>
        <v>5.0000000000000001E-3</v>
      </c>
      <c r="AV37" s="249">
        <f t="shared" si="8"/>
        <v>5.0000000000000001E-3</v>
      </c>
      <c r="AW37" s="979">
        <f t="shared" si="8"/>
        <v>5.0000000000000001E-3</v>
      </c>
      <c r="AX37" s="814">
        <f t="shared" si="8"/>
        <v>0</v>
      </c>
      <c r="AY37" s="980">
        <f t="shared" ref="AY37:BC37" si="9">CHOOSE(MATCH($C$9,$C$173:$C$175,0),AY108,AY109,AY110)</f>
        <v>0</v>
      </c>
      <c r="AZ37" s="249">
        <f t="shared" si="9"/>
        <v>0</v>
      </c>
      <c r="BA37" s="249">
        <f t="shared" si="9"/>
        <v>0</v>
      </c>
      <c r="BB37" s="979">
        <f t="shared" si="9"/>
        <v>0</v>
      </c>
      <c r="BC37" s="814">
        <f t="shared" si="9"/>
        <v>0</v>
      </c>
    </row>
    <row r="38" spans="1:55" s="33" customFormat="1">
      <c r="A38" s="161"/>
      <c r="B38" s="161"/>
      <c r="C38" s="161"/>
      <c r="D38" s="161"/>
      <c r="E38" s="985"/>
      <c r="F38" s="1083"/>
      <c r="G38" s="974"/>
      <c r="H38" s="974"/>
      <c r="I38" s="1084"/>
      <c r="J38" s="1091"/>
      <c r="K38" s="975"/>
      <c r="L38" s="975"/>
      <c r="M38" s="975"/>
      <c r="N38" s="975"/>
      <c r="O38" s="814"/>
      <c r="P38" s="975"/>
      <c r="Q38" s="975"/>
      <c r="R38" s="975"/>
      <c r="S38" s="975"/>
      <c r="T38" s="1091"/>
      <c r="U38" s="975"/>
      <c r="V38" s="975"/>
      <c r="W38" s="975"/>
      <c r="X38" s="975"/>
      <c r="Y38" s="1091"/>
      <c r="Z38" s="975"/>
      <c r="AA38" s="975"/>
      <c r="AB38" s="975"/>
      <c r="AC38" s="975"/>
      <c r="AD38" s="1091"/>
      <c r="AE38" s="975"/>
      <c r="AF38" s="975"/>
      <c r="AG38" s="975"/>
      <c r="AH38" s="975"/>
      <c r="AI38" s="1091"/>
      <c r="AJ38" s="1877"/>
      <c r="AK38" s="976"/>
      <c r="AL38" s="976"/>
      <c r="AM38" s="1878"/>
      <c r="AN38" s="1091"/>
      <c r="AO38" s="1877"/>
      <c r="AP38" s="976"/>
      <c r="AQ38" s="976"/>
      <c r="AR38" s="1878"/>
      <c r="AS38" s="1091"/>
      <c r="AT38" s="1877"/>
      <c r="AU38" s="976"/>
      <c r="AV38" s="976"/>
      <c r="AW38" s="1878"/>
      <c r="AX38" s="1091"/>
      <c r="AY38" s="1877"/>
      <c r="AZ38" s="976"/>
      <c r="BA38" s="976"/>
      <c r="BB38" s="1878"/>
      <c r="BC38" s="1091"/>
    </row>
    <row r="39" spans="1:55" s="7" customFormat="1">
      <c r="A39" s="161"/>
      <c r="B39" s="161"/>
      <c r="C39" s="161"/>
      <c r="D39" s="161"/>
      <c r="E39" s="608" t="s">
        <v>142</v>
      </c>
      <c r="F39" s="1085">
        <f>Model!CH86</f>
        <v>6.7531064289573228E-2</v>
      </c>
      <c r="G39" s="986">
        <f>Model!CI86</f>
        <v>7.8982242247548351E-2</v>
      </c>
      <c r="H39" s="1338">
        <f>Model!CJ86</f>
        <v>7.2647362978283336E-2</v>
      </c>
      <c r="I39" s="883">
        <f>Model!CK86</f>
        <v>4.4327573253193142E-2</v>
      </c>
      <c r="J39" s="1339">
        <f>Model!CL86</f>
        <v>6.559728742827331E-2</v>
      </c>
      <c r="K39" s="1340">
        <f>Model!CM86</f>
        <v>4.8582995951417018E-2</v>
      </c>
      <c r="L39" s="1338">
        <f>Model!CN86</f>
        <v>3.7337263571604051E-2</v>
      </c>
      <c r="M39" s="1338">
        <f>Model!CO86</f>
        <v>-2.1932995902627095E-2</v>
      </c>
      <c r="N39" s="883">
        <f>Model!CP86</f>
        <v>-9.8321342925659083E-3</v>
      </c>
      <c r="O39" s="1339">
        <f>Model!CQ86</f>
        <v>1.2972708358830021E-2</v>
      </c>
      <c r="P39" s="80">
        <f>Model!CR86</f>
        <v>2.5096525096525157E-2</v>
      </c>
      <c r="Q39" s="80">
        <f>Model!CS86</f>
        <v>4.2150130239166472E-2</v>
      </c>
      <c r="R39" s="80">
        <f>Model!CT86</f>
        <v>4.4849679645145413E-2</v>
      </c>
      <c r="S39" s="80">
        <f>Model!CU86</f>
        <v>1.4531363526277596E-2</v>
      </c>
      <c r="T39" s="953">
        <f>Model!CV68</f>
        <v>3.1653980910958168E-2</v>
      </c>
      <c r="U39" s="80">
        <f>Model!CW86</f>
        <v>4.0018832391712778E-3</v>
      </c>
      <c r="V39" s="80">
        <f>Model!CX86</f>
        <v>1.7268802544876172E-2</v>
      </c>
      <c r="W39" s="80">
        <f>CHOOSE(MATCH($C$9,$C$173:$C$175,0),W117,W118,W119)</f>
        <v>2.8537735849056611E-2</v>
      </c>
      <c r="X39" s="80">
        <f>CHOOSE(MATCH($C$9,$C$173:$C$175,0),X117,X118,X119)</f>
        <v>2.0529959417522115E-2</v>
      </c>
      <c r="Y39" s="953">
        <f>Model!DA68</f>
        <v>1.756645977280713E-2</v>
      </c>
      <c r="Z39" s="80">
        <f>CHOOSE(MATCH($C$9,$C$173:$C$175,0),Z117,Z118,Z119)</f>
        <v>1.6881594372801789E-2</v>
      </c>
      <c r="AA39" s="80">
        <f>CHOOSE(MATCH($C$9,$C$173:$C$175,0),AA117,AA118,AA119)</f>
        <v>-3.8641947732856785E-2</v>
      </c>
      <c r="AB39" s="80">
        <f>CHOOSE(MATCH($C$9,$C$173:$C$175,0),AB117,AB118,AB119)</f>
        <v>-2.1325384086218757E-2</v>
      </c>
      <c r="AC39" s="80">
        <f>CHOOSE(MATCH($C$9,$C$173:$C$175,0),AC117,AC118,AC119)</f>
        <v>7.7192982456140147E-3</v>
      </c>
      <c r="AD39" s="953">
        <f>Model!DF68</f>
        <v>-9.2645874093681968E-3</v>
      </c>
      <c r="AE39" s="80">
        <f t="shared" ref="AE39:AX39" si="10">CHOOSE(MATCH($C$9,$C$173:$C$175,0),AE117,AE118,AE119)</f>
        <v>-2.0521097532856802E-2</v>
      </c>
      <c r="AF39" s="80">
        <f t="shared" si="10"/>
        <v>6.2732342007434383E-3</v>
      </c>
      <c r="AG39" s="80">
        <f t="shared" si="10"/>
        <v>1.054358013120904E-2</v>
      </c>
      <c r="AH39" s="80">
        <f t="shared" si="10"/>
        <v>-2.7855153203342198E-3</v>
      </c>
      <c r="AI39" s="953">
        <f t="shared" si="10"/>
        <v>0</v>
      </c>
      <c r="AJ39" s="546">
        <f t="shared" si="10"/>
        <v>-9.4161958568738102E-3</v>
      </c>
      <c r="AK39" s="80">
        <f t="shared" si="10"/>
        <v>9.6975294389287647E-3</v>
      </c>
      <c r="AL39" s="80">
        <f t="shared" si="10"/>
        <v>-1.4375144910734994E-2</v>
      </c>
      <c r="AM39" s="883">
        <f t="shared" si="10"/>
        <v>-1.8854748603351901E-2</v>
      </c>
      <c r="AN39" s="953">
        <f t="shared" si="10"/>
        <v>-8.2033977193390895E-3</v>
      </c>
      <c r="AO39" s="546">
        <f t="shared" si="10"/>
        <v>3.3269961977186346E-2</v>
      </c>
      <c r="AP39" s="80">
        <f t="shared" si="10"/>
        <v>0.11</v>
      </c>
      <c r="AQ39" s="80">
        <f t="shared" si="10"/>
        <v>0.15</v>
      </c>
      <c r="AR39" s="883">
        <f t="shared" si="10"/>
        <v>0.14000000000000001</v>
      </c>
      <c r="AS39" s="953">
        <f t="shared" si="10"/>
        <v>0</v>
      </c>
      <c r="AT39" s="546">
        <f t="shared" si="10"/>
        <v>0.10615064162538532</v>
      </c>
      <c r="AU39" s="80">
        <f t="shared" si="10"/>
        <v>2.9951532830618025E-2</v>
      </c>
      <c r="AV39" s="80">
        <f t="shared" si="10"/>
        <v>-6.7669835853624051E-3</v>
      </c>
      <c r="AW39" s="883">
        <f t="shared" si="10"/>
        <v>-1.3744497989731787E-2</v>
      </c>
      <c r="AX39" s="953">
        <f t="shared" si="10"/>
        <v>0</v>
      </c>
      <c r="AY39" s="546">
        <f t="shared" ref="AY39:BC39" si="11">CHOOSE(MATCH($C$9,$C$173:$C$175,0),AY117,AY118,AY119)</f>
        <v>0.02</v>
      </c>
      <c r="AZ39" s="80">
        <f t="shared" si="11"/>
        <v>0.02</v>
      </c>
      <c r="BA39" s="80">
        <f t="shared" si="11"/>
        <v>0.02</v>
      </c>
      <c r="BB39" s="883">
        <f t="shared" si="11"/>
        <v>0.02</v>
      </c>
      <c r="BC39" s="953">
        <f t="shared" si="11"/>
        <v>0</v>
      </c>
    </row>
    <row r="40" spans="1:55" s="7" customFormat="1">
      <c r="A40" s="161"/>
      <c r="B40" s="161"/>
      <c r="C40" s="161"/>
      <c r="D40" s="161"/>
      <c r="E40" s="608"/>
      <c r="F40" s="1085"/>
      <c r="G40" s="986"/>
      <c r="H40" s="986"/>
      <c r="I40" s="979"/>
      <c r="J40" s="1092"/>
      <c r="K40" s="249"/>
      <c r="L40" s="249"/>
      <c r="M40" s="249"/>
      <c r="N40" s="249"/>
      <c r="O40" s="814"/>
      <c r="P40" s="249"/>
      <c r="Q40" s="249"/>
      <c r="R40" s="249"/>
      <c r="S40" s="249"/>
      <c r="T40" s="814"/>
      <c r="U40" s="249"/>
      <c r="V40" s="249"/>
      <c r="W40" s="249"/>
      <c r="X40" s="249"/>
      <c r="Y40" s="814"/>
      <c r="Z40" s="249"/>
      <c r="AA40" s="249"/>
      <c r="AB40" s="249"/>
      <c r="AC40" s="249"/>
      <c r="AD40" s="814"/>
      <c r="AE40" s="249"/>
      <c r="AF40" s="249"/>
      <c r="AG40" s="249"/>
      <c r="AH40" s="249"/>
      <c r="AI40" s="814"/>
      <c r="AJ40" s="980"/>
      <c r="AK40" s="249"/>
      <c r="AL40" s="249"/>
      <c r="AM40" s="979"/>
      <c r="AN40" s="814"/>
      <c r="AO40" s="980"/>
      <c r="AP40" s="249"/>
      <c r="AQ40" s="249"/>
      <c r="AR40" s="979"/>
      <c r="AS40" s="814"/>
      <c r="AT40" s="980"/>
      <c r="AU40" s="249"/>
      <c r="AV40" s="249"/>
      <c r="AW40" s="979"/>
      <c r="AX40" s="814"/>
      <c r="AY40" s="980"/>
      <c r="AZ40" s="249"/>
      <c r="BA40" s="249"/>
      <c r="BB40" s="979"/>
      <c r="BC40" s="814"/>
    </row>
    <row r="41" spans="1:55" s="7" customFormat="1">
      <c r="A41" s="161"/>
      <c r="B41" s="161"/>
      <c r="C41" s="161"/>
      <c r="D41" s="161"/>
      <c r="E41" s="608" t="s">
        <v>537</v>
      </c>
      <c r="F41" s="1085"/>
      <c r="G41" s="986"/>
      <c r="H41" s="986"/>
      <c r="I41" s="979"/>
      <c r="J41" s="1092"/>
      <c r="K41" s="249"/>
      <c r="L41" s="249"/>
      <c r="M41" s="249"/>
      <c r="N41" s="249"/>
      <c r="O41" s="814"/>
      <c r="P41" s="249"/>
      <c r="Q41" s="249"/>
      <c r="R41" s="249"/>
      <c r="S41" s="249"/>
      <c r="T41" s="814"/>
      <c r="U41" s="249"/>
      <c r="V41" s="249"/>
      <c r="W41" s="249"/>
      <c r="X41" s="249"/>
      <c r="Y41" s="814"/>
      <c r="Z41" s="249"/>
      <c r="AA41" s="249"/>
      <c r="AB41" s="249"/>
      <c r="AC41" s="249"/>
      <c r="AD41" s="814"/>
      <c r="AE41" s="249"/>
      <c r="AF41" s="249"/>
      <c r="AG41" s="249"/>
      <c r="AH41" s="249"/>
      <c r="AI41" s="814"/>
      <c r="AJ41" s="980"/>
      <c r="AK41" s="249"/>
      <c r="AL41" s="249"/>
      <c r="AM41" s="979"/>
      <c r="AN41" s="814"/>
      <c r="AO41" s="980"/>
      <c r="AP41" s="249"/>
      <c r="AQ41" s="249"/>
      <c r="AR41" s="979"/>
      <c r="AS41" s="814"/>
      <c r="AT41" s="980"/>
      <c r="AU41" s="249"/>
      <c r="AV41" s="249"/>
      <c r="AW41" s="979"/>
      <c r="AX41" s="814"/>
      <c r="AY41" s="980"/>
      <c r="AZ41" s="249"/>
      <c r="BA41" s="249"/>
      <c r="BB41" s="979"/>
      <c r="BC41" s="814"/>
    </row>
    <row r="42" spans="1:55" s="7" customFormat="1">
      <c r="A42" s="161"/>
      <c r="B42" s="161"/>
      <c r="C42" s="161"/>
      <c r="D42" s="161"/>
      <c r="E42" s="538" t="s">
        <v>253</v>
      </c>
      <c r="F42" s="1186"/>
      <c r="G42" s="1187"/>
      <c r="H42" s="1187"/>
      <c r="I42" s="1188"/>
      <c r="J42" s="1189"/>
      <c r="K42" s="1190"/>
      <c r="L42" s="1190"/>
      <c r="M42" s="1190"/>
      <c r="N42" s="1190"/>
      <c r="O42" s="1191"/>
      <c r="P42" s="1190">
        <f>P146</f>
        <v>0</v>
      </c>
      <c r="Q42" s="1190">
        <f>Q146</f>
        <v>0</v>
      </c>
      <c r="R42" s="1190">
        <f>R146</f>
        <v>0</v>
      </c>
      <c r="S42" s="1190">
        <f>S146</f>
        <v>0</v>
      </c>
      <c r="T42" s="1191">
        <f>SUM(P42:S42)</f>
        <v>0</v>
      </c>
      <c r="U42" s="1190">
        <f>U146</f>
        <v>0</v>
      </c>
      <c r="V42" s="1190">
        <f>V146</f>
        <v>0</v>
      </c>
      <c r="W42" s="1190">
        <f>W146</f>
        <v>0</v>
      </c>
      <c r="X42" s="1190">
        <f>CHOOSE(MATCH($C$9,$C$173:$C$175,0),X145,X146,X147)</f>
        <v>0</v>
      </c>
      <c r="Y42" s="1191">
        <f>SUM(U42:X42)</f>
        <v>0</v>
      </c>
      <c r="Z42" s="1190">
        <f>CHOOSE(MATCH($C$9,$C$173:$C$175,0),Z145,Z146,Z147)</f>
        <v>0</v>
      </c>
      <c r="AA42" s="1190">
        <f>CHOOSE(MATCH($C$9,$C$173:$C$175,0),AA145,AA146,AA147)</f>
        <v>0</v>
      </c>
      <c r="AB42" s="1190">
        <f>CHOOSE(MATCH($C$9,$C$173:$C$175,0),AB145,AB146,AB147)</f>
        <v>0</v>
      </c>
      <c r="AC42" s="1190">
        <f>CHOOSE(MATCH($C$9,$C$173:$C$175,0),AC145,AC146,AC147)</f>
        <v>0</v>
      </c>
      <c r="AD42" s="1191">
        <f>SUM(Z42:AC42)</f>
        <v>0</v>
      </c>
      <c r="AE42" s="1190">
        <v>14.4</v>
      </c>
      <c r="AF42" s="1190">
        <f>CHOOSE(MATCH($C$9,$C$173:$C$175,0),AF145,AF146,AF147)</f>
        <v>0</v>
      </c>
      <c r="AG42" s="1190">
        <f>CHOOSE(MATCH($C$9,$C$173:$C$175,0),AG145,AG146,AG147)</f>
        <v>0</v>
      </c>
      <c r="AH42" s="1190">
        <f>CHOOSE(MATCH($C$9,$C$173:$C$175,0),AH145,AH146,AH147)</f>
        <v>0</v>
      </c>
      <c r="AI42" s="1191">
        <f>SUM(AE42:AH42)</f>
        <v>14.4</v>
      </c>
      <c r="AJ42" s="1879">
        <f t="shared" ref="AJ42:AX42" si="12">CHOOSE(MATCH($C$9,$C$173:$C$175,0),AJ145,AJ146,AJ147)</f>
        <v>0</v>
      </c>
      <c r="AK42" s="1190">
        <f t="shared" si="12"/>
        <v>0</v>
      </c>
      <c r="AL42" s="1190">
        <f t="shared" si="12"/>
        <v>0</v>
      </c>
      <c r="AM42" s="1188">
        <f t="shared" si="12"/>
        <v>0</v>
      </c>
      <c r="AN42" s="1191">
        <f t="shared" si="12"/>
        <v>0</v>
      </c>
      <c r="AO42" s="1879">
        <f t="shared" si="12"/>
        <v>0</v>
      </c>
      <c r="AP42" s="1190">
        <f t="shared" si="12"/>
        <v>0</v>
      </c>
      <c r="AQ42" s="1190">
        <f t="shared" si="12"/>
        <v>0</v>
      </c>
      <c r="AR42" s="1188">
        <f t="shared" si="12"/>
        <v>0</v>
      </c>
      <c r="AS42" s="1191">
        <f t="shared" si="12"/>
        <v>0</v>
      </c>
      <c r="AT42" s="1879">
        <f t="shared" si="12"/>
        <v>0</v>
      </c>
      <c r="AU42" s="1190">
        <f t="shared" si="12"/>
        <v>0</v>
      </c>
      <c r="AV42" s="1190">
        <f t="shared" si="12"/>
        <v>0</v>
      </c>
      <c r="AW42" s="1188">
        <f t="shared" si="12"/>
        <v>0</v>
      </c>
      <c r="AX42" s="1191">
        <f t="shared" si="12"/>
        <v>0</v>
      </c>
      <c r="AY42" s="1879">
        <f t="shared" ref="AY42:BC42" si="13">CHOOSE(MATCH($C$9,$C$173:$C$175,0),AY145,AY146,AY147)</f>
        <v>0</v>
      </c>
      <c r="AZ42" s="1190">
        <f t="shared" si="13"/>
        <v>0</v>
      </c>
      <c r="BA42" s="1190">
        <f t="shared" si="13"/>
        <v>0</v>
      </c>
      <c r="BB42" s="1188">
        <f t="shared" si="13"/>
        <v>0</v>
      </c>
      <c r="BC42" s="1191">
        <f t="shared" si="13"/>
        <v>0</v>
      </c>
    </row>
    <row r="43" spans="1:55" s="7" customFormat="1">
      <c r="A43" s="161"/>
      <c r="B43" s="161"/>
      <c r="C43" s="161"/>
      <c r="D43" s="161"/>
      <c r="E43" s="538" t="s">
        <v>254</v>
      </c>
      <c r="F43" s="1186"/>
      <c r="G43" s="1187"/>
      <c r="H43" s="1187"/>
      <c r="I43" s="1188"/>
      <c r="J43" s="1189"/>
      <c r="K43" s="1190"/>
      <c r="L43" s="1190"/>
      <c r="M43" s="1190"/>
      <c r="N43" s="1190"/>
      <c r="O43" s="1191"/>
      <c r="P43" s="1190">
        <f>P151</f>
        <v>1.3793103448275863</v>
      </c>
      <c r="Q43" s="1190">
        <f>Q151</f>
        <v>17.241379310344829</v>
      </c>
      <c r="R43" s="1190">
        <f>R151</f>
        <v>19.310344827586206</v>
      </c>
      <c r="S43" s="1190">
        <f>S151</f>
        <v>23.668965517241382</v>
      </c>
      <c r="T43" s="1191">
        <f>SUM(P43:S43)</f>
        <v>61.6</v>
      </c>
      <c r="U43" s="1190">
        <f>U151</f>
        <v>40.862295716575886</v>
      </c>
      <c r="V43" s="1190">
        <f>V151</f>
        <v>49.263889228395236</v>
      </c>
      <c r="W43" s="1190">
        <f>W151</f>
        <v>50.02767045674242</v>
      </c>
      <c r="X43" s="1190">
        <f>CHOOSE(MATCH($C$9,$C$173:$C$175,0),X150,X151,X152)</f>
        <v>31.696844598286447</v>
      </c>
      <c r="Y43" s="1191">
        <f>SUM(U43:X43)</f>
        <v>171.85069999999999</v>
      </c>
      <c r="Z43" s="1190">
        <f>CHOOSE(MATCH($C$9,$C$173:$C$175,0),Z150,Z151,Z152)</f>
        <v>42.019384615384617</v>
      </c>
      <c r="AA43" s="1190">
        <f>CHOOSE(MATCH($C$9,$C$173:$C$175,0),AA150,AA151,AA152)</f>
        <v>51.023538461538465</v>
      </c>
      <c r="AB43" s="1190">
        <f>CHOOSE(MATCH($C$9,$C$173:$C$175,0),AB150,AB151,AB152)</f>
        <v>58.199999999999996</v>
      </c>
      <c r="AC43" s="1190">
        <f>CHOOSE(MATCH($C$9,$C$173:$C$175,0),AC150,AC151,AC152)</f>
        <v>58.199999999999996</v>
      </c>
      <c r="AD43" s="1191">
        <f>SUM(Z43:AC43)</f>
        <v>209.44292307692305</v>
      </c>
      <c r="AE43" s="1190">
        <v>72</v>
      </c>
      <c r="AF43" s="1190">
        <f>CHOOSE(MATCH($C$9,$C$173:$C$175,0),AF150,AF151,AF152)</f>
        <v>0</v>
      </c>
      <c r="AG43" s="1190">
        <f>CHOOSE(MATCH($C$9,$C$173:$C$175,0),AG150,AG151,AG152)</f>
        <v>0</v>
      </c>
      <c r="AH43" s="1190">
        <f>CHOOSE(MATCH($C$9,$C$173:$C$175,0),AH150,AH151,AH152)</f>
        <v>0</v>
      </c>
      <c r="AI43" s="1191">
        <f>SUM(AE43:AH43)</f>
        <v>72</v>
      </c>
      <c r="AJ43" s="1879">
        <f t="shared" ref="AJ43:AX43" si="14">CHOOSE(MATCH($C$9,$C$173:$C$175,0),AJ150,AJ151,AJ152)</f>
        <v>0</v>
      </c>
      <c r="AK43" s="1190">
        <f t="shared" si="14"/>
        <v>0</v>
      </c>
      <c r="AL43" s="1190">
        <f t="shared" si="14"/>
        <v>0</v>
      </c>
      <c r="AM43" s="1188">
        <f t="shared" si="14"/>
        <v>0</v>
      </c>
      <c r="AN43" s="1191">
        <f t="shared" si="14"/>
        <v>0</v>
      </c>
      <c r="AO43" s="1879">
        <f t="shared" si="14"/>
        <v>0</v>
      </c>
      <c r="AP43" s="1190">
        <f t="shared" si="14"/>
        <v>0</v>
      </c>
      <c r="AQ43" s="1190">
        <f t="shared" si="14"/>
        <v>20</v>
      </c>
      <c r="AR43" s="1188">
        <f t="shared" si="14"/>
        <v>30</v>
      </c>
      <c r="AS43" s="1191">
        <f t="shared" si="14"/>
        <v>0</v>
      </c>
      <c r="AT43" s="1879">
        <f t="shared" si="14"/>
        <v>35</v>
      </c>
      <c r="AU43" s="1190">
        <f t="shared" si="14"/>
        <v>35</v>
      </c>
      <c r="AV43" s="1190">
        <f t="shared" si="14"/>
        <v>35</v>
      </c>
      <c r="AW43" s="1188">
        <f t="shared" si="14"/>
        <v>55</v>
      </c>
      <c r="AX43" s="1191">
        <f t="shared" si="14"/>
        <v>0</v>
      </c>
      <c r="AY43" s="1879">
        <f t="shared" ref="AY43:BC43" si="15">CHOOSE(MATCH($C$9,$C$173:$C$175,0),AY150,AY151,AY152)</f>
        <v>60</v>
      </c>
      <c r="AZ43" s="1190">
        <f t="shared" si="15"/>
        <v>60</v>
      </c>
      <c r="BA43" s="1190">
        <f t="shared" si="15"/>
        <v>60</v>
      </c>
      <c r="BB43" s="1188">
        <f t="shared" si="15"/>
        <v>80</v>
      </c>
      <c r="BC43" s="1191">
        <f t="shared" si="15"/>
        <v>0</v>
      </c>
    </row>
    <row r="44" spans="1:55" s="7" customFormat="1">
      <c r="A44" s="161"/>
      <c r="B44" s="161"/>
      <c r="C44" s="161"/>
      <c r="D44" s="161"/>
      <c r="E44" s="538" t="s">
        <v>255</v>
      </c>
      <c r="F44" s="1186"/>
      <c r="G44" s="1187"/>
      <c r="H44" s="1187"/>
      <c r="I44" s="1188"/>
      <c r="J44" s="1189"/>
      <c r="K44" s="1190"/>
      <c r="L44" s="1190"/>
      <c r="M44" s="1190"/>
      <c r="N44" s="1190"/>
      <c r="O44" s="1191"/>
      <c r="P44" s="1190">
        <f>P156</f>
        <v>0</v>
      </c>
      <c r="Q44" s="1190">
        <f>Q156</f>
        <v>0</v>
      </c>
      <c r="R44" s="1190">
        <f>R156</f>
        <v>0</v>
      </c>
      <c r="S44" s="1190">
        <f>S156</f>
        <v>0</v>
      </c>
      <c r="T44" s="1191">
        <f>SUM(P44:S44)</f>
        <v>0</v>
      </c>
      <c r="U44" s="1190">
        <f>U156</f>
        <v>0</v>
      </c>
      <c r="V44" s="1190">
        <f>V156</f>
        <v>0</v>
      </c>
      <c r="W44" s="1190">
        <f>W156</f>
        <v>0</v>
      </c>
      <c r="X44" s="1190">
        <f>CHOOSE(MATCH($C$9,$C$173:$C$175,0),X155,X156,X157)</f>
        <v>0</v>
      </c>
      <c r="Y44" s="1191">
        <f>SUM(U44:X44)</f>
        <v>0</v>
      </c>
      <c r="Z44" s="1190">
        <f>CHOOSE(MATCH($C$9,$C$173:$C$175,0),Z155,Z156,Z157)</f>
        <v>0</v>
      </c>
      <c r="AA44" s="1190">
        <f>CHOOSE(MATCH($C$9,$C$173:$C$175,0),AA155,AA156,AA157)</f>
        <v>0</v>
      </c>
      <c r="AB44" s="1190">
        <f ca="1">CHOOSE(MATCH($C$9,$C$173:$C$175,0),AB155,AB156,AB157)</f>
        <v>0</v>
      </c>
      <c r="AC44" s="1190">
        <f ca="1">CHOOSE(MATCH($C$9,$C$173:$C$175,0),AC155,AC156,AC157)</f>
        <v>0</v>
      </c>
      <c r="AD44" s="1191">
        <f ca="1">SUM(Z44:AC44)</f>
        <v>0</v>
      </c>
      <c r="AE44" s="1190">
        <v>0</v>
      </c>
      <c r="AF44" s="1190">
        <f ca="1">CHOOSE(MATCH($C$9,$C$173:$C$175,0),AF155,AF156,AF157)</f>
        <v>0</v>
      </c>
      <c r="AG44" s="1190">
        <f ca="1">CHOOSE(MATCH($C$9,$C$173:$C$175,0),AG155,AG156,AG157)</f>
        <v>0</v>
      </c>
      <c r="AH44" s="1190">
        <f ca="1">CHOOSE(MATCH($C$9,$C$173:$C$175,0),AH155,AH156,AH157)</f>
        <v>0</v>
      </c>
      <c r="AI44" s="1191">
        <f ca="1">SUM(AE44:AH44)</f>
        <v>0</v>
      </c>
      <c r="AJ44" s="1879">
        <f t="shared" ref="AJ44:AX44" si="16">CHOOSE(MATCH($C$9,$C$173:$C$175,0),AJ155,AJ156,AJ157)</f>
        <v>0</v>
      </c>
      <c r="AK44" s="1190">
        <f t="shared" si="16"/>
        <v>0</v>
      </c>
      <c r="AL44" s="1190">
        <f t="shared" si="16"/>
        <v>0</v>
      </c>
      <c r="AM44" s="1188">
        <f t="shared" si="16"/>
        <v>0</v>
      </c>
      <c r="AN44" s="1191">
        <f t="shared" si="16"/>
        <v>0</v>
      </c>
      <c r="AO44" s="1879">
        <f t="shared" si="16"/>
        <v>0</v>
      </c>
      <c r="AP44" s="1190">
        <f t="shared" si="16"/>
        <v>0</v>
      </c>
      <c r="AQ44" s="1190">
        <f t="shared" si="16"/>
        <v>0</v>
      </c>
      <c r="AR44" s="1188">
        <f t="shared" si="16"/>
        <v>0</v>
      </c>
      <c r="AS44" s="1191">
        <f t="shared" si="16"/>
        <v>0</v>
      </c>
      <c r="AT44" s="1879">
        <f t="shared" si="16"/>
        <v>0</v>
      </c>
      <c r="AU44" s="1190">
        <f t="shared" si="16"/>
        <v>0</v>
      </c>
      <c r="AV44" s="1190">
        <f t="shared" si="16"/>
        <v>0</v>
      </c>
      <c r="AW44" s="1188">
        <f t="shared" si="16"/>
        <v>0</v>
      </c>
      <c r="AX44" s="1191">
        <f t="shared" si="16"/>
        <v>0</v>
      </c>
      <c r="AY44" s="1879">
        <f t="shared" ref="AY44:BC44" si="17">CHOOSE(MATCH($C$9,$C$173:$C$175,0),AY155,AY156,AY157)</f>
        <v>0</v>
      </c>
      <c r="AZ44" s="1190">
        <f t="shared" si="17"/>
        <v>0</v>
      </c>
      <c r="BA44" s="1190">
        <f t="shared" si="17"/>
        <v>0</v>
      </c>
      <c r="BB44" s="1188">
        <f t="shared" si="17"/>
        <v>0</v>
      </c>
      <c r="BC44" s="1191">
        <f t="shared" si="17"/>
        <v>0</v>
      </c>
    </row>
    <row r="45" spans="1:55" s="7" customFormat="1">
      <c r="A45" s="161"/>
      <c r="B45" s="161"/>
      <c r="C45" s="161"/>
      <c r="D45" s="161"/>
      <c r="E45" s="538" t="s">
        <v>256</v>
      </c>
      <c r="F45" s="1186"/>
      <c r="G45" s="1187"/>
      <c r="H45" s="1187"/>
      <c r="I45" s="1188"/>
      <c r="J45" s="1189"/>
      <c r="K45" s="1190"/>
      <c r="L45" s="1190"/>
      <c r="M45" s="1190"/>
      <c r="N45" s="1190"/>
      <c r="O45" s="1191"/>
      <c r="P45" s="1190">
        <f>P161</f>
        <v>0</v>
      </c>
      <c r="Q45" s="1190">
        <f>Q161</f>
        <v>0</v>
      </c>
      <c r="R45" s="1190">
        <f>R161</f>
        <v>0</v>
      </c>
      <c r="S45" s="1190">
        <f>S161</f>
        <v>0</v>
      </c>
      <c r="T45" s="1191">
        <f>SUM(P45:S45)</f>
        <v>0</v>
      </c>
      <c r="U45" s="1190">
        <f>U161</f>
        <v>0</v>
      </c>
      <c r="V45" s="1190">
        <f>V161</f>
        <v>0</v>
      </c>
      <c r="W45" s="1190">
        <f>W161</f>
        <v>0</v>
      </c>
      <c r="X45" s="1190">
        <f>CHOOSE(MATCH($C$9,$C$173:$C$175,0),X160,X161,X162)</f>
        <v>0</v>
      </c>
      <c r="Y45" s="1191">
        <f>SUM(U45:X45)</f>
        <v>0</v>
      </c>
      <c r="Z45" s="1190">
        <f>CHOOSE(MATCH($C$9,$C$173:$C$175,0),Z160,Z161,Z162)</f>
        <v>0</v>
      </c>
      <c r="AA45" s="1190">
        <f>CHOOSE(MATCH($C$9,$C$173:$C$175,0),AA160,AA161,AA162)</f>
        <v>0</v>
      </c>
      <c r="AB45" s="1190">
        <f>CHOOSE(MATCH($C$9,$C$173:$C$175,0),AB160,AB161,AB162)</f>
        <v>0</v>
      </c>
      <c r="AC45" s="1190">
        <f>CHOOSE(MATCH($C$9,$C$173:$C$175,0),AC160,AC161,AC162)</f>
        <v>0</v>
      </c>
      <c r="AD45" s="1191">
        <f>SUM(Z45:AC45)</f>
        <v>0</v>
      </c>
      <c r="AE45" s="1190">
        <v>57.6</v>
      </c>
      <c r="AF45" s="1190">
        <f>CHOOSE(MATCH($C$9,$C$173:$C$175,0),AF160,AF161,AF162)</f>
        <v>0</v>
      </c>
      <c r="AG45" s="1190">
        <f>CHOOSE(MATCH($C$9,$C$173:$C$175,0),AG160,AG161,AG162)</f>
        <v>0</v>
      </c>
      <c r="AH45" s="1190">
        <f>CHOOSE(MATCH($C$9,$C$173:$C$175,0),AH160,AH161,AH162)</f>
        <v>0</v>
      </c>
      <c r="AI45" s="1191">
        <f>SUM(AE45:AH45)</f>
        <v>57.6</v>
      </c>
      <c r="AJ45" s="1879">
        <f t="shared" ref="AJ45:AX45" si="18">CHOOSE(MATCH($C$9,$C$173:$C$175,0),AJ160,AJ161,AJ162)</f>
        <v>0</v>
      </c>
      <c r="AK45" s="1190">
        <f t="shared" si="18"/>
        <v>0</v>
      </c>
      <c r="AL45" s="1190">
        <f t="shared" si="18"/>
        <v>0</v>
      </c>
      <c r="AM45" s="1188">
        <f t="shared" si="18"/>
        <v>0</v>
      </c>
      <c r="AN45" s="1191">
        <f t="shared" si="18"/>
        <v>0</v>
      </c>
      <c r="AO45" s="1879">
        <f t="shared" si="18"/>
        <v>0</v>
      </c>
      <c r="AP45" s="1190">
        <f t="shared" si="18"/>
        <v>31.341903736736889</v>
      </c>
      <c r="AQ45" s="1190">
        <f t="shared" si="18"/>
        <v>31.341903736736889</v>
      </c>
      <c r="AR45" s="1188">
        <f t="shared" si="18"/>
        <v>31.341903736736889</v>
      </c>
      <c r="AS45" s="1191">
        <f t="shared" si="18"/>
        <v>94.025711210210659</v>
      </c>
      <c r="AT45" s="1879">
        <f t="shared" si="18"/>
        <v>31.341903736736889</v>
      </c>
      <c r="AU45" s="1190">
        <f t="shared" si="18"/>
        <v>31.341903736736889</v>
      </c>
      <c r="AV45" s="1190">
        <f t="shared" si="18"/>
        <v>31.341903736736889</v>
      </c>
      <c r="AW45" s="1188">
        <f t="shared" si="18"/>
        <v>31.341903736736889</v>
      </c>
      <c r="AX45" s="1191">
        <f t="shared" si="18"/>
        <v>125.36761494694755</v>
      </c>
      <c r="AY45" s="1879">
        <f t="shared" ref="AY45:BC45" si="19">CHOOSE(MATCH($C$9,$C$173:$C$175,0),AY160,AY161,AY162)</f>
        <v>31.341903736736889</v>
      </c>
      <c r="AZ45" s="1190">
        <f t="shared" si="19"/>
        <v>31.341903736736889</v>
      </c>
      <c r="BA45" s="1190">
        <f t="shared" si="19"/>
        <v>31.341903736736889</v>
      </c>
      <c r="BB45" s="1188">
        <f t="shared" si="19"/>
        <v>31.341903736736889</v>
      </c>
      <c r="BC45" s="1191">
        <f t="shared" si="19"/>
        <v>125.36761494694755</v>
      </c>
    </row>
    <row r="46" spans="1:55" s="7" customFormat="1">
      <c r="A46" s="161"/>
      <c r="B46" s="161"/>
      <c r="C46" s="161"/>
      <c r="D46" s="161">
        <f ca="1">SUM(Z46:AB46)*2</f>
        <v>302.48584615384613</v>
      </c>
      <c r="E46" s="608" t="s">
        <v>442</v>
      </c>
      <c r="F46" s="1186"/>
      <c r="G46" s="1187"/>
      <c r="H46" s="1187"/>
      <c r="I46" s="1188"/>
      <c r="J46" s="1189"/>
      <c r="K46" s="1190"/>
      <c r="L46" s="1190"/>
      <c r="M46" s="1190"/>
      <c r="N46" s="1190"/>
      <c r="O46" s="1191"/>
      <c r="P46" s="1190">
        <f t="shared" ref="P46:AD46" si="20">SUM(P42:P45)</f>
        <v>1.3793103448275863</v>
      </c>
      <c r="Q46" s="1190">
        <f>SUM(Q42:Q45)</f>
        <v>17.241379310344829</v>
      </c>
      <c r="R46" s="1190">
        <f>SUM(R42:R45)</f>
        <v>19.310344827586206</v>
      </c>
      <c r="S46" s="1190">
        <f>SUM(S42:S45)</f>
        <v>23.668965517241382</v>
      </c>
      <c r="T46" s="1191">
        <f t="shared" si="20"/>
        <v>61.6</v>
      </c>
      <c r="U46" s="1190">
        <f t="shared" si="20"/>
        <v>40.862295716575886</v>
      </c>
      <c r="V46" s="1190">
        <f>SUM(V42:V45)</f>
        <v>49.263889228395236</v>
      </c>
      <c r="W46" s="1190">
        <f>SUM(W42:W45)</f>
        <v>50.02767045674242</v>
      </c>
      <c r="X46" s="1190">
        <f t="shared" si="20"/>
        <v>31.696844598286447</v>
      </c>
      <c r="Y46" s="1191">
        <f t="shared" si="20"/>
        <v>171.85069999999999</v>
      </c>
      <c r="Z46" s="1190">
        <f t="shared" si="20"/>
        <v>42.019384615384617</v>
      </c>
      <c r="AA46" s="1190">
        <f t="shared" si="20"/>
        <v>51.023538461538465</v>
      </c>
      <c r="AB46" s="1190">
        <f t="shared" ca="1" si="20"/>
        <v>58.199999999999996</v>
      </c>
      <c r="AC46" s="1190">
        <f t="shared" ca="1" si="20"/>
        <v>58.199999999999996</v>
      </c>
      <c r="AD46" s="1191">
        <f t="shared" ca="1" si="20"/>
        <v>209.44292307692305</v>
      </c>
      <c r="AE46" s="1190">
        <f>SUM(AE42:AE45)</f>
        <v>144</v>
      </c>
      <c r="AF46" s="1190">
        <f ca="1">SUM(AF42:AF45)</f>
        <v>0</v>
      </c>
      <c r="AG46" s="1190">
        <f ca="1">SUM(AG42:AG45)</f>
        <v>0</v>
      </c>
      <c r="AH46" s="1190">
        <f ca="1">SUM(AH42:AH45)</f>
        <v>0</v>
      </c>
      <c r="AI46" s="1191">
        <f t="shared" ref="AI46" ca="1" si="21">SUM(AI42:AI45)</f>
        <v>144</v>
      </c>
      <c r="AJ46" s="1879">
        <f t="shared" ref="AJ46:AS46" si="22">SUM(AJ42:AJ45)</f>
        <v>0</v>
      </c>
      <c r="AK46" s="1190">
        <f t="shared" si="22"/>
        <v>0</v>
      </c>
      <c r="AL46" s="1190">
        <f t="shared" si="22"/>
        <v>0</v>
      </c>
      <c r="AM46" s="1188">
        <f t="shared" si="22"/>
        <v>0</v>
      </c>
      <c r="AN46" s="1191">
        <f t="shared" si="22"/>
        <v>0</v>
      </c>
      <c r="AO46" s="1879">
        <f t="shared" si="22"/>
        <v>0</v>
      </c>
      <c r="AP46" s="1190">
        <f t="shared" si="22"/>
        <v>31.341903736736889</v>
      </c>
      <c r="AQ46" s="1190">
        <f t="shared" si="22"/>
        <v>51.341903736736889</v>
      </c>
      <c r="AR46" s="1188">
        <f t="shared" si="22"/>
        <v>61.341903736736889</v>
      </c>
      <c r="AS46" s="1191">
        <f t="shared" si="22"/>
        <v>94.025711210210659</v>
      </c>
      <c r="AT46" s="1879">
        <f t="shared" ref="AT46:AX46" si="23">SUM(AT42:AT45)</f>
        <v>66.341903736736896</v>
      </c>
      <c r="AU46" s="1190">
        <f t="shared" si="23"/>
        <v>66.341903736736896</v>
      </c>
      <c r="AV46" s="1190">
        <f t="shared" si="23"/>
        <v>66.341903736736896</v>
      </c>
      <c r="AW46" s="1188">
        <f t="shared" si="23"/>
        <v>86.341903736736896</v>
      </c>
      <c r="AX46" s="1191">
        <f t="shared" si="23"/>
        <v>125.36761494694755</v>
      </c>
      <c r="AY46" s="1879">
        <f t="shared" ref="AY46:BC46" si="24">SUM(AY42:AY45)</f>
        <v>91.341903736736896</v>
      </c>
      <c r="AZ46" s="1190">
        <f t="shared" si="24"/>
        <v>91.341903736736896</v>
      </c>
      <c r="BA46" s="1190">
        <f t="shared" si="24"/>
        <v>91.341903736736896</v>
      </c>
      <c r="BB46" s="1188">
        <f t="shared" si="24"/>
        <v>111.3419037367369</v>
      </c>
      <c r="BC46" s="1191">
        <f t="shared" si="24"/>
        <v>125.36761494694755</v>
      </c>
    </row>
    <row r="47" spans="1:55" s="7" customFormat="1">
      <c r="A47" s="161"/>
      <c r="B47" s="161"/>
      <c r="C47" s="161"/>
      <c r="D47" s="161">
        <f ca="1">D46-799</f>
        <v>-496.51415384615387</v>
      </c>
      <c r="E47" s="538"/>
      <c r="F47" s="1085"/>
      <c r="G47" s="986"/>
      <c r="H47" s="986"/>
      <c r="I47" s="979"/>
      <c r="J47" s="1092"/>
      <c r="K47" s="249"/>
      <c r="L47" s="249"/>
      <c r="M47" s="249"/>
      <c r="N47" s="249"/>
      <c r="O47" s="1092"/>
      <c r="P47" s="249"/>
      <c r="Q47" s="249"/>
      <c r="R47" s="249"/>
      <c r="S47" s="249"/>
      <c r="T47" s="1092"/>
      <c r="U47" s="249"/>
      <c r="V47" s="249"/>
      <c r="W47" s="249"/>
      <c r="X47" s="249"/>
      <c r="Y47" s="814"/>
      <c r="Z47" s="249"/>
      <c r="AA47" s="249"/>
      <c r="AB47" s="249"/>
      <c r="AC47" s="885"/>
      <c r="AD47" s="814"/>
      <c r="AE47" s="885"/>
      <c r="AF47" s="249"/>
      <c r="AG47" s="249"/>
      <c r="AH47" s="885"/>
      <c r="AI47" s="814"/>
      <c r="AJ47" s="980"/>
      <c r="AK47" s="249"/>
      <c r="AL47" s="249"/>
      <c r="AM47" s="979"/>
      <c r="AN47" s="814"/>
      <c r="AO47" s="980"/>
      <c r="AP47" s="249"/>
      <c r="AQ47" s="249"/>
      <c r="AR47" s="979"/>
      <c r="AS47" s="814"/>
      <c r="AT47" s="980"/>
      <c r="AU47" s="249"/>
      <c r="AV47" s="249"/>
      <c r="AW47" s="979"/>
      <c r="AX47" s="814"/>
      <c r="AY47" s="980"/>
      <c r="AZ47" s="249"/>
      <c r="BA47" s="249"/>
      <c r="BB47" s="979"/>
      <c r="BC47" s="814"/>
    </row>
    <row r="48" spans="1:55" s="7" customFormat="1" ht="12" thickBot="1">
      <c r="A48" s="161"/>
      <c r="B48" s="161"/>
      <c r="C48" s="161"/>
      <c r="D48" s="161">
        <f ca="1">D47/2</f>
        <v>-248.25707692307694</v>
      </c>
      <c r="E48" s="955" t="s">
        <v>435</v>
      </c>
      <c r="F48" s="1086"/>
      <c r="G48" s="1052"/>
      <c r="H48" s="1052"/>
      <c r="I48" s="1087"/>
      <c r="J48" s="1093"/>
      <c r="K48" s="1282">
        <f>CHOOSE(MATCH($C$9,$C$173:$C$175,0),K125,K126,K127)</f>
        <v>0</v>
      </c>
      <c r="L48" s="1282">
        <f>CHOOSE(MATCH($C$9,$C$173:$C$175,0),L125,L126,L127)</f>
        <v>0</v>
      </c>
      <c r="M48" s="1282">
        <f>CHOOSE(MATCH($C$9,$C$173:$C$175,0),M125,M126,M127)</f>
        <v>0</v>
      </c>
      <c r="N48" s="1282">
        <f>CHOOSE(MATCH($C$9,$C$173:$C$175,0),N125,N126,N127)</f>
        <v>0</v>
      </c>
      <c r="O48" s="1283"/>
      <c r="P48" s="1282">
        <f>CHOOSE(MATCH($C$9,$C$173:$C$175,0),P125,P126,P127)</f>
        <v>18</v>
      </c>
      <c r="Q48" s="1282">
        <f>CHOOSE(MATCH($C$9,$C$173:$C$175,0),Q125,Q126,Q127)</f>
        <v>120</v>
      </c>
      <c r="R48" s="1282">
        <f>CHOOSE(MATCH($C$9,$C$173:$C$175,0),R125,R126,R127)</f>
        <v>147</v>
      </c>
      <c r="S48" s="1282">
        <f>CHOOSE(MATCH($C$9,$C$173:$C$175,0),S125,S126,S127)</f>
        <v>109</v>
      </c>
      <c r="T48" s="1284">
        <f>SUM(P48:S48)</f>
        <v>394</v>
      </c>
      <c r="U48" s="1282">
        <f>CHOOSE(MATCH($C$9,$C$173:$C$175,0),U125,U126,U127)</f>
        <v>153</v>
      </c>
      <c r="V48" s="1282">
        <f>CHOOSE(MATCH($C$9,$C$173:$C$175,0),V125,V126,V127)</f>
        <v>114</v>
      </c>
      <c r="W48" s="1282">
        <f>CHOOSE(MATCH($C$9,$C$173:$C$175,0),W125,W126,W127)</f>
        <v>185</v>
      </c>
      <c r="X48" s="1282">
        <f>CHOOSE(MATCH($C$9,$C$173:$C$175,0),X125,X126,X127)</f>
        <v>101</v>
      </c>
      <c r="Y48" s="1284">
        <f>SUM(U48:X48)</f>
        <v>553</v>
      </c>
      <c r="Z48" s="1282">
        <f>CHOOSE(MATCH($C$9,$C$173:$C$175,0),Z125,Z126,Z127)</f>
        <v>194</v>
      </c>
      <c r="AA48" s="1282">
        <f>CHOOSE(MATCH($C$9,$C$173:$C$175,0),AA125,AA126,AA127)</f>
        <v>101</v>
      </c>
      <c r="AB48" s="1282">
        <f>CHOOSE(MATCH($C$9,$C$173:$C$175,0),AB125,AB126,AB127)</f>
        <v>0</v>
      </c>
      <c r="AC48" s="1282">
        <f>CHOOSE(MATCH($C$9,$C$173:$C$175,0),AC125,AC126,AC127)</f>
        <v>0</v>
      </c>
      <c r="AD48" s="1284">
        <f>SUM(Z48:AC48)</f>
        <v>295</v>
      </c>
      <c r="AE48" s="1282">
        <f t="shared" ref="AE48:AX48" si="25">CHOOSE(MATCH($C$9,$C$173:$C$175,0),AE125,AE126,AE127)</f>
        <v>0</v>
      </c>
      <c r="AF48" s="1282">
        <f t="shared" si="25"/>
        <v>0</v>
      </c>
      <c r="AG48" s="1282">
        <f t="shared" si="25"/>
        <v>8</v>
      </c>
      <c r="AH48" s="1282">
        <f t="shared" si="25"/>
        <v>50</v>
      </c>
      <c r="AI48" s="1284">
        <f t="shared" si="25"/>
        <v>0</v>
      </c>
      <c r="AJ48" s="1880">
        <f t="shared" si="25"/>
        <v>58</v>
      </c>
      <c r="AK48" s="1282">
        <f t="shared" si="25"/>
        <v>79</v>
      </c>
      <c r="AL48" s="1282">
        <f t="shared" si="25"/>
        <v>121</v>
      </c>
      <c r="AM48" s="1881">
        <f t="shared" si="25"/>
        <v>84</v>
      </c>
      <c r="AN48" s="1284">
        <f t="shared" si="25"/>
        <v>342</v>
      </c>
      <c r="AO48" s="1880">
        <f t="shared" si="25"/>
        <v>77</v>
      </c>
      <c r="AP48" s="1282">
        <f t="shared" si="25"/>
        <v>0</v>
      </c>
      <c r="AQ48" s="1282">
        <f t="shared" si="25"/>
        <v>0</v>
      </c>
      <c r="AR48" s="1881">
        <f t="shared" si="25"/>
        <v>0</v>
      </c>
      <c r="AS48" s="1284">
        <f t="shared" si="25"/>
        <v>0</v>
      </c>
      <c r="AT48" s="1880">
        <f t="shared" si="25"/>
        <v>0</v>
      </c>
      <c r="AU48" s="1282">
        <f t="shared" si="25"/>
        <v>0</v>
      </c>
      <c r="AV48" s="1282">
        <f t="shared" si="25"/>
        <v>0</v>
      </c>
      <c r="AW48" s="1881">
        <f t="shared" si="25"/>
        <v>0</v>
      </c>
      <c r="AX48" s="1284">
        <f t="shared" si="25"/>
        <v>0</v>
      </c>
      <c r="AY48" s="1880">
        <f t="shared" ref="AY48:BC48" si="26">CHOOSE(MATCH($C$9,$C$173:$C$175,0),AY125,AY126,AY127)</f>
        <v>0</v>
      </c>
      <c r="AZ48" s="1282">
        <f t="shared" si="26"/>
        <v>0</v>
      </c>
      <c r="BA48" s="1282">
        <f t="shared" si="26"/>
        <v>0</v>
      </c>
      <c r="BB48" s="1881">
        <f t="shared" si="26"/>
        <v>0</v>
      </c>
      <c r="BC48" s="1284">
        <f t="shared" si="26"/>
        <v>0</v>
      </c>
    </row>
    <row r="49" spans="1:55" s="39" customFormat="1" ht="12" thickBot="1">
      <c r="A49" s="62"/>
      <c r="B49" s="62"/>
      <c r="C49" s="62"/>
      <c r="D49" s="62"/>
      <c r="E49" s="1053"/>
      <c r="F49" s="974"/>
      <c r="G49" s="974"/>
      <c r="H49" s="974"/>
      <c r="I49" s="974"/>
      <c r="J49" s="975"/>
      <c r="K49" s="975"/>
      <c r="L49" s="975"/>
      <c r="M49" s="975"/>
      <c r="N49" s="975"/>
      <c r="O49" s="975"/>
      <c r="P49" s="975"/>
      <c r="Q49" s="975"/>
      <c r="R49" s="975"/>
      <c r="S49" s="975"/>
      <c r="T49" s="976"/>
      <c r="U49" s="976"/>
      <c r="V49" s="975"/>
      <c r="W49" s="976"/>
      <c r="X49" s="976"/>
      <c r="Y49" s="975"/>
      <c r="Z49" s="1643"/>
      <c r="AA49" s="1643"/>
      <c r="AB49" s="976"/>
      <c r="AC49" s="976"/>
      <c r="AD49" s="976"/>
      <c r="AE49" s="976"/>
      <c r="AF49" s="976"/>
      <c r="AG49" s="976"/>
      <c r="AH49" s="976"/>
      <c r="AI49" s="976"/>
      <c r="AJ49" s="976"/>
      <c r="AK49" s="976"/>
      <c r="AL49" s="976"/>
      <c r="AM49" s="976"/>
      <c r="AN49" s="976"/>
      <c r="AO49" s="976"/>
      <c r="AP49" s="976"/>
      <c r="AQ49" s="976"/>
      <c r="AR49" s="976"/>
      <c r="AS49" s="976"/>
      <c r="AT49" s="976"/>
      <c r="AU49" s="976"/>
      <c r="AV49" s="976"/>
      <c r="AW49" s="976"/>
      <c r="AX49" s="976"/>
      <c r="AY49" s="976"/>
      <c r="AZ49" s="976"/>
      <c r="BA49" s="976"/>
      <c r="BB49" s="976"/>
      <c r="BC49" s="976"/>
    </row>
    <row r="50" spans="1:55" s="33" customFormat="1" ht="12" thickBot="1">
      <c r="A50" s="161"/>
      <c r="B50" s="161"/>
      <c r="C50" s="161"/>
      <c r="D50" s="161"/>
      <c r="E50" s="1045" t="s">
        <v>292</v>
      </c>
      <c r="F50" s="1054"/>
      <c r="G50" s="1054"/>
      <c r="H50" s="1054"/>
      <c r="I50" s="1054"/>
      <c r="J50" s="1047"/>
      <c r="K50" s="1047"/>
      <c r="L50" s="1047"/>
      <c r="M50" s="1047"/>
      <c r="N50" s="1047"/>
      <c r="O50" s="1047"/>
      <c r="P50" s="1047"/>
      <c r="Q50" s="1047"/>
      <c r="R50" s="1047"/>
      <c r="S50" s="1047"/>
      <c r="T50" s="1055"/>
      <c r="U50" s="1055"/>
      <c r="V50" s="1055"/>
      <c r="W50" s="1055"/>
      <c r="X50" s="1055"/>
      <c r="Y50" s="1055"/>
      <c r="Z50" s="1055"/>
      <c r="AA50" s="1055"/>
      <c r="AB50" s="1055"/>
      <c r="AC50" s="1055"/>
      <c r="AD50" s="1055"/>
      <c r="AE50" s="1055"/>
      <c r="AF50" s="1055"/>
      <c r="AG50" s="1055"/>
      <c r="AH50" s="1055"/>
      <c r="AI50" s="1055"/>
      <c r="AJ50" s="1055"/>
      <c r="AK50" s="1055"/>
      <c r="AL50" s="1055"/>
      <c r="AM50" s="1055"/>
      <c r="AN50" s="1055"/>
      <c r="AO50" s="1055"/>
      <c r="AP50" s="1055"/>
      <c r="AQ50" s="1055"/>
      <c r="AR50" s="1055"/>
      <c r="AS50" s="1055"/>
      <c r="AT50" s="1055"/>
      <c r="AU50" s="1055"/>
      <c r="AV50" s="1055"/>
      <c r="AW50" s="1055"/>
      <c r="AX50" s="1055"/>
      <c r="AY50" s="1055"/>
      <c r="AZ50" s="1055"/>
      <c r="BA50" s="1055"/>
      <c r="BB50" s="1055"/>
      <c r="BC50" s="1055"/>
    </row>
    <row r="51" spans="1:55" s="26" customFormat="1">
      <c r="A51" s="161"/>
      <c r="B51" s="214"/>
      <c r="C51" s="214"/>
      <c r="D51" s="214"/>
      <c r="E51" s="988" t="s">
        <v>298</v>
      </c>
      <c r="F51" s="989">
        <f t="shared" ref="F51:J53" si="27">F17/F$16</f>
        <v>0.28753459409594095</v>
      </c>
      <c r="G51" s="989">
        <f t="shared" si="27"/>
        <v>0.29077937520268077</v>
      </c>
      <c r="H51" s="989">
        <f t="shared" si="27"/>
        <v>0.28327254912634042</v>
      </c>
      <c r="I51" s="989">
        <f t="shared" si="27"/>
        <v>0.28546780208159406</v>
      </c>
      <c r="J51" s="1095">
        <f t="shared" si="27"/>
        <v>0.28676715061509478</v>
      </c>
      <c r="K51" s="989">
        <f t="shared" ref="K51:AD52" si="28">K17/K$16</f>
        <v>0.28358208955223879</v>
      </c>
      <c r="L51" s="989">
        <f t="shared" si="28"/>
        <v>0.29279931370972068</v>
      </c>
      <c r="M51" s="989">
        <f t="shared" si="28"/>
        <v>0.28582694907616041</v>
      </c>
      <c r="N51" s="989">
        <f t="shared" si="28"/>
        <v>0.29092719498623559</v>
      </c>
      <c r="O51" s="1095">
        <f t="shared" si="28"/>
        <v>0.28828891711920485</v>
      </c>
      <c r="P51" s="989">
        <f t="shared" si="28"/>
        <v>0.29764379764379767</v>
      </c>
      <c r="Q51" s="989">
        <f t="shared" si="28"/>
        <v>0.30455301120823725</v>
      </c>
      <c r="R51" s="989">
        <f t="shared" si="28"/>
        <v>0.2917053459291214</v>
      </c>
      <c r="S51" s="989">
        <f t="shared" si="28"/>
        <v>0.28889136614458505</v>
      </c>
      <c r="T51" s="1095">
        <f t="shared" si="28"/>
        <v>0.2957475386681806</v>
      </c>
      <c r="U51" s="989">
        <f t="shared" si="28"/>
        <v>0.28452179606088712</v>
      </c>
      <c r="V51" s="989">
        <f t="shared" si="28"/>
        <v>0.29079316500892627</v>
      </c>
      <c r="W51" s="989">
        <f t="shared" si="28"/>
        <v>0.28251121076233182</v>
      </c>
      <c r="X51" s="989">
        <f t="shared" si="28"/>
        <v>0.27895261583670045</v>
      </c>
      <c r="Y51" s="1095">
        <f t="shared" si="28"/>
        <v>0.28423133312388732</v>
      </c>
      <c r="Z51" s="989">
        <f t="shared" si="28"/>
        <v>0.27349902833179912</v>
      </c>
      <c r="AA51" s="989">
        <f t="shared" si="28"/>
        <v>0.26105445376886316</v>
      </c>
      <c r="AB51" s="989">
        <f t="shared" si="28"/>
        <v>0.26219829831567981</v>
      </c>
      <c r="AC51" s="989">
        <f t="shared" si="28"/>
        <v>0.25853726947619382</v>
      </c>
      <c r="AD51" s="1095">
        <f t="shared" si="28"/>
        <v>0.26303120528981866</v>
      </c>
      <c r="AE51" s="1882">
        <f t="shared" ref="AE51:AI53" si="29">AE17/AE$16</f>
        <v>0.25998002273275239</v>
      </c>
      <c r="AF51" s="1883">
        <f t="shared" si="29"/>
        <v>0.26543864298966341</v>
      </c>
      <c r="AG51" s="1883">
        <f t="shared" si="29"/>
        <v>0.25727167943589396</v>
      </c>
      <c r="AH51" s="1884">
        <f t="shared" si="29"/>
        <v>0.25013968431345163</v>
      </c>
      <c r="AI51" s="1095">
        <f t="shared" si="29"/>
        <v>0.25830201702584554</v>
      </c>
      <c r="AJ51" s="1882">
        <f t="shared" ref="AJ51:AS51" si="30">AJ17/AJ$16</f>
        <v>0.25171046629942812</v>
      </c>
      <c r="AK51" s="1883">
        <f t="shared" si="30"/>
        <v>0.25843917679820688</v>
      </c>
      <c r="AL51" s="1883">
        <f t="shared" si="30"/>
        <v>0.23886048210372535</v>
      </c>
      <c r="AM51" s="1884">
        <f t="shared" si="30"/>
        <v>0.24312580848452686</v>
      </c>
      <c r="AN51" s="1095">
        <f t="shared" si="30"/>
        <v>0.24792325782056271</v>
      </c>
      <c r="AO51" s="1882">
        <f t="shared" si="30"/>
        <v>0.24196486662329214</v>
      </c>
      <c r="AP51" s="1883">
        <f t="shared" ca="1" si="30"/>
        <v>0.24866307433647672</v>
      </c>
      <c r="AQ51" s="1883">
        <f t="shared" ca="1" si="30"/>
        <v>0.24171593607542455</v>
      </c>
      <c r="AR51" s="1884">
        <f t="shared" si="30"/>
        <v>0.240097540642911</v>
      </c>
      <c r="AS51" s="1095">
        <f t="shared" ca="1" si="30"/>
        <v>0.24313811205036423</v>
      </c>
      <c r="AT51" s="1882">
        <f t="shared" ref="AT51:AX51" si="31">AT17/AT$16</f>
        <v>0.23972726109779549</v>
      </c>
      <c r="AU51" s="1883">
        <f t="shared" ca="1" si="31"/>
        <v>0.24935630888531091</v>
      </c>
      <c r="AV51" s="1883">
        <f t="shared" ca="1" si="31"/>
        <v>0.24391201901681597</v>
      </c>
      <c r="AW51" s="1884">
        <f t="shared" si="31"/>
        <v>0.24257547887501707</v>
      </c>
      <c r="AX51" s="1095">
        <f t="shared" ca="1" si="31"/>
        <v>0.24393102219614243</v>
      </c>
      <c r="AY51" s="1882">
        <f t="shared" ref="AY51:BC51" si="32">AY17/AY$16</f>
        <v>0.24110864115342101</v>
      </c>
      <c r="AZ51" s="1883">
        <f t="shared" ca="1" si="32"/>
        <v>0.25008801948933873</v>
      </c>
      <c r="BA51" s="1883">
        <f t="shared" ca="1" si="32"/>
        <v>0.24487542723664429</v>
      </c>
      <c r="BB51" s="1884">
        <f t="shared" si="32"/>
        <v>0.24342118080718447</v>
      </c>
      <c r="BC51" s="1095">
        <f t="shared" ca="1" si="32"/>
        <v>0.24490777623623042</v>
      </c>
    </row>
    <row r="52" spans="1:55" s="26" customFormat="1">
      <c r="A52" s="161"/>
      <c r="B52" s="214"/>
      <c r="C52" s="214"/>
      <c r="D52" s="214"/>
      <c r="E52" s="988" t="s">
        <v>233</v>
      </c>
      <c r="F52" s="989">
        <f t="shared" si="27"/>
        <v>0.23085793357933579</v>
      </c>
      <c r="G52" s="989">
        <f t="shared" si="27"/>
        <v>0.22251648470435628</v>
      </c>
      <c r="H52" s="989">
        <f t="shared" si="27"/>
        <v>0.22878449730553591</v>
      </c>
      <c r="I52" s="989">
        <f t="shared" si="27"/>
        <v>0.23582122780653419</v>
      </c>
      <c r="J52" s="1096">
        <f t="shared" si="27"/>
        <v>0.22942757397761276</v>
      </c>
      <c r="K52" s="989">
        <f t="shared" si="28"/>
        <v>0.23153604670375061</v>
      </c>
      <c r="L52" s="989">
        <f t="shared" si="28"/>
        <v>0.22969277786713849</v>
      </c>
      <c r="M52" s="989">
        <f t="shared" si="28"/>
        <v>0.23326949076160433</v>
      </c>
      <c r="N52" s="989">
        <f t="shared" si="28"/>
        <v>0.24887248872488724</v>
      </c>
      <c r="O52" s="1096">
        <f t="shared" si="28"/>
        <v>0.23561766225063868</v>
      </c>
      <c r="P52" s="989">
        <f t="shared" si="28"/>
        <v>0.25398475398475401</v>
      </c>
      <c r="Q52" s="989">
        <f t="shared" si="28"/>
        <v>0.241164798627125</v>
      </c>
      <c r="R52" s="989">
        <f t="shared" si="28"/>
        <v>0.23819144869764647</v>
      </c>
      <c r="S52" s="989">
        <f t="shared" si="28"/>
        <v>0.23889415305724318</v>
      </c>
      <c r="T52" s="1096">
        <f t="shared" si="28"/>
        <v>0.24292064195411053</v>
      </c>
      <c r="U52" s="989">
        <f t="shared" si="28"/>
        <v>0.2389110153308964</v>
      </c>
      <c r="V52" s="989">
        <f t="shared" si="28"/>
        <v>0.23305279265493498</v>
      </c>
      <c r="W52" s="989">
        <f t="shared" si="28"/>
        <v>0.23457553734343592</v>
      </c>
      <c r="X52" s="989">
        <f t="shared" si="28"/>
        <v>0.23576638505536024</v>
      </c>
      <c r="Y52" s="1096">
        <f t="shared" si="28"/>
        <v>0.23552204419310924</v>
      </c>
      <c r="Z52" s="989">
        <f t="shared" si="28"/>
        <v>0.22788176332208243</v>
      </c>
      <c r="AA52" s="989">
        <f t="shared" si="28"/>
        <v>0.21096601813871221</v>
      </c>
      <c r="AB52" s="989">
        <f t="shared" si="28"/>
        <v>0.21114776870984545</v>
      </c>
      <c r="AC52" s="989">
        <f t="shared" si="28"/>
        <v>0.22540495056447654</v>
      </c>
      <c r="AD52" s="1096">
        <f t="shared" si="28"/>
        <v>0.2181953520745524</v>
      </c>
      <c r="AE52" s="1885">
        <f t="shared" si="29"/>
        <v>0.20783246650363379</v>
      </c>
      <c r="AF52" s="989">
        <f t="shared" si="29"/>
        <v>0.20156374238006891</v>
      </c>
      <c r="AG52" s="989">
        <f t="shared" si="29"/>
        <v>0.20228490067123195</v>
      </c>
      <c r="AH52" s="1886">
        <f t="shared" si="29"/>
        <v>0.21123760301718117</v>
      </c>
      <c r="AI52" s="1096">
        <f t="shared" si="29"/>
        <v>0.20565653466949579</v>
      </c>
      <c r="AJ52" s="1885">
        <f t="shared" ref="AJ52:AS52" si="33">AJ18/AJ$16</f>
        <v>0.19950177186765378</v>
      </c>
      <c r="AK52" s="989">
        <f t="shared" si="33"/>
        <v>0.20797391835903009</v>
      </c>
      <c r="AL52" s="989">
        <f t="shared" si="33"/>
        <v>0.18965402749186533</v>
      </c>
      <c r="AM52" s="1886">
        <f t="shared" si="33"/>
        <v>0.20624232976218115</v>
      </c>
      <c r="AN52" s="1096">
        <f t="shared" si="33"/>
        <v>0.20082223763682813</v>
      </c>
      <c r="AO52" s="1885">
        <f t="shared" si="33"/>
        <v>0.19216005204944697</v>
      </c>
      <c r="AP52" s="989">
        <f t="shared" ca="1" si="33"/>
        <v>0.19112546660041221</v>
      </c>
      <c r="AQ52" s="989">
        <f t="shared" ca="1" si="33"/>
        <v>0.18923599981813471</v>
      </c>
      <c r="AR52" s="1886">
        <f t="shared" si="33"/>
        <v>0.18915762951619963</v>
      </c>
      <c r="AS52" s="1096">
        <f t="shared" ca="1" si="33"/>
        <v>0.19038239568830675</v>
      </c>
      <c r="AT52" s="1885">
        <f t="shared" ref="AT52:AX52" si="34">AT18/AT$16</f>
        <v>0.18974717901138757</v>
      </c>
      <c r="AU52" s="989">
        <f t="shared" ca="1" si="34"/>
        <v>0.19201870235221102</v>
      </c>
      <c r="AV52" s="989">
        <f t="shared" ca="1" si="34"/>
        <v>0.18645247857120617</v>
      </c>
      <c r="AW52" s="1886">
        <f t="shared" si="34"/>
        <v>0.1854125164400196</v>
      </c>
      <c r="AX52" s="1096">
        <f t="shared" ca="1" si="34"/>
        <v>0.18840943518510281</v>
      </c>
      <c r="AY52" s="1885">
        <f t="shared" ref="AY52:BC52" si="35">AY18/AY$16</f>
        <v>0.19059020523517398</v>
      </c>
      <c r="AZ52" s="989">
        <f t="shared" ca="1" si="35"/>
        <v>0.19301100010289665</v>
      </c>
      <c r="BA52" s="989">
        <f t="shared" ca="1" si="35"/>
        <v>0.18723808937575634</v>
      </c>
      <c r="BB52" s="1886">
        <f t="shared" si="35"/>
        <v>0.18600788941917207</v>
      </c>
      <c r="BC52" s="1096">
        <f t="shared" ca="1" si="35"/>
        <v>0.18921231780857839</v>
      </c>
    </row>
    <row r="53" spans="1:55" s="26" customFormat="1">
      <c r="A53" s="161"/>
      <c r="B53" s="214"/>
      <c r="C53" s="214"/>
      <c r="D53" s="214"/>
      <c r="E53" s="988" t="s">
        <v>192</v>
      </c>
      <c r="F53" s="989">
        <f t="shared" si="27"/>
        <v>5.4255073800738005E-2</v>
      </c>
      <c r="G53" s="989">
        <f t="shared" si="27"/>
        <v>6.5236190682088427E-2</v>
      </c>
      <c r="H53" s="989">
        <f t="shared" si="27"/>
        <v>5.1766370910674431E-2</v>
      </c>
      <c r="I53" s="989">
        <f t="shared" si="27"/>
        <v>7.0462514610118557E-2</v>
      </c>
      <c r="J53" s="1096">
        <f t="shared" si="27"/>
        <v>6.04704643688352E-2</v>
      </c>
      <c r="K53" s="989">
        <f t="shared" ref="K53:S53" si="36">K19/K$16</f>
        <v>4.9567659855703036E-2</v>
      </c>
      <c r="L53" s="989">
        <f t="shared" si="36"/>
        <v>5.9246153021285719E-2</v>
      </c>
      <c r="M53" s="989">
        <f t="shared" si="36"/>
        <v>4.9177557458314557E-2</v>
      </c>
      <c r="N53" s="989">
        <f t="shared" si="36"/>
        <v>3.432320037486089E-2</v>
      </c>
      <c r="O53" s="1096">
        <f t="shared" si="36"/>
        <v>4.8357600547233814E-2</v>
      </c>
      <c r="P53" s="989">
        <f t="shared" si="36"/>
        <v>4.0713790713790714E-2</v>
      </c>
      <c r="Q53" s="989">
        <f t="shared" si="36"/>
        <v>6.5157934252158531E-2</v>
      </c>
      <c r="R53" s="989">
        <f t="shared" si="36"/>
        <v>5.411456342488942E-2</v>
      </c>
      <c r="S53" s="989">
        <f t="shared" si="36"/>
        <v>5.7354662504877099E-2</v>
      </c>
      <c r="T53" s="1096">
        <f t="shared" ref="T53:AD53" si="37">T19/T$16</f>
        <v>5.4557791101818132E-2</v>
      </c>
      <c r="U53" s="989">
        <f t="shared" si="37"/>
        <v>5.0411915543673962E-2</v>
      </c>
      <c r="V53" s="989">
        <f t="shared" si="37"/>
        <v>6.5034429992348888E-2</v>
      </c>
      <c r="W53" s="989">
        <f t="shared" si="37"/>
        <v>5.2883871965362608E-2</v>
      </c>
      <c r="X53" s="989">
        <f t="shared" si="37"/>
        <v>5.0847457627118647E-2</v>
      </c>
      <c r="Y53" s="1096">
        <f t="shared" si="37"/>
        <v>5.4901036757775683E-2</v>
      </c>
      <c r="Z53" s="989">
        <f t="shared" si="37"/>
        <v>5.3902014933006032E-2</v>
      </c>
      <c r="AA53" s="989">
        <f t="shared" si="37"/>
        <v>5.1819516050126066E-2</v>
      </c>
      <c r="AB53" s="989">
        <f t="shared" si="37"/>
        <v>4.8654280256989063E-2</v>
      </c>
      <c r="AC53" s="989">
        <f t="shared" si="37"/>
        <v>2.9310707524016547E-2</v>
      </c>
      <c r="AD53" s="1096">
        <f t="shared" si="37"/>
        <v>4.5125865202428367E-2</v>
      </c>
      <c r="AE53" s="1885">
        <f t="shared" si="29"/>
        <v>5.0563152274997414E-2</v>
      </c>
      <c r="AF53" s="989">
        <f t="shared" si="29"/>
        <v>6.1622051417969788E-2</v>
      </c>
      <c r="AG53" s="989">
        <f t="shared" si="29"/>
        <v>5.1969625059326056E-2</v>
      </c>
      <c r="AH53" s="1886">
        <f t="shared" si="29"/>
        <v>3.9810029333705824E-2</v>
      </c>
      <c r="AI53" s="1096">
        <f t="shared" si="29"/>
        <v>5.1137186730407069E-2</v>
      </c>
      <c r="AJ53" s="1885">
        <f t="shared" ref="AJ53:AS53" si="38">AJ19/AJ$16</f>
        <v>5.0770148415845061E-2</v>
      </c>
      <c r="AK53" s="989">
        <f t="shared" si="38"/>
        <v>5.0227535149086462E-2</v>
      </c>
      <c r="AL53" s="989">
        <f t="shared" si="38"/>
        <v>5.0368550368550369E-2</v>
      </c>
      <c r="AM53" s="1886">
        <f t="shared" si="38"/>
        <v>3.6949815914292347E-2</v>
      </c>
      <c r="AN53" s="1096">
        <f t="shared" si="38"/>
        <v>4.7007968599319876E-2</v>
      </c>
      <c r="AO53" s="1885">
        <f t="shared" si="38"/>
        <v>4.3428757319453483E-2</v>
      </c>
      <c r="AP53" s="989">
        <f t="shared" ca="1" si="38"/>
        <v>5.8347992150090421E-2</v>
      </c>
      <c r="AQ53" s="989">
        <f t="shared" ca="1" si="38"/>
        <v>5.3851839050763628E-2</v>
      </c>
      <c r="AR53" s="1886">
        <f t="shared" si="38"/>
        <v>5.4576994803954865E-2</v>
      </c>
      <c r="AS53" s="1096">
        <f t="shared" ca="1" si="38"/>
        <v>5.2746245430404154E-2</v>
      </c>
      <c r="AT53" s="1885">
        <f t="shared" ref="AT53:AX53" si="39">AT19/AT$16</f>
        <v>5.0709897534338383E-2</v>
      </c>
      <c r="AU53" s="989">
        <f t="shared" ca="1" si="39"/>
        <v>5.8138186119913046E-2</v>
      </c>
      <c r="AV53" s="989">
        <f t="shared" ca="1" si="39"/>
        <v>5.8706560532909319E-2</v>
      </c>
      <c r="AW53" s="1886">
        <f t="shared" si="39"/>
        <v>6.0819012077899109E-2</v>
      </c>
      <c r="AX53" s="1096">
        <f t="shared" ca="1" si="39"/>
        <v>5.7128448945139652E-2</v>
      </c>
      <c r="AY53" s="1885">
        <f t="shared" ref="AY53:BC53" si="40">AY19/AY$16</f>
        <v>5.1235370513846128E-2</v>
      </c>
      <c r="AZ53" s="989">
        <f t="shared" ca="1" si="40"/>
        <v>5.7863888551940641E-2</v>
      </c>
      <c r="BA53" s="989">
        <f t="shared" ca="1" si="40"/>
        <v>5.8861911038401271E-2</v>
      </c>
      <c r="BB53" s="1886">
        <f t="shared" si="40"/>
        <v>6.1000071199174458E-2</v>
      </c>
      <c r="BC53" s="1096">
        <f t="shared" ca="1" si="40"/>
        <v>5.727351089034495E-2</v>
      </c>
    </row>
    <row r="54" spans="1:55" s="45" customFormat="1">
      <c r="A54" s="161"/>
      <c r="B54" s="161"/>
      <c r="C54" s="161"/>
      <c r="D54" s="161"/>
      <c r="E54" s="990"/>
      <c r="F54" s="991"/>
      <c r="G54" s="991"/>
      <c r="H54" s="991"/>
      <c r="I54" s="991"/>
      <c r="J54" s="1097"/>
      <c r="K54" s="975"/>
      <c r="L54" s="975"/>
      <c r="M54" s="975"/>
      <c r="N54" s="975"/>
      <c r="O54" s="1097"/>
      <c r="P54" s="975"/>
      <c r="Q54" s="975"/>
      <c r="R54" s="975"/>
      <c r="S54" s="975"/>
      <c r="T54" s="1097"/>
      <c r="U54" s="975"/>
      <c r="V54" s="975"/>
      <c r="W54" s="975"/>
      <c r="X54" s="975"/>
      <c r="Y54" s="1097"/>
      <c r="Z54" s="975"/>
      <c r="AA54" s="975"/>
      <c r="AB54" s="975"/>
      <c r="AC54" s="975"/>
      <c r="AD54" s="1097"/>
      <c r="AE54" s="1887"/>
      <c r="AF54" s="975"/>
      <c r="AG54" s="975"/>
      <c r="AH54" s="1888"/>
      <c r="AI54" s="1097"/>
      <c r="AJ54" s="1887"/>
      <c r="AK54" s="975"/>
      <c r="AL54" s="975"/>
      <c r="AM54" s="1888"/>
      <c r="AN54" s="1097"/>
      <c r="AO54" s="1887"/>
      <c r="AP54" s="975"/>
      <c r="AQ54" s="975"/>
      <c r="AR54" s="1888"/>
      <c r="AS54" s="1097"/>
      <c r="AT54" s="1887"/>
      <c r="AU54" s="975"/>
      <c r="AV54" s="975"/>
      <c r="AW54" s="1888"/>
      <c r="AX54" s="1097"/>
      <c r="AY54" s="1887"/>
      <c r="AZ54" s="975"/>
      <c r="BA54" s="975"/>
      <c r="BB54" s="1888"/>
      <c r="BC54" s="1097"/>
    </row>
    <row r="55" spans="1:55" s="45" customFormat="1">
      <c r="A55" s="161"/>
      <c r="B55" s="161"/>
      <c r="C55" s="161"/>
      <c r="D55" s="161"/>
      <c r="E55" s="990" t="s">
        <v>394</v>
      </c>
      <c r="F55" s="991"/>
      <c r="G55" s="991"/>
      <c r="H55" s="991"/>
      <c r="I55" s="991"/>
      <c r="J55" s="1097"/>
      <c r="K55" s="975"/>
      <c r="L55" s="975"/>
      <c r="M55" s="975"/>
      <c r="N55" s="975"/>
      <c r="O55" s="1097"/>
      <c r="P55" s="975"/>
      <c r="Q55" s="975"/>
      <c r="R55" s="975"/>
      <c r="S55" s="975"/>
      <c r="T55" s="1097"/>
      <c r="U55" s="975"/>
      <c r="V55" s="975"/>
      <c r="W55" s="975"/>
      <c r="X55" s="975"/>
      <c r="Y55" s="1097"/>
      <c r="Z55" s="975"/>
      <c r="AA55" s="975"/>
      <c r="AB55" s="975"/>
      <c r="AC55" s="975"/>
      <c r="AD55" s="1097"/>
      <c r="AE55" s="1887"/>
      <c r="AF55" s="975"/>
      <c r="AG55" s="975"/>
      <c r="AH55" s="1888"/>
      <c r="AI55" s="1097"/>
      <c r="AJ55" s="1887"/>
      <c r="AK55" s="975"/>
      <c r="AL55" s="975"/>
      <c r="AM55" s="1888"/>
      <c r="AN55" s="1097"/>
      <c r="AO55" s="1887"/>
      <c r="AP55" s="975"/>
      <c r="AQ55" s="975"/>
      <c r="AR55" s="1888"/>
      <c r="AS55" s="1097"/>
      <c r="AT55" s="1887"/>
      <c r="AU55" s="975"/>
      <c r="AV55" s="975"/>
      <c r="AW55" s="1888"/>
      <c r="AX55" s="1097"/>
      <c r="AY55" s="1887"/>
      <c r="AZ55" s="975"/>
      <c r="BA55" s="975"/>
      <c r="BB55" s="1888"/>
      <c r="BC55" s="1097"/>
    </row>
    <row r="56" spans="1:55" s="26" customFormat="1">
      <c r="A56" s="161"/>
      <c r="B56" s="214"/>
      <c r="C56" s="214"/>
      <c r="D56" s="214"/>
      <c r="E56" s="988" t="s">
        <v>27</v>
      </c>
      <c r="F56" s="992">
        <f>'US Retail'!CH101</f>
        <v>2.440962752901954E-3</v>
      </c>
      <c r="G56" s="992">
        <f>'US Retail'!CI101</f>
        <v>-3.0035004634609841E-5</v>
      </c>
      <c r="H56" s="992">
        <f>'US Retail'!CJ101</f>
        <v>4.6653717614410783E-3</v>
      </c>
      <c r="I56" s="992">
        <f>'US Retail'!CK101</f>
        <v>2.8353088206478638E-5</v>
      </c>
      <c r="J56" s="1098">
        <f>'US Retail'!CL101</f>
        <v>1.7835649295942224E-3</v>
      </c>
      <c r="K56" s="992">
        <f>'US Retail'!CM101</f>
        <v>-8.5793688458632167E-3</v>
      </c>
      <c r="L56" s="992">
        <f>'US Retail'!CN101</f>
        <v>-2.6506920754965635E-3</v>
      </c>
      <c r="M56" s="992">
        <f>'US Retail'!CO101</f>
        <v>4.1165843005611102E-4</v>
      </c>
      <c r="N56" s="992">
        <f>'US Retail'!CP101</f>
        <v>5.9795113375874509E-3</v>
      </c>
      <c r="O56" s="1098">
        <f>'US Retail'!CQ101</f>
        <v>-1.3585382115810507E-3</v>
      </c>
      <c r="P56" s="992">
        <f>'US Retail'!CR101</f>
        <v>1.9585552466326567E-2</v>
      </c>
      <c r="Q56" s="992">
        <f>'US Retail'!CS101</f>
        <v>1.9562248407283989E-2</v>
      </c>
      <c r="R56" s="992">
        <f>'US Retail'!CT101</f>
        <v>2.4430321866829335E-2</v>
      </c>
      <c r="S56" s="992">
        <f>'US Retail'!CU101</f>
        <v>1.5207371187307139E-2</v>
      </c>
      <c r="T56" s="1098">
        <f>'US Retail'!CV101</f>
        <v>1.9916831538000779E-2</v>
      </c>
      <c r="U56" s="992">
        <f>'US Retail'!CW101</f>
        <v>2.7535934465827694E-4</v>
      </c>
      <c r="V56" s="992">
        <f>'US Retail'!CX101</f>
        <v>-5.8987138025963226E-3</v>
      </c>
      <c r="W56" s="992">
        <f>'US Retail'!CY101</f>
        <v>-5.9442399008608482E-3</v>
      </c>
      <c r="X56" s="992">
        <f>'US Retail'!CZ101</f>
        <v>-1.0300425090868925E-2</v>
      </c>
      <c r="Y56" s="1098">
        <f>'US Retail'!DA101</f>
        <v>-5.5090601843379994E-3</v>
      </c>
      <c r="Z56" s="992">
        <f>'US Retail'!DB101</f>
        <v>-1.1588395217795644E-2</v>
      </c>
      <c r="AA56" s="992">
        <f>'US Retail'!DC101</f>
        <v>-1.4372426193063809E-2</v>
      </c>
      <c r="AB56" s="992">
        <f ca="1">'US Retail'!DD101</f>
        <v>-1.0683553231665921E-2</v>
      </c>
      <c r="AC56" s="992">
        <f ca="1">'US Retail'!DE101</f>
        <v>9.31157039265329E-4</v>
      </c>
      <c r="AD56" s="1098">
        <f ca="1">'US Retail'!DF101</f>
        <v>-9.0010140516155746E-3</v>
      </c>
      <c r="AE56" s="1889">
        <f>'US Retail'!DG101</f>
        <v>-4.147719917451359E-3</v>
      </c>
      <c r="AF56" s="992">
        <f ca="1">'US Retail'!DH101</f>
        <v>3.3639629965140083E-3</v>
      </c>
      <c r="AG56" s="992">
        <f ca="1">'US Retail'!DI101</f>
        <v>-7.9806806950531439E-3</v>
      </c>
      <c r="AH56" s="1890">
        <f ca="1">'US Retail'!DJ101</f>
        <v>-1.8660521044642664E-2</v>
      </c>
      <c r="AI56" s="1098">
        <f ca="1">'US Retail'!DK101</f>
        <v>-6.8094224908742396E-3</v>
      </c>
      <c r="AJ56" s="1889">
        <f>'US Retail'!DL101</f>
        <v>-4.6140820194630616E-3</v>
      </c>
      <c r="AK56" s="992">
        <f ca="1">'US Retail'!DM101</f>
        <v>-6.3198122973551207E-4</v>
      </c>
      <c r="AL56" s="992">
        <f ca="1">'US Retail'!DN101</f>
        <v>-9.2598834290507359E-3</v>
      </c>
      <c r="AM56" s="1890">
        <f ca="1">'US Retail'!DO101</f>
        <v>-1.2373349598316125E-2</v>
      </c>
      <c r="AN56" s="1098">
        <f ca="1">'US Retail'!DP101</f>
        <v>-6.9491259943875172E-3</v>
      </c>
      <c r="AO56" s="1889">
        <f>'US Retail'!DQ101</f>
        <v>-1.3024567611523763E-2</v>
      </c>
      <c r="AP56" s="992">
        <f ca="1">'US Retail'!DR101</f>
        <v>-4.2046834817774381E-3</v>
      </c>
      <c r="AQ56" s="992">
        <f ca="1">'US Retail'!DS101</f>
        <v>-1.029367564044259E-3</v>
      </c>
      <c r="AR56" s="1890">
        <f>'US Retail'!DT101</f>
        <v>-4.0918739090475831E-4</v>
      </c>
      <c r="AS56" s="1098">
        <f ca="1">'US Retail'!DU101</f>
        <v>-4.4123628991067365E-3</v>
      </c>
      <c r="AT56" s="1889">
        <f>'US Retail'!DV101</f>
        <v>2.8549415985568982E-3</v>
      </c>
      <c r="AU56" s="992">
        <f ca="1">'US Retail'!DW101</f>
        <v>3.0320797767627583E-3</v>
      </c>
      <c r="AV56" s="992">
        <f ca="1">'US Retail'!DX101</f>
        <v>2.1331650461259843E-3</v>
      </c>
      <c r="AW56" s="1890">
        <f>'US Retail'!DY101</f>
        <v>3.0022650974094178E-3</v>
      </c>
      <c r="AX56" s="1098">
        <f ca="1">'US Retail'!DZ101</f>
        <v>2.6384548684009468E-3</v>
      </c>
      <c r="AY56" s="1889">
        <f>'US Retail'!EA101</f>
        <v>2.8447805508888258E-3</v>
      </c>
      <c r="AZ56" s="992">
        <f ca="1">'US Retail'!EB101</f>
        <v>1.856537191461588E-3</v>
      </c>
      <c r="BA56" s="992">
        <f ca="1">'US Retail'!EC101</f>
        <v>1.7550610590271465E-3</v>
      </c>
      <c r="BB56" s="1890">
        <f>'US Retail'!ED101</f>
        <v>1.6353450707847217E-3</v>
      </c>
      <c r="BC56" s="1098">
        <f ca="1">'US Retail'!EE101</f>
        <v>2.0258097336677272E-3</v>
      </c>
    </row>
    <row r="57" spans="1:55" s="26" customFormat="1">
      <c r="A57" s="161"/>
      <c r="B57" s="214"/>
      <c r="C57" s="214"/>
      <c r="D57" s="214"/>
      <c r="E57" s="988" t="s">
        <v>28</v>
      </c>
      <c r="F57" s="992">
        <f>'US Retail'!CH169</f>
        <v>1.6200719044819123E-2</v>
      </c>
      <c r="G57" s="992">
        <f>'US Retail'!CI169</f>
        <v>-3.83440681044106E-3</v>
      </c>
      <c r="H57" s="992">
        <f>'US Retail'!CJ169</f>
        <v>2.9917552621974153E-3</v>
      </c>
      <c r="I57" s="992">
        <f>'US Retail'!CK169</f>
        <v>-1.1464981802499663E-2</v>
      </c>
      <c r="J57" s="1098">
        <f>'US Retail'!CL169</f>
        <v>8.2036536874990906E-4</v>
      </c>
      <c r="K57" s="992">
        <f>'US Retail'!CM169</f>
        <v>-5.3084036070627505E-4</v>
      </c>
      <c r="L57" s="992">
        <f>'US Retail'!CN169</f>
        <v>-1.4481857387948494E-3</v>
      </c>
      <c r="M57" s="992">
        <f>'US Retail'!CO169</f>
        <v>-4.9543361745944536E-3</v>
      </c>
      <c r="N57" s="992">
        <f>'US Retail'!CP169</f>
        <v>-1.1753918640509453E-2</v>
      </c>
      <c r="O57" s="1098">
        <f>'US Retail'!CQ169</f>
        <v>-4.3675012851200345E-3</v>
      </c>
      <c r="P57" s="992">
        <f>'US Retail'!CR169</f>
        <v>-2.6106309739198919E-3</v>
      </c>
      <c r="Q57" s="992">
        <f>'US Retail'!CS169</f>
        <v>3.5267214794809654E-4</v>
      </c>
      <c r="R57" s="992">
        <f>'US Retail'!CT169</f>
        <v>-3.3958269172864486E-2</v>
      </c>
      <c r="S57" s="992">
        <f>'US Retail'!CU169</f>
        <v>-9.3407038733006598E-3</v>
      </c>
      <c r="T57" s="1098">
        <f>'US Retail'!CV169</f>
        <v>-1.1584320451625718E-2</v>
      </c>
      <c r="U57" s="992">
        <f>'US Retail'!CW169</f>
        <v>-3.6263068622522709E-2</v>
      </c>
      <c r="V57" s="992">
        <f>'US Retail'!CX169</f>
        <v>-2.0653934081477587E-2</v>
      </c>
      <c r="W57" s="992">
        <f>'US Retail'!CY169</f>
        <v>-1.4602591086474992E-3</v>
      </c>
      <c r="X57" s="992">
        <f>'US Retail'!CZ169</f>
        <v>-6.5840482699952019E-3</v>
      </c>
      <c r="Y57" s="1098">
        <f>'US Retail'!DA169</f>
        <v>-1.6052054636299107E-2</v>
      </c>
      <c r="Z57" s="992">
        <f>'US Retail'!DB169</f>
        <v>-4.5099679879590515E-3</v>
      </c>
      <c r="AA57" s="992">
        <f>'US Retail'!DC169</f>
        <v>-1.1847894520741031E-2</v>
      </c>
      <c r="AB57" s="992">
        <f ca="1">'US Retail'!DD169</f>
        <v>-6.2778307982310211E-3</v>
      </c>
      <c r="AC57" s="992">
        <f ca="1">'US Retail'!DE169</f>
        <v>-4.899371858326429E-2</v>
      </c>
      <c r="AD57" s="1098">
        <f ca="1">'US Retail'!DF169</f>
        <v>-1.7806601378403286E-2</v>
      </c>
      <c r="AE57" s="1889">
        <f>'US Retail'!DG169</f>
        <v>5.7694491368082135E-4</v>
      </c>
      <c r="AF57" s="992">
        <f ca="1">'US Retail'!DH169</f>
        <v>-1.4586350165455286E-3</v>
      </c>
      <c r="AG57" s="992">
        <f ca="1">'US Retail'!DI169</f>
        <v>-6.7135648038424423E-4</v>
      </c>
      <c r="AH57" s="1890">
        <f ca="1">'US Retail'!DJ169</f>
        <v>2.9508055376544828E-2</v>
      </c>
      <c r="AI57" s="1098">
        <f ca="1">'US Retail'!DK169</f>
        <v>6.9766105290320346E-3</v>
      </c>
      <c r="AJ57" s="1889">
        <f>'US Retail'!DL169</f>
        <v>-1.3699339937905397E-3</v>
      </c>
      <c r="AK57" s="992">
        <f ca="1">'US Retail'!DM169</f>
        <v>-9.7228571369294414E-3</v>
      </c>
      <c r="AL57" s="992">
        <f ca="1">'US Retail'!DN169</f>
        <v>-1.7790263323512134E-2</v>
      </c>
      <c r="AM57" s="1890">
        <f ca="1">'US Retail'!DO169</f>
        <v>1.0729147594672472E-2</v>
      </c>
      <c r="AN57" s="1098">
        <f ca="1">'US Retail'!DP169</f>
        <v>-5.0059540614146858E-3</v>
      </c>
      <c r="AO57" s="1889">
        <f>'US Retail'!DQ169</f>
        <v>2.1678453699937039E-3</v>
      </c>
      <c r="AP57" s="992">
        <f>'US Retail'!DR169</f>
        <v>3.0000000000000001E-3</v>
      </c>
      <c r="AQ57" s="992">
        <f>'US Retail'!DS169</f>
        <v>5.0000000000000001E-3</v>
      </c>
      <c r="AR57" s="1890">
        <f>'US Retail'!DT169</f>
        <v>5.0000000000000001E-3</v>
      </c>
      <c r="AS57" s="1098">
        <f>'US Retail'!DU169</f>
        <v>3.4758791729845306E-3</v>
      </c>
      <c r="AT57" s="1889">
        <f>'US Retail'!DV169</f>
        <v>5.0000000000000001E-3</v>
      </c>
      <c r="AU57" s="992">
        <f>'US Retail'!DW169</f>
        <v>5.0000000000000001E-3</v>
      </c>
      <c r="AV57" s="992">
        <f>'US Retail'!DX169</f>
        <v>5.0000000000000001E-3</v>
      </c>
      <c r="AW57" s="1890">
        <f>'US Retail'!DY169</f>
        <v>5.0000000000000001E-3</v>
      </c>
      <c r="AX57" s="1098">
        <f>'US Retail'!DZ169</f>
        <v>5.0078207771439565E-3</v>
      </c>
      <c r="AY57" s="1889">
        <f>'US Retail'!EA169</f>
        <v>0</v>
      </c>
      <c r="AZ57" s="992">
        <f>'US Retail'!EB169</f>
        <v>0</v>
      </c>
      <c r="BA57" s="992">
        <f>'US Retail'!EC169</f>
        <v>0</v>
      </c>
      <c r="BB57" s="1890">
        <f>'US Retail'!ED169</f>
        <v>0</v>
      </c>
      <c r="BC57" s="1098">
        <f>'US Retail'!EE169</f>
        <v>-9.3226249304190212E-6</v>
      </c>
    </row>
    <row r="58" spans="1:55" s="26" customFormat="1">
      <c r="A58" s="161"/>
      <c r="B58" s="214"/>
      <c r="C58" s="214"/>
      <c r="D58" s="214"/>
      <c r="E58" s="988" t="s">
        <v>298</v>
      </c>
      <c r="F58" s="986"/>
      <c r="G58" s="986"/>
      <c r="H58" s="986"/>
      <c r="I58" s="986"/>
      <c r="J58" s="1092"/>
      <c r="K58" s="986">
        <f t="shared" ref="K58:AD58" si="41">K51-F51</f>
        <v>-3.9525045437021622E-3</v>
      </c>
      <c r="L58" s="986">
        <f t="shared" si="41"/>
        <v>2.019938507039909E-3</v>
      </c>
      <c r="M58" s="986">
        <f t="shared" si="41"/>
        <v>2.5543999498199854E-3</v>
      </c>
      <c r="N58" s="986">
        <f t="shared" si="41"/>
        <v>5.4593929046415357E-3</v>
      </c>
      <c r="O58" s="1092">
        <f t="shared" si="41"/>
        <v>1.521766504110067E-3</v>
      </c>
      <c r="P58" s="986">
        <f t="shared" si="41"/>
        <v>1.4061708091558878E-2</v>
      </c>
      <c r="Q58" s="986">
        <f t="shared" si="41"/>
        <v>1.1753697498516569E-2</v>
      </c>
      <c r="R58" s="986">
        <f t="shared" si="41"/>
        <v>5.8783968529609876E-3</v>
      </c>
      <c r="S58" s="986">
        <f t="shared" si="41"/>
        <v>-2.0358288416505443E-3</v>
      </c>
      <c r="T58" s="1092">
        <f t="shared" si="41"/>
        <v>7.4586215489757524E-3</v>
      </c>
      <c r="U58" s="986">
        <f t="shared" si="41"/>
        <v>-1.3122001582910547E-2</v>
      </c>
      <c r="V58" s="986">
        <f t="shared" si="41"/>
        <v>-1.3759846199310977E-2</v>
      </c>
      <c r="W58" s="986">
        <f t="shared" si="41"/>
        <v>-9.1941351667895743E-3</v>
      </c>
      <c r="X58" s="986">
        <f t="shared" si="41"/>
        <v>-9.9387503078846029E-3</v>
      </c>
      <c r="Y58" s="1092">
        <f t="shared" si="41"/>
        <v>-1.1516205544293279E-2</v>
      </c>
      <c r="Z58" s="986">
        <f t="shared" si="41"/>
        <v>-1.1022767729088001E-2</v>
      </c>
      <c r="AA58" s="986">
        <f t="shared" si="41"/>
        <v>-2.9738711240063109E-2</v>
      </c>
      <c r="AB58" s="986">
        <f t="shared" si="41"/>
        <v>-2.0312912446652009E-2</v>
      </c>
      <c r="AC58" s="986">
        <f t="shared" si="41"/>
        <v>-2.0415346360506625E-2</v>
      </c>
      <c r="AD58" s="1092">
        <f t="shared" si="41"/>
        <v>-2.1200127834068661E-2</v>
      </c>
      <c r="AE58" s="1085">
        <f t="shared" ref="AE58:AI60" si="42">AE51-Z51</f>
        <v>-1.3519005599046729E-2</v>
      </c>
      <c r="AF58" s="986">
        <f t="shared" si="42"/>
        <v>4.3841892208002498E-3</v>
      </c>
      <c r="AG58" s="986">
        <f t="shared" si="42"/>
        <v>-4.926618879785849E-3</v>
      </c>
      <c r="AH58" s="1891">
        <f t="shared" si="42"/>
        <v>-8.3975851627421938E-3</v>
      </c>
      <c r="AI58" s="1092">
        <f t="shared" si="42"/>
        <v>-4.7291882639731164E-3</v>
      </c>
      <c r="AJ58" s="1085">
        <f t="shared" ref="AJ58:AS60" si="43">AJ51-AE51</f>
        <v>-8.2695564333242766E-3</v>
      </c>
      <c r="AK58" s="986">
        <f t="shared" si="43"/>
        <v>-6.999466191456527E-3</v>
      </c>
      <c r="AL58" s="986">
        <f t="shared" si="43"/>
        <v>-1.8411197332168616E-2</v>
      </c>
      <c r="AM58" s="1891">
        <f t="shared" si="43"/>
        <v>-7.0138758289247649E-3</v>
      </c>
      <c r="AN58" s="1092">
        <f t="shared" si="43"/>
        <v>-1.0378759205282834E-2</v>
      </c>
      <c r="AO58" s="1085">
        <f t="shared" si="43"/>
        <v>-9.7455996761359742E-3</v>
      </c>
      <c r="AP58" s="986">
        <f t="shared" ca="1" si="43"/>
        <v>-9.7761024617301628E-3</v>
      </c>
      <c r="AQ58" s="986">
        <f t="shared" ca="1" si="43"/>
        <v>2.8554539716992011E-3</v>
      </c>
      <c r="AR58" s="1891">
        <f t="shared" si="43"/>
        <v>-3.0282678416158615E-3</v>
      </c>
      <c r="AS58" s="1092">
        <f t="shared" ca="1" si="43"/>
        <v>-4.785145770198479E-3</v>
      </c>
      <c r="AT58" s="1085">
        <f t="shared" ref="AT58:AT60" si="44">AT51-AO51</f>
        <v>-2.2376055254966498E-3</v>
      </c>
      <c r="AU58" s="986">
        <f t="shared" ref="AU58:AU60" ca="1" si="45">AU51-AP51</f>
        <v>6.9323454883418734E-4</v>
      </c>
      <c r="AV58" s="986">
        <f t="shared" ref="AV58:AV60" ca="1" si="46">AV51-AQ51</f>
        <v>2.1960829413914251E-3</v>
      </c>
      <c r="AW58" s="1891">
        <f t="shared" ref="AW58:AW60" si="47">AW51-AR51</f>
        <v>2.4779382321060694E-3</v>
      </c>
      <c r="AX58" s="1092">
        <f t="shared" ref="AX58:AX60" ca="1" si="48">AX51-AS51</f>
        <v>7.9291014577820285E-4</v>
      </c>
      <c r="AY58" s="1085">
        <f t="shared" ref="AY58:AY60" si="49">AY51-AT51</f>
        <v>1.3813800556255196E-3</v>
      </c>
      <c r="AZ58" s="986">
        <f t="shared" ref="AZ58:AZ60" ca="1" si="50">AZ51-AU51</f>
        <v>7.3171060402782429E-4</v>
      </c>
      <c r="BA58" s="986">
        <f t="shared" ref="BA58:BA60" ca="1" si="51">BA51-AV51</f>
        <v>9.6340821982832114E-4</v>
      </c>
      <c r="BB58" s="1891">
        <f t="shared" ref="BB58:BB60" si="52">BB51-AW51</f>
        <v>8.4570193216740308E-4</v>
      </c>
      <c r="BC58" s="1092">
        <f t="shared" ref="BC58:BC60" ca="1" si="53">BC51-AX51</f>
        <v>9.7675404008798483E-4</v>
      </c>
    </row>
    <row r="59" spans="1:55" s="26" customFormat="1">
      <c r="A59" s="161"/>
      <c r="B59" s="214"/>
      <c r="C59" s="214"/>
      <c r="D59" s="214"/>
      <c r="E59" s="988" t="s">
        <v>233</v>
      </c>
      <c r="F59" s="986"/>
      <c r="G59" s="986"/>
      <c r="H59" s="986"/>
      <c r="I59" s="986"/>
      <c r="J59" s="1092"/>
      <c r="K59" s="986">
        <f>K52-F52</f>
        <v>6.7811312441481975E-4</v>
      </c>
      <c r="L59" s="986">
        <f t="shared" ref="L59:AD59" si="54">L52-G52</f>
        <v>7.1762931627822046E-3</v>
      </c>
      <c r="M59" s="986">
        <f t="shared" si="54"/>
        <v>4.4849934560684257E-3</v>
      </c>
      <c r="N59" s="986">
        <f t="shared" si="54"/>
        <v>1.3051260918353041E-2</v>
      </c>
      <c r="O59" s="1092">
        <f t="shared" si="54"/>
        <v>6.1900882730259177E-3</v>
      </c>
      <c r="P59" s="986">
        <f t="shared" si="54"/>
        <v>2.2448707281003399E-2</v>
      </c>
      <c r="Q59" s="986">
        <f t="shared" si="54"/>
        <v>1.1472020759986518E-2</v>
      </c>
      <c r="R59" s="986">
        <f t="shared" si="54"/>
        <v>4.9219579360421373E-3</v>
      </c>
      <c r="S59" s="986">
        <f t="shared" si="54"/>
        <v>-9.978335667644056E-3</v>
      </c>
      <c r="T59" s="1092">
        <f t="shared" si="54"/>
        <v>7.3029797034718513E-3</v>
      </c>
      <c r="U59" s="986">
        <f t="shared" si="54"/>
        <v>-1.507373865385761E-2</v>
      </c>
      <c r="V59" s="986">
        <f t="shared" si="54"/>
        <v>-8.1120059721900284E-3</v>
      </c>
      <c r="W59" s="986">
        <f t="shared" si="54"/>
        <v>-3.6159113542105492E-3</v>
      </c>
      <c r="X59" s="986">
        <f t="shared" si="54"/>
        <v>-3.1277680018829412E-3</v>
      </c>
      <c r="Y59" s="1092">
        <f t="shared" si="54"/>
        <v>-7.3985977610012965E-3</v>
      </c>
      <c r="Z59" s="986">
        <f t="shared" si="54"/>
        <v>-1.1029252008813967E-2</v>
      </c>
      <c r="AA59" s="986">
        <f t="shared" si="54"/>
        <v>-2.2086774516222762E-2</v>
      </c>
      <c r="AB59" s="986">
        <f t="shared" si="54"/>
        <v>-2.3427768633590473E-2</v>
      </c>
      <c r="AC59" s="986">
        <f t="shared" si="54"/>
        <v>-1.0361434490883698E-2</v>
      </c>
      <c r="AD59" s="1092">
        <f t="shared" si="54"/>
        <v>-1.7326692118556836E-2</v>
      </c>
      <c r="AE59" s="1085">
        <f t="shared" si="42"/>
        <v>-2.0049296818448636E-2</v>
      </c>
      <c r="AF59" s="986">
        <f t="shared" si="42"/>
        <v>-9.4022757586433026E-3</v>
      </c>
      <c r="AG59" s="986">
        <f t="shared" si="42"/>
        <v>-8.8628680386134973E-3</v>
      </c>
      <c r="AH59" s="1891">
        <f t="shared" si="42"/>
        <v>-1.4167347547295372E-2</v>
      </c>
      <c r="AI59" s="1092">
        <f t="shared" si="42"/>
        <v>-1.2538817405056607E-2</v>
      </c>
      <c r="AJ59" s="1085">
        <f t="shared" si="43"/>
        <v>-8.3306946359800182E-3</v>
      </c>
      <c r="AK59" s="986">
        <f t="shared" si="43"/>
        <v>6.4101759789611801E-3</v>
      </c>
      <c r="AL59" s="986">
        <f t="shared" si="43"/>
        <v>-1.263087317936662E-2</v>
      </c>
      <c r="AM59" s="1891">
        <f t="shared" si="43"/>
        <v>-4.9952732550000156E-3</v>
      </c>
      <c r="AN59" s="1092">
        <f t="shared" si="43"/>
        <v>-4.8342970326676615E-3</v>
      </c>
      <c r="AO59" s="1085">
        <f t="shared" si="43"/>
        <v>-7.3417198182068044E-3</v>
      </c>
      <c r="AP59" s="986">
        <f t="shared" ca="1" si="43"/>
        <v>-1.6848451758617877E-2</v>
      </c>
      <c r="AQ59" s="986">
        <f t="shared" ca="1" si="43"/>
        <v>-4.1802767373061434E-4</v>
      </c>
      <c r="AR59" s="1891">
        <f t="shared" si="43"/>
        <v>-1.7084700245981521E-2</v>
      </c>
      <c r="AS59" s="1092">
        <f t="shared" ca="1" si="43"/>
        <v>-1.0439841948521378E-2</v>
      </c>
      <c r="AT59" s="1085">
        <f t="shared" si="44"/>
        <v>-2.4128730380593988E-3</v>
      </c>
      <c r="AU59" s="986">
        <f t="shared" ca="1" si="45"/>
        <v>8.9323575179880987E-4</v>
      </c>
      <c r="AV59" s="986">
        <f t="shared" ca="1" si="46"/>
        <v>-2.7835212469285442E-3</v>
      </c>
      <c r="AW59" s="1891">
        <f t="shared" si="47"/>
        <v>-3.7451130761800289E-3</v>
      </c>
      <c r="AX59" s="1092">
        <f t="shared" ca="1" si="48"/>
        <v>-1.9729605032039466E-3</v>
      </c>
      <c r="AY59" s="1085">
        <f t="shared" si="49"/>
        <v>8.430262237864028E-4</v>
      </c>
      <c r="AZ59" s="986">
        <f t="shared" ca="1" si="50"/>
        <v>9.9229775068562787E-4</v>
      </c>
      <c r="BA59" s="986">
        <f t="shared" ca="1" si="51"/>
        <v>7.8561080455016863E-4</v>
      </c>
      <c r="BB59" s="1891">
        <f t="shared" si="52"/>
        <v>5.9537297915246423E-4</v>
      </c>
      <c r="BC59" s="1092">
        <f t="shared" ca="1" si="53"/>
        <v>8.0288262347558148E-4</v>
      </c>
    </row>
    <row r="60" spans="1:55" s="26" customFormat="1">
      <c r="A60" s="161"/>
      <c r="B60" s="214"/>
      <c r="C60" s="214"/>
      <c r="D60" s="214"/>
      <c r="E60" s="988" t="s">
        <v>192</v>
      </c>
      <c r="F60" s="986"/>
      <c r="G60" s="986"/>
      <c r="H60" s="986"/>
      <c r="I60" s="986"/>
      <c r="J60" s="1092"/>
      <c r="K60" s="986">
        <f t="shared" ref="K60:T60" si="55">K53-F53</f>
        <v>-4.6874139450349683E-3</v>
      </c>
      <c r="L60" s="986">
        <f t="shared" si="55"/>
        <v>-5.9900376608027078E-3</v>
      </c>
      <c r="M60" s="986">
        <f t="shared" si="55"/>
        <v>-2.5888134523598741E-3</v>
      </c>
      <c r="N60" s="986">
        <f t="shared" si="55"/>
        <v>-3.6139314235257666E-2</v>
      </c>
      <c r="O60" s="1092">
        <f t="shared" si="55"/>
        <v>-1.2112863821601386E-2</v>
      </c>
      <c r="P60" s="986">
        <f t="shared" si="55"/>
        <v>-8.8538691419123225E-3</v>
      </c>
      <c r="Q60" s="986">
        <f t="shared" si="55"/>
        <v>5.9117812308728118E-3</v>
      </c>
      <c r="R60" s="986">
        <f t="shared" si="55"/>
        <v>4.9370059665748631E-3</v>
      </c>
      <c r="S60" s="986">
        <f t="shared" si="55"/>
        <v>2.3031462130016209E-2</v>
      </c>
      <c r="T60" s="1092">
        <f t="shared" si="55"/>
        <v>6.2001905545843172E-3</v>
      </c>
      <c r="U60" s="986">
        <f t="shared" ref="U60:AD60" si="56">U53-P53</f>
        <v>9.6981248298832479E-3</v>
      </c>
      <c r="V60" s="986">
        <f t="shared" si="56"/>
        <v>-1.2350425980964252E-4</v>
      </c>
      <c r="W60" s="986">
        <f t="shared" si="56"/>
        <v>-1.2306914595268115E-3</v>
      </c>
      <c r="X60" s="986">
        <f t="shared" si="56"/>
        <v>-6.5072048777584518E-3</v>
      </c>
      <c r="Y60" s="1092">
        <f t="shared" si="56"/>
        <v>3.4324565595755113E-4</v>
      </c>
      <c r="Z60" s="986">
        <f t="shared" si="56"/>
        <v>3.49009938933207E-3</v>
      </c>
      <c r="AA60" s="986">
        <f t="shared" si="56"/>
        <v>-1.3214913942222822E-2</v>
      </c>
      <c r="AB60" s="986">
        <f t="shared" si="56"/>
        <v>-4.2295917083735451E-3</v>
      </c>
      <c r="AC60" s="986">
        <f t="shared" si="56"/>
        <v>-2.15367501031021E-2</v>
      </c>
      <c r="AD60" s="1092">
        <f t="shared" si="56"/>
        <v>-9.7751715553473159E-3</v>
      </c>
      <c r="AE60" s="1085">
        <f t="shared" si="42"/>
        <v>-3.3388626580086178E-3</v>
      </c>
      <c r="AF60" s="986">
        <f t="shared" si="42"/>
        <v>9.8025353678437219E-3</v>
      </c>
      <c r="AG60" s="986">
        <f t="shared" si="42"/>
        <v>3.3153448023369933E-3</v>
      </c>
      <c r="AH60" s="1891">
        <f t="shared" si="42"/>
        <v>1.0499321809689276E-2</v>
      </c>
      <c r="AI60" s="1092">
        <f t="shared" si="42"/>
        <v>6.0113215279787025E-3</v>
      </c>
      <c r="AJ60" s="1085">
        <f t="shared" si="43"/>
        <v>2.06996140847647E-4</v>
      </c>
      <c r="AK60" s="986">
        <f t="shared" si="43"/>
        <v>-1.1394516268883326E-2</v>
      </c>
      <c r="AL60" s="986">
        <f t="shared" si="43"/>
        <v>-1.6010746907756876E-3</v>
      </c>
      <c r="AM60" s="1891">
        <f t="shared" si="43"/>
        <v>-2.8602134194134765E-3</v>
      </c>
      <c r="AN60" s="1092">
        <f t="shared" si="43"/>
        <v>-4.1292181310871937E-3</v>
      </c>
      <c r="AO60" s="1085">
        <f t="shared" si="43"/>
        <v>-7.3413910963915779E-3</v>
      </c>
      <c r="AP60" s="986">
        <f t="shared" ca="1" si="43"/>
        <v>8.1204570010039584E-3</v>
      </c>
      <c r="AQ60" s="986">
        <f t="shared" ca="1" si="43"/>
        <v>3.4832886822132592E-3</v>
      </c>
      <c r="AR60" s="1891">
        <f t="shared" si="43"/>
        <v>1.7627178889662518E-2</v>
      </c>
      <c r="AS60" s="1092">
        <f t="shared" ca="1" si="43"/>
        <v>5.7382768310842783E-3</v>
      </c>
      <c r="AT60" s="1085">
        <f t="shared" si="44"/>
        <v>7.2811402148849E-3</v>
      </c>
      <c r="AU60" s="986">
        <f t="shared" ca="1" si="45"/>
        <v>-2.0980603017737437E-4</v>
      </c>
      <c r="AV60" s="986">
        <f t="shared" ca="1" si="46"/>
        <v>4.8547214821456908E-3</v>
      </c>
      <c r="AW60" s="1891">
        <f t="shared" si="47"/>
        <v>6.2420172739442448E-3</v>
      </c>
      <c r="AX60" s="1092">
        <f t="shared" ca="1" si="48"/>
        <v>4.3822035147354985E-3</v>
      </c>
      <c r="AY60" s="1085">
        <f t="shared" si="49"/>
        <v>5.254729795077448E-4</v>
      </c>
      <c r="AZ60" s="986">
        <f t="shared" ca="1" si="50"/>
        <v>-2.7429756797240495E-4</v>
      </c>
      <c r="BA60" s="986">
        <f t="shared" ca="1" si="51"/>
        <v>1.553505054919524E-4</v>
      </c>
      <c r="BB60" s="1891">
        <f t="shared" si="52"/>
        <v>1.8105912127534818E-4</v>
      </c>
      <c r="BC60" s="1092">
        <f t="shared" ca="1" si="53"/>
        <v>1.4506194520529786E-4</v>
      </c>
    </row>
    <row r="61" spans="1:55" s="26" customFormat="1">
      <c r="A61" s="161"/>
      <c r="B61" s="214"/>
      <c r="C61" s="214"/>
      <c r="D61" s="214"/>
      <c r="E61" s="988"/>
      <c r="F61" s="986"/>
      <c r="G61" s="986"/>
      <c r="H61" s="986"/>
      <c r="I61" s="986"/>
      <c r="J61" s="1092"/>
      <c r="K61" s="986"/>
      <c r="L61" s="986"/>
      <c r="M61" s="986"/>
      <c r="N61" s="986"/>
      <c r="O61" s="1092"/>
      <c r="P61" s="986"/>
      <c r="Q61" s="986"/>
      <c r="R61" s="986"/>
      <c r="S61" s="986"/>
      <c r="T61" s="1092"/>
      <c r="U61" s="986"/>
      <c r="V61" s="986"/>
      <c r="W61" s="986"/>
      <c r="X61" s="986"/>
      <c r="Y61" s="1092"/>
      <c r="Z61" s="986"/>
      <c r="AA61" s="986"/>
      <c r="AB61" s="986"/>
      <c r="AC61" s="986"/>
      <c r="AD61" s="1092"/>
      <c r="AE61" s="1085"/>
      <c r="AF61" s="986"/>
      <c r="AG61" s="986"/>
      <c r="AH61" s="1891"/>
      <c r="AI61" s="1092"/>
      <c r="AJ61" s="1085"/>
      <c r="AK61" s="986"/>
      <c r="AL61" s="986"/>
      <c r="AM61" s="1891"/>
      <c r="AN61" s="1092"/>
      <c r="AO61" s="1085"/>
      <c r="AP61" s="986"/>
      <c r="AQ61" s="986"/>
      <c r="AR61" s="1891"/>
      <c r="AS61" s="1092"/>
      <c r="AT61" s="1085"/>
      <c r="AU61" s="986"/>
      <c r="AV61" s="986"/>
      <c r="AW61" s="1891"/>
      <c r="AX61" s="1092"/>
      <c r="AY61" s="1085"/>
      <c r="AZ61" s="986"/>
      <c r="BA61" s="986"/>
      <c r="BB61" s="1891"/>
      <c r="BC61" s="1092"/>
    </row>
    <row r="62" spans="1:55" s="46" customFormat="1">
      <c r="A62" s="161"/>
      <c r="B62" s="993"/>
      <c r="C62" s="993"/>
      <c r="D62" s="993"/>
      <c r="E62" s="994" t="s">
        <v>441</v>
      </c>
      <c r="F62" s="995"/>
      <c r="G62" s="995"/>
      <c r="H62" s="995"/>
      <c r="I62" s="995"/>
      <c r="J62" s="1099"/>
      <c r="K62" s="995"/>
      <c r="L62" s="995"/>
      <c r="M62" s="995"/>
      <c r="N62" s="995"/>
      <c r="O62" s="1099"/>
      <c r="P62" s="995"/>
      <c r="Q62" s="995"/>
      <c r="R62" s="995"/>
      <c r="S62" s="995"/>
      <c r="T62" s="1099"/>
      <c r="U62" s="995"/>
      <c r="V62" s="995"/>
      <c r="W62" s="995"/>
      <c r="X62" s="995"/>
      <c r="Y62" s="1099"/>
      <c r="Z62" s="995"/>
      <c r="AA62" s="995"/>
      <c r="AB62" s="995"/>
      <c r="AC62" s="995"/>
      <c r="AD62" s="1099"/>
      <c r="AE62" s="1892"/>
      <c r="AF62" s="995"/>
      <c r="AG62" s="995"/>
      <c r="AH62" s="1893"/>
      <c r="AI62" s="1099"/>
      <c r="AJ62" s="1892"/>
      <c r="AK62" s="995"/>
      <c r="AL62" s="995"/>
      <c r="AM62" s="1893"/>
      <c r="AN62" s="1099"/>
      <c r="AO62" s="1892"/>
      <c r="AP62" s="995"/>
      <c r="AQ62" s="995"/>
      <c r="AR62" s="1893"/>
      <c r="AS62" s="1099"/>
      <c r="AT62" s="1892"/>
      <c r="AU62" s="995"/>
      <c r="AV62" s="995"/>
      <c r="AW62" s="1893"/>
      <c r="AX62" s="1099"/>
      <c r="AY62" s="1892"/>
      <c r="AZ62" s="995"/>
      <c r="BA62" s="995"/>
      <c r="BB62" s="1893"/>
      <c r="BC62" s="1099"/>
    </row>
    <row r="63" spans="1:55" s="26" customFormat="1">
      <c r="A63" s="161"/>
      <c r="B63" s="214"/>
      <c r="C63" s="214"/>
      <c r="D63" s="214"/>
      <c r="E63" s="988" t="s">
        <v>25</v>
      </c>
      <c r="F63" s="986"/>
      <c r="G63" s="986"/>
      <c r="H63" s="986"/>
      <c r="I63" s="986"/>
      <c r="J63" s="1092"/>
      <c r="K63" s="986">
        <f>K16/F16-1</f>
        <v>4.6875E-2</v>
      </c>
      <c r="L63" s="986">
        <f>L16/G16-1</f>
        <v>8.053183439628242E-3</v>
      </c>
      <c r="M63" s="986">
        <f>M16/H16-1</f>
        <v>-3.3694409667410552E-2</v>
      </c>
      <c r="N63" s="986">
        <f>N16/I16-1</f>
        <v>-4.975788946401738E-2</v>
      </c>
      <c r="O63" s="1092">
        <f>O16/J16-1</f>
        <v>-7.633270530865599E-3</v>
      </c>
      <c r="P63" s="986">
        <f t="shared" ref="P63:Y66" si="57">P16/K16-1</f>
        <v>-4.6318224376273642E-2</v>
      </c>
      <c r="Q63" s="986">
        <f t="shared" si="57"/>
        <v>-2.1446571229422062E-4</v>
      </c>
      <c r="R63" s="986">
        <f t="shared" si="57"/>
        <v>3.16020730058586E-2</v>
      </c>
      <c r="S63" s="986">
        <f t="shared" si="57"/>
        <v>5.0840508405084028E-2</v>
      </c>
      <c r="T63" s="1092">
        <f t="shared" si="57"/>
        <v>8.1526670668545798E-3</v>
      </c>
      <c r="U63" s="986">
        <f t="shared" si="57"/>
        <v>5.8500808500808521E-2</v>
      </c>
      <c r="V63" s="986">
        <f t="shared" si="57"/>
        <v>5.1375556389767763E-2</v>
      </c>
      <c r="W63" s="986">
        <f t="shared" si="57"/>
        <v>5.9411347130453818E-2</v>
      </c>
      <c r="X63" s="986">
        <f t="shared" si="57"/>
        <v>6.2203890530070804E-2</v>
      </c>
      <c r="Y63" s="1092">
        <f t="shared" si="57"/>
        <v>5.7811872550784349E-2</v>
      </c>
      <c r="Z63" s="986">
        <f t="shared" ref="Z63:AD66" si="58">Z16/U16-1</f>
        <v>6.6833978940476824E-2</v>
      </c>
      <c r="AA63" s="986">
        <f t="shared" si="58"/>
        <v>0.3554195358326957</v>
      </c>
      <c r="AB63" s="986">
        <f t="shared" si="58"/>
        <v>0.48420184526570798</v>
      </c>
      <c r="AC63" s="986">
        <f t="shared" si="58"/>
        <v>0.49666789106365106</v>
      </c>
      <c r="AD63" s="1092">
        <f t="shared" si="58"/>
        <v>0.35412085035082197</v>
      </c>
      <c r="AE63" s="1085">
        <f t="shared" ref="AE63:AI66" si="59">AE16/Z16-1</f>
        <v>0.48476015137567763</v>
      </c>
      <c r="AF63" s="986">
        <f t="shared" si="59"/>
        <v>0.13588981296805036</v>
      </c>
      <c r="AG63" s="986">
        <f t="shared" si="59"/>
        <v>2.4413960757075914E-2</v>
      </c>
      <c r="AH63" s="1891">
        <f t="shared" si="59"/>
        <v>3.9969146623659579E-3</v>
      </c>
      <c r="AI63" s="1092">
        <f t="shared" si="59"/>
        <v>0.13443989018212754</v>
      </c>
      <c r="AJ63" s="1085">
        <f t="shared" ref="AJ63:AS66" si="60">AJ16/AE16-1</f>
        <v>-1.8323976165053546E-2</v>
      </c>
      <c r="AK63" s="986">
        <f t="shared" si="60"/>
        <v>-2.4450039756162223E-2</v>
      </c>
      <c r="AL63" s="986">
        <f t="shared" si="60"/>
        <v>2.1018374127059536E-2</v>
      </c>
      <c r="AM63" s="1891">
        <f t="shared" si="60"/>
        <v>5.2835591563067386E-2</v>
      </c>
      <c r="AN63" s="1092">
        <f t="shared" si="60"/>
        <v>7.3540063569974556E-3</v>
      </c>
      <c r="AO63" s="1085">
        <f t="shared" si="60"/>
        <v>7.8558647065015252E-2</v>
      </c>
      <c r="AP63" s="986">
        <f t="shared" ca="1" si="60"/>
        <v>0.13994640007999948</v>
      </c>
      <c r="AQ63" s="986">
        <f t="shared" ca="1" si="60"/>
        <v>0.1238053655435285</v>
      </c>
      <c r="AR63" s="1891">
        <f t="shared" si="60"/>
        <v>0.10454685759207449</v>
      </c>
      <c r="AS63" s="1092">
        <f t="shared" ca="1" si="60"/>
        <v>0.11200547232763558</v>
      </c>
      <c r="AT63" s="1085">
        <f t="shared" ref="AT63:AT66" si="61">AT16/AO16-1</f>
        <v>8.2961567978974582E-2</v>
      </c>
      <c r="AU63" s="986">
        <f t="shared" ref="AU63:AU66" ca="1" si="62">AU16/AP16-1</f>
        <v>2.365530662137183E-2</v>
      </c>
      <c r="AV63" s="986">
        <f t="shared" ref="AV63:AV66" ca="1" si="63">AV16/AQ16-1</f>
        <v>1.5279553866601514E-2</v>
      </c>
      <c r="AW63" s="1891">
        <f t="shared" ref="AW63:AW66" si="64">AW16/AR16-1</f>
        <v>1.5054031326703576E-2</v>
      </c>
      <c r="AX63" s="1092">
        <f t="shared" ref="AX63:AX66" ca="1" si="65">AX16/AS16-1</f>
        <v>3.3188265002482842E-2</v>
      </c>
      <c r="AY63" s="1085">
        <f t="shared" ref="AY63:AY66" si="66">AY16/AT16-1</f>
        <v>1.7966565444672122E-2</v>
      </c>
      <c r="AZ63" s="986">
        <f t="shared" ref="AZ63:AZ66" ca="1" si="67">AZ16/AU16-1</f>
        <v>1.7424016489295813E-2</v>
      </c>
      <c r="BA63" s="986">
        <f t="shared" ref="BA63:BA66" ca="1" si="68">BA16/AV16-1</f>
        <v>1.8330394784415338E-2</v>
      </c>
      <c r="BB63" s="1891">
        <f t="shared" ref="BB63:BB66" si="69">BB16/AW16-1</f>
        <v>1.9312540882501228E-2</v>
      </c>
      <c r="BC63" s="1092">
        <f t="shared" ref="BC63:BC66" ca="1" si="70">BC16/AX16-1</f>
        <v>1.8256345773330906E-2</v>
      </c>
    </row>
    <row r="64" spans="1:55" s="26" customFormat="1">
      <c r="A64" s="161"/>
      <c r="B64" s="214"/>
      <c r="C64" s="214"/>
      <c r="D64" s="214"/>
      <c r="E64" s="988" t="s">
        <v>232</v>
      </c>
      <c r="F64" s="986"/>
      <c r="G64" s="986"/>
      <c r="H64" s="986"/>
      <c r="I64" s="986"/>
      <c r="J64" s="1092"/>
      <c r="K64" s="986">
        <f t="shared" ref="K64:O66" si="71">K17/F17-1</f>
        <v>3.2484459594946946E-2</v>
      </c>
      <c r="L64" s="986">
        <f t="shared" si="71"/>
        <v>1.5055762081784385E-2</v>
      </c>
      <c r="M64" s="986">
        <f t="shared" si="71"/>
        <v>-2.4980784012298196E-2</v>
      </c>
      <c r="N64" s="986">
        <f t="shared" si="71"/>
        <v>-3.1585104308832102E-2</v>
      </c>
      <c r="O64" s="1092">
        <f t="shared" si="71"/>
        <v>-2.3671497584540901E-3</v>
      </c>
      <c r="P64" s="986">
        <f t="shared" si="57"/>
        <v>9.7106234220234455E-4</v>
      </c>
      <c r="Q64" s="986">
        <f t="shared" si="57"/>
        <v>3.9919428676066682E-2</v>
      </c>
      <c r="R64" s="986">
        <f t="shared" si="57"/>
        <v>5.2818289318092182E-2</v>
      </c>
      <c r="S64" s="986">
        <f t="shared" si="57"/>
        <v>4.3487014294342652E-2</v>
      </c>
      <c r="T64" s="1092">
        <f t="shared" si="57"/>
        <v>3.4235630235823988E-2</v>
      </c>
      <c r="U64" s="986">
        <f t="shared" si="57"/>
        <v>1.1835467597982152E-2</v>
      </c>
      <c r="V64" s="986">
        <f t="shared" si="57"/>
        <v>3.8739214650467257E-3</v>
      </c>
      <c r="W64" s="986">
        <f t="shared" si="57"/>
        <v>2.6020217147135982E-2</v>
      </c>
      <c r="X64" s="986">
        <f t="shared" si="57"/>
        <v>2.566081420027011E-2</v>
      </c>
      <c r="Y64" s="1092">
        <f t="shared" si="57"/>
        <v>1.662140649873578E-2</v>
      </c>
      <c r="Z64" s="986">
        <f t="shared" si="58"/>
        <v>2.5503355704697972E-2</v>
      </c>
      <c r="AA64" s="986">
        <f t="shared" si="58"/>
        <v>0.21680406946149788</v>
      </c>
      <c r="AB64" s="986">
        <f t="shared" si="58"/>
        <v>0.37748586024448083</v>
      </c>
      <c r="AC64" s="986">
        <f t="shared" si="58"/>
        <v>0.3871331828442437</v>
      </c>
      <c r="AD64" s="1092">
        <f t="shared" si="58"/>
        <v>0.2531202505411505</v>
      </c>
      <c r="AE64" s="1085">
        <f t="shared" si="59"/>
        <v>0.41136873597606582</v>
      </c>
      <c r="AF64" s="986">
        <f t="shared" si="59"/>
        <v>0.15496612368458984</v>
      </c>
      <c r="AG64" s="986">
        <f t="shared" si="59"/>
        <v>5.1655629139073511E-3</v>
      </c>
      <c r="AH64" s="1891">
        <f t="shared" si="59"/>
        <v>-2.861404936262546E-2</v>
      </c>
      <c r="AI64" s="1092">
        <f t="shared" si="59"/>
        <v>0.11404314748796351</v>
      </c>
      <c r="AJ64" s="1085">
        <f t="shared" si="60"/>
        <v>-4.9549549549549599E-2</v>
      </c>
      <c r="AK64" s="986">
        <f t="shared" si="60"/>
        <v>-5.0174737893160293E-2</v>
      </c>
      <c r="AL64" s="986">
        <f t="shared" si="60"/>
        <v>-5.2049018315983631E-2</v>
      </c>
      <c r="AM64" s="1891">
        <f t="shared" si="60"/>
        <v>2.3314253804271878E-2</v>
      </c>
      <c r="AN64" s="1092">
        <f t="shared" si="60"/>
        <v>-3.3122195830034284E-2</v>
      </c>
      <c r="AO64" s="1085">
        <f t="shared" si="60"/>
        <v>3.6799553944800723E-2</v>
      </c>
      <c r="AP64" s="986">
        <f t="shared" ca="1" si="60"/>
        <v>9.6825101884702836E-2</v>
      </c>
      <c r="AQ64" s="986">
        <f t="shared" ca="1" si="60"/>
        <v>0.13723987955855343</v>
      </c>
      <c r="AR64" s="1891">
        <f t="shared" si="60"/>
        <v>9.0789109086255815E-2</v>
      </c>
      <c r="AS64" s="1092">
        <f t="shared" ca="1" si="60"/>
        <v>9.0542749027196612E-2</v>
      </c>
      <c r="AT64" s="1085">
        <f t="shared" si="61"/>
        <v>7.294672234362487E-2</v>
      </c>
      <c r="AU64" s="986">
        <f t="shared" ca="1" si="62"/>
        <v>2.6509100762463822E-2</v>
      </c>
      <c r="AV64" s="986">
        <f t="shared" ca="1" si="63"/>
        <v>2.4503762022633824E-2</v>
      </c>
      <c r="AW64" s="1891">
        <f t="shared" si="64"/>
        <v>2.55299453454092E-2</v>
      </c>
      <c r="AX64" s="1092">
        <f t="shared" ca="1" si="65"/>
        <v>3.6557648152294231E-2</v>
      </c>
      <c r="AY64" s="1085">
        <f t="shared" si="66"/>
        <v>2.3832392736734764E-2</v>
      </c>
      <c r="AZ64" s="986">
        <f t="shared" ca="1" si="67"/>
        <v>2.0409543284209075E-2</v>
      </c>
      <c r="BA64" s="986">
        <f t="shared" ca="1" si="68"/>
        <v>2.2352615078400362E-2</v>
      </c>
      <c r="BB64" s="1891">
        <f t="shared" si="69"/>
        <v>2.2866216585027299E-2</v>
      </c>
      <c r="BC64" s="1092">
        <f t="shared" ca="1" si="70"/>
        <v>2.2333670545821693E-2</v>
      </c>
    </row>
    <row r="65" spans="1:55" s="26" customFormat="1">
      <c r="A65" s="161"/>
      <c r="B65" s="214"/>
      <c r="C65" s="214"/>
      <c r="D65" s="214"/>
      <c r="E65" s="988" t="s">
        <v>445</v>
      </c>
      <c r="F65" s="986"/>
      <c r="G65" s="986"/>
      <c r="H65" s="986"/>
      <c r="I65" s="986"/>
      <c r="J65" s="1092"/>
      <c r="K65" s="986">
        <f t="shared" si="71"/>
        <v>4.9950049950050035E-2</v>
      </c>
      <c r="L65" s="986">
        <f t="shared" si="71"/>
        <v>4.056351712411943E-2</v>
      </c>
      <c r="M65" s="986">
        <f t="shared" si="71"/>
        <v>-1.4751368070425874E-2</v>
      </c>
      <c r="N65" s="986">
        <f t="shared" si="71"/>
        <v>2.8321925890959498E-3</v>
      </c>
      <c r="O65" s="1092">
        <f t="shared" si="71"/>
        <v>1.9141356198297155E-2</v>
      </c>
      <c r="P65" s="986">
        <f t="shared" si="57"/>
        <v>4.6146527117031377E-2</v>
      </c>
      <c r="Q65" s="986">
        <f t="shared" si="57"/>
        <v>4.9719887955182118E-2</v>
      </c>
      <c r="R65" s="986">
        <f t="shared" si="57"/>
        <v>5.3368751509297319E-2</v>
      </c>
      <c r="S65" s="986">
        <f t="shared" si="57"/>
        <v>8.707931277947667E-3</v>
      </c>
      <c r="T65" s="1092">
        <f t="shared" si="57"/>
        <v>3.9400402891337727E-2</v>
      </c>
      <c r="U65" s="986">
        <f t="shared" si="57"/>
        <v>-4.3201455206912653E-3</v>
      </c>
      <c r="V65" s="986">
        <f t="shared" si="57"/>
        <v>1.6010673782521634E-2</v>
      </c>
      <c r="W65" s="986">
        <f t="shared" si="57"/>
        <v>4.3328748280605289E-2</v>
      </c>
      <c r="X65" s="986">
        <f t="shared" si="57"/>
        <v>4.8296780214652335E-2</v>
      </c>
      <c r="Y65" s="1092">
        <f t="shared" si="57"/>
        <v>2.5594254118451731E-2</v>
      </c>
      <c r="Z65" s="986">
        <f t="shared" si="58"/>
        <v>1.7583923270152901E-2</v>
      </c>
      <c r="AA65" s="986">
        <f t="shared" si="58"/>
        <v>0.2269643247975488</v>
      </c>
      <c r="AB65" s="986">
        <f t="shared" si="58"/>
        <v>0.33597011645792141</v>
      </c>
      <c r="AC65" s="986">
        <f t="shared" si="58"/>
        <v>0.43089249944357899</v>
      </c>
      <c r="AD65" s="1092">
        <f t="shared" si="58"/>
        <v>0.25450200088928421</v>
      </c>
      <c r="AE65" s="1085">
        <f t="shared" si="59"/>
        <v>0.35412926391382404</v>
      </c>
      <c r="AF65" s="986">
        <f t="shared" si="59"/>
        <v>8.526578665715312E-2</v>
      </c>
      <c r="AG65" s="986">
        <f t="shared" si="59"/>
        <v>-1.8585526315789469E-2</v>
      </c>
      <c r="AH65" s="1891">
        <f t="shared" si="59"/>
        <v>-5.9107170633068917E-2</v>
      </c>
      <c r="AI65" s="1092">
        <f t="shared" si="59"/>
        <v>6.9248150281334464E-2</v>
      </c>
      <c r="AJ65" s="1085">
        <f t="shared" si="60"/>
        <v>-5.7673185283394046E-2</v>
      </c>
      <c r="AK65" s="986">
        <f t="shared" si="60"/>
        <v>6.5746219592373034E-3</v>
      </c>
      <c r="AL65" s="986">
        <f t="shared" si="60"/>
        <v>-4.2735042735042694E-2</v>
      </c>
      <c r="AM65" s="1891">
        <f t="shared" si="60"/>
        <v>2.7938502231773743E-2</v>
      </c>
      <c r="AN65" s="1092">
        <f t="shared" si="60"/>
        <v>-1.6325515869727303E-2</v>
      </c>
      <c r="AO65" s="1085">
        <f t="shared" si="60"/>
        <v>3.8867393598311706E-2</v>
      </c>
      <c r="AP65" s="986">
        <f t="shared" si="60"/>
        <v>4.7596685843228403E-2</v>
      </c>
      <c r="AQ65" s="986">
        <f t="shared" si="60"/>
        <v>0.12132831958306611</v>
      </c>
      <c r="AR65" s="1891">
        <f t="shared" si="60"/>
        <v>1.3048415000965763E-2</v>
      </c>
      <c r="AS65" s="1092">
        <f t="shared" si="60"/>
        <v>5.4197325612401537E-2</v>
      </c>
      <c r="AT65" s="1085">
        <f t="shared" si="61"/>
        <v>6.9363274573232658E-2</v>
      </c>
      <c r="AU65" s="986">
        <f t="shared" si="62"/>
        <v>2.843941798892935E-2</v>
      </c>
      <c r="AV65" s="986">
        <f t="shared" si="63"/>
        <v>3.4554441556799986E-4</v>
      </c>
      <c r="AW65" s="1891">
        <f t="shared" si="64"/>
        <v>-5.0429223910704035E-3</v>
      </c>
      <c r="AX65" s="1092">
        <f t="shared" si="65"/>
        <v>2.2481184487743278E-2</v>
      </c>
      <c r="AY65" s="1085">
        <f t="shared" si="66"/>
        <v>2.248928095527325E-2</v>
      </c>
      <c r="AZ65" s="986">
        <f t="shared" si="67"/>
        <v>2.2681772898898167E-2</v>
      </c>
      <c r="BA65" s="986">
        <f t="shared" si="68"/>
        <v>2.2621093234095335E-2</v>
      </c>
      <c r="BB65" s="1891">
        <f t="shared" si="69"/>
        <v>2.2585627057074564E-2</v>
      </c>
      <c r="BC65" s="1092">
        <f t="shared" si="70"/>
        <v>2.2595514485672652E-2</v>
      </c>
    </row>
    <row r="66" spans="1:55" s="26" customFormat="1">
      <c r="A66" s="161"/>
      <c r="B66" s="214"/>
      <c r="C66" s="214"/>
      <c r="D66" s="214"/>
      <c r="E66" s="988" t="s">
        <v>391</v>
      </c>
      <c r="F66" s="986"/>
      <c r="G66" s="986"/>
      <c r="H66" s="986"/>
      <c r="I66" s="986"/>
      <c r="J66" s="1092"/>
      <c r="K66" s="986">
        <f t="shared" si="71"/>
        <v>-4.3570669500531345E-2</v>
      </c>
      <c r="L66" s="986">
        <f t="shared" si="71"/>
        <v>-8.4507042253521125E-2</v>
      </c>
      <c r="M66" s="986">
        <f t="shared" si="71"/>
        <v>-8.2018927444794998E-2</v>
      </c>
      <c r="N66" s="986">
        <f t="shared" si="71"/>
        <v>-0.53712480252764605</v>
      </c>
      <c r="O66" s="1092">
        <f t="shared" si="71"/>
        <v>-0.20641466208476522</v>
      </c>
      <c r="P66" s="986">
        <f t="shared" si="57"/>
        <v>-0.21666666666666667</v>
      </c>
      <c r="Q66" s="986">
        <f t="shared" si="57"/>
        <v>9.9547511312217285E-2</v>
      </c>
      <c r="R66" s="986">
        <f t="shared" si="57"/>
        <v>0.13516609392898049</v>
      </c>
      <c r="S66" s="986">
        <f t="shared" si="57"/>
        <v>0.75597269624573382</v>
      </c>
      <c r="T66" s="1092">
        <f t="shared" si="57"/>
        <v>0.13741339491916849</v>
      </c>
      <c r="U66" s="986">
        <f t="shared" si="57"/>
        <v>0.31063829787234032</v>
      </c>
      <c r="V66" s="986">
        <f t="shared" si="57"/>
        <v>4.9382716049382713E-2</v>
      </c>
      <c r="W66" s="986">
        <f t="shared" si="57"/>
        <v>3.5317860746720386E-2</v>
      </c>
      <c r="X66" s="986">
        <f t="shared" si="57"/>
        <v>-5.8309037900874605E-2</v>
      </c>
      <c r="Y66" s="1092">
        <f t="shared" si="57"/>
        <v>6.4467005076142225E-2</v>
      </c>
      <c r="Z66" s="986">
        <f t="shared" si="58"/>
        <v>0.14069264069264076</v>
      </c>
      <c r="AA66" s="986">
        <f t="shared" si="58"/>
        <v>8.0000000000000071E-2</v>
      </c>
      <c r="AB66" s="986">
        <f t="shared" si="58"/>
        <v>0.36549707602339176</v>
      </c>
      <c r="AC66" s="986">
        <f t="shared" si="58"/>
        <v>-0.13725490196078427</v>
      </c>
      <c r="AD66" s="1092">
        <f t="shared" si="58"/>
        <v>0.11301859799713876</v>
      </c>
      <c r="AE66" s="1085">
        <f t="shared" si="59"/>
        <v>0.39278937381404178</v>
      </c>
      <c r="AF66" s="986">
        <f t="shared" si="59"/>
        <v>0.35076252723311541</v>
      </c>
      <c r="AG66" s="986">
        <f t="shared" si="59"/>
        <v>9.4218415417558932E-2</v>
      </c>
      <c r="AH66" s="1891">
        <f t="shared" si="59"/>
        <v>0.36363636363636354</v>
      </c>
      <c r="AI66" s="1092">
        <f t="shared" si="59"/>
        <v>0.28556126820908312</v>
      </c>
      <c r="AJ66" s="1085">
        <f t="shared" si="60"/>
        <v>-1.4305177111716638E-2</v>
      </c>
      <c r="AK66" s="986">
        <f t="shared" si="60"/>
        <v>-0.20483870967741935</v>
      </c>
      <c r="AL66" s="986">
        <f t="shared" si="60"/>
        <v>-1.0437051532941943E-2</v>
      </c>
      <c r="AM66" s="1891">
        <f t="shared" si="60"/>
        <v>-2.2807017543859609E-2</v>
      </c>
      <c r="AN66" s="1092">
        <f t="shared" si="60"/>
        <v>-7.3987668721879674E-2</v>
      </c>
      <c r="AO66" s="1085">
        <f t="shared" si="60"/>
        <v>-7.740152038700765E-2</v>
      </c>
      <c r="AP66" s="986">
        <f t="shared" ca="1" si="60"/>
        <v>0.32424542446617322</v>
      </c>
      <c r="AQ66" s="986">
        <f t="shared" ca="1" si="60"/>
        <v>0.20152327646543</v>
      </c>
      <c r="AR66" s="1891">
        <f t="shared" si="60"/>
        <v>0.63147898347741593</v>
      </c>
      <c r="AS66" s="1092">
        <f t="shared" ca="1" si="60"/>
        <v>0.24774831397829389</v>
      </c>
      <c r="AT66" s="1085">
        <f t="shared" si="61"/>
        <v>0.26452778148548961</v>
      </c>
      <c r="AU66" s="986">
        <f t="shared" ca="1" si="62"/>
        <v>1.9974476343617376E-2</v>
      </c>
      <c r="AV66" s="986">
        <f t="shared" ca="1" si="63"/>
        <v>0.10680659449177377</v>
      </c>
      <c r="AW66" s="1891">
        <f t="shared" si="64"/>
        <v>0.1311466234580112</v>
      </c>
      <c r="AX66" s="1092">
        <f t="shared" ca="1" si="65"/>
        <v>0.1190264362188842</v>
      </c>
      <c r="AY66" s="1085">
        <f t="shared" si="66"/>
        <v>2.8515076685919682E-2</v>
      </c>
      <c r="AZ66" s="986">
        <f t="shared" ca="1" si="67"/>
        <v>1.2623781876813567E-2</v>
      </c>
      <c r="BA66" s="986">
        <f t="shared" ca="1" si="68"/>
        <v>2.1025121577324501E-2</v>
      </c>
      <c r="BB66" s="1891">
        <f t="shared" si="69"/>
        <v>2.2347049774568362E-2</v>
      </c>
      <c r="BC66" s="1092">
        <f t="shared" ca="1" si="70"/>
        <v>2.0841927019854101E-2</v>
      </c>
    </row>
    <row r="67" spans="1:55" s="26" customFormat="1">
      <c r="A67" s="161"/>
      <c r="B67" s="214"/>
      <c r="C67" s="214"/>
      <c r="D67" s="214"/>
      <c r="E67" s="988" t="s">
        <v>324</v>
      </c>
      <c r="F67" s="986"/>
      <c r="G67" s="986"/>
      <c r="H67" s="986"/>
      <c r="I67" s="986"/>
      <c r="J67" s="1092"/>
      <c r="K67" s="986">
        <f>K21/F21-1</f>
        <v>3.8111111111110985E-2</v>
      </c>
      <c r="L67" s="986">
        <f>L21/G21-1</f>
        <v>1.4635014156617165E-2</v>
      </c>
      <c r="M67" s="986">
        <f>M21/H21-1</f>
        <v>-8.9791044776119655E-3</v>
      </c>
      <c r="N67" s="986">
        <f>N21/I21-1</f>
        <v>-4.2168614357262046E-2</v>
      </c>
      <c r="O67" s="1092">
        <f>O21/J21-1</f>
        <v>-8.2456616894621693E-4</v>
      </c>
      <c r="P67" s="986">
        <f t="shared" ref="P67:AD67" si="72">P21/K21-1</f>
        <v>-0.18116774659732993</v>
      </c>
      <c r="Q67" s="986">
        <f t="shared" si="72"/>
        <v>9.4484735752562221E-2</v>
      </c>
      <c r="R67" s="986">
        <f t="shared" si="72"/>
        <v>0.17599351175993516</v>
      </c>
      <c r="S67" s="986">
        <f t="shared" si="72"/>
        <v>0.16398800196982588</v>
      </c>
      <c r="T67" s="1092">
        <f t="shared" si="72"/>
        <v>6.5229271641983555E-2</v>
      </c>
      <c r="U67" s="986">
        <f t="shared" si="72"/>
        <v>0.23079538733086391</v>
      </c>
      <c r="V67" s="986">
        <f t="shared" si="72"/>
        <v>-4.8530509970962199E-2</v>
      </c>
      <c r="W67" s="986">
        <f t="shared" si="72"/>
        <v>7.7773303302875352E-2</v>
      </c>
      <c r="X67" s="986">
        <f t="shared" si="72"/>
        <v>5.955266622690969E-3</v>
      </c>
      <c r="Y67" s="1092">
        <f t="shared" si="72"/>
        <v>5.0565406199906793E-2</v>
      </c>
      <c r="Z67" s="986">
        <f t="shared" si="72"/>
        <v>9.492601805001466E-2</v>
      </c>
      <c r="AA67" s="986">
        <f t="shared" si="72"/>
        <v>0.29166716946654381</v>
      </c>
      <c r="AB67" s="986">
        <f t="shared" si="72"/>
        <v>0.11628659060762292</v>
      </c>
      <c r="AC67" s="986">
        <f t="shared" si="72"/>
        <v>0.1914544865565273</v>
      </c>
      <c r="AD67" s="1092">
        <f t="shared" si="72"/>
        <v>0.18211260442897559</v>
      </c>
      <c r="AE67" s="1085">
        <f t="shared" ref="AE67:AN67" si="73">AE21/Z21-1</f>
        <v>0.31517306770092413</v>
      </c>
      <c r="AF67" s="986">
        <f t="shared" si="73"/>
        <v>0.10847252405076113</v>
      </c>
      <c r="AG67" s="986">
        <f t="shared" si="73"/>
        <v>0.16189421599108256</v>
      </c>
      <c r="AH67" s="1891">
        <f t="shared" si="73"/>
        <v>0.21821934515432972</v>
      </c>
      <c r="AI67" s="1092">
        <f t="shared" si="73"/>
        <v>0.18473816262752352</v>
      </c>
      <c r="AJ67" s="1085">
        <f t="shared" si="73"/>
        <v>7.0995253400365943E-2</v>
      </c>
      <c r="AK67" s="986">
        <f t="shared" si="73"/>
        <v>4.001634009671351E-2</v>
      </c>
      <c r="AL67" s="986">
        <f t="shared" si="73"/>
        <v>0.12457601495364856</v>
      </c>
      <c r="AM67" s="1891">
        <f t="shared" si="73"/>
        <v>0.22089451236343227</v>
      </c>
      <c r="AN67" s="1092">
        <f t="shared" si="73"/>
        <v>0.1109361468044161</v>
      </c>
      <c r="AO67" s="1085">
        <f t="shared" ref="AO67:AX67" si="74">AO21/AJ21-1</f>
        <v>0.16059656217319951</v>
      </c>
      <c r="AP67" s="986">
        <f t="shared" ca="1" si="74"/>
        <v>0.13320540023904126</v>
      </c>
      <c r="AQ67" s="986">
        <f t="shared" ca="1" si="74"/>
        <v>0.13631074523468967</v>
      </c>
      <c r="AR67" s="1891">
        <f t="shared" ca="1" si="74"/>
        <v>9.758950454694304E-2</v>
      </c>
      <c r="AS67" s="1092">
        <f t="shared" ca="1" si="74"/>
        <v>0.13081461637785741</v>
      </c>
      <c r="AT67" s="1085">
        <f t="shared" ca="1" si="74"/>
        <v>0.10588004688514419</v>
      </c>
      <c r="AU67" s="986">
        <f t="shared" ca="1" si="74"/>
        <v>9.988151907102405E-2</v>
      </c>
      <c r="AV67" s="986">
        <f t="shared" ca="1" si="74"/>
        <v>0.14756427443882436</v>
      </c>
      <c r="AW67" s="1891">
        <f t="shared" ca="1" si="74"/>
        <v>0.1953881634245036</v>
      </c>
      <c r="AX67" s="1092">
        <f t="shared" ca="1" si="74"/>
        <v>0.13746813733216312</v>
      </c>
      <c r="AY67" s="1085">
        <f t="shared" ref="AY67" ca="1" si="75">AY21/AT21-1</f>
        <v>8.5870760634453092E-2</v>
      </c>
      <c r="AZ67" s="986">
        <f t="shared" ref="AZ67" ca="1" si="76">AZ21/AU21-1</f>
        <v>6.7472136110223957E-2</v>
      </c>
      <c r="BA67" s="986">
        <f t="shared" ref="BA67" ca="1" si="77">BA21/AV21-1</f>
        <v>7.7006582159577786E-2</v>
      </c>
      <c r="BB67" s="1891">
        <f t="shared" ref="BB67" ca="1" si="78">BB21/AW21-1</f>
        <v>8.0216706491728296E-2</v>
      </c>
      <c r="BC67" s="1092">
        <f t="shared" ref="BC67" ca="1" si="79">BC21/AX21-1</f>
        <v>7.7296470702108433E-2</v>
      </c>
    </row>
    <row r="68" spans="1:55" ht="6.75" customHeight="1" thickBot="1">
      <c r="A68" s="161"/>
      <c r="B68" s="54"/>
      <c r="C68" s="54"/>
      <c r="D68" s="54"/>
      <c r="E68" s="996"/>
      <c r="F68" s="997"/>
      <c r="G68" s="997"/>
      <c r="H68" s="997"/>
      <c r="I68" s="997"/>
      <c r="J68" s="1101"/>
      <c r="K68" s="997"/>
      <c r="L68" s="997"/>
      <c r="M68" s="997"/>
      <c r="N68" s="997"/>
      <c r="O68" s="1100"/>
      <c r="P68" s="998"/>
      <c r="Q68" s="998"/>
      <c r="R68" s="998"/>
      <c r="S68" s="998"/>
      <c r="T68" s="1100"/>
      <c r="U68" s="998"/>
      <c r="V68" s="998"/>
      <c r="W68" s="998"/>
      <c r="X68" s="998"/>
      <c r="Y68" s="1100"/>
      <c r="Z68" s="998"/>
      <c r="AA68" s="998"/>
      <c r="AB68" s="998"/>
      <c r="AC68" s="998"/>
      <c r="AD68" s="1100"/>
      <c r="AF68" s="998"/>
      <c r="AG68" s="998"/>
      <c r="AI68" s="1100"/>
      <c r="AK68" s="998"/>
      <c r="AL68" s="998"/>
      <c r="AN68" s="1100"/>
      <c r="AP68" s="998"/>
      <c r="AQ68" s="998"/>
      <c r="AS68" s="1100"/>
      <c r="AU68" s="998"/>
      <c r="AV68" s="998"/>
      <c r="AX68" s="1100"/>
      <c r="AZ68" s="998"/>
      <c r="BA68" s="998"/>
      <c r="BC68" s="1100"/>
    </row>
    <row r="69" spans="1:55">
      <c r="A69" s="161"/>
      <c r="B69" s="54"/>
      <c r="C69" s="54"/>
      <c r="D69" s="54"/>
      <c r="E69" s="1234"/>
      <c r="F69" s="1235"/>
      <c r="G69" s="1235"/>
      <c r="H69" s="1235"/>
      <c r="I69" s="1235"/>
      <c r="J69" s="1235"/>
      <c r="K69" s="1235"/>
      <c r="L69" s="1235"/>
      <c r="M69" s="1235"/>
      <c r="N69" s="1235"/>
      <c r="O69" s="1236"/>
      <c r="P69" s="1236"/>
      <c r="Q69" s="1236"/>
      <c r="R69" s="1236"/>
      <c r="S69" s="1236"/>
      <c r="T69" s="1236"/>
      <c r="U69" s="1236"/>
      <c r="V69" s="1236"/>
      <c r="W69" s="1236"/>
      <c r="X69" s="1236"/>
      <c r="Y69" s="1236"/>
      <c r="Z69" s="1236"/>
      <c r="AA69" s="1236"/>
      <c r="AB69" s="1236"/>
      <c r="AC69" s="1236"/>
      <c r="AD69" s="1236"/>
      <c r="AE69" s="1236"/>
      <c r="AF69" s="1236"/>
      <c r="AG69" s="1236"/>
      <c r="AH69" s="1236"/>
      <c r="AI69" s="1236"/>
      <c r="AJ69" s="1236"/>
      <c r="AK69" s="1236"/>
      <c r="AL69" s="1236"/>
      <c r="AM69" s="1236"/>
      <c r="AN69" s="1236"/>
      <c r="AO69" s="1236"/>
      <c r="AP69" s="1236"/>
      <c r="AQ69" s="1236"/>
      <c r="AR69" s="1236"/>
      <c r="AS69" s="1236"/>
      <c r="AT69" s="1236"/>
      <c r="AU69" s="1236"/>
      <c r="AV69" s="1236"/>
      <c r="AW69" s="1236"/>
      <c r="AX69" s="1236"/>
      <c r="AY69" s="1236"/>
      <c r="AZ69" s="1236"/>
      <c r="BA69" s="1236"/>
      <c r="BB69" s="1236"/>
      <c r="BC69" s="1236"/>
    </row>
    <row r="70" spans="1:55">
      <c r="A70" s="161"/>
      <c r="B70" s="54"/>
      <c r="C70" s="54"/>
      <c r="D70" s="54"/>
      <c r="E70" s="54"/>
      <c r="F70" s="54"/>
      <c r="G70" s="54"/>
      <c r="H70" s="54"/>
      <c r="I70" s="54"/>
      <c r="J70" s="54"/>
      <c r="K70" s="54"/>
      <c r="L70" s="54"/>
      <c r="M70" s="54"/>
      <c r="N70" s="54"/>
      <c r="O70" s="54"/>
      <c r="P70" s="63"/>
      <c r="Q70" s="63"/>
      <c r="R70" s="63"/>
      <c r="S70" s="63"/>
      <c r="T70" s="63"/>
      <c r="U70" s="63"/>
      <c r="V70" s="63"/>
      <c r="W70" s="63"/>
      <c r="X70" s="63"/>
      <c r="Y70" s="63"/>
      <c r="Z70" s="63"/>
      <c r="AA70" s="63"/>
      <c r="AB70" s="63"/>
      <c r="AC70" s="63"/>
      <c r="AD70" s="63"/>
      <c r="AE70" s="859"/>
      <c r="AF70" s="859"/>
      <c r="AG70" s="859"/>
      <c r="AH70" s="859"/>
      <c r="AI70" s="63"/>
      <c r="AJ70" s="63"/>
      <c r="AK70" s="63"/>
      <c r="AL70" s="63"/>
      <c r="AM70" s="63"/>
      <c r="AN70" s="63"/>
      <c r="AO70" s="63"/>
      <c r="AP70" s="63"/>
      <c r="AQ70" s="63"/>
      <c r="AR70" s="63"/>
      <c r="AS70" s="63"/>
      <c r="AT70" s="63"/>
      <c r="AU70" s="63"/>
      <c r="AV70" s="63"/>
      <c r="AW70" s="63"/>
      <c r="AX70" s="63"/>
      <c r="AY70" s="63"/>
      <c r="AZ70" s="63"/>
      <c r="BA70" s="63"/>
      <c r="BB70" s="63"/>
      <c r="BC70" s="63"/>
    </row>
    <row r="71" spans="1:55" ht="12" thickBot="1">
      <c r="A71" s="161"/>
      <c r="B71" s="54"/>
      <c r="C71" s="54"/>
      <c r="D71" s="54"/>
      <c r="E71" s="54"/>
      <c r="F71" s="54"/>
      <c r="G71" s="54"/>
      <c r="H71" s="54"/>
      <c r="I71" s="54"/>
      <c r="J71" s="54"/>
      <c r="K71" s="54"/>
      <c r="L71" s="54"/>
      <c r="M71" s="54"/>
      <c r="N71" s="54"/>
      <c r="O71" s="54"/>
      <c r="P71" s="54"/>
      <c r="Q71" s="54"/>
      <c r="R71" s="54"/>
      <c r="S71" s="54"/>
      <c r="U71" s="63"/>
      <c r="V71" s="63"/>
      <c r="W71" s="63"/>
      <c r="X71" s="63"/>
      <c r="Y71" s="63"/>
      <c r="Z71" s="63"/>
      <c r="AA71" s="63"/>
      <c r="AB71" s="63"/>
      <c r="AC71" s="63"/>
      <c r="AD71" s="63"/>
      <c r="AE71" s="859"/>
      <c r="AF71" s="859"/>
      <c r="AG71" s="859"/>
      <c r="AH71" s="859"/>
      <c r="AI71" s="54"/>
      <c r="AJ71" s="54"/>
      <c r="AK71" s="54"/>
      <c r="AL71" s="54"/>
      <c r="AM71" s="54"/>
      <c r="AN71" s="54"/>
      <c r="AO71" s="54"/>
      <c r="AP71" s="54"/>
      <c r="AQ71" s="54"/>
      <c r="AR71" s="54"/>
      <c r="AS71" s="54"/>
      <c r="AT71" s="54"/>
      <c r="AU71" s="54"/>
      <c r="AV71" s="54"/>
      <c r="AW71" s="54"/>
      <c r="AX71" s="54"/>
      <c r="AY71" s="54"/>
      <c r="AZ71" s="54"/>
      <c r="BA71" s="54"/>
      <c r="BB71" s="54"/>
      <c r="BC71" s="54"/>
    </row>
    <row r="72" spans="1:55">
      <c r="C72" s="1221"/>
      <c r="D72" s="1222"/>
      <c r="E72" s="1222"/>
      <c r="F72" s="1222"/>
      <c r="G72" s="1222"/>
      <c r="H72" s="1222"/>
      <c r="I72" s="1222"/>
      <c r="J72" s="1222"/>
      <c r="K72" s="1222"/>
      <c r="L72" s="1222"/>
      <c r="M72" s="1222"/>
      <c r="N72" s="1222"/>
      <c r="O72" s="1222"/>
      <c r="P72" s="1222"/>
      <c r="Q72" s="1222"/>
      <c r="R72" s="1222"/>
      <c r="S72" s="1222"/>
      <c r="T72" s="1222"/>
      <c r="U72" s="1222"/>
      <c r="V72" s="1222"/>
      <c r="W72" s="1222"/>
      <c r="X72" s="1222"/>
      <c r="Y72" s="1222"/>
      <c r="Z72" s="1222"/>
      <c r="AA72" s="1222"/>
      <c r="AB72" s="1222"/>
      <c r="AC72" s="1222"/>
      <c r="AD72" s="1222"/>
      <c r="AE72" s="1222"/>
      <c r="AF72" s="1222"/>
      <c r="AG72" s="1222"/>
      <c r="AH72" s="1222"/>
      <c r="AI72" s="1222"/>
      <c r="AJ72" s="1222"/>
      <c r="AK72" s="1222"/>
      <c r="AL72" s="1222"/>
      <c r="AM72" s="1222"/>
      <c r="AN72" s="1222"/>
      <c r="AO72" s="1222"/>
      <c r="AP72" s="1222"/>
      <c r="AQ72" s="1222"/>
      <c r="AR72" s="1222"/>
      <c r="AS72" s="1222"/>
      <c r="AT72" s="1222"/>
      <c r="AU72" s="1222"/>
      <c r="AV72" s="1222"/>
      <c r="AW72" s="1222"/>
      <c r="AX72" s="1222"/>
      <c r="AY72" s="1222"/>
      <c r="AZ72" s="1222"/>
      <c r="BA72" s="1222"/>
      <c r="BB72" s="1222"/>
      <c r="BC72" s="1222"/>
    </row>
    <row r="73" spans="1:55">
      <c r="C73" s="1220" t="s">
        <v>346</v>
      </c>
      <c r="D73" s="38"/>
      <c r="E73" s="38"/>
      <c r="F73" s="38"/>
      <c r="G73" s="38"/>
      <c r="H73" s="38"/>
      <c r="I73" s="38"/>
      <c r="J73" s="38"/>
      <c r="K73" s="38"/>
      <c r="L73" s="38"/>
      <c r="M73" s="38"/>
      <c r="N73" s="38"/>
      <c r="O73" s="1223"/>
      <c r="P73" s="38"/>
      <c r="Q73" s="38"/>
      <c r="R73" s="38"/>
      <c r="S73" s="38"/>
      <c r="T73" s="41"/>
      <c r="U73" s="41"/>
      <c r="V73" s="41"/>
      <c r="W73" s="41"/>
      <c r="X73" s="41"/>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row>
    <row r="74" spans="1:55" ht="12" thickBot="1">
      <c r="C74" s="1000"/>
      <c r="D74" s="38"/>
      <c r="E74" s="38"/>
      <c r="F74" s="38"/>
      <c r="G74" s="38"/>
      <c r="H74" s="38"/>
      <c r="I74" s="38"/>
      <c r="J74" s="38"/>
      <c r="K74" s="38"/>
      <c r="L74" s="38"/>
      <c r="M74" s="38"/>
      <c r="N74" s="38"/>
      <c r="O74" s="1223"/>
      <c r="P74" s="38"/>
      <c r="Q74" s="38"/>
      <c r="R74" s="38"/>
      <c r="S74" s="38"/>
      <c r="T74" s="41"/>
      <c r="U74" s="41"/>
      <c r="V74" s="41"/>
      <c r="W74" s="41"/>
      <c r="X74" s="41"/>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row>
    <row r="75" spans="1:55" ht="13.5" thickBot="1">
      <c r="C75" s="1000"/>
      <c r="D75" s="1002" t="str">
        <f>C9</f>
        <v>2 - Base</v>
      </c>
      <c r="E75" s="38"/>
      <c r="F75" s="38"/>
      <c r="G75" s="38"/>
      <c r="H75" s="38"/>
      <c r="I75" s="38"/>
      <c r="J75" s="38"/>
      <c r="K75" s="38"/>
      <c r="L75" s="38"/>
      <c r="M75" s="38"/>
      <c r="N75" s="38"/>
      <c r="O75" s="1223"/>
      <c r="P75" s="38"/>
      <c r="Q75" s="38"/>
      <c r="R75" s="38"/>
      <c r="S75" s="38"/>
      <c r="T75" s="41"/>
      <c r="U75" s="41"/>
      <c r="V75" s="41"/>
      <c r="W75" s="1494"/>
      <c r="X75" s="1494"/>
      <c r="Y75" s="1494"/>
      <c r="Z75" s="1494"/>
      <c r="AA75" s="1494"/>
      <c r="AB75" s="1494"/>
      <c r="AC75" s="1494"/>
      <c r="AD75" s="1494"/>
      <c r="AE75" s="1494"/>
      <c r="AF75" s="1494"/>
      <c r="AG75" s="1494"/>
      <c r="AH75" s="1494"/>
      <c r="AI75" s="1494"/>
      <c r="AJ75" s="1494"/>
      <c r="AK75" s="1494"/>
      <c r="AL75" s="1494"/>
      <c r="AM75" s="1494"/>
      <c r="AN75" s="1494"/>
      <c r="AO75" s="1494"/>
      <c r="AP75" s="1494"/>
      <c r="AQ75" s="1494"/>
      <c r="AR75" s="1494"/>
      <c r="AS75" s="1494"/>
      <c r="AT75" s="1494"/>
      <c r="AU75" s="1494"/>
      <c r="AV75" s="1494"/>
      <c r="AW75" s="1494"/>
      <c r="AX75" s="1494"/>
      <c r="AY75" s="1494"/>
      <c r="AZ75" s="1494"/>
      <c r="BA75" s="1494"/>
      <c r="BB75" s="1494"/>
      <c r="BC75" s="1494"/>
    </row>
    <row r="76" spans="1:55">
      <c r="C76" s="1000"/>
      <c r="D76" s="38"/>
      <c r="E76" s="38"/>
      <c r="F76" s="38"/>
      <c r="G76" s="38"/>
      <c r="H76" s="38"/>
      <c r="I76" s="38"/>
      <c r="J76" s="38"/>
      <c r="K76" s="38"/>
      <c r="L76" s="38"/>
      <c r="M76" s="38"/>
      <c r="N76" s="38"/>
      <c r="O76" s="1223"/>
      <c r="P76" s="38"/>
      <c r="Q76" s="38"/>
      <c r="R76" s="38"/>
      <c r="S76" s="38"/>
      <c r="T76" s="41"/>
      <c r="U76" s="41"/>
      <c r="V76" s="41"/>
      <c r="W76" s="41"/>
      <c r="X76" s="41"/>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row>
    <row r="77" spans="1:55">
      <c r="C77" s="1220"/>
      <c r="D77" s="1194" t="s">
        <v>110</v>
      </c>
      <c r="E77" s="38"/>
      <c r="F77" s="80">
        <f>F78</f>
        <v>0.02</v>
      </c>
      <c r="G77" s="80">
        <f>G78</f>
        <v>4.4999999999999998E-2</v>
      </c>
      <c r="H77" s="80">
        <f>H78</f>
        <v>4.5999999999999999E-2</v>
      </c>
      <c r="I77" s="80">
        <f>I78</f>
        <v>3.4000000000000002E-2</v>
      </c>
      <c r="J77" s="80"/>
      <c r="K77" s="80">
        <f>K78</f>
        <v>1.7999999999999999E-2</v>
      </c>
      <c r="L77" s="80">
        <f>L78</f>
        <v>-4.9000000000000002E-2</v>
      </c>
      <c r="M77" s="80">
        <f>M78</f>
        <v>-9.0999999999999998E-2</v>
      </c>
      <c r="N77" s="80">
        <f>N78</f>
        <v>-0.08</v>
      </c>
      <c r="O77" s="80"/>
      <c r="P77" s="80"/>
      <c r="Q77" s="80"/>
      <c r="R77" s="80"/>
      <c r="S77" s="80"/>
      <c r="T77" s="80"/>
      <c r="U77" s="80"/>
      <c r="V77" s="80"/>
      <c r="W77" s="80"/>
      <c r="X77" s="80"/>
      <c r="Y77" s="80"/>
      <c r="Z77" s="80"/>
      <c r="AA77" s="80"/>
      <c r="AB77" s="80"/>
      <c r="AC77" s="80"/>
      <c r="AD77" s="80"/>
      <c r="AE77" s="80"/>
      <c r="AF77" s="80"/>
      <c r="AG77" s="80"/>
      <c r="AH77" s="80"/>
      <c r="AI77" s="2170"/>
      <c r="AJ77" s="80"/>
      <c r="AK77" s="80"/>
      <c r="AL77" s="80"/>
      <c r="AM77" s="80"/>
      <c r="AN77" s="80"/>
      <c r="AO77" s="80"/>
      <c r="AP77" s="1056">
        <f t="shared" ref="AP77:BB77" si="80">AP78+0.01</f>
        <v>5.6000000000000001E-2</v>
      </c>
      <c r="AQ77" s="1056">
        <f t="shared" si="80"/>
        <v>0.03</v>
      </c>
      <c r="AR77" s="1056">
        <f t="shared" si="80"/>
        <v>0.03</v>
      </c>
      <c r="AS77" s="1056"/>
      <c r="AT77" s="1056">
        <f t="shared" si="80"/>
        <v>0.03</v>
      </c>
      <c r="AU77" s="1056">
        <f t="shared" si="80"/>
        <v>4.4000000000000004E-2</v>
      </c>
      <c r="AV77" s="1056">
        <f t="shared" si="80"/>
        <v>4.5000000000000005E-2</v>
      </c>
      <c r="AW77" s="1056">
        <f t="shared" si="80"/>
        <v>4.5000000000000005E-2</v>
      </c>
      <c r="AX77" s="1056"/>
      <c r="AY77" s="1056">
        <f t="shared" si="80"/>
        <v>4.5000000000000005E-2</v>
      </c>
      <c r="AZ77" s="1056">
        <f t="shared" si="80"/>
        <v>4.5000000000000005E-2</v>
      </c>
      <c r="BA77" s="1056">
        <f t="shared" si="80"/>
        <v>4.5000000000000005E-2</v>
      </c>
      <c r="BB77" s="1056">
        <f t="shared" si="80"/>
        <v>4.5000000000000005E-2</v>
      </c>
      <c r="BC77" s="1056"/>
    </row>
    <row r="78" spans="1:55">
      <c r="C78" s="1220"/>
      <c r="D78" s="1194" t="s">
        <v>111</v>
      </c>
      <c r="E78" s="38"/>
      <c r="F78" s="80">
        <f>'US Retail'!CH45</f>
        <v>0.02</v>
      </c>
      <c r="G78" s="80">
        <f>'US Retail'!CI45</f>
        <v>4.4999999999999998E-2</v>
      </c>
      <c r="H78" s="80">
        <f>'US Retail'!CJ45</f>
        <v>4.5999999999999999E-2</v>
      </c>
      <c r="I78" s="80">
        <f>'US Retail'!CK45</f>
        <v>3.4000000000000002E-2</v>
      </c>
      <c r="J78" s="80"/>
      <c r="K78" s="80">
        <f>'US Retail'!CM45</f>
        <v>1.7999999999999999E-2</v>
      </c>
      <c r="L78" s="80">
        <f>'US Retail'!CN45</f>
        <v>-4.9000000000000002E-2</v>
      </c>
      <c r="M78" s="80">
        <f>'US Retail'!CO45</f>
        <v>-9.0999999999999998E-2</v>
      </c>
      <c r="N78" s="80">
        <f>'US Retail'!CP45</f>
        <v>-0.08</v>
      </c>
      <c r="O78" s="80">
        <f>'US Retail'!CQ45</f>
        <v>-5.0890109890109891E-2</v>
      </c>
      <c r="P78" s="80">
        <f>'US Retail'!CR45</f>
        <v>-4.8000000000000001E-2</v>
      </c>
      <c r="Q78" s="80">
        <f>'US Retail'!CS45</f>
        <v>4.2999999999999997E-2</v>
      </c>
      <c r="R78" s="80">
        <f>'US Retail'!CT45</f>
        <v>7.0999999999999994E-2</v>
      </c>
      <c r="S78" s="80">
        <f>'US Retail'!CU45</f>
        <v>7.0999999999999994E-2</v>
      </c>
      <c r="T78" s="80">
        <f>'US Retail'!CV45</f>
        <v>3.2428571428571473E-2</v>
      </c>
      <c r="U78" s="80">
        <f>'US Retail'!CW45</f>
        <v>5.5E-2</v>
      </c>
      <c r="V78" s="80">
        <f>'US Retail'!CX45</f>
        <v>2.1999999999999999E-2</v>
      </c>
      <c r="W78" s="80">
        <f>'US Retail'!CY45</f>
        <v>4.1000000000000002E-2</v>
      </c>
      <c r="X78" s="80">
        <f>'US Retail'!CZ45</f>
        <v>3.9E-2</v>
      </c>
      <c r="Y78" s="80">
        <f>'US Retail'!DA45</f>
        <v>3.9119366626065633E-2</v>
      </c>
      <c r="Z78" s="80">
        <f>'US Retail'!DB45</f>
        <v>4.1000000000000002E-2</v>
      </c>
      <c r="AA78" s="80">
        <f>'US Retail'!DC45</f>
        <v>0.05</v>
      </c>
      <c r="AB78" s="80">
        <f>'US Retail'!DD45</f>
        <v>4.1000000000000002E-2</v>
      </c>
      <c r="AC78" s="80">
        <f>'US Retail'!DE45</f>
        <v>5.0999999999999997E-2</v>
      </c>
      <c r="AD78" s="80">
        <f>'US Retail'!DF45</f>
        <v>4.5718007694148799E-2</v>
      </c>
      <c r="AE78" s="80">
        <f>'US Retail'!DG45</f>
        <v>4.7E-2</v>
      </c>
      <c r="AF78" s="80">
        <f>'US Retail'!DH45</f>
        <v>2.8000000000000001E-2</v>
      </c>
      <c r="AG78" s="80">
        <f>'US Retail'!DI45</f>
        <v>4.4999999999999998E-2</v>
      </c>
      <c r="AH78" s="80">
        <f>'US Retail'!DJ45</f>
        <v>3.9E-2</v>
      </c>
      <c r="AI78" s="2170"/>
      <c r="AJ78" s="80">
        <f>'US Retail'!DL45</f>
        <v>3.5000000000000003E-2</v>
      </c>
      <c r="AK78" s="80">
        <f>'US Retail'!DM45</f>
        <v>7.9000000000000001E-2</v>
      </c>
      <c r="AL78" s="80">
        <f>'US Retail'!DN45</f>
        <v>8.3000000000000004E-2</v>
      </c>
      <c r="AM78" s="80">
        <f>'US Retail'!DO45</f>
        <v>8.6999999999999994E-2</v>
      </c>
      <c r="AN78" s="2365">
        <f>'US Retail'!DP45</f>
        <v>7.1043080236941281E-2</v>
      </c>
      <c r="AO78" s="80">
        <f>'US Retail'!DQ45</f>
        <v>8.8999999999999996E-2</v>
      </c>
      <c r="AP78" s="1056">
        <v>4.5999999999999999E-2</v>
      </c>
      <c r="AQ78" s="1056">
        <v>0.02</v>
      </c>
      <c r="AR78" s="1056">
        <v>0.02</v>
      </c>
      <c r="AS78" s="1056"/>
      <c r="AT78" s="1056">
        <v>0.02</v>
      </c>
      <c r="AU78" s="1056">
        <f>3.5%-0.1%</f>
        <v>3.4000000000000002E-2</v>
      </c>
      <c r="AV78" s="1056">
        <v>3.5000000000000003E-2</v>
      </c>
      <c r="AW78" s="1056">
        <v>3.5000000000000003E-2</v>
      </c>
      <c r="AX78" s="1056"/>
      <c r="AY78" s="1056">
        <v>3.5000000000000003E-2</v>
      </c>
      <c r="AZ78" s="1056">
        <v>3.5000000000000003E-2</v>
      </c>
      <c r="BA78" s="1056">
        <v>3.5000000000000003E-2</v>
      </c>
      <c r="BB78" s="1056">
        <v>3.5000000000000003E-2</v>
      </c>
      <c r="BC78" s="1056"/>
    </row>
    <row r="79" spans="1:55">
      <c r="C79" s="1220"/>
      <c r="D79" s="1194" t="s">
        <v>112</v>
      </c>
      <c r="E79" s="38"/>
      <c r="F79" s="80">
        <f>F78</f>
        <v>0.02</v>
      </c>
      <c r="G79" s="80">
        <f>G78</f>
        <v>4.4999999999999998E-2</v>
      </c>
      <c r="H79" s="80">
        <f>H78</f>
        <v>4.5999999999999999E-2</v>
      </c>
      <c r="I79" s="80">
        <f>I78</f>
        <v>3.4000000000000002E-2</v>
      </c>
      <c r="J79" s="80"/>
      <c r="K79" s="80">
        <f>K78</f>
        <v>1.7999999999999999E-2</v>
      </c>
      <c r="L79" s="80">
        <f>L78</f>
        <v>-4.9000000000000002E-2</v>
      </c>
      <c r="M79" s="80">
        <f>M78</f>
        <v>-9.0999999999999998E-2</v>
      </c>
      <c r="N79" s="80">
        <f>N78</f>
        <v>-0.08</v>
      </c>
      <c r="O79" s="102"/>
      <c r="P79" s="80"/>
      <c r="Q79" s="80"/>
      <c r="R79" s="80"/>
      <c r="S79" s="80"/>
      <c r="T79" s="80"/>
      <c r="U79" s="80"/>
      <c r="V79" s="80"/>
      <c r="W79" s="80"/>
      <c r="X79" s="80"/>
      <c r="Y79" s="64"/>
      <c r="Z79" s="80"/>
      <c r="AA79" s="80"/>
      <c r="AB79" s="80"/>
      <c r="AC79" s="80"/>
      <c r="AD79" s="302"/>
      <c r="AE79" s="80"/>
      <c r="AF79" s="80"/>
      <c r="AG79" s="80"/>
      <c r="AH79" s="80"/>
      <c r="AI79" s="2170"/>
      <c r="AJ79" s="80"/>
      <c r="AK79" s="80"/>
      <c r="AL79" s="80"/>
      <c r="AM79" s="80"/>
      <c r="AN79" s="2365"/>
      <c r="AO79" s="80"/>
      <c r="AP79" s="1056">
        <f t="shared" ref="AP79:AR79" si="81">AP78-1%</f>
        <v>3.5999999999999997E-2</v>
      </c>
      <c r="AQ79" s="1056">
        <f t="shared" si="81"/>
        <v>0.01</v>
      </c>
      <c r="AR79" s="1056">
        <f t="shared" si="81"/>
        <v>0.01</v>
      </c>
      <c r="AS79" s="1056"/>
      <c r="AT79" s="1056">
        <f t="shared" ref="AT79:AW79" si="82">AT78-1%</f>
        <v>0.01</v>
      </c>
      <c r="AU79" s="1056">
        <f t="shared" si="82"/>
        <v>2.4E-2</v>
      </c>
      <c r="AV79" s="1056">
        <f t="shared" si="82"/>
        <v>2.5000000000000001E-2</v>
      </c>
      <c r="AW79" s="1056">
        <f t="shared" si="82"/>
        <v>2.5000000000000001E-2</v>
      </c>
      <c r="AX79" s="1056"/>
      <c r="AY79" s="1056">
        <f t="shared" ref="AY79:BB79" si="83">AY78-1%</f>
        <v>2.5000000000000001E-2</v>
      </c>
      <c r="AZ79" s="1056">
        <f t="shared" si="83"/>
        <v>2.5000000000000001E-2</v>
      </c>
      <c r="BA79" s="1056">
        <f t="shared" si="83"/>
        <v>2.5000000000000001E-2</v>
      </c>
      <c r="BB79" s="1056">
        <f t="shared" si="83"/>
        <v>2.5000000000000001E-2</v>
      </c>
      <c r="BC79" s="1056"/>
    </row>
    <row r="80" spans="1:55">
      <c r="C80" s="1000"/>
      <c r="D80" s="38"/>
      <c r="E80" s="38"/>
      <c r="F80" s="38"/>
      <c r="G80" s="38"/>
      <c r="H80" s="38"/>
      <c r="I80" s="38"/>
      <c r="J80" s="38"/>
      <c r="K80" s="38"/>
      <c r="L80" s="38"/>
      <c r="M80" s="38"/>
      <c r="N80" s="38"/>
      <c r="O80" s="1223"/>
      <c r="P80" s="38"/>
      <c r="Q80" s="38"/>
      <c r="R80" s="38"/>
      <c r="S80" s="38"/>
      <c r="T80" s="41"/>
      <c r="U80" s="41"/>
      <c r="V80" s="41"/>
      <c r="W80" s="41"/>
      <c r="X80" s="41"/>
      <c r="Y80" s="38"/>
      <c r="Z80" s="38"/>
      <c r="AA80" s="38"/>
      <c r="AB80" s="38"/>
      <c r="AC80" s="38"/>
      <c r="AD80" s="38"/>
      <c r="AE80" s="38"/>
      <c r="AF80" s="38"/>
      <c r="AG80" s="38"/>
      <c r="AH80" s="38"/>
      <c r="AI80" s="39"/>
      <c r="AJ80" s="38"/>
      <c r="AK80" s="38"/>
      <c r="AL80" s="38"/>
      <c r="AM80" s="38"/>
      <c r="AN80" s="2366"/>
      <c r="AO80" s="38"/>
      <c r="AP80" s="38"/>
      <c r="AQ80" s="38"/>
      <c r="AR80" s="38"/>
      <c r="AS80" s="38"/>
      <c r="AT80" s="38"/>
      <c r="AU80" s="38"/>
      <c r="AV80" s="38"/>
      <c r="AW80" s="38"/>
      <c r="AX80" s="38"/>
      <c r="AY80" s="38"/>
      <c r="AZ80" s="38"/>
      <c r="BA80" s="38"/>
      <c r="BB80" s="38"/>
      <c r="BC80" s="38"/>
    </row>
    <row r="81" spans="3:55">
      <c r="C81" s="1220" t="s">
        <v>434</v>
      </c>
      <c r="D81" s="38"/>
      <c r="E81" s="38"/>
      <c r="F81" s="38"/>
      <c r="G81" s="38"/>
      <c r="H81" s="38"/>
      <c r="I81" s="38"/>
      <c r="J81" s="38"/>
      <c r="K81" s="38"/>
      <c r="L81" s="38"/>
      <c r="M81" s="38"/>
      <c r="N81" s="38"/>
      <c r="O81" s="1223"/>
      <c r="P81" s="38"/>
      <c r="Q81" s="38"/>
      <c r="R81" s="38"/>
      <c r="S81" s="38"/>
      <c r="T81" s="41"/>
      <c r="U81" s="41"/>
      <c r="V81" s="41"/>
      <c r="W81" s="41"/>
      <c r="X81" s="41"/>
      <c r="Y81" s="38"/>
      <c r="Z81" s="38"/>
      <c r="AA81" s="38"/>
      <c r="AB81" s="38"/>
      <c r="AC81" s="38"/>
      <c r="AD81" s="38"/>
      <c r="AE81" s="38"/>
      <c r="AF81" s="38"/>
      <c r="AG81" s="38"/>
      <c r="AH81" s="38"/>
      <c r="AI81" s="39"/>
      <c r="AJ81" s="38"/>
      <c r="AK81" s="38"/>
      <c r="AL81" s="38"/>
      <c r="AM81" s="38"/>
      <c r="AN81" s="2366"/>
      <c r="AO81" s="38"/>
      <c r="AP81" s="38"/>
      <c r="AQ81" s="38"/>
      <c r="AR81" s="38"/>
      <c r="AS81" s="38"/>
      <c r="AT81" s="38"/>
      <c r="AU81" s="38"/>
      <c r="AV81" s="38"/>
      <c r="AW81" s="38"/>
      <c r="AX81" s="38"/>
      <c r="AY81" s="38"/>
      <c r="AZ81" s="38"/>
      <c r="BA81" s="38"/>
      <c r="BB81" s="38"/>
      <c r="BC81" s="38"/>
    </row>
    <row r="82" spans="3:55" ht="12" thickBot="1">
      <c r="C82" s="1220"/>
      <c r="D82" s="38"/>
      <c r="E82" s="38"/>
      <c r="F82" s="38"/>
      <c r="G82" s="38"/>
      <c r="H82" s="38"/>
      <c r="I82" s="38"/>
      <c r="J82" s="38"/>
      <c r="K82" s="38"/>
      <c r="L82" s="38"/>
      <c r="M82" s="38"/>
      <c r="N82" s="38"/>
      <c r="O82" s="1223"/>
      <c r="P82" s="38"/>
      <c r="Q82" s="38"/>
      <c r="R82" s="38"/>
      <c r="S82" s="1279"/>
      <c r="T82" s="1279"/>
      <c r="U82" s="1354"/>
      <c r="V82" s="1354"/>
      <c r="W82" s="1354"/>
      <c r="X82" s="1354"/>
      <c r="Y82" s="1279"/>
      <c r="Z82" s="1279"/>
      <c r="AA82" s="1279"/>
      <c r="AB82" s="1279"/>
      <c r="AC82" s="1279"/>
      <c r="AD82" s="38"/>
      <c r="AE82" s="1279"/>
      <c r="AF82" s="1279"/>
      <c r="AG82" s="1279"/>
      <c r="AH82" s="1279"/>
      <c r="AI82" s="2163"/>
      <c r="AJ82" s="1279"/>
      <c r="AK82" s="1279"/>
      <c r="AL82" s="1279"/>
      <c r="AM82" s="1279"/>
      <c r="AN82" s="2367"/>
      <c r="AO82" s="1279"/>
      <c r="AP82" s="1279"/>
      <c r="AQ82" s="1279"/>
      <c r="AR82" s="1279"/>
      <c r="AS82" s="1279"/>
      <c r="AT82" s="1279"/>
      <c r="AU82" s="1279"/>
      <c r="AV82" s="1279"/>
      <c r="AW82" s="1279"/>
      <c r="AX82" s="1279"/>
      <c r="AY82" s="1279"/>
      <c r="AZ82" s="1279"/>
      <c r="BA82" s="1279"/>
      <c r="BB82" s="1279"/>
      <c r="BC82" s="1279"/>
    </row>
    <row r="83" spans="3:55" ht="13.5" thickBot="1">
      <c r="C83" s="1220"/>
      <c r="D83" s="1002" t="str">
        <f>$C$9</f>
        <v>2 - Base</v>
      </c>
      <c r="E83" s="38"/>
      <c r="F83" s="38"/>
      <c r="G83" s="38"/>
      <c r="H83" s="38"/>
      <c r="I83" s="38"/>
      <c r="J83" s="38"/>
      <c r="K83" s="38"/>
      <c r="L83" s="38"/>
      <c r="M83" s="38"/>
      <c r="N83" s="38"/>
      <c r="O83" s="1223"/>
      <c r="P83" s="38"/>
      <c r="Q83" s="38"/>
      <c r="R83" s="38"/>
      <c r="S83" s="41"/>
      <c r="T83" s="41"/>
      <c r="U83" s="43"/>
      <c r="V83" s="43"/>
      <c r="W83" s="43"/>
      <c r="X83" s="43"/>
      <c r="Y83" s="43"/>
      <c r="Z83" s="43"/>
      <c r="AA83" s="43"/>
      <c r="AB83" s="43"/>
      <c r="AC83" s="43"/>
      <c r="AD83" s="43"/>
      <c r="AE83" s="43"/>
      <c r="AF83" s="43"/>
      <c r="AG83" s="43"/>
      <c r="AH83" s="43"/>
      <c r="AI83" s="2131"/>
      <c r="AJ83" s="43"/>
      <c r="AK83" s="43"/>
      <c r="AL83" s="43"/>
      <c r="AM83" s="43"/>
      <c r="AN83" s="2368"/>
      <c r="AO83" s="43"/>
      <c r="AP83" s="41"/>
      <c r="AQ83" s="41"/>
      <c r="AR83" s="41"/>
      <c r="AS83" s="41"/>
      <c r="AT83" s="41"/>
      <c r="AU83" s="41"/>
      <c r="AV83" s="41"/>
      <c r="AW83" s="41"/>
      <c r="AX83" s="41"/>
      <c r="AY83" s="41"/>
      <c r="AZ83" s="41"/>
      <c r="BA83" s="41"/>
      <c r="BB83" s="41"/>
      <c r="BC83" s="41"/>
    </row>
    <row r="84" spans="3:55">
      <c r="C84" s="1220"/>
      <c r="D84" s="38"/>
      <c r="E84" s="38"/>
      <c r="F84" s="38"/>
      <c r="G84" s="38"/>
      <c r="H84" s="38"/>
      <c r="I84" s="38"/>
      <c r="J84" s="38"/>
      <c r="K84" s="38"/>
      <c r="L84" s="38"/>
      <c r="M84" s="38"/>
      <c r="N84" s="38"/>
      <c r="O84" s="1223"/>
      <c r="P84" s="38"/>
      <c r="Q84" s="38"/>
      <c r="R84" s="38"/>
      <c r="S84" s="1352"/>
      <c r="T84" s="41"/>
      <c r="U84" s="43"/>
      <c r="V84" s="43"/>
      <c r="W84" s="43"/>
      <c r="X84" s="43"/>
      <c r="Y84" s="1354"/>
      <c r="Z84" s="43"/>
      <c r="AA84" s="43"/>
      <c r="AB84" s="43"/>
      <c r="AC84" s="43"/>
      <c r="AD84" s="1354"/>
      <c r="AE84" s="43"/>
      <c r="AF84" s="43"/>
      <c r="AG84" s="43"/>
      <c r="AH84" s="43"/>
      <c r="AI84" s="2164"/>
      <c r="AJ84" s="43"/>
      <c r="AK84" s="43"/>
      <c r="AL84" s="43"/>
      <c r="AM84" s="43"/>
      <c r="AN84" s="2368"/>
      <c r="AO84" s="43"/>
      <c r="AP84" s="1354"/>
      <c r="AQ84" s="1354"/>
      <c r="AR84" s="1354"/>
      <c r="AS84" s="1354"/>
      <c r="AT84" s="1354"/>
      <c r="AU84" s="1354"/>
      <c r="AV84" s="1354"/>
      <c r="AW84" s="1354"/>
      <c r="AX84" s="1354"/>
      <c r="AY84" s="1354"/>
      <c r="AZ84" s="1354"/>
      <c r="BA84" s="1354"/>
      <c r="BB84" s="1354"/>
      <c r="BC84" s="1354"/>
    </row>
    <row r="85" spans="3:55">
      <c r="C85" s="1220"/>
      <c r="D85" s="1193" t="s">
        <v>97</v>
      </c>
      <c r="E85" s="38"/>
      <c r="F85" s="38"/>
      <c r="G85" s="38"/>
      <c r="H85" s="38"/>
      <c r="I85" s="38"/>
      <c r="J85" s="38"/>
      <c r="K85" s="38"/>
      <c r="L85" s="38"/>
      <c r="M85" s="38"/>
      <c r="N85" s="38"/>
      <c r="O85" s="1223"/>
      <c r="P85" s="38"/>
      <c r="Q85" s="38"/>
      <c r="R85" s="38"/>
      <c r="S85" s="38"/>
      <c r="T85" s="41"/>
      <c r="U85" s="43"/>
      <c r="V85" s="1519"/>
      <c r="W85" s="1519"/>
      <c r="X85" s="1519"/>
      <c r="Y85" s="30"/>
      <c r="Z85" s="43"/>
      <c r="AA85" s="43"/>
      <c r="AB85" s="43"/>
      <c r="AC85" s="43"/>
      <c r="AD85" s="38"/>
      <c r="AE85" s="43"/>
      <c r="AF85" s="43"/>
      <c r="AG85" s="43"/>
      <c r="AH85" s="43"/>
      <c r="AI85" s="39"/>
      <c r="AJ85" s="43"/>
      <c r="AK85" s="43"/>
      <c r="AL85" s="43"/>
      <c r="AM85" s="43"/>
      <c r="AN85" s="2368"/>
      <c r="AO85" s="43"/>
      <c r="AP85" s="38"/>
      <c r="AQ85" s="38"/>
      <c r="AR85" s="38"/>
      <c r="AS85" s="38"/>
      <c r="AT85" s="38"/>
      <c r="AU85" s="38"/>
      <c r="AV85" s="38"/>
      <c r="AW85" s="38"/>
      <c r="AX85" s="38"/>
      <c r="AY85" s="38"/>
      <c r="AZ85" s="38"/>
      <c r="BA85" s="38"/>
      <c r="BB85" s="38"/>
      <c r="BC85" s="38"/>
    </row>
    <row r="86" spans="3:55">
      <c r="C86" s="1220"/>
      <c r="D86" s="1194" t="s">
        <v>110</v>
      </c>
      <c r="E86" s="38"/>
      <c r="F86" s="249">
        <f>F87</f>
        <v>2.5000000000000001E-3</v>
      </c>
      <c r="G86" s="249">
        <f>G87</f>
        <v>-7.4999999999999997E-3</v>
      </c>
      <c r="H86" s="249">
        <f>H87</f>
        <v>0.01</v>
      </c>
      <c r="I86" s="249">
        <f>I87</f>
        <v>1.4999999999999999E-2</v>
      </c>
      <c r="J86" s="249"/>
      <c r="K86" s="249">
        <f>K87</f>
        <v>-2.18E-2</v>
      </c>
      <c r="L86" s="249">
        <f>L87</f>
        <v>5.0000000000000001E-3</v>
      </c>
      <c r="M86" s="249">
        <f>M87</f>
        <v>1.0999999999999999E-2</v>
      </c>
      <c r="N86" s="249">
        <f>N87</f>
        <v>-2.5000000000000001E-3</v>
      </c>
      <c r="O86" s="249"/>
      <c r="P86" s="249"/>
      <c r="Q86" s="249"/>
      <c r="R86" s="249"/>
      <c r="S86" s="249"/>
      <c r="T86" s="249"/>
      <c r="U86" s="249"/>
      <c r="V86" s="249"/>
      <c r="W86" s="249"/>
      <c r="X86" s="249"/>
      <c r="Y86" s="64"/>
      <c r="Z86" s="249"/>
      <c r="AA86" s="249"/>
      <c r="AB86" s="249"/>
      <c r="AC86" s="249"/>
      <c r="AD86" s="64"/>
      <c r="AE86" s="249"/>
      <c r="AF86" s="249"/>
      <c r="AG86" s="249"/>
      <c r="AH86" s="249"/>
      <c r="AI86" s="2170"/>
      <c r="AJ86" s="249"/>
      <c r="AK86" s="249"/>
      <c r="AL86" s="249"/>
      <c r="AM86" s="249"/>
      <c r="AN86" s="2369"/>
      <c r="AO86" s="249"/>
      <c r="AP86" s="1056">
        <f t="shared" ref="AP86:BB86" si="84">AP87+0.005</f>
        <v>-1.4999999999999999E-2</v>
      </c>
      <c r="AQ86" s="1056">
        <f t="shared" si="84"/>
        <v>-5.0000000000000001E-3</v>
      </c>
      <c r="AR86" s="1056">
        <f t="shared" si="84"/>
        <v>-5.0000000000000001E-3</v>
      </c>
      <c r="AS86" s="1056"/>
      <c r="AT86" s="1056">
        <f t="shared" si="84"/>
        <v>-5.0000000000000001E-3</v>
      </c>
      <c r="AU86" s="1056">
        <f t="shared" si="84"/>
        <v>-5.0000000000000001E-3</v>
      </c>
      <c r="AV86" s="1056">
        <f t="shared" si="84"/>
        <v>-5.0000000000000001E-3</v>
      </c>
      <c r="AW86" s="1056">
        <f t="shared" si="84"/>
        <v>-5.0000000000000001E-3</v>
      </c>
      <c r="AX86" s="1056"/>
      <c r="AY86" s="1056">
        <f t="shared" si="84"/>
        <v>-5.0000000000000001E-3</v>
      </c>
      <c r="AZ86" s="1056">
        <f t="shared" si="84"/>
        <v>-5.0000000000000001E-3</v>
      </c>
      <c r="BA86" s="1056">
        <f t="shared" si="84"/>
        <v>-5.0000000000000001E-3</v>
      </c>
      <c r="BB86" s="1056">
        <f t="shared" si="84"/>
        <v>-5.0000000000000001E-3</v>
      </c>
      <c r="BC86" s="1056"/>
    </row>
    <row r="87" spans="3:55">
      <c r="C87" s="1220"/>
      <c r="D87" s="1194" t="s">
        <v>111</v>
      </c>
      <c r="E87" s="38"/>
      <c r="F87" s="249">
        <f>'US Retail'!CH152</f>
        <v>2.5000000000000001E-3</v>
      </c>
      <c r="G87" s="249">
        <f>'US Retail'!CI152</f>
        <v>-7.4999999999999997E-3</v>
      </c>
      <c r="H87" s="249">
        <f>'US Retail'!CJ152</f>
        <v>0.01</v>
      </c>
      <c r="I87" s="249">
        <f>'US Retail'!CK152</f>
        <v>1.4999999999999999E-2</v>
      </c>
      <c r="J87" s="249"/>
      <c r="K87" s="249">
        <f>'US Retail'!CM152</f>
        <v>-2.18E-2</v>
      </c>
      <c r="L87" s="249">
        <f>'US Retail'!CN152</f>
        <v>5.0000000000000001E-3</v>
      </c>
      <c r="M87" s="249">
        <f>'US Retail'!CO152</f>
        <v>1.0999999999999999E-2</v>
      </c>
      <c r="N87" s="249">
        <f>'US Retail'!CP152</f>
        <v>-2.5000000000000001E-3</v>
      </c>
      <c r="O87" s="249"/>
      <c r="P87" s="249">
        <f>'US Retail'!CR152</f>
        <v>-0.01</v>
      </c>
      <c r="Q87" s="249">
        <f>'US Retail'!CS152</f>
        <v>-0.01</v>
      </c>
      <c r="R87" s="249">
        <f>'US Retail'!CT152</f>
        <v>5.0000000000000001E-3</v>
      </c>
      <c r="S87" s="249">
        <f>'US Retail'!CU152</f>
        <v>5.0000000000000001E-3</v>
      </c>
      <c r="T87" s="249"/>
      <c r="U87" s="249">
        <f>'US Retail'!CW152</f>
        <v>0</v>
      </c>
      <c r="V87" s="249">
        <f>'US Retail'!CX152</f>
        <v>0</v>
      </c>
      <c r="W87" s="249">
        <f>'US Retail'!CY152</f>
        <v>0</v>
      </c>
      <c r="X87" s="249">
        <f>'US Retail'!CZ152</f>
        <v>0</v>
      </c>
      <c r="Y87" s="64"/>
      <c r="Z87" s="249">
        <f>'US Retail'!DB152</f>
        <v>0</v>
      </c>
      <c r="AA87" s="249">
        <f>'US Retail'!DC152</f>
        <v>0</v>
      </c>
      <c r="AB87" s="249">
        <f>'US Retail'!DD152</f>
        <v>0</v>
      </c>
      <c r="AC87" s="249">
        <f>'US Retail'!DE152</f>
        <v>0</v>
      </c>
      <c r="AD87" s="64"/>
      <c r="AE87" s="249">
        <f>'US Retail'!DG152</f>
        <v>0.02</v>
      </c>
      <c r="AF87" s="249">
        <f>'US Retail'!DH152</f>
        <v>0.02</v>
      </c>
      <c r="AG87" s="249">
        <f>'US Retail'!DI152</f>
        <v>0</v>
      </c>
      <c r="AH87" s="249">
        <f>'US Retail'!DJ152</f>
        <v>-0.01</v>
      </c>
      <c r="AI87" s="2170"/>
      <c r="AJ87" s="249">
        <f>'US Retail'!DL152</f>
        <v>-2.5000000000000001E-2</v>
      </c>
      <c r="AK87" s="249">
        <f>'US Retail'!DM152</f>
        <v>-2.5000000000000001E-2</v>
      </c>
      <c r="AL87" s="249">
        <f>'US Retail'!DN152</f>
        <v>-2.5000000000000001E-2</v>
      </c>
      <c r="AM87" s="249">
        <f>'US Retail'!DO152</f>
        <v>-2.5000000000000001E-2</v>
      </c>
      <c r="AN87" s="2369">
        <f>'US Retail'!DP152</f>
        <v>-2.473519679693259E-2</v>
      </c>
      <c r="AO87" s="249">
        <f>'US Retail'!DQ152</f>
        <v>-2.5000000000000001E-2</v>
      </c>
      <c r="AP87" s="2394">
        <v>-0.02</v>
      </c>
      <c r="AQ87" s="2394">
        <v>-0.01</v>
      </c>
      <c r="AR87" s="2394">
        <v>-0.01</v>
      </c>
      <c r="AS87" s="1056"/>
      <c r="AT87" s="1056">
        <v>-0.01</v>
      </c>
      <c r="AU87" s="1056">
        <v>-0.01</v>
      </c>
      <c r="AV87" s="1056">
        <v>-0.01</v>
      </c>
      <c r="AW87" s="1056">
        <v>-0.01</v>
      </c>
      <c r="AX87" s="1056"/>
      <c r="AY87" s="1056">
        <v>-0.01</v>
      </c>
      <c r="AZ87" s="1056">
        <v>-0.01</v>
      </c>
      <c r="BA87" s="1056">
        <v>-0.01</v>
      </c>
      <c r="BB87" s="1056">
        <v>-0.01</v>
      </c>
      <c r="BC87" s="1056"/>
    </row>
    <row r="88" spans="3:55">
      <c r="C88" s="1220"/>
      <c r="D88" s="1194" t="s">
        <v>112</v>
      </c>
      <c r="E88" s="38"/>
      <c r="F88" s="249">
        <f>F87</f>
        <v>2.5000000000000001E-3</v>
      </c>
      <c r="G88" s="249">
        <f>G87</f>
        <v>-7.4999999999999997E-3</v>
      </c>
      <c r="H88" s="249">
        <f>H87</f>
        <v>0.01</v>
      </c>
      <c r="I88" s="249">
        <f>I87</f>
        <v>1.4999999999999999E-2</v>
      </c>
      <c r="J88" s="249"/>
      <c r="K88" s="249">
        <f>K87</f>
        <v>-2.18E-2</v>
      </c>
      <c r="L88" s="249">
        <f>L87</f>
        <v>5.0000000000000001E-3</v>
      </c>
      <c r="M88" s="249">
        <f>M87</f>
        <v>1.0999999999999999E-2</v>
      </c>
      <c r="N88" s="249">
        <f>N87</f>
        <v>-2.5000000000000001E-3</v>
      </c>
      <c r="O88" s="249"/>
      <c r="P88" s="249"/>
      <c r="Q88" s="249"/>
      <c r="R88" s="249"/>
      <c r="S88" s="249"/>
      <c r="T88" s="249"/>
      <c r="U88" s="249"/>
      <c r="V88" s="249"/>
      <c r="W88" s="249"/>
      <c r="X88" s="249"/>
      <c r="Y88" s="64"/>
      <c r="Z88" s="249"/>
      <c r="AA88" s="249"/>
      <c r="AB88" s="249"/>
      <c r="AC88" s="249"/>
      <c r="AD88" s="64"/>
      <c r="AE88" s="249"/>
      <c r="AF88" s="249"/>
      <c r="AG88" s="249"/>
      <c r="AH88" s="249"/>
      <c r="AI88" s="2170"/>
      <c r="AJ88" s="249"/>
      <c r="AK88" s="249"/>
      <c r="AL88" s="249"/>
      <c r="AM88" s="249"/>
      <c r="AN88" s="2369"/>
      <c r="AO88" s="249"/>
      <c r="AP88" s="1056">
        <f t="shared" ref="AP88:AR88" si="85">AP87-0.005</f>
        <v>-2.5000000000000001E-2</v>
      </c>
      <c r="AQ88" s="1056">
        <f t="shared" si="85"/>
        <v>-1.4999999999999999E-2</v>
      </c>
      <c r="AR88" s="1056">
        <f t="shared" si="85"/>
        <v>-1.4999999999999999E-2</v>
      </c>
      <c r="AS88" s="1056"/>
      <c r="AT88" s="1056">
        <f t="shared" ref="AT88:AW88" si="86">AT87-0.005</f>
        <v>-1.4999999999999999E-2</v>
      </c>
      <c r="AU88" s="1056">
        <f t="shared" si="86"/>
        <v>-1.4999999999999999E-2</v>
      </c>
      <c r="AV88" s="1056">
        <f t="shared" si="86"/>
        <v>-1.4999999999999999E-2</v>
      </c>
      <c r="AW88" s="1056">
        <f t="shared" si="86"/>
        <v>-1.4999999999999999E-2</v>
      </c>
      <c r="AX88" s="1056"/>
      <c r="AY88" s="1056">
        <f t="shared" ref="AY88:BB88" si="87">AY87-0.005</f>
        <v>-1.4999999999999999E-2</v>
      </c>
      <c r="AZ88" s="1056">
        <f t="shared" si="87"/>
        <v>-1.4999999999999999E-2</v>
      </c>
      <c r="BA88" s="1056">
        <f t="shared" si="87"/>
        <v>-1.4999999999999999E-2</v>
      </c>
      <c r="BB88" s="1056">
        <f t="shared" si="87"/>
        <v>-1.4999999999999999E-2</v>
      </c>
      <c r="BC88" s="1056"/>
    </row>
    <row r="89" spans="3:55">
      <c r="C89" s="1220"/>
      <c r="D89" s="38"/>
      <c r="E89" s="38"/>
      <c r="F89" s="38"/>
      <c r="G89" s="38"/>
      <c r="H89" s="38"/>
      <c r="I89" s="38"/>
      <c r="J89" s="38"/>
      <c r="K89" s="38"/>
      <c r="L89" s="38"/>
      <c r="M89" s="38"/>
      <c r="N89" s="38"/>
      <c r="O89" s="1223"/>
      <c r="P89" s="38"/>
      <c r="Q89" s="38"/>
      <c r="R89" s="38"/>
      <c r="S89" s="43"/>
      <c r="T89" s="41"/>
      <c r="U89" s="43"/>
      <c r="V89" s="43"/>
      <c r="W89" s="43"/>
      <c r="X89" s="43"/>
      <c r="Y89" s="38"/>
      <c r="Z89" s="38"/>
      <c r="AA89" s="38"/>
      <c r="AB89" s="38"/>
      <c r="AC89" s="38"/>
      <c r="AD89" s="38"/>
      <c r="AE89" s="38"/>
      <c r="AF89" s="38"/>
      <c r="AG89" s="38"/>
      <c r="AH89" s="38"/>
      <c r="AI89" s="39"/>
      <c r="AJ89" s="38"/>
      <c r="AK89" s="38"/>
      <c r="AL89" s="38"/>
      <c r="AM89" s="38"/>
      <c r="AN89" s="2366"/>
      <c r="AO89" s="38"/>
      <c r="AP89" s="38"/>
      <c r="AQ89" s="38"/>
      <c r="AR89" s="38"/>
      <c r="AS89" s="38"/>
      <c r="AT89" s="38"/>
      <c r="AU89" s="38"/>
      <c r="AV89" s="38"/>
      <c r="AW89" s="38"/>
      <c r="AX89" s="38"/>
      <c r="AY89" s="38"/>
      <c r="AZ89" s="38"/>
      <c r="BA89" s="38"/>
      <c r="BB89" s="38"/>
      <c r="BC89" s="38"/>
    </row>
    <row r="90" spans="3:55">
      <c r="C90" s="1220"/>
      <c r="D90" s="1193" t="s">
        <v>33</v>
      </c>
      <c r="E90" s="38"/>
      <c r="F90" s="38"/>
      <c r="G90" s="38"/>
      <c r="H90" s="38"/>
      <c r="I90" s="38"/>
      <c r="J90" s="38"/>
      <c r="K90" s="38"/>
      <c r="L90" s="38"/>
      <c r="M90" s="38"/>
      <c r="N90" s="38"/>
      <c r="O90" s="1223"/>
      <c r="P90" s="38"/>
      <c r="Q90" s="38"/>
      <c r="R90" s="38"/>
      <c r="S90" s="43"/>
      <c r="T90" s="41"/>
      <c r="U90" s="43"/>
      <c r="V90" s="43"/>
      <c r="W90" s="43"/>
      <c r="X90" s="43"/>
      <c r="Y90" s="38"/>
      <c r="Z90" s="38"/>
      <c r="AA90" s="38"/>
      <c r="AB90" s="38"/>
      <c r="AC90" s="38"/>
      <c r="AD90" s="38"/>
      <c r="AE90" s="38"/>
      <c r="AF90" s="38"/>
      <c r="AG90" s="38"/>
      <c r="AH90" s="38"/>
      <c r="AI90" s="39"/>
      <c r="AJ90" s="38"/>
      <c r="AK90" s="38"/>
      <c r="AL90" s="38"/>
      <c r="AM90" s="38"/>
      <c r="AN90" s="2366"/>
      <c r="AO90" s="38"/>
      <c r="AP90" s="38"/>
      <c r="AQ90" s="38"/>
      <c r="AR90" s="38"/>
      <c r="AS90" s="38"/>
      <c r="AT90" s="38"/>
      <c r="AU90" s="38"/>
      <c r="AV90" s="38"/>
      <c r="AW90" s="38"/>
      <c r="AX90" s="38"/>
      <c r="AY90" s="38"/>
      <c r="AZ90" s="38"/>
      <c r="BA90" s="38"/>
      <c r="BB90" s="38"/>
      <c r="BC90" s="38"/>
    </row>
    <row r="91" spans="3:55">
      <c r="C91" s="1220"/>
      <c r="D91" s="1194" t="s">
        <v>110</v>
      </c>
      <c r="E91" s="38"/>
      <c r="F91" s="249">
        <f>F92</f>
        <v>0.01</v>
      </c>
      <c r="G91" s="249">
        <f>G92</f>
        <v>0.01</v>
      </c>
      <c r="H91" s="249">
        <f>H92</f>
        <v>0.01</v>
      </c>
      <c r="I91" s="249">
        <f>I92</f>
        <v>0.01</v>
      </c>
      <c r="J91" s="249"/>
      <c r="K91" s="249">
        <f>K92</f>
        <v>0</v>
      </c>
      <c r="L91" s="249">
        <f>L92</f>
        <v>0.01</v>
      </c>
      <c r="M91" s="249">
        <f>M92</f>
        <v>0.01</v>
      </c>
      <c r="N91" s="249">
        <f>N92</f>
        <v>-0.05</v>
      </c>
      <c r="O91" s="249"/>
      <c r="P91" s="249"/>
      <c r="Q91" s="249"/>
      <c r="R91" s="249"/>
      <c r="S91" s="249"/>
      <c r="T91" s="249"/>
      <c r="U91" s="249"/>
      <c r="V91" s="249"/>
      <c r="W91" s="249"/>
      <c r="X91" s="249"/>
      <c r="Y91" s="64"/>
      <c r="Z91" s="249"/>
      <c r="AA91" s="249"/>
      <c r="AB91" s="249"/>
      <c r="AC91" s="249"/>
      <c r="AD91" s="64"/>
      <c r="AE91" s="249"/>
      <c r="AF91" s="249"/>
      <c r="AG91" s="249"/>
      <c r="AH91" s="249"/>
      <c r="AI91" s="2170"/>
      <c r="AJ91" s="249"/>
      <c r="AK91" s="249"/>
      <c r="AL91" s="249"/>
      <c r="AM91" s="249"/>
      <c r="AN91" s="2369"/>
      <c r="AO91" s="249"/>
      <c r="AP91" s="1056">
        <f t="shared" ref="AP91" si="88">AP92+0.005</f>
        <v>-1.4999999999999999E-2</v>
      </c>
      <c r="AQ91" s="1056">
        <f t="shared" ref="AQ91" si="89">AQ92+0.005</f>
        <v>-1.4999999999999999E-2</v>
      </c>
      <c r="AR91" s="1056">
        <f t="shared" ref="AR91" si="90">AR92+0.005</f>
        <v>-5.0000000000000001E-3</v>
      </c>
      <c r="AS91" s="1056"/>
      <c r="AT91" s="1056">
        <f t="shared" ref="AT91:BB91" si="91">AT92+0.005</f>
        <v>-5.0000000000000001E-3</v>
      </c>
      <c r="AU91" s="1056">
        <f t="shared" si="91"/>
        <v>-5.0000000000000001E-3</v>
      </c>
      <c r="AV91" s="1056">
        <f t="shared" si="91"/>
        <v>-5.0000000000000001E-3</v>
      </c>
      <c r="AW91" s="1056">
        <f t="shared" si="91"/>
        <v>-5.0000000000000001E-3</v>
      </c>
      <c r="AX91" s="1056"/>
      <c r="AY91" s="1056">
        <f t="shared" si="91"/>
        <v>-5.0000000000000001E-3</v>
      </c>
      <c r="AZ91" s="1056">
        <f t="shared" si="91"/>
        <v>-5.0000000000000001E-3</v>
      </c>
      <c r="BA91" s="1056">
        <f t="shared" si="91"/>
        <v>-5.0000000000000001E-3</v>
      </c>
      <c r="BB91" s="1056">
        <f t="shared" si="91"/>
        <v>-5.0000000000000001E-3</v>
      </c>
      <c r="BC91" s="1056"/>
    </row>
    <row r="92" spans="3:55">
      <c r="C92" s="1000"/>
      <c r="D92" s="1194" t="s">
        <v>111</v>
      </c>
      <c r="E92" s="38"/>
      <c r="F92" s="249">
        <f>'US Retail'!CH153</f>
        <v>0.01</v>
      </c>
      <c r="G92" s="249">
        <f>'US Retail'!CI153</f>
        <v>0.01</v>
      </c>
      <c r="H92" s="249">
        <f>'US Retail'!CJ153</f>
        <v>0.01</v>
      </c>
      <c r="I92" s="249">
        <f>'US Retail'!CK153</f>
        <v>0.01</v>
      </c>
      <c r="J92" s="249"/>
      <c r="K92" s="249">
        <f>'US Retail'!CM153</f>
        <v>0</v>
      </c>
      <c r="L92" s="249">
        <f>'US Retail'!CN153</f>
        <v>0.01</v>
      </c>
      <c r="M92" s="249">
        <f>'US Retail'!CO153</f>
        <v>0.01</v>
      </c>
      <c r="N92" s="249">
        <f>'US Retail'!CP153</f>
        <v>-0.05</v>
      </c>
      <c r="O92" s="249"/>
      <c r="P92" s="249">
        <f>'US Retail'!CR153</f>
        <v>0.16489649700574116</v>
      </c>
      <c r="Q92" s="249">
        <f>'US Retail'!CS153</f>
        <v>7.5464910442641697E-2</v>
      </c>
      <c r="R92" s="249">
        <f>'US Retail'!CT153</f>
        <v>0.11742155639234308</v>
      </c>
      <c r="S92" s="249">
        <f>'US Retail'!CU153</f>
        <v>0.05</v>
      </c>
      <c r="T92" s="249"/>
      <c r="U92" s="249">
        <f>'US Retail'!CW153</f>
        <v>0</v>
      </c>
      <c r="V92" s="249">
        <f>'US Retail'!CX153</f>
        <v>0</v>
      </c>
      <c r="W92" s="249">
        <f>'US Retail'!CY153</f>
        <v>0</v>
      </c>
      <c r="X92" s="249">
        <f>'US Retail'!CZ153</f>
        <v>0</v>
      </c>
      <c r="Y92" s="64"/>
      <c r="Z92" s="249">
        <f>'US Retail'!DB153</f>
        <v>0</v>
      </c>
      <c r="AA92" s="249">
        <f>'US Retail'!DC153</f>
        <v>0</v>
      </c>
      <c r="AB92" s="249">
        <f>'US Retail'!DD153</f>
        <v>0</v>
      </c>
      <c r="AC92" s="249">
        <f>'US Retail'!DE153</f>
        <v>0</v>
      </c>
      <c r="AD92" s="64"/>
      <c r="AE92" s="249">
        <f>'US Retail'!DG153</f>
        <v>0</v>
      </c>
      <c r="AF92" s="249">
        <f>'US Retail'!DH153</f>
        <v>0</v>
      </c>
      <c r="AG92" s="249">
        <f>'US Retail'!DI153</f>
        <v>0</v>
      </c>
      <c r="AH92" s="249">
        <f>'US Retail'!DJ153</f>
        <v>-0.01</v>
      </c>
      <c r="AI92" s="2170"/>
      <c r="AJ92" s="249">
        <f>'US Retail'!DL153</f>
        <v>-2.5000000000000001E-2</v>
      </c>
      <c r="AK92" s="249">
        <f>'US Retail'!DM153</f>
        <v>-2.5000000000000001E-2</v>
      </c>
      <c r="AL92" s="249">
        <f>'US Retail'!DN153</f>
        <v>-2.5000000000000001E-2</v>
      </c>
      <c r="AM92" s="249">
        <f>'US Retail'!DO153</f>
        <v>-2.5000000000000001E-2</v>
      </c>
      <c r="AN92" s="2369">
        <f>'US Retail'!DP153</f>
        <v>-2.5893828807303509E-2</v>
      </c>
      <c r="AO92" s="249">
        <f>'US Retail'!DQ153</f>
        <v>-2.5000000000000001E-2</v>
      </c>
      <c r="AP92" s="1056">
        <v>-0.02</v>
      </c>
      <c r="AQ92" s="1056">
        <v>-0.02</v>
      </c>
      <c r="AR92" s="1056">
        <v>-0.01</v>
      </c>
      <c r="AS92" s="1056"/>
      <c r="AT92" s="1056">
        <v>-0.01</v>
      </c>
      <c r="AU92" s="1056">
        <v>-0.01</v>
      </c>
      <c r="AV92" s="1056">
        <v>-0.01</v>
      </c>
      <c r="AW92" s="1056">
        <v>-0.01</v>
      </c>
      <c r="AX92" s="1056"/>
      <c r="AY92" s="1056">
        <v>-0.01</v>
      </c>
      <c r="AZ92" s="1056">
        <v>-0.01</v>
      </c>
      <c r="BA92" s="1056">
        <v>-0.01</v>
      </c>
      <c r="BB92" s="1056">
        <v>-0.01</v>
      </c>
      <c r="BC92" s="1056"/>
    </row>
    <row r="93" spans="3:55">
      <c r="C93" s="1000"/>
      <c r="D93" s="1194" t="s">
        <v>112</v>
      </c>
      <c r="E93" s="38"/>
      <c r="F93" s="249">
        <f>F92</f>
        <v>0.01</v>
      </c>
      <c r="G93" s="249">
        <f>G92</f>
        <v>0.01</v>
      </c>
      <c r="H93" s="249">
        <f>H92</f>
        <v>0.01</v>
      </c>
      <c r="I93" s="249">
        <f>I92</f>
        <v>0.01</v>
      </c>
      <c r="J93" s="249"/>
      <c r="K93" s="249">
        <f>K92</f>
        <v>0</v>
      </c>
      <c r="L93" s="249">
        <f>L92</f>
        <v>0.01</v>
      </c>
      <c r="M93" s="249">
        <f>M92</f>
        <v>0.01</v>
      </c>
      <c r="N93" s="249">
        <f>N92</f>
        <v>-0.05</v>
      </c>
      <c r="O93" s="249"/>
      <c r="P93" s="249"/>
      <c r="Q93" s="249"/>
      <c r="R93" s="249"/>
      <c r="S93" s="249"/>
      <c r="T93" s="249"/>
      <c r="U93" s="249"/>
      <c r="V93" s="249"/>
      <c r="W93" s="249"/>
      <c r="X93" s="249"/>
      <c r="Y93" s="64"/>
      <c r="Z93" s="249"/>
      <c r="AA93" s="249"/>
      <c r="AB93" s="249"/>
      <c r="AC93" s="249"/>
      <c r="AD93" s="64"/>
      <c r="AE93" s="249"/>
      <c r="AF93" s="249"/>
      <c r="AG93" s="249"/>
      <c r="AH93" s="249"/>
      <c r="AI93" s="2170"/>
      <c r="AJ93" s="249"/>
      <c r="AK93" s="249"/>
      <c r="AL93" s="249"/>
      <c r="AM93" s="249"/>
      <c r="AN93" s="2369"/>
      <c r="AO93" s="249"/>
      <c r="AP93" s="1056">
        <f t="shared" ref="AP93" si="92">AP92-0.005</f>
        <v>-2.5000000000000001E-2</v>
      </c>
      <c r="AQ93" s="1056">
        <f t="shared" ref="AQ93" si="93">AQ92-0.005</f>
        <v>-2.5000000000000001E-2</v>
      </c>
      <c r="AR93" s="1056">
        <f>AR92</f>
        <v>-0.01</v>
      </c>
      <c r="AS93" s="1056"/>
      <c r="AT93" s="1056">
        <f t="shared" ref="AT93:AW93" si="94">AT92-0.005</f>
        <v>-1.4999999999999999E-2</v>
      </c>
      <c r="AU93" s="1056">
        <f t="shared" si="94"/>
        <v>-1.4999999999999999E-2</v>
      </c>
      <c r="AV93" s="1056">
        <f t="shared" si="94"/>
        <v>-1.4999999999999999E-2</v>
      </c>
      <c r="AW93" s="1056">
        <f t="shared" si="94"/>
        <v>-1.4999999999999999E-2</v>
      </c>
      <c r="AX93" s="1056"/>
      <c r="AY93" s="1056">
        <f t="shared" ref="AY93:BB93" si="95">AY92-0.005</f>
        <v>-1.4999999999999999E-2</v>
      </c>
      <c r="AZ93" s="1056">
        <f t="shared" si="95"/>
        <v>-1.4999999999999999E-2</v>
      </c>
      <c r="BA93" s="1056">
        <f t="shared" si="95"/>
        <v>-1.4999999999999999E-2</v>
      </c>
      <c r="BB93" s="1056">
        <f t="shared" si="95"/>
        <v>-1.4999999999999999E-2</v>
      </c>
      <c r="BC93" s="1056"/>
    </row>
    <row r="94" spans="3:55">
      <c r="C94" s="1000"/>
      <c r="D94" s="38"/>
      <c r="E94" s="38"/>
      <c r="F94" s="38"/>
      <c r="G94" s="38"/>
      <c r="H94" s="38"/>
      <c r="I94" s="38"/>
      <c r="J94" s="38"/>
      <c r="K94" s="38"/>
      <c r="L94" s="38"/>
      <c r="M94" s="38"/>
      <c r="N94" s="38"/>
      <c r="O94" s="1223"/>
      <c r="P94" s="38"/>
      <c r="Q94" s="38"/>
      <c r="R94" s="38"/>
      <c r="S94" s="38"/>
      <c r="T94" s="41"/>
      <c r="U94" s="41"/>
      <c r="V94" s="41"/>
      <c r="W94" s="41"/>
      <c r="X94" s="41"/>
      <c r="Y94" s="38"/>
      <c r="Z94" s="38"/>
      <c r="AA94" s="38"/>
      <c r="AB94" s="38"/>
      <c r="AC94" s="38"/>
      <c r="AD94" s="38"/>
      <c r="AE94" s="38"/>
      <c r="AF94" s="38"/>
      <c r="AG94" s="38"/>
      <c r="AH94" s="38"/>
      <c r="AI94" s="39"/>
      <c r="AJ94" s="38"/>
      <c r="AK94" s="38"/>
      <c r="AL94" s="38"/>
      <c r="AM94" s="38"/>
      <c r="AN94" s="2366"/>
      <c r="AO94" s="38"/>
      <c r="AP94" s="38"/>
      <c r="AQ94" s="38"/>
      <c r="AR94" s="38"/>
      <c r="AS94" s="38"/>
      <c r="AT94" s="38"/>
      <c r="AU94" s="38"/>
      <c r="AV94" s="38"/>
      <c r="AW94" s="38"/>
      <c r="AX94" s="38"/>
      <c r="AY94" s="38"/>
      <c r="AZ94" s="38"/>
      <c r="BA94" s="38"/>
      <c r="BB94" s="38"/>
      <c r="BC94" s="38"/>
    </row>
    <row r="95" spans="3:55">
      <c r="C95" s="1220" t="s">
        <v>456</v>
      </c>
      <c r="D95" s="38"/>
      <c r="E95" s="38"/>
      <c r="F95" s="38"/>
      <c r="G95" s="38"/>
      <c r="H95" s="38"/>
      <c r="I95" s="38"/>
      <c r="J95" s="38"/>
      <c r="K95" s="38"/>
      <c r="L95" s="38"/>
      <c r="M95" s="38"/>
      <c r="N95" s="38"/>
      <c r="O95" s="1223"/>
      <c r="P95" s="38"/>
      <c r="Q95" s="38"/>
      <c r="R95" s="38"/>
      <c r="S95" s="38"/>
      <c r="T95" s="41"/>
      <c r="U95" s="41"/>
      <c r="V95" s="41"/>
      <c r="W95" s="41"/>
      <c r="X95" s="41"/>
      <c r="Y95" s="38"/>
      <c r="Z95" s="38"/>
      <c r="AA95" s="38"/>
      <c r="AB95" s="38"/>
      <c r="AC95" s="38"/>
      <c r="AD95" s="38"/>
      <c r="AE95" s="38"/>
      <c r="AF95" s="38"/>
      <c r="AG95" s="38"/>
      <c r="AH95" s="38"/>
      <c r="AI95" s="39"/>
      <c r="AJ95" s="38"/>
      <c r="AK95" s="38"/>
      <c r="AL95" s="38"/>
      <c r="AM95" s="38"/>
      <c r="AN95" s="2366"/>
      <c r="AO95" s="38"/>
      <c r="AP95" s="38"/>
      <c r="AQ95" s="38"/>
      <c r="AR95" s="38"/>
      <c r="AS95" s="38"/>
      <c r="AT95" s="38"/>
      <c r="AU95" s="38"/>
      <c r="AV95" s="38"/>
      <c r="AW95" s="38"/>
      <c r="AX95" s="38"/>
      <c r="AY95" s="38"/>
      <c r="AZ95" s="38"/>
      <c r="BA95" s="38"/>
      <c r="BB95" s="38"/>
      <c r="BC95" s="38"/>
    </row>
    <row r="96" spans="3:55" ht="12" thickBot="1">
      <c r="C96" s="1000"/>
      <c r="D96" s="38"/>
      <c r="E96" s="38"/>
      <c r="F96" s="38"/>
      <c r="G96" s="38"/>
      <c r="H96" s="38"/>
      <c r="I96" s="38"/>
      <c r="J96" s="38"/>
      <c r="K96" s="38"/>
      <c r="L96" s="38"/>
      <c r="M96" s="38"/>
      <c r="N96" s="38"/>
      <c r="O96" s="1223"/>
      <c r="P96" s="38"/>
      <c r="Q96" s="38"/>
      <c r="R96" s="38"/>
      <c r="S96" s="38"/>
      <c r="T96" s="41"/>
      <c r="U96" s="41"/>
      <c r="V96" s="41"/>
      <c r="W96" s="41"/>
      <c r="X96" s="41"/>
      <c r="Y96" s="38"/>
      <c r="Z96" s="38"/>
      <c r="AA96" s="38"/>
      <c r="AB96" s="38"/>
      <c r="AC96" s="38"/>
      <c r="AD96" s="38"/>
      <c r="AE96" s="38"/>
      <c r="AF96" s="38"/>
      <c r="AG96" s="38"/>
      <c r="AH96" s="38"/>
      <c r="AI96" s="39"/>
      <c r="AJ96" s="38"/>
      <c r="AK96" s="38"/>
      <c r="AL96" s="38"/>
      <c r="AM96" s="38"/>
      <c r="AN96" s="2366"/>
      <c r="AO96" s="38"/>
      <c r="AP96" s="38"/>
      <c r="AQ96" s="38"/>
      <c r="AR96" s="38"/>
      <c r="AS96" s="38"/>
      <c r="AT96" s="38"/>
      <c r="AU96" s="38"/>
      <c r="AV96" s="38"/>
      <c r="AW96" s="38"/>
      <c r="AX96" s="38"/>
      <c r="AY96" s="38"/>
      <c r="AZ96" s="38"/>
      <c r="BA96" s="38"/>
      <c r="BB96" s="38"/>
      <c r="BC96" s="38"/>
    </row>
    <row r="97" spans="3:55" ht="13.5" thickBot="1">
      <c r="C97" s="1000"/>
      <c r="D97" s="1002" t="str">
        <f>C9</f>
        <v>2 - Base</v>
      </c>
      <c r="E97" s="38"/>
      <c r="F97" s="38"/>
      <c r="G97" s="38"/>
      <c r="H97" s="38"/>
      <c r="I97" s="38"/>
      <c r="J97" s="38"/>
      <c r="K97" s="38"/>
      <c r="L97" s="38"/>
      <c r="M97" s="38"/>
      <c r="N97" s="38"/>
      <c r="O97" s="1223"/>
      <c r="P97" s="38"/>
      <c r="Q97" s="38"/>
      <c r="R97" s="38"/>
      <c r="S97" s="38"/>
      <c r="T97" s="41"/>
      <c r="U97" s="41"/>
      <c r="V97" s="41"/>
      <c r="W97" s="41"/>
      <c r="X97" s="41"/>
      <c r="Y97" s="38"/>
      <c r="Z97" s="38"/>
      <c r="AA97" s="38"/>
      <c r="AB97" s="38"/>
      <c r="AC97" s="38"/>
      <c r="AD97" s="38"/>
      <c r="AE97" s="38"/>
      <c r="AF97" s="38"/>
      <c r="AG97" s="38"/>
      <c r="AH97" s="38"/>
      <c r="AI97" s="39"/>
      <c r="AJ97" s="38"/>
      <c r="AK97" s="38"/>
      <c r="AL97" s="38"/>
      <c r="AM97" s="38"/>
      <c r="AN97" s="2366"/>
      <c r="AO97" s="38"/>
      <c r="AP97" s="38"/>
      <c r="AQ97" s="38"/>
      <c r="AR97" s="38"/>
      <c r="AS97" s="38"/>
      <c r="AT97" s="38"/>
      <c r="AU97" s="38"/>
      <c r="AV97" s="38"/>
      <c r="AW97" s="38"/>
      <c r="AX97" s="38"/>
      <c r="AY97" s="38"/>
      <c r="AZ97" s="38"/>
      <c r="BA97" s="38"/>
      <c r="BB97" s="38"/>
      <c r="BC97" s="38"/>
    </row>
    <row r="98" spans="3:55">
      <c r="C98" s="1000"/>
      <c r="D98" s="38"/>
      <c r="E98" s="38"/>
      <c r="F98" s="38"/>
      <c r="G98" s="38"/>
      <c r="H98" s="38"/>
      <c r="I98" s="38"/>
      <c r="J98" s="38"/>
      <c r="K98" s="38"/>
      <c r="L98" s="38"/>
      <c r="M98" s="38"/>
      <c r="N98" s="38"/>
      <c r="O98" s="1223"/>
      <c r="P98" s="38"/>
      <c r="Q98" s="38"/>
      <c r="R98" s="38"/>
      <c r="S98" s="38"/>
      <c r="T98" s="41"/>
      <c r="U98" s="41"/>
      <c r="V98" s="41"/>
      <c r="W98" s="41"/>
      <c r="X98" s="41"/>
      <c r="Y98" s="38"/>
      <c r="Z98" s="38"/>
      <c r="AA98" s="38"/>
      <c r="AB98" s="38"/>
      <c r="AC98" s="38"/>
      <c r="AD98" s="38"/>
      <c r="AE98" s="38"/>
      <c r="AF98" s="38"/>
      <c r="AG98" s="38"/>
      <c r="AH98" s="38"/>
      <c r="AI98" s="39"/>
      <c r="AJ98" s="38"/>
      <c r="AK98" s="38"/>
      <c r="AL98" s="38"/>
      <c r="AM98" s="38"/>
      <c r="AN98" s="2366"/>
      <c r="AO98" s="38"/>
      <c r="AP98" s="38"/>
      <c r="AQ98" s="38"/>
      <c r="AR98" s="38"/>
      <c r="AS98" s="38"/>
      <c r="AT98" s="38"/>
      <c r="AU98" s="38"/>
      <c r="AV98" s="38"/>
      <c r="AW98" s="38"/>
      <c r="AX98" s="38"/>
      <c r="AY98" s="38"/>
      <c r="AZ98" s="38"/>
      <c r="BA98" s="38"/>
      <c r="BB98" s="38"/>
      <c r="BC98" s="38"/>
    </row>
    <row r="99" spans="3:55">
      <c r="C99" s="1220"/>
      <c r="D99" s="1194" t="s">
        <v>110</v>
      </c>
      <c r="E99" s="38"/>
      <c r="F99" s="249">
        <f>F100</f>
        <v>4.0000000000000001E-3</v>
      </c>
      <c r="G99" s="249">
        <f>G100</f>
        <v>4.2999999999999997E-2</v>
      </c>
      <c r="H99" s="249">
        <f>H100</f>
        <v>3.9E-2</v>
      </c>
      <c r="I99" s="249">
        <f>I100</f>
        <v>4.5999999999999999E-2</v>
      </c>
      <c r="J99" s="249"/>
      <c r="K99" s="249">
        <f>K100</f>
        <v>2.4E-2</v>
      </c>
      <c r="L99" s="249">
        <f>L100</f>
        <v>2.1000000000000001E-2</v>
      </c>
      <c r="M99" s="249">
        <f>M100</f>
        <v>-8.9999999999999993E-3</v>
      </c>
      <c r="N99" s="249">
        <f>N100</f>
        <v>-1.2999999999999999E-2</v>
      </c>
      <c r="O99" s="249"/>
      <c r="P99" s="249"/>
      <c r="Q99" s="249"/>
      <c r="R99" s="249"/>
      <c r="S99" s="249"/>
      <c r="T99" s="249"/>
      <c r="U99" s="249"/>
      <c r="V99" s="80"/>
      <c r="W99" s="80"/>
      <c r="X99" s="80"/>
      <c r="Y99" s="249"/>
      <c r="Z99" s="80"/>
      <c r="AA99" s="80"/>
      <c r="AB99" s="80"/>
      <c r="AC99" s="80"/>
      <c r="AD99" s="249"/>
      <c r="AE99" s="80"/>
      <c r="AF99" s="80"/>
      <c r="AG99" s="80"/>
      <c r="AH99" s="80"/>
      <c r="AI99" s="2170"/>
      <c r="AJ99" s="80"/>
      <c r="AK99" s="80"/>
      <c r="AL99" s="80"/>
      <c r="AM99" s="80"/>
      <c r="AN99" s="2365"/>
      <c r="AO99" s="80"/>
      <c r="AP99" s="1056">
        <v>-5.0000000000000001E-3</v>
      </c>
      <c r="AQ99" s="1056">
        <v>-5.0000000000000001E-3</v>
      </c>
      <c r="AR99" s="1056">
        <v>-5.0000000000000001E-3</v>
      </c>
      <c r="AS99" s="1056"/>
      <c r="AT99" s="1056">
        <v>0</v>
      </c>
      <c r="AU99" s="1056">
        <v>0</v>
      </c>
      <c r="AV99" s="1056">
        <v>0</v>
      </c>
      <c r="AW99" s="1056">
        <v>0</v>
      </c>
      <c r="AX99" s="1056"/>
      <c r="AY99" s="1056">
        <v>0</v>
      </c>
      <c r="AZ99" s="1056">
        <v>0</v>
      </c>
      <c r="BA99" s="1056">
        <v>0</v>
      </c>
      <c r="BB99" s="1056">
        <v>0</v>
      </c>
      <c r="BC99" s="1056"/>
    </row>
    <row r="100" spans="3:55">
      <c r="C100" s="1220"/>
      <c r="D100" s="1194" t="s">
        <v>111</v>
      </c>
      <c r="E100" s="38"/>
      <c r="F100" s="249">
        <f>'US Retail'!CH171</f>
        <v>4.0000000000000001E-3</v>
      </c>
      <c r="G100" s="249">
        <f>'US Retail'!CI171</f>
        <v>4.2999999999999997E-2</v>
      </c>
      <c r="H100" s="249">
        <f>'US Retail'!CJ171</f>
        <v>3.9E-2</v>
      </c>
      <c r="I100" s="249">
        <f>'US Retail'!CK171</f>
        <v>4.5999999999999999E-2</v>
      </c>
      <c r="J100" s="249"/>
      <c r="K100" s="249">
        <f>'US Retail'!CM171</f>
        <v>2.4E-2</v>
      </c>
      <c r="L100" s="249">
        <f>'US Retail'!CN171</f>
        <v>2.1000000000000001E-2</v>
      </c>
      <c r="M100" s="249">
        <f>'US Retail'!CO171</f>
        <v>-8.9999999999999993E-3</v>
      </c>
      <c r="N100" s="249">
        <f>'US Retail'!CP171</f>
        <v>-1.2999999999999999E-2</v>
      </c>
      <c r="O100" s="249">
        <f>'US Retail'!CQ171</f>
        <v>5.8539466912501332E-3</v>
      </c>
      <c r="P100" s="249">
        <f>'US Retail'!CR171</f>
        <v>-0.02</v>
      </c>
      <c r="Q100" s="249">
        <f>'US Retail'!CS171</f>
        <v>-2.5999999999999999E-2</v>
      </c>
      <c r="R100" s="249">
        <f>'US Retail'!CT171</f>
        <v>4.0000000000000001E-3</v>
      </c>
      <c r="S100" s="249">
        <f>'US Retail'!CU171</f>
        <v>1.6E-2</v>
      </c>
      <c r="T100" s="249">
        <f>'US Retail'!CV171</f>
        <v>-7.1882673594601655E-3</v>
      </c>
      <c r="U100" s="249">
        <f>'US Retail'!CW171</f>
        <v>2.1999999999999999E-2</v>
      </c>
      <c r="V100" s="249">
        <f>'US Retail'!CX171</f>
        <v>0.02</v>
      </c>
      <c r="W100" s="249">
        <f>'US Retail'!CY171</f>
        <v>2.1999999999999999E-2</v>
      </c>
      <c r="X100" s="249">
        <f>'US Retail'!CZ171</f>
        <v>1.2999999999999999E-2</v>
      </c>
      <c r="Y100" s="249"/>
      <c r="Z100" s="249">
        <f>'US Retail'!DB171</f>
        <v>1.4999999999999999E-2</v>
      </c>
      <c r="AA100" s="249">
        <f>'US Retail'!DC171</f>
        <v>2.5000000000000001E-2</v>
      </c>
      <c r="AB100" s="249">
        <f>'US Retail'!DD171</f>
        <v>1.6E-2</v>
      </c>
      <c r="AC100" s="249">
        <f>'US Retail'!DE171</f>
        <v>4.0000000000000001E-3</v>
      </c>
      <c r="AD100" s="249"/>
      <c r="AE100" s="249">
        <f>'US Retail'!DG171</f>
        <v>-6.0000000000000001E-3</v>
      </c>
      <c r="AF100" s="249">
        <f>'US Retail'!DH171</f>
        <v>-3.0000000000000001E-3</v>
      </c>
      <c r="AG100" s="249">
        <f>'US Retail'!DI171</f>
        <v>1E-3</v>
      </c>
      <c r="AH100" s="249">
        <f>'US Retail'!DJ171</f>
        <v>-3.0000000000000001E-3</v>
      </c>
      <c r="AI100" s="2170"/>
      <c r="AJ100" s="249">
        <f>'US Retail'!DL171</f>
        <v>-5.0000000000000001E-3</v>
      </c>
      <c r="AK100" s="249">
        <f>'US Retail'!DM171</f>
        <v>-8.0000000000000002E-3</v>
      </c>
      <c r="AL100" s="249">
        <f>'US Retail'!DN171</f>
        <v>-4.0000000000000001E-3</v>
      </c>
      <c r="AM100" s="249">
        <f>'US Retail'!DO171</f>
        <v>-2.1000000000000001E-2</v>
      </c>
      <c r="AN100" s="2369">
        <f>'US Retail'!DP171</f>
        <v>-9.3433948234053019E-3</v>
      </c>
      <c r="AO100" s="249">
        <f>'US Retail'!DQ171</f>
        <v>-8.9999999999999993E-3</v>
      </c>
      <c r="AP100" s="1056">
        <v>-0.01</v>
      </c>
      <c r="AQ100" s="1056">
        <v>-0.01</v>
      </c>
      <c r="AR100" s="1056">
        <v>-0.01</v>
      </c>
      <c r="AS100" s="1056"/>
      <c r="AT100" s="1056">
        <v>-0.01</v>
      </c>
      <c r="AU100" s="1056">
        <v>-0.01</v>
      </c>
      <c r="AV100" s="1056">
        <v>-0.01</v>
      </c>
      <c r="AW100" s="1056">
        <v>-0.01</v>
      </c>
      <c r="AX100" s="1056"/>
      <c r="AY100" s="1056">
        <v>-0.01</v>
      </c>
      <c r="AZ100" s="1056">
        <v>-0.01</v>
      </c>
      <c r="BA100" s="1056">
        <v>-0.01</v>
      </c>
      <c r="BB100" s="1056">
        <v>-0.01</v>
      </c>
      <c r="BC100" s="1056"/>
    </row>
    <row r="101" spans="3:55">
      <c r="C101" s="1220"/>
      <c r="D101" s="1194" t="s">
        <v>112</v>
      </c>
      <c r="E101" s="38"/>
      <c r="F101" s="249">
        <f>F100</f>
        <v>4.0000000000000001E-3</v>
      </c>
      <c r="G101" s="249">
        <f>G100</f>
        <v>4.2999999999999997E-2</v>
      </c>
      <c r="H101" s="249">
        <f>H100</f>
        <v>3.9E-2</v>
      </c>
      <c r="I101" s="249">
        <f>I100</f>
        <v>4.5999999999999999E-2</v>
      </c>
      <c r="J101" s="249"/>
      <c r="K101" s="249">
        <f>K100</f>
        <v>2.4E-2</v>
      </c>
      <c r="L101" s="249">
        <f>L100</f>
        <v>2.1000000000000001E-2</v>
      </c>
      <c r="M101" s="249">
        <f>M100</f>
        <v>-8.9999999999999993E-3</v>
      </c>
      <c r="N101" s="249">
        <f>N100</f>
        <v>-1.2999999999999999E-2</v>
      </c>
      <c r="O101" s="249"/>
      <c r="P101" s="249"/>
      <c r="Q101" s="249"/>
      <c r="R101" s="249"/>
      <c r="S101" s="249"/>
      <c r="T101" s="249"/>
      <c r="U101" s="249"/>
      <c r="V101" s="80"/>
      <c r="W101" s="80"/>
      <c r="X101" s="80"/>
      <c r="Y101" s="249"/>
      <c r="Z101" s="80"/>
      <c r="AA101" s="80"/>
      <c r="AB101" s="80"/>
      <c r="AC101" s="80"/>
      <c r="AD101" s="302"/>
      <c r="AE101" s="80"/>
      <c r="AF101" s="80"/>
      <c r="AG101" s="80"/>
      <c r="AH101" s="80"/>
      <c r="AI101" s="2170"/>
      <c r="AJ101" s="80"/>
      <c r="AK101" s="80"/>
      <c r="AL101" s="80"/>
      <c r="AM101" s="80"/>
      <c r="AN101" s="2365"/>
      <c r="AO101" s="80"/>
      <c r="AP101" s="1056">
        <f t="shared" ref="AP101:AR101" si="96">AP100-1.5%</f>
        <v>-2.5000000000000001E-2</v>
      </c>
      <c r="AQ101" s="1056">
        <f t="shared" si="96"/>
        <v>-2.5000000000000001E-2</v>
      </c>
      <c r="AR101" s="1056">
        <f t="shared" si="96"/>
        <v>-2.5000000000000001E-2</v>
      </c>
      <c r="AS101" s="1056"/>
      <c r="AT101" s="1056">
        <f>AT100-2%</f>
        <v>-0.03</v>
      </c>
      <c r="AU101" s="1056">
        <f>AU100-2%</f>
        <v>-0.03</v>
      </c>
      <c r="AV101" s="1056">
        <f t="shared" ref="AV101:AW101" si="97">AV100-2%</f>
        <v>-0.03</v>
      </c>
      <c r="AW101" s="1056">
        <f t="shared" si="97"/>
        <v>-0.03</v>
      </c>
      <c r="AX101" s="1056"/>
      <c r="AY101" s="1056">
        <f t="shared" ref="AY101:BB101" si="98">AY100-2%</f>
        <v>-0.03</v>
      </c>
      <c r="AZ101" s="1056">
        <f t="shared" si="98"/>
        <v>-0.03</v>
      </c>
      <c r="BA101" s="1056">
        <f t="shared" si="98"/>
        <v>-0.03</v>
      </c>
      <c r="BB101" s="1056">
        <f t="shared" si="98"/>
        <v>-0.03</v>
      </c>
      <c r="BC101" s="1056"/>
    </row>
    <row r="102" spans="3:55">
      <c r="C102" s="1000"/>
      <c r="D102" s="38"/>
      <c r="E102" s="38"/>
      <c r="F102" s="38"/>
      <c r="G102" s="38"/>
      <c r="H102" s="38"/>
      <c r="I102" s="38"/>
      <c r="J102" s="38"/>
      <c r="K102" s="38"/>
      <c r="L102" s="38"/>
      <c r="M102" s="38"/>
      <c r="N102" s="38"/>
      <c r="O102" s="1223"/>
      <c r="P102" s="38"/>
      <c r="Q102" s="38"/>
      <c r="R102" s="38"/>
      <c r="S102" s="38"/>
      <c r="T102" s="41"/>
      <c r="U102" s="41"/>
      <c r="V102" s="41"/>
      <c r="W102" s="41"/>
      <c r="X102" s="41"/>
      <c r="Y102" s="38"/>
      <c r="Z102" s="38"/>
      <c r="AA102" s="38"/>
      <c r="AB102" s="38"/>
      <c r="AC102" s="38"/>
      <c r="AD102" s="38"/>
      <c r="AE102" s="38"/>
      <c r="AF102" s="38"/>
      <c r="AG102" s="38"/>
      <c r="AH102" s="38"/>
      <c r="AI102" s="39"/>
      <c r="AJ102" s="38"/>
      <c r="AK102" s="38"/>
      <c r="AL102" s="38"/>
      <c r="AM102" s="38"/>
      <c r="AN102" s="2366"/>
      <c r="AO102" s="38"/>
      <c r="AP102" s="38"/>
      <c r="AQ102" s="38"/>
      <c r="AR102" s="41">
        <v>1.7489267288137997E-3</v>
      </c>
      <c r="AS102" s="41"/>
      <c r="AT102" s="41">
        <v>3.8089302553973628E-3</v>
      </c>
      <c r="AU102" s="41">
        <v>4.7843030404529294E-3</v>
      </c>
      <c r="AV102" s="41">
        <v>6.5539679715817005E-3</v>
      </c>
      <c r="AW102" s="41">
        <v>8.8329632768373734E-3</v>
      </c>
      <c r="AX102" s="41"/>
      <c r="AY102" s="41">
        <v>7.6948085967623453E-3</v>
      </c>
      <c r="AZ102" s="41">
        <v>4.8326293337908376E-3</v>
      </c>
      <c r="BA102" s="41">
        <v>3.3100848341321722E-3</v>
      </c>
      <c r="BB102" s="41">
        <v>1.7844370256237115E-3</v>
      </c>
      <c r="BC102" s="38"/>
    </row>
    <row r="103" spans="3:55">
      <c r="C103" s="1000"/>
      <c r="D103" s="38"/>
      <c r="E103" s="38"/>
      <c r="F103" s="38"/>
      <c r="G103" s="38"/>
      <c r="H103" s="38"/>
      <c r="I103" s="38"/>
      <c r="J103" s="38"/>
      <c r="K103" s="1272"/>
      <c r="L103" s="1272"/>
      <c r="M103" s="1272"/>
      <c r="N103" s="1272"/>
      <c r="O103" s="1223"/>
      <c r="P103" s="1272"/>
      <c r="Q103" s="1272"/>
      <c r="R103" s="1272"/>
      <c r="S103" s="1272"/>
      <c r="T103" s="41"/>
      <c r="U103" s="1272"/>
      <c r="V103" s="1272"/>
      <c r="W103" s="1272"/>
      <c r="X103" s="1272"/>
      <c r="Y103" s="38"/>
      <c r="Z103" s="1272"/>
      <c r="AA103" s="1272"/>
      <c r="AB103" s="1272"/>
      <c r="AC103" s="1272"/>
      <c r="AD103" s="1494"/>
      <c r="AE103" s="1272"/>
      <c r="AF103" s="1272"/>
      <c r="AG103" s="1272"/>
      <c r="AH103" s="1272"/>
      <c r="AI103" s="2165"/>
      <c r="AJ103" s="1272"/>
      <c r="AK103" s="1272"/>
      <c r="AL103" s="1272"/>
      <c r="AM103" s="1272"/>
      <c r="AN103" s="2370"/>
      <c r="AO103" s="1272"/>
      <c r="AP103" s="1272"/>
      <c r="AQ103" s="1272"/>
      <c r="AR103" s="1272">
        <f>AR100-AR102</f>
        <v>-1.1748926728813801E-2</v>
      </c>
      <c r="AS103" s="1272"/>
      <c r="AT103" s="1272">
        <f t="shared" ref="AT103:AW103" si="99">AT100-AT102</f>
        <v>-1.3808930255397363E-2</v>
      </c>
      <c r="AU103" s="1272">
        <f t="shared" si="99"/>
        <v>-1.478430304045293E-2</v>
      </c>
      <c r="AV103" s="1272">
        <f t="shared" si="99"/>
        <v>-1.65539679715817E-2</v>
      </c>
      <c r="AW103" s="1272">
        <f t="shared" si="99"/>
        <v>-1.8832963276837374E-2</v>
      </c>
      <c r="AX103" s="1272"/>
      <c r="AY103" s="1272">
        <f t="shared" ref="AY103:BB103" si="100">AY100-AY102</f>
        <v>-1.7694808596762347E-2</v>
      </c>
      <c r="AZ103" s="1272">
        <f t="shared" si="100"/>
        <v>-1.4832629333790839E-2</v>
      </c>
      <c r="BA103" s="1272">
        <f t="shared" si="100"/>
        <v>-1.3310084834132173E-2</v>
      </c>
      <c r="BB103" s="1272">
        <f t="shared" si="100"/>
        <v>-1.1784437025623712E-2</v>
      </c>
      <c r="BC103" s="1272"/>
    </row>
    <row r="104" spans="3:55">
      <c r="C104" s="1220" t="s">
        <v>302</v>
      </c>
      <c r="D104" s="38"/>
      <c r="E104" s="38"/>
      <c r="F104" s="38"/>
      <c r="G104" s="38"/>
      <c r="H104" s="38"/>
      <c r="I104" s="38"/>
      <c r="J104" s="38"/>
      <c r="K104" s="38"/>
      <c r="L104" s="38"/>
      <c r="M104" s="38"/>
      <c r="N104" s="38"/>
      <c r="O104" s="1223"/>
      <c r="P104" s="38"/>
      <c r="Q104" s="38"/>
      <c r="R104" s="38"/>
      <c r="S104" s="38"/>
      <c r="T104" s="41"/>
      <c r="U104" s="1569"/>
      <c r="V104" s="41"/>
      <c r="W104" s="41"/>
      <c r="X104" s="1102"/>
      <c r="Y104" s="1102"/>
      <c r="Z104" s="1605"/>
      <c r="AA104" s="1605"/>
      <c r="AB104" s="1605"/>
      <c r="AC104" s="1605"/>
      <c r="AD104" s="1605"/>
      <c r="AE104" s="1605"/>
      <c r="AF104" s="1605"/>
      <c r="AG104" s="1605"/>
      <c r="AH104" s="1605"/>
      <c r="AI104" s="2166"/>
      <c r="AJ104" s="1605"/>
      <c r="AK104" s="1605"/>
      <c r="AL104" s="1605"/>
      <c r="AM104" s="1605"/>
      <c r="AN104" s="2371"/>
      <c r="AO104" s="1605"/>
      <c r="AP104" s="1605"/>
      <c r="AQ104" s="1605"/>
      <c r="AR104" s="1605"/>
      <c r="AS104" s="1605"/>
      <c r="AT104" s="1605"/>
      <c r="AU104" s="1605"/>
      <c r="AV104" s="1605"/>
      <c r="AW104" s="1605"/>
      <c r="AX104" s="1605"/>
      <c r="AY104" s="1605"/>
      <c r="AZ104" s="1605"/>
      <c r="BA104" s="1605"/>
      <c r="BB104" s="1605"/>
      <c r="BC104" s="1605"/>
    </row>
    <row r="105" spans="3:55" ht="12" thickBot="1">
      <c r="C105" s="1000"/>
      <c r="D105" s="38"/>
      <c r="E105" s="38"/>
      <c r="F105" s="38"/>
      <c r="G105" s="38"/>
      <c r="H105" s="38"/>
      <c r="I105" s="38"/>
      <c r="J105" s="38"/>
      <c r="K105" s="38"/>
      <c r="L105" s="38"/>
      <c r="M105" s="38"/>
      <c r="N105" s="38"/>
      <c r="O105" s="1223"/>
      <c r="P105" s="38"/>
      <c r="Q105" s="38"/>
      <c r="R105" s="38"/>
      <c r="S105" s="38"/>
      <c r="T105" s="1527"/>
      <c r="U105" s="1527"/>
      <c r="V105" s="1527"/>
      <c r="W105" s="1527"/>
      <c r="X105" s="1615"/>
      <c r="Y105" s="1615"/>
      <c r="Z105" s="1615"/>
      <c r="AA105" s="1615"/>
      <c r="AB105" s="1615"/>
      <c r="AC105" s="1615"/>
      <c r="AD105" s="1527"/>
      <c r="AE105" s="1615"/>
      <c r="AF105" s="1615"/>
      <c r="AG105" s="1615"/>
      <c r="AH105" s="1615"/>
      <c r="AI105" s="2167"/>
      <c r="AJ105" s="1615"/>
      <c r="AK105" s="1615"/>
      <c r="AL105" s="1615"/>
      <c r="AM105" s="1615"/>
      <c r="AN105" s="2372"/>
      <c r="AO105" s="1615"/>
      <c r="AP105" s="1527"/>
      <c r="AQ105" s="1527"/>
      <c r="AR105" s="1527"/>
      <c r="AS105" s="1527"/>
      <c r="AT105" s="1527"/>
      <c r="AU105" s="1527"/>
      <c r="AV105" s="1527"/>
      <c r="AW105" s="1527"/>
      <c r="AX105" s="1527"/>
      <c r="AY105" s="1527"/>
      <c r="AZ105" s="1527"/>
      <c r="BA105" s="1527"/>
      <c r="BB105" s="1527"/>
      <c r="BC105" s="1527"/>
    </row>
    <row r="106" spans="3:55" ht="13.5" thickBot="1">
      <c r="C106" s="1000"/>
      <c r="D106" s="1002" t="str">
        <f>$C$9</f>
        <v>2 - Base</v>
      </c>
      <c r="E106" s="38"/>
      <c r="F106" s="38"/>
      <c r="G106" s="38"/>
      <c r="H106" s="38"/>
      <c r="I106" s="38"/>
      <c r="J106" s="38"/>
      <c r="K106" s="38"/>
      <c r="L106" s="38"/>
      <c r="M106" s="38"/>
      <c r="N106" s="38"/>
      <c r="O106" s="1223"/>
      <c r="P106" s="38"/>
      <c r="Q106" s="38"/>
      <c r="R106" s="38"/>
      <c r="S106" s="24"/>
      <c r="T106" s="1494"/>
      <c r="U106" s="1540"/>
      <c r="V106" s="1540"/>
      <c r="W106" s="1540"/>
      <c r="X106" s="1527"/>
      <c r="Y106" s="1527"/>
      <c r="Z106" s="1527"/>
      <c r="AA106" s="1527"/>
      <c r="AB106" s="1527"/>
      <c r="AC106" s="1527"/>
      <c r="AD106" s="1527"/>
      <c r="AE106" s="1527"/>
      <c r="AF106" s="1527"/>
      <c r="AG106" s="1527"/>
      <c r="AH106" s="1527"/>
      <c r="AI106" s="1568"/>
      <c r="AJ106" s="1527"/>
      <c r="AK106" s="1527"/>
      <c r="AL106" s="1527"/>
      <c r="AM106" s="1527"/>
      <c r="AN106" s="2373"/>
      <c r="AO106" s="1527"/>
    </row>
    <row r="107" spans="3:55">
      <c r="C107" s="1000"/>
      <c r="D107" s="38"/>
      <c r="E107" s="38"/>
      <c r="F107" s="38"/>
      <c r="G107" s="38"/>
      <c r="H107" s="38"/>
      <c r="I107" s="38"/>
      <c r="J107" s="38"/>
      <c r="K107" s="38"/>
      <c r="L107" s="38"/>
      <c r="M107" s="38"/>
      <c r="N107" s="38"/>
      <c r="O107" s="1223"/>
      <c r="P107" s="38"/>
      <c r="Q107" s="38"/>
      <c r="R107" s="38"/>
      <c r="S107" s="38"/>
      <c r="T107" s="41"/>
      <c r="U107" s="38"/>
      <c r="V107" s="1494"/>
      <c r="W107" s="1494"/>
      <c r="X107" s="1494"/>
      <c r="Y107" s="38"/>
      <c r="Z107" s="1615"/>
      <c r="AA107" s="1615"/>
      <c r="AB107" s="1615"/>
      <c r="AC107" s="1615"/>
      <c r="AD107" s="1615"/>
      <c r="AE107" s="1615"/>
      <c r="AF107" s="1615"/>
      <c r="AG107" s="1615"/>
      <c r="AH107" s="1615"/>
      <c r="AI107" s="2167"/>
      <c r="AJ107" s="1615"/>
      <c r="AK107" s="1615"/>
      <c r="AL107" s="1615"/>
      <c r="AM107" s="1615"/>
      <c r="AN107" s="2372"/>
      <c r="AO107" s="1615"/>
      <c r="AP107" s="1527"/>
      <c r="AQ107" s="1527"/>
      <c r="AR107" s="1527"/>
      <c r="AS107" s="1527"/>
      <c r="AT107" s="1527"/>
      <c r="AU107" s="1527"/>
      <c r="AV107" s="1527"/>
      <c r="AW107" s="1527"/>
      <c r="AX107" s="1527"/>
      <c r="AY107" s="1527"/>
      <c r="AZ107" s="1527"/>
      <c r="BA107" s="1527"/>
      <c r="BB107" s="1527"/>
      <c r="BC107" s="1527"/>
    </row>
    <row r="108" spans="3:55">
      <c r="C108" s="1220"/>
      <c r="D108" s="1194" t="s">
        <v>110</v>
      </c>
      <c r="E108" s="38"/>
      <c r="F108" s="249">
        <f>F109</f>
        <v>1.6200719044819123E-2</v>
      </c>
      <c r="G108" s="249">
        <f>G109</f>
        <v>-3.83440681044106E-3</v>
      </c>
      <c r="H108" s="249">
        <f>H109</f>
        <v>2.9917552621974153E-3</v>
      </c>
      <c r="I108" s="249">
        <f>I109</f>
        <v>-1.1464981802499663E-2</v>
      </c>
      <c r="J108" s="249"/>
      <c r="K108" s="249">
        <f>K109</f>
        <v>-5.3084036070627505E-4</v>
      </c>
      <c r="L108" s="249">
        <f>L109</f>
        <v>-1.4481857387948494E-3</v>
      </c>
      <c r="M108" s="249">
        <f>M109</f>
        <v>-4.9543361745944536E-3</v>
      </c>
      <c r="N108" s="249">
        <f>N109</f>
        <v>-1.1753918640509453E-2</v>
      </c>
      <c r="O108" s="249"/>
      <c r="P108" s="249"/>
      <c r="Q108" s="249"/>
      <c r="R108" s="249"/>
      <c r="S108" s="249"/>
      <c r="T108" s="249"/>
      <c r="U108" s="249"/>
      <c r="V108" s="249"/>
      <c r="W108" s="249"/>
      <c r="X108" s="249"/>
      <c r="Y108" s="249"/>
      <c r="Z108" s="249"/>
      <c r="AA108" s="249"/>
      <c r="AB108" s="249"/>
      <c r="AC108" s="249"/>
      <c r="AD108" s="249"/>
      <c r="AE108" s="249"/>
      <c r="AF108" s="249"/>
      <c r="AG108" s="249"/>
      <c r="AH108" s="249"/>
      <c r="AI108" s="2170"/>
      <c r="AJ108" s="249"/>
      <c r="AK108" s="249"/>
      <c r="AL108" s="249"/>
      <c r="AM108" s="249"/>
      <c r="AN108" s="2369"/>
      <c r="AO108" s="249"/>
      <c r="AP108" s="1056">
        <v>0</v>
      </c>
      <c r="AQ108" s="1056">
        <v>0</v>
      </c>
      <c r="AR108" s="1056">
        <v>0</v>
      </c>
      <c r="AS108" s="1056"/>
      <c r="AT108" s="1056">
        <f t="shared" ref="AT108:BB108" si="101">AT109</f>
        <v>5.0000000000000001E-3</v>
      </c>
      <c r="AU108" s="1056">
        <f t="shared" si="101"/>
        <v>5.0000000000000001E-3</v>
      </c>
      <c r="AV108" s="1056">
        <f t="shared" si="101"/>
        <v>5.0000000000000001E-3</v>
      </c>
      <c r="AW108" s="1056">
        <f t="shared" si="101"/>
        <v>5.0000000000000001E-3</v>
      </c>
      <c r="AX108" s="1056"/>
      <c r="AY108" s="1056">
        <f t="shared" si="101"/>
        <v>0</v>
      </c>
      <c r="AZ108" s="1056">
        <f t="shared" si="101"/>
        <v>0</v>
      </c>
      <c r="BA108" s="1056">
        <f t="shared" si="101"/>
        <v>0</v>
      </c>
      <c r="BB108" s="1056">
        <f t="shared" si="101"/>
        <v>0</v>
      </c>
      <c r="BC108" s="1056"/>
    </row>
    <row r="109" spans="3:55">
      <c r="C109" s="1220"/>
      <c r="D109" s="1194" t="s">
        <v>111</v>
      </c>
      <c r="E109" s="38"/>
      <c r="F109" s="249">
        <f>'US Retail'!CH169</f>
        <v>1.6200719044819123E-2</v>
      </c>
      <c r="G109" s="249">
        <f>'US Retail'!CI169</f>
        <v>-3.83440681044106E-3</v>
      </c>
      <c r="H109" s="249">
        <f>'US Retail'!CJ169</f>
        <v>2.9917552621974153E-3</v>
      </c>
      <c r="I109" s="249">
        <f>'US Retail'!CK169</f>
        <v>-1.1464981802499663E-2</v>
      </c>
      <c r="J109" s="249"/>
      <c r="K109" s="999">
        <f>'US Retail'!CM169</f>
        <v>-5.3084036070627505E-4</v>
      </c>
      <c r="L109" s="999">
        <f>'US Retail'!CN169</f>
        <v>-1.4481857387948494E-3</v>
      </c>
      <c r="M109" s="999">
        <f>'US Retail'!CO169</f>
        <v>-4.9543361745944536E-3</v>
      </c>
      <c r="N109" s="999">
        <f>'US Retail'!CP169</f>
        <v>-1.1753918640509453E-2</v>
      </c>
      <c r="O109" s="249"/>
      <c r="P109" s="999">
        <f>'US Retail'!CR169</f>
        <v>-2.6106309739198919E-3</v>
      </c>
      <c r="Q109" s="999">
        <f>'US Retail'!CS169</f>
        <v>3.5267214794809654E-4</v>
      </c>
      <c r="R109" s="999">
        <f>'US Retail'!CT169</f>
        <v>-3.3958269172864486E-2</v>
      </c>
      <c r="S109" s="999">
        <f>'US Retail'!CU169</f>
        <v>-9.3407038733006598E-3</v>
      </c>
      <c r="T109" s="249"/>
      <c r="U109" s="999">
        <f>'US Retail'!CW169</f>
        <v>-3.6263068622522709E-2</v>
      </c>
      <c r="V109" s="999">
        <f>'US Retail'!CX169</f>
        <v>-2.0653934081477587E-2</v>
      </c>
      <c r="W109" s="999">
        <f>'US Retail'!CY169</f>
        <v>-1.4602591086474992E-3</v>
      </c>
      <c r="X109" s="999">
        <f>'US Retail'!CZ169</f>
        <v>-6.5840482699952019E-3</v>
      </c>
      <c r="Y109" s="249"/>
      <c r="Z109" s="999">
        <f>'US Retail'!DB169</f>
        <v>-4.5099679879590515E-3</v>
      </c>
      <c r="AA109" s="999">
        <f>'US Retail'!DC169</f>
        <v>-1.1847894520741031E-2</v>
      </c>
      <c r="AB109" s="999">
        <f ca="1">'US Retail'!DD169</f>
        <v>-6.2778307982310211E-3</v>
      </c>
      <c r="AC109" s="999">
        <f ca="1">'US Retail'!DE169</f>
        <v>-4.899371858326429E-2</v>
      </c>
      <c r="AD109" s="249"/>
      <c r="AE109" s="999">
        <f>'US Retail'!DG169</f>
        <v>5.7694491368082135E-4</v>
      </c>
      <c r="AF109" s="999">
        <f ca="1">'US Retail'!DH169</f>
        <v>-1.4586350165455286E-3</v>
      </c>
      <c r="AG109" s="999">
        <f ca="1">'US Retail'!DI169</f>
        <v>-6.7135648038424423E-4</v>
      </c>
      <c r="AH109" s="999">
        <f ca="1">'US Retail'!DJ169</f>
        <v>2.9508055376544828E-2</v>
      </c>
      <c r="AI109" s="2170"/>
      <c r="AJ109" s="999">
        <f>'US Retail'!DL169</f>
        <v>-1.3699339937905397E-3</v>
      </c>
      <c r="AK109" s="999">
        <f ca="1">'US Retail'!DM169</f>
        <v>-9.7228571369294414E-3</v>
      </c>
      <c r="AL109" s="999">
        <f ca="1">'US Retail'!DN169</f>
        <v>-1.7790263323512134E-2</v>
      </c>
      <c r="AM109" s="999">
        <f ca="1">'US Retail'!DO169</f>
        <v>1.0729147594672472E-2</v>
      </c>
      <c r="AN109" s="2374">
        <f ca="1">'US Retail'!DP169</f>
        <v>-5.0059540614146858E-3</v>
      </c>
      <c r="AO109" s="999">
        <f>'US Retail'!DQ169</f>
        <v>2.1678453699937039E-3</v>
      </c>
      <c r="AP109" s="2394">
        <v>3.0000000000000001E-3</v>
      </c>
      <c r="AQ109" s="2394">
        <v>5.0000000000000001E-3</v>
      </c>
      <c r="AR109" s="2394">
        <v>5.0000000000000001E-3</v>
      </c>
      <c r="AS109" s="1056"/>
      <c r="AT109" s="1056">
        <v>5.0000000000000001E-3</v>
      </c>
      <c r="AU109" s="1056">
        <v>5.0000000000000001E-3</v>
      </c>
      <c r="AV109" s="1056">
        <v>5.0000000000000001E-3</v>
      </c>
      <c r="AW109" s="1056">
        <v>5.0000000000000001E-3</v>
      </c>
      <c r="AX109" s="1056"/>
      <c r="AY109" s="1056">
        <v>0</v>
      </c>
      <c r="AZ109" s="1056">
        <v>0</v>
      </c>
      <c r="BA109" s="1056">
        <v>0</v>
      </c>
      <c r="BB109" s="1056">
        <v>0</v>
      </c>
      <c r="BC109" s="1056"/>
    </row>
    <row r="110" spans="3:55">
      <c r="C110" s="1220"/>
      <c r="D110" s="1194" t="s">
        <v>112</v>
      </c>
      <c r="E110" s="38"/>
      <c r="F110" s="249">
        <f>F109</f>
        <v>1.6200719044819123E-2</v>
      </c>
      <c r="G110" s="249">
        <f>G109</f>
        <v>-3.83440681044106E-3</v>
      </c>
      <c r="H110" s="249">
        <f>H109</f>
        <v>2.9917552621974153E-3</v>
      </c>
      <c r="I110" s="249">
        <f>I109</f>
        <v>-1.1464981802499663E-2</v>
      </c>
      <c r="J110" s="249"/>
      <c r="K110" s="249">
        <f>K109</f>
        <v>-5.3084036070627505E-4</v>
      </c>
      <c r="L110" s="249">
        <f>L109</f>
        <v>-1.4481857387948494E-3</v>
      </c>
      <c r="M110" s="249">
        <f>M109</f>
        <v>-4.9543361745944536E-3</v>
      </c>
      <c r="N110" s="249">
        <f>N109</f>
        <v>-1.1753918640509453E-2</v>
      </c>
      <c r="O110" s="249"/>
      <c r="P110" s="249"/>
      <c r="Q110" s="249"/>
      <c r="R110" s="249"/>
      <c r="S110" s="249"/>
      <c r="T110" s="249"/>
      <c r="U110" s="249"/>
      <c r="V110" s="249"/>
      <c r="W110" s="249"/>
      <c r="X110" s="249"/>
      <c r="Y110" s="249"/>
      <c r="Z110" s="249"/>
      <c r="AA110" s="249"/>
      <c r="AB110" s="249"/>
      <c r="AC110" s="249"/>
      <c r="AD110" s="302"/>
      <c r="AE110" s="249"/>
      <c r="AF110" s="249"/>
      <c r="AG110" s="249"/>
      <c r="AH110" s="249"/>
      <c r="AI110" s="2170"/>
      <c r="AJ110" s="249"/>
      <c r="AK110" s="249"/>
      <c r="AL110" s="249"/>
      <c r="AM110" s="249"/>
      <c r="AN110" s="2369"/>
      <c r="AO110" s="249"/>
      <c r="AP110" s="1056">
        <f t="shared" ref="AP110:AR110" si="102">AP109-0.5%</f>
        <v>-2E-3</v>
      </c>
      <c r="AQ110" s="1056">
        <f t="shared" si="102"/>
        <v>0</v>
      </c>
      <c r="AR110" s="1056">
        <f t="shared" si="102"/>
        <v>0</v>
      </c>
      <c r="AS110" s="1056"/>
      <c r="AT110" s="1056">
        <f t="shared" ref="AT110:AW110" si="103">AT109-0.5%</f>
        <v>0</v>
      </c>
      <c r="AU110" s="1056">
        <f t="shared" si="103"/>
        <v>0</v>
      </c>
      <c r="AV110" s="1056">
        <f t="shared" si="103"/>
        <v>0</v>
      </c>
      <c r="AW110" s="1056">
        <f t="shared" si="103"/>
        <v>0</v>
      </c>
      <c r="AX110" s="1056"/>
      <c r="AY110" s="1056">
        <f t="shared" ref="AY110:BB110" si="104">AY109-0.5%</f>
        <v>-5.0000000000000001E-3</v>
      </c>
      <c r="AZ110" s="1056">
        <f t="shared" si="104"/>
        <v>-5.0000000000000001E-3</v>
      </c>
      <c r="BA110" s="1056">
        <f t="shared" si="104"/>
        <v>-5.0000000000000001E-3</v>
      </c>
      <c r="BB110" s="1056">
        <f t="shared" si="104"/>
        <v>-5.0000000000000001E-3</v>
      </c>
      <c r="BC110" s="1056"/>
    </row>
    <row r="111" spans="3:55">
      <c r="C111" s="1000"/>
      <c r="D111" s="38"/>
      <c r="E111" s="38"/>
      <c r="F111" s="38"/>
      <c r="G111" s="38"/>
      <c r="H111" s="38"/>
      <c r="I111" s="38"/>
      <c r="J111" s="38"/>
      <c r="K111" s="38"/>
      <c r="L111" s="38"/>
      <c r="M111" s="38"/>
      <c r="N111" s="38"/>
      <c r="O111" s="1223"/>
      <c r="P111" s="38"/>
      <c r="Q111" s="38"/>
      <c r="R111" s="38"/>
      <c r="S111" s="38"/>
      <c r="T111" s="41"/>
      <c r="U111" s="1569"/>
      <c r="V111" s="1569"/>
      <c r="W111" s="1569"/>
      <c r="X111" s="1569"/>
      <c r="Y111" s="1569"/>
      <c r="Z111" s="1569"/>
      <c r="AA111" s="1569"/>
      <c r="AB111" s="1569"/>
      <c r="AC111" s="1569"/>
      <c r="AD111" s="38"/>
      <c r="AE111" s="1569"/>
      <c r="AF111" s="1569"/>
      <c r="AG111" s="1569"/>
      <c r="AH111" s="1569"/>
      <c r="AI111" s="1568"/>
      <c r="AJ111" s="1569"/>
      <c r="AK111" s="1569"/>
      <c r="AL111" s="1569"/>
      <c r="AM111" s="1569"/>
      <c r="AN111" s="2375"/>
      <c r="AO111" s="1569"/>
      <c r="AP111" s="1569"/>
      <c r="AQ111" s="1569"/>
      <c r="AR111" s="1569"/>
      <c r="AS111" s="1569"/>
      <c r="AT111" s="1569"/>
      <c r="AU111" s="1569"/>
      <c r="AV111" s="1569"/>
      <c r="AW111" s="1569"/>
      <c r="AX111" s="1569"/>
      <c r="AY111" s="1569"/>
      <c r="AZ111" s="1569"/>
      <c r="BA111" s="1569"/>
      <c r="BB111" s="1569"/>
      <c r="BC111" s="1569"/>
    </row>
    <row r="112" spans="3:55">
      <c r="C112" s="1000"/>
      <c r="D112" s="38"/>
      <c r="E112" s="38"/>
      <c r="F112" s="38"/>
      <c r="G112" s="38"/>
      <c r="H112" s="38"/>
      <c r="I112" s="38"/>
      <c r="J112" s="38"/>
      <c r="K112" s="38"/>
      <c r="L112" s="38"/>
      <c r="M112" s="38"/>
      <c r="N112" s="38"/>
      <c r="O112" s="1223"/>
      <c r="P112" s="38"/>
      <c r="Q112" s="38"/>
      <c r="R112" s="38"/>
      <c r="S112" s="41"/>
      <c r="T112" s="41"/>
      <c r="U112" s="43"/>
      <c r="V112" s="43"/>
      <c r="W112" s="43"/>
      <c r="X112" s="43"/>
      <c r="Y112" s="38"/>
      <c r="Z112" s="1645"/>
      <c r="AA112" s="1645"/>
      <c r="AB112" s="1645"/>
      <c r="AC112" s="1645"/>
      <c r="AD112" s="1645"/>
      <c r="AE112" s="1645"/>
      <c r="AF112" s="1645"/>
      <c r="AG112" s="1645"/>
      <c r="AH112" s="1645"/>
      <c r="AI112" s="2168"/>
      <c r="AJ112" s="1645"/>
      <c r="AK112" s="1645"/>
      <c r="AL112" s="1645"/>
      <c r="AM112" s="1645"/>
      <c r="AN112" s="2376"/>
      <c r="AO112" s="1645"/>
      <c r="AP112" s="1645"/>
      <c r="AQ112" s="1645"/>
      <c r="AR112" s="1645"/>
      <c r="AS112" s="1645"/>
      <c r="AT112" s="1645"/>
      <c r="AU112" s="1645"/>
      <c r="AV112" s="1645"/>
      <c r="AW112" s="1645"/>
      <c r="AX112" s="1645"/>
      <c r="AY112" s="1645"/>
      <c r="AZ112" s="1645"/>
      <c r="BA112" s="1645"/>
      <c r="BB112" s="1645"/>
      <c r="BC112" s="1645"/>
    </row>
    <row r="113" spans="3:55">
      <c r="C113" s="1220" t="s">
        <v>142</v>
      </c>
      <c r="D113" s="38"/>
      <c r="E113" s="38"/>
      <c r="F113" s="38"/>
      <c r="G113" s="38"/>
      <c r="H113" s="38"/>
      <c r="I113" s="38"/>
      <c r="J113" s="38"/>
      <c r="K113" s="38"/>
      <c r="L113" s="38"/>
      <c r="M113" s="38"/>
      <c r="N113" s="38"/>
      <c r="O113" s="1223"/>
      <c r="P113" s="38"/>
      <c r="Q113" s="38"/>
      <c r="R113" s="38"/>
      <c r="S113" s="1352"/>
      <c r="T113" s="1569"/>
      <c r="U113" s="1354"/>
      <c r="V113" s="1354"/>
      <c r="W113" s="1354"/>
      <c r="X113" s="1354"/>
      <c r="Y113" s="1569"/>
      <c r="Z113" s="1644"/>
      <c r="AA113" s="1494"/>
      <c r="AB113" s="1494"/>
      <c r="AC113" s="1494"/>
      <c r="AD113" s="1494"/>
      <c r="AE113" s="1494"/>
      <c r="AF113" s="1494"/>
      <c r="AG113" s="1494"/>
      <c r="AH113" s="1494"/>
      <c r="AI113" s="2169"/>
      <c r="AJ113" s="1494"/>
      <c r="AK113" s="1494"/>
      <c r="AL113" s="1494"/>
      <c r="AM113" s="1494"/>
      <c r="AN113" s="2377"/>
      <c r="AO113" s="1494"/>
      <c r="AP113" s="1494"/>
      <c r="AQ113" s="1494"/>
      <c r="AR113" s="1494"/>
      <c r="AS113" s="1494"/>
      <c r="AT113" s="1494"/>
      <c r="AU113" s="1494"/>
      <c r="AV113" s="1494"/>
      <c r="AW113" s="1494"/>
      <c r="AX113" s="1494"/>
      <c r="AY113" s="1494"/>
      <c r="AZ113" s="1494"/>
      <c r="BA113" s="1494"/>
      <c r="BB113" s="1494"/>
      <c r="BC113" s="1494"/>
    </row>
    <row r="114" spans="3:55" ht="12" thickBot="1">
      <c r="C114" s="1000"/>
      <c r="D114" s="38"/>
      <c r="E114" s="38"/>
      <c r="F114" s="38"/>
      <c r="G114" s="38"/>
      <c r="H114" s="38"/>
      <c r="I114" s="38"/>
      <c r="J114" s="38"/>
      <c r="K114" s="38"/>
      <c r="L114" s="38"/>
      <c r="M114" s="38"/>
      <c r="N114" s="38"/>
      <c r="O114" s="1223"/>
      <c r="P114" s="38"/>
      <c r="Q114" s="38"/>
      <c r="R114" s="38"/>
      <c r="S114" s="1272"/>
      <c r="T114" s="1569"/>
      <c r="U114" s="1272"/>
      <c r="V114" s="1272"/>
      <c r="W114" s="1272"/>
      <c r="X114" s="1272"/>
      <c r="Y114" s="1569"/>
      <c r="Z114" s="1272"/>
      <c r="AA114" s="1653"/>
      <c r="AB114" s="1653"/>
      <c r="AC114" s="1653"/>
      <c r="AD114" s="1653"/>
      <c r="AE114" s="1653"/>
      <c r="AF114" s="1653"/>
      <c r="AG114" s="1653"/>
      <c r="AH114" s="1653"/>
      <c r="AI114" s="2165"/>
      <c r="AJ114" s="1653"/>
      <c r="AK114" s="1653"/>
      <c r="AL114" s="1653"/>
      <c r="AM114" s="1653"/>
      <c r="AN114" s="2378"/>
      <c r="AO114" s="1653"/>
      <c r="AP114" s="1272"/>
      <c r="AQ114" s="1272"/>
      <c r="AR114" s="1272"/>
      <c r="AS114" s="1272"/>
      <c r="AT114" s="1272"/>
      <c r="AU114" s="1272"/>
      <c r="AV114" s="1272"/>
      <c r="AW114" s="1272"/>
      <c r="AX114" s="1272"/>
      <c r="AY114" s="1272"/>
      <c r="AZ114" s="1272"/>
      <c r="BA114" s="1272"/>
      <c r="BB114" s="1272"/>
      <c r="BC114" s="1272"/>
    </row>
    <row r="115" spans="3:55" ht="13.5" thickBot="1">
      <c r="C115" s="1000"/>
      <c r="D115" s="1002" t="str">
        <f>$C$9</f>
        <v>2 - Base</v>
      </c>
      <c r="E115" s="38"/>
      <c r="F115" s="38"/>
      <c r="G115" s="38"/>
      <c r="H115" s="38"/>
      <c r="I115" s="38"/>
      <c r="J115" s="38"/>
      <c r="K115" s="38"/>
      <c r="L115" s="38"/>
      <c r="M115" s="38"/>
      <c r="N115" s="38"/>
      <c r="O115" s="1223"/>
      <c r="P115" s="38"/>
      <c r="Q115" s="38"/>
      <c r="R115" s="38"/>
      <c r="S115" s="38"/>
      <c r="T115" s="41"/>
      <c r="U115" s="41"/>
      <c r="V115" s="41"/>
      <c r="W115" s="41"/>
      <c r="X115" s="41"/>
      <c r="Y115" s="38"/>
      <c r="Z115" s="38"/>
      <c r="AA115" s="1654"/>
      <c r="AB115" s="1654"/>
      <c r="AC115" s="1654"/>
      <c r="AD115" s="38"/>
      <c r="AE115" s="1654"/>
      <c r="AF115" s="1654"/>
      <c r="AG115" s="1654"/>
      <c r="AH115" s="1654"/>
      <c r="AI115" s="39"/>
      <c r="AJ115" s="1654"/>
      <c r="AK115" s="1654"/>
      <c r="AL115" s="1654"/>
      <c r="AM115" s="1654"/>
      <c r="AN115" s="2379"/>
      <c r="AO115" s="1654"/>
      <c r="AP115" s="38"/>
      <c r="AQ115" s="38"/>
      <c r="AR115" s="38"/>
      <c r="AS115" s="38"/>
      <c r="AT115" s="38"/>
      <c r="AU115" s="38"/>
      <c r="AV115" s="38"/>
      <c r="AW115" s="38"/>
      <c r="AX115" s="38"/>
      <c r="AY115" s="38"/>
      <c r="AZ115" s="38"/>
      <c r="BA115" s="38"/>
      <c r="BB115" s="38"/>
      <c r="BC115" s="38"/>
    </row>
    <row r="116" spans="3:55">
      <c r="C116" s="1000"/>
      <c r="D116" s="38"/>
      <c r="E116" s="38"/>
      <c r="F116" s="38"/>
      <c r="G116" s="38"/>
      <c r="H116" s="38"/>
      <c r="I116" s="38"/>
      <c r="J116" s="38"/>
      <c r="K116" s="38"/>
      <c r="L116" s="38"/>
      <c r="M116" s="38"/>
      <c r="N116" s="38"/>
      <c r="O116" s="1223"/>
      <c r="P116" s="38"/>
      <c r="Q116" s="38"/>
      <c r="R116" s="38"/>
      <c r="S116" s="38"/>
      <c r="T116" s="41"/>
      <c r="U116" s="41"/>
      <c r="V116" s="41"/>
      <c r="W116" s="41"/>
      <c r="X116" s="41"/>
      <c r="Y116" s="38"/>
      <c r="Z116" s="38"/>
      <c r="AA116" s="38"/>
      <c r="AB116" s="38"/>
      <c r="AC116" s="38"/>
      <c r="AD116" s="38"/>
      <c r="AE116" s="38"/>
      <c r="AF116" s="38"/>
      <c r="AG116" s="38"/>
      <c r="AH116" s="38"/>
      <c r="AI116" s="39"/>
      <c r="AJ116" s="38"/>
      <c r="AK116" s="38"/>
      <c r="AL116" s="38"/>
      <c r="AM116" s="38"/>
      <c r="AN116" s="2366"/>
      <c r="AO116" s="38"/>
      <c r="AP116" s="38"/>
      <c r="AQ116" s="38"/>
      <c r="AR116" s="38"/>
      <c r="AS116" s="38"/>
      <c r="AT116" s="38"/>
      <c r="AU116" s="38"/>
      <c r="AV116" s="38"/>
      <c r="AW116" s="38"/>
      <c r="AX116" s="38"/>
      <c r="AY116" s="38"/>
      <c r="AZ116" s="38"/>
      <c r="BA116" s="38"/>
      <c r="BB116" s="38"/>
      <c r="BC116" s="38"/>
    </row>
    <row r="117" spans="3:55">
      <c r="C117" s="1220"/>
      <c r="D117" s="1194" t="s">
        <v>110</v>
      </c>
      <c r="E117" s="38"/>
      <c r="F117" s="80">
        <f>F118</f>
        <v>6.7531064289573228E-2</v>
      </c>
      <c r="G117" s="80">
        <f>G118</f>
        <v>7.8982242247548351E-2</v>
      </c>
      <c r="H117" s="80">
        <f>H118</f>
        <v>7.2647362978283336E-2</v>
      </c>
      <c r="I117" s="80">
        <f>I118</f>
        <v>4.4327573253193142E-2</v>
      </c>
      <c r="J117" s="80"/>
      <c r="K117" s="80">
        <f>K118</f>
        <v>4.8582995951417018E-2</v>
      </c>
      <c r="L117" s="80">
        <f>L118</f>
        <v>3.7337263571604051E-2</v>
      </c>
      <c r="M117" s="80">
        <f>M118</f>
        <v>-2.1932995902627095E-2</v>
      </c>
      <c r="N117" s="80">
        <f>N118</f>
        <v>-9.8321342925659083E-3</v>
      </c>
      <c r="O117" s="80"/>
      <c r="P117" s="80"/>
      <c r="Q117" s="80"/>
      <c r="R117" s="80"/>
      <c r="S117" s="80"/>
      <c r="T117" s="249"/>
      <c r="U117" s="80"/>
      <c r="V117" s="80"/>
      <c r="W117" s="80"/>
      <c r="X117" s="80"/>
      <c r="Y117" s="249"/>
      <c r="Z117" s="249"/>
      <c r="AA117" s="249"/>
      <c r="AB117" s="249"/>
      <c r="AC117" s="249"/>
      <c r="AD117" s="249"/>
      <c r="AE117" s="249"/>
      <c r="AF117" s="249"/>
      <c r="AG117" s="249"/>
      <c r="AH117" s="249"/>
      <c r="AI117" s="2170"/>
      <c r="AJ117" s="249"/>
      <c r="AK117" s="249"/>
      <c r="AL117" s="249"/>
      <c r="AM117" s="249"/>
      <c r="AN117" s="2369"/>
      <c r="AO117" s="249"/>
      <c r="AP117" s="1056">
        <f t="shared" ref="AP117:BB117" si="105">AP118-0.005%</f>
        <v>0.10995000000000001</v>
      </c>
      <c r="AQ117" s="1056">
        <f t="shared" si="105"/>
        <v>0.14995</v>
      </c>
      <c r="AR117" s="1056">
        <f t="shared" si="105"/>
        <v>0.13995000000000002</v>
      </c>
      <c r="AS117" s="1056"/>
      <c r="AT117" s="2154">
        <f t="shared" si="105"/>
        <v>0.10610064162538532</v>
      </c>
      <c r="AU117" s="2154">
        <f t="shared" si="105"/>
        <v>2.9901532830618024E-2</v>
      </c>
      <c r="AV117" s="2154">
        <f t="shared" si="105"/>
        <v>-6.8169835853624048E-3</v>
      </c>
      <c r="AW117" s="2154">
        <f t="shared" si="105"/>
        <v>-1.3794497989731787E-2</v>
      </c>
      <c r="AX117" s="2154"/>
      <c r="AY117" s="2154">
        <f t="shared" si="105"/>
        <v>1.9949999999999999E-2</v>
      </c>
      <c r="AZ117" s="2154">
        <f t="shared" si="105"/>
        <v>1.9949999999999999E-2</v>
      </c>
      <c r="BA117" s="2154">
        <f t="shared" si="105"/>
        <v>1.9949999999999999E-2</v>
      </c>
      <c r="BB117" s="2154">
        <f t="shared" si="105"/>
        <v>1.9949999999999999E-2</v>
      </c>
      <c r="BC117" s="2154"/>
    </row>
    <row r="118" spans="3:55">
      <c r="C118" s="1220"/>
      <c r="D118" s="1194" t="s">
        <v>111</v>
      </c>
      <c r="E118" s="38"/>
      <c r="F118" s="80">
        <f>Model!CH86</f>
        <v>6.7531064289573228E-2</v>
      </c>
      <c r="G118" s="80">
        <f>Model!CI86</f>
        <v>7.8982242247548351E-2</v>
      </c>
      <c r="H118" s="80">
        <f>Model!CJ86</f>
        <v>7.2647362978283336E-2</v>
      </c>
      <c r="I118" s="80">
        <f>Model!CK86</f>
        <v>4.4327573253193142E-2</v>
      </c>
      <c r="J118" s="80"/>
      <c r="K118" s="80">
        <f>Model!CM86</f>
        <v>4.8582995951417018E-2</v>
      </c>
      <c r="L118" s="80">
        <f>Model!CN86</f>
        <v>3.7337263571604051E-2</v>
      </c>
      <c r="M118" s="80">
        <f>Model!CO86</f>
        <v>-2.1932995902627095E-2</v>
      </c>
      <c r="N118" s="80">
        <f>Model!CP86</f>
        <v>-9.8321342925659083E-3</v>
      </c>
      <c r="O118" s="80"/>
      <c r="P118" s="80">
        <f>Model!CR86</f>
        <v>2.5096525096525157E-2</v>
      </c>
      <c r="Q118" s="80">
        <f>Model!CS86</f>
        <v>4.2150130239166472E-2</v>
      </c>
      <c r="R118" s="80">
        <f>Model!CT86</f>
        <v>4.4849679645145413E-2</v>
      </c>
      <c r="S118" s="80">
        <f>Model!CU86</f>
        <v>1.4531363526277596E-2</v>
      </c>
      <c r="T118" s="249"/>
      <c r="U118" s="80">
        <f>Model!CW68</f>
        <v>4.0018832391712778E-3</v>
      </c>
      <c r="V118" s="80">
        <f>Model!CX68</f>
        <v>1.7268802544876172E-2</v>
      </c>
      <c r="W118" s="80">
        <f>Model!CY68</f>
        <v>2.8537735849056611E-2</v>
      </c>
      <c r="X118" s="80">
        <f>Model!CZ68</f>
        <v>2.0529959417522115E-2</v>
      </c>
      <c r="Y118" s="80">
        <f>Model!DA68</f>
        <v>1.756645977280713E-2</v>
      </c>
      <c r="Z118" s="80">
        <f>Model!DB68</f>
        <v>1.6881594372801789E-2</v>
      </c>
      <c r="AA118" s="80">
        <f>Model!DC68</f>
        <v>-3.8641947732856785E-2</v>
      </c>
      <c r="AB118" s="80">
        <f>Model!DD68</f>
        <v>-2.1325384086218757E-2</v>
      </c>
      <c r="AC118" s="80">
        <f>Model!DE68</f>
        <v>7.7192982456140147E-3</v>
      </c>
      <c r="AD118" s="80"/>
      <c r="AE118" s="80">
        <f>Model!DG68</f>
        <v>-2.0521097532856802E-2</v>
      </c>
      <c r="AF118" s="80">
        <f>Model!DH68</f>
        <v>6.2732342007434383E-3</v>
      </c>
      <c r="AG118" s="80">
        <f>Model!DI68</f>
        <v>1.054358013120904E-2</v>
      </c>
      <c r="AH118" s="80">
        <f>Model!DJ68</f>
        <v>-2.7855153203342198E-3</v>
      </c>
      <c r="AI118" s="2170"/>
      <c r="AJ118" s="80">
        <f>Model!DL68</f>
        <v>-9.4161958568738102E-3</v>
      </c>
      <c r="AK118" s="80">
        <f>Model!DM68</f>
        <v>9.6975294389287647E-3</v>
      </c>
      <c r="AL118" s="80">
        <f>Model!DN68</f>
        <v>-1.4375144910734994E-2</v>
      </c>
      <c r="AM118" s="80">
        <f>Model!DO68</f>
        <v>-1.8854748603351901E-2</v>
      </c>
      <c r="AN118" s="2365">
        <f>Model!DP68</f>
        <v>-8.2033977193390895E-3</v>
      </c>
      <c r="AO118" s="80">
        <f>Model!DQ68</f>
        <v>3.3269961977186346E-2</v>
      </c>
      <c r="AP118" s="1056">
        <v>0.11</v>
      </c>
      <c r="AQ118" s="1056">
        <v>0.15</v>
      </c>
      <c r="AR118" s="1056">
        <v>0.14000000000000001</v>
      </c>
      <c r="AS118" s="1056"/>
      <c r="AT118" s="2394">
        <v>0.10615064162538532</v>
      </c>
      <c r="AU118" s="1056">
        <v>2.9951532830618025E-2</v>
      </c>
      <c r="AV118" s="1056">
        <v>-6.7669835853624051E-3</v>
      </c>
      <c r="AW118" s="1056">
        <v>-1.3744497989731787E-2</v>
      </c>
      <c r="AX118" s="1056"/>
      <c r="AY118" s="1056">
        <v>0.02</v>
      </c>
      <c r="AZ118" s="1056">
        <v>0.02</v>
      </c>
      <c r="BA118" s="1056">
        <v>0.02</v>
      </c>
      <c r="BB118" s="1056">
        <v>0.02</v>
      </c>
      <c r="BC118" s="1056"/>
    </row>
    <row r="119" spans="3:55">
      <c r="C119" s="1220"/>
      <c r="D119" s="1194" t="s">
        <v>112</v>
      </c>
      <c r="E119" s="38"/>
      <c r="F119" s="80">
        <f>F118</f>
        <v>6.7531064289573228E-2</v>
      </c>
      <c r="G119" s="80">
        <f>G118</f>
        <v>7.8982242247548351E-2</v>
      </c>
      <c r="H119" s="80">
        <f>H118</f>
        <v>7.2647362978283336E-2</v>
      </c>
      <c r="I119" s="80">
        <f>I118</f>
        <v>4.4327573253193142E-2</v>
      </c>
      <c r="J119" s="80"/>
      <c r="K119" s="80">
        <f>K118</f>
        <v>4.8582995951417018E-2</v>
      </c>
      <c r="L119" s="80">
        <f>L118</f>
        <v>3.7337263571604051E-2</v>
      </c>
      <c r="M119" s="80">
        <f>M118</f>
        <v>-2.1932995902627095E-2</v>
      </c>
      <c r="N119" s="80">
        <f>N118</f>
        <v>-9.8321342925659083E-3</v>
      </c>
      <c r="O119" s="102"/>
      <c r="P119" s="80"/>
      <c r="Q119" s="80"/>
      <c r="R119" s="80"/>
      <c r="S119" s="80"/>
      <c r="T119" s="249"/>
      <c r="U119" s="80"/>
      <c r="V119" s="80"/>
      <c r="W119" s="80"/>
      <c r="X119" s="80"/>
      <c r="Y119" s="249"/>
      <c r="Z119" s="249"/>
      <c r="AA119" s="249"/>
      <c r="AB119" s="249"/>
      <c r="AC119" s="249"/>
      <c r="AD119" s="302"/>
      <c r="AE119" s="249"/>
      <c r="AF119" s="249"/>
      <c r="AG119" s="249"/>
      <c r="AH119" s="249"/>
      <c r="AI119" s="2170"/>
      <c r="AJ119" s="249"/>
      <c r="AK119" s="249"/>
      <c r="AL119" s="249"/>
      <c r="AM119" s="249"/>
      <c r="AN119" s="2369"/>
      <c r="AO119" s="249"/>
      <c r="AP119" s="1056">
        <f t="shared" ref="AP119:AR119" si="106">AP118+0.015</f>
        <v>0.125</v>
      </c>
      <c r="AQ119" s="1056">
        <f t="shared" si="106"/>
        <v>0.16499999999999998</v>
      </c>
      <c r="AR119" s="1056">
        <f t="shared" si="106"/>
        <v>0.15500000000000003</v>
      </c>
      <c r="AS119" s="1056"/>
      <c r="AT119" s="1056">
        <f t="shared" ref="AT119:AW119" si="107">AT118+0.015</f>
        <v>0.12115064162538532</v>
      </c>
      <c r="AU119" s="1056">
        <f t="shared" si="107"/>
        <v>4.4951532830618021E-2</v>
      </c>
      <c r="AV119" s="1056">
        <f t="shared" si="107"/>
        <v>8.2330164146375943E-3</v>
      </c>
      <c r="AW119" s="1056">
        <f t="shared" si="107"/>
        <v>1.255502010268212E-3</v>
      </c>
      <c r="AX119" s="1056"/>
      <c r="AY119" s="1056">
        <f t="shared" ref="AY119:BB119" si="108">AY118+0.015</f>
        <v>3.5000000000000003E-2</v>
      </c>
      <c r="AZ119" s="1056">
        <f t="shared" si="108"/>
        <v>3.5000000000000003E-2</v>
      </c>
      <c r="BA119" s="1056">
        <f t="shared" si="108"/>
        <v>3.5000000000000003E-2</v>
      </c>
      <c r="BB119" s="1056">
        <f t="shared" si="108"/>
        <v>3.5000000000000003E-2</v>
      </c>
      <c r="BC119" s="1056"/>
    </row>
    <row r="120" spans="3:55">
      <c r="C120" s="1220"/>
      <c r="D120" s="1194"/>
      <c r="E120" s="38"/>
      <c r="F120" s="80"/>
      <c r="G120" s="80"/>
      <c r="H120" s="80"/>
      <c r="I120" s="80"/>
      <c r="J120" s="80"/>
      <c r="K120" s="80"/>
      <c r="L120" s="80"/>
      <c r="M120" s="80"/>
      <c r="N120" s="80"/>
      <c r="O120" s="102"/>
      <c r="P120" s="80"/>
      <c r="Q120" s="80"/>
      <c r="R120" s="80"/>
      <c r="S120" s="80"/>
      <c r="T120" s="249"/>
      <c r="U120" s="80"/>
      <c r="V120" s="80"/>
      <c r="W120" s="80"/>
      <c r="X120" s="80"/>
      <c r="Y120" s="249"/>
      <c r="Z120" s="249"/>
      <c r="AA120" s="249"/>
      <c r="AB120" s="249"/>
      <c r="AC120" s="249"/>
      <c r="AD120" s="1972"/>
      <c r="AE120" s="249"/>
      <c r="AF120" s="249"/>
      <c r="AG120" s="249"/>
      <c r="AH120" s="249"/>
      <c r="AI120" s="1971"/>
      <c r="AJ120" s="249"/>
      <c r="AK120" s="249"/>
      <c r="AL120" s="249"/>
      <c r="AM120" s="249"/>
      <c r="AN120" s="2369"/>
      <c r="AO120" s="249"/>
      <c r="AP120" s="1971"/>
      <c r="AQ120" s="1971"/>
      <c r="AR120" s="1971">
        <v>6.8838775899052861E-3</v>
      </c>
      <c r="AS120" s="1971"/>
      <c r="AT120" s="1971">
        <v>1.3849358374614679E-2</v>
      </c>
      <c r="AU120" s="1971">
        <v>2.0048467169381978E-2</v>
      </c>
      <c r="AV120" s="1971">
        <v>2.6766983585362406E-2</v>
      </c>
      <c r="AW120" s="1971">
        <v>3.3744497989731788E-2</v>
      </c>
      <c r="AX120" s="1971"/>
      <c r="AY120" s="1971"/>
      <c r="AZ120" s="1971"/>
      <c r="BA120" s="1971"/>
      <c r="BB120" s="1971"/>
      <c r="BC120" s="1971"/>
    </row>
    <row r="121" spans="3:55">
      <c r="C121" s="1220" t="s">
        <v>443</v>
      </c>
      <c r="D121" s="38"/>
      <c r="E121" s="38"/>
      <c r="F121" s="38"/>
      <c r="G121" s="38"/>
      <c r="H121" s="38"/>
      <c r="I121" s="38"/>
      <c r="J121" s="38"/>
      <c r="K121" s="38"/>
      <c r="L121" s="38"/>
      <c r="M121" s="38"/>
      <c r="N121" s="38"/>
      <c r="O121" s="1223"/>
      <c r="P121" s="38"/>
      <c r="Q121" s="38"/>
      <c r="R121" s="38"/>
      <c r="S121" s="38"/>
      <c r="T121" s="41"/>
      <c r="U121" s="41"/>
      <c r="V121" s="41"/>
      <c r="W121" s="41"/>
      <c r="X121" s="41"/>
      <c r="Y121" s="38"/>
      <c r="Z121" s="38"/>
      <c r="AA121" s="38"/>
      <c r="AB121" s="38"/>
      <c r="AC121" s="38"/>
      <c r="AD121" s="38"/>
      <c r="AE121" s="38"/>
      <c r="AF121" s="38"/>
      <c r="AG121" s="38"/>
      <c r="AH121" s="38"/>
      <c r="AI121" s="39"/>
      <c r="AJ121" s="38"/>
      <c r="AK121" s="38"/>
      <c r="AL121" s="38"/>
      <c r="AM121" s="38"/>
      <c r="AN121" s="2366"/>
      <c r="AO121" s="38"/>
      <c r="AP121" s="38"/>
      <c r="AQ121" s="38"/>
      <c r="AR121" s="43"/>
      <c r="AS121" s="38"/>
      <c r="AT121" s="43"/>
      <c r="AU121" s="43"/>
      <c r="AV121" s="43"/>
      <c r="AW121" s="43"/>
      <c r="AX121" s="38"/>
      <c r="AY121" s="38"/>
      <c r="AZ121" s="38"/>
      <c r="BA121" s="38"/>
      <c r="BB121" s="38"/>
      <c r="BC121" s="38"/>
    </row>
    <row r="122" spans="3:55" ht="12" thickBot="1">
      <c r="C122" s="1000"/>
      <c r="D122" s="38"/>
      <c r="E122" s="38"/>
      <c r="F122" s="38"/>
      <c r="G122" s="38"/>
      <c r="H122" s="38"/>
      <c r="I122" s="38"/>
      <c r="J122" s="38"/>
      <c r="K122" s="38"/>
      <c r="L122" s="38"/>
      <c r="M122" s="38"/>
      <c r="N122" s="38"/>
      <c r="O122" s="1223"/>
      <c r="P122" s="38"/>
      <c r="Q122" s="38"/>
      <c r="R122" s="38"/>
      <c r="S122" s="38"/>
      <c r="T122" s="41"/>
      <c r="U122" s="41"/>
      <c r="V122" s="41"/>
      <c r="W122" s="41"/>
      <c r="X122" s="41"/>
      <c r="Y122" s="38"/>
      <c r="Z122" s="38"/>
      <c r="AA122" s="38"/>
      <c r="AB122" s="38"/>
      <c r="AC122" s="38"/>
      <c r="AD122" s="38"/>
      <c r="AE122" s="38"/>
      <c r="AF122" s="38"/>
      <c r="AG122" s="38"/>
      <c r="AH122" s="38"/>
      <c r="AI122" s="39"/>
      <c r="AJ122" s="38"/>
      <c r="AK122" s="38"/>
      <c r="AL122" s="38"/>
      <c r="AM122" s="38"/>
      <c r="AN122" s="2366"/>
      <c r="AO122" s="38"/>
      <c r="AP122" s="38"/>
      <c r="AQ122" s="38"/>
      <c r="AR122" s="38"/>
      <c r="AS122" s="38"/>
      <c r="AT122" s="38"/>
      <c r="AU122" s="38"/>
      <c r="AV122" s="38"/>
      <c r="AW122" s="38"/>
      <c r="AX122" s="38"/>
      <c r="AY122" s="38"/>
      <c r="AZ122" s="38"/>
      <c r="BA122" s="38"/>
      <c r="BB122" s="38"/>
      <c r="BC122" s="38"/>
    </row>
    <row r="123" spans="3:55" ht="13.5" thickBot="1">
      <c r="C123" s="1000"/>
      <c r="D123" s="1002" t="str">
        <f>$C$9</f>
        <v>2 - Base</v>
      </c>
      <c r="E123" s="38"/>
      <c r="F123" s="38"/>
      <c r="G123" s="38"/>
      <c r="H123" s="38"/>
      <c r="I123" s="38"/>
      <c r="J123" s="38"/>
      <c r="K123" s="38"/>
      <c r="L123" s="38"/>
      <c r="M123" s="38"/>
      <c r="N123" s="38"/>
      <c r="O123" s="1223"/>
      <c r="P123" s="38"/>
      <c r="Q123" s="38"/>
      <c r="R123" s="38"/>
      <c r="S123" s="38"/>
      <c r="T123" s="41"/>
      <c r="U123" s="41"/>
      <c r="V123" s="41"/>
      <c r="W123" s="41"/>
      <c r="X123" s="41"/>
      <c r="Y123" s="38"/>
      <c r="Z123" s="38"/>
      <c r="AA123" s="38"/>
      <c r="AB123" s="38"/>
      <c r="AC123" s="38"/>
      <c r="AD123" s="38"/>
      <c r="AE123" s="38"/>
      <c r="AF123" s="38"/>
      <c r="AG123" s="38"/>
      <c r="AH123" s="38"/>
      <c r="AI123" s="39"/>
      <c r="AJ123" s="38"/>
      <c r="AK123" s="38"/>
      <c r="AL123" s="38"/>
      <c r="AM123" s="38"/>
      <c r="AN123" s="2366"/>
      <c r="AO123" s="38"/>
      <c r="AP123" s="38"/>
      <c r="AQ123" s="38"/>
      <c r="AR123" s="38"/>
      <c r="AS123" s="38"/>
      <c r="AT123" s="38"/>
      <c r="AU123" s="38"/>
      <c r="AV123" s="38"/>
      <c r="AW123" s="38"/>
      <c r="AX123" s="38"/>
      <c r="AY123" s="38"/>
      <c r="AZ123" s="38"/>
      <c r="BA123" s="38"/>
      <c r="BB123" s="38"/>
      <c r="BC123" s="38"/>
    </row>
    <row r="124" spans="3:55">
      <c r="C124" s="1000"/>
      <c r="D124" s="1219"/>
      <c r="E124" s="38"/>
      <c r="F124" s="38"/>
      <c r="G124" s="38"/>
      <c r="H124" s="38"/>
      <c r="I124" s="38"/>
      <c r="J124" s="38"/>
      <c r="K124" s="38"/>
      <c r="L124" s="38"/>
      <c r="M124" s="38"/>
      <c r="N124" s="38"/>
      <c r="O124" s="1223"/>
      <c r="P124" s="38"/>
      <c r="Q124" s="38"/>
      <c r="R124" s="38"/>
      <c r="S124" s="38"/>
      <c r="T124" s="41"/>
      <c r="U124" s="41"/>
      <c r="V124" s="41"/>
      <c r="W124" s="41"/>
      <c r="X124" s="41"/>
      <c r="Y124" s="38"/>
      <c r="Z124" s="38"/>
      <c r="AA124" s="38"/>
      <c r="AB124" s="38"/>
      <c r="AC124" s="38"/>
      <c r="AD124" s="38"/>
      <c r="AE124" s="38"/>
      <c r="AF124" s="38"/>
      <c r="AG124" s="38"/>
      <c r="AH124" s="38"/>
      <c r="AI124" s="39"/>
      <c r="AJ124" s="38"/>
      <c r="AK124" s="38"/>
      <c r="AL124" s="38"/>
      <c r="AM124" s="38"/>
      <c r="AN124" s="2366"/>
      <c r="AO124" s="38"/>
      <c r="AP124" s="38"/>
      <c r="AQ124" s="38"/>
      <c r="AR124" s="38"/>
      <c r="AS124" s="38"/>
      <c r="AT124" s="38"/>
      <c r="AU124" s="38"/>
      <c r="AV124" s="38"/>
      <c r="AW124" s="38"/>
      <c r="AX124" s="38"/>
      <c r="AY124" s="38"/>
      <c r="AZ124" s="38"/>
      <c r="BA124" s="38"/>
      <c r="BB124" s="38"/>
      <c r="BC124" s="38"/>
    </row>
    <row r="125" spans="3:55">
      <c r="C125" s="1220"/>
      <c r="D125" s="1194" t="s">
        <v>110</v>
      </c>
      <c r="E125" s="38"/>
      <c r="F125" s="249"/>
      <c r="G125" s="249"/>
      <c r="H125" s="249"/>
      <c r="I125" s="249"/>
      <c r="J125" s="249"/>
      <c r="K125" s="249"/>
      <c r="L125" s="249"/>
      <c r="M125" s="249"/>
      <c r="N125" s="249"/>
      <c r="O125" s="249"/>
      <c r="P125" s="987"/>
      <c r="Q125" s="987"/>
      <c r="R125" s="987"/>
      <c r="S125" s="987"/>
      <c r="T125" s="249"/>
      <c r="U125" s="987"/>
      <c r="V125" s="987"/>
      <c r="W125" s="987"/>
      <c r="X125" s="987"/>
      <c r="Y125" s="249"/>
      <c r="Z125" s="987"/>
      <c r="AA125" s="987"/>
      <c r="AB125" s="987"/>
      <c r="AC125" s="987"/>
      <c r="AD125" s="249"/>
      <c r="AE125" s="987"/>
      <c r="AF125" s="987"/>
      <c r="AG125" s="987"/>
      <c r="AH125" s="987"/>
      <c r="AI125" s="2171"/>
      <c r="AJ125" s="987"/>
      <c r="AK125" s="987"/>
      <c r="AL125" s="987"/>
      <c r="AM125" s="987"/>
      <c r="AN125" s="2380"/>
      <c r="AO125" s="987"/>
      <c r="AP125" s="1281">
        <v>0</v>
      </c>
      <c r="AQ125" s="1281">
        <v>0</v>
      </c>
      <c r="AR125" s="1281">
        <v>0</v>
      </c>
      <c r="AS125" s="1281">
        <f>AS131+AS136</f>
        <v>0</v>
      </c>
      <c r="AT125" s="1281">
        <v>0</v>
      </c>
      <c r="AU125" s="1281">
        <v>0</v>
      </c>
      <c r="AV125" s="1281">
        <v>0</v>
      </c>
      <c r="AW125" s="1281">
        <v>0</v>
      </c>
      <c r="AX125" s="1281">
        <f>AX131+AX136</f>
        <v>0</v>
      </c>
      <c r="AY125" s="1281">
        <v>0</v>
      </c>
      <c r="AZ125" s="1281">
        <v>0</v>
      </c>
      <c r="BA125" s="1281">
        <v>0</v>
      </c>
      <c r="BB125" s="1281">
        <v>0</v>
      </c>
      <c r="BC125" s="1281">
        <f>BC131+BC136</f>
        <v>0</v>
      </c>
    </row>
    <row r="126" spans="3:55">
      <c r="C126" s="1220"/>
      <c r="D126" s="1194" t="s">
        <v>111</v>
      </c>
      <c r="E126" s="38"/>
      <c r="F126" s="249"/>
      <c r="G126" s="249"/>
      <c r="H126" s="249"/>
      <c r="I126" s="249"/>
      <c r="J126" s="249"/>
      <c r="K126" s="249"/>
      <c r="L126" s="249"/>
      <c r="M126" s="249"/>
      <c r="N126" s="249"/>
      <c r="O126" s="249"/>
      <c r="P126" s="987">
        <f>Model!CR74</f>
        <v>18</v>
      </c>
      <c r="Q126" s="987">
        <f>Model!CS74</f>
        <v>120</v>
      </c>
      <c r="R126" s="987">
        <f>Model!CT74</f>
        <v>147</v>
      </c>
      <c r="S126" s="987">
        <f>Model!CU74</f>
        <v>109</v>
      </c>
      <c r="T126" s="249"/>
      <c r="U126" s="987">
        <f>Model!CW74</f>
        <v>153</v>
      </c>
      <c r="V126" s="987">
        <f>Model!CX74</f>
        <v>114</v>
      </c>
      <c r="W126" s="987">
        <f>Model!CY74</f>
        <v>185</v>
      </c>
      <c r="X126" s="987">
        <f>Model!CZ74</f>
        <v>101</v>
      </c>
      <c r="Y126" s="249"/>
      <c r="Z126" s="987">
        <f>Model!DB74</f>
        <v>194</v>
      </c>
      <c r="AA126" s="987">
        <f>Model!DC74</f>
        <v>101</v>
      </c>
      <c r="AB126" s="987">
        <f>Model!DD74</f>
        <v>0</v>
      </c>
      <c r="AC126" s="987">
        <f>Model!DE74</f>
        <v>0</v>
      </c>
      <c r="AD126" s="249"/>
      <c r="AE126" s="987">
        <f>Model!DG74</f>
        <v>0</v>
      </c>
      <c r="AF126" s="987">
        <f>Model!DH74</f>
        <v>0</v>
      </c>
      <c r="AG126" s="987">
        <f>Model!DI74</f>
        <v>8</v>
      </c>
      <c r="AH126" s="987">
        <f>Model!DJ74</f>
        <v>50</v>
      </c>
      <c r="AI126" s="2171"/>
      <c r="AJ126" s="987">
        <f>Model!DL74</f>
        <v>58</v>
      </c>
      <c r="AK126" s="987">
        <f>Model!DM74</f>
        <v>79</v>
      </c>
      <c r="AL126" s="987">
        <f>Model!DN74</f>
        <v>121</v>
      </c>
      <c r="AM126" s="987">
        <f>Model!DO74</f>
        <v>84</v>
      </c>
      <c r="AN126" s="2380">
        <f>Model!DP74</f>
        <v>342</v>
      </c>
      <c r="AO126" s="987">
        <f>Model!DQ74</f>
        <v>77</v>
      </c>
      <c r="AP126" s="1281">
        <v>0</v>
      </c>
      <c r="AQ126" s="1281">
        <v>0</v>
      </c>
      <c r="AR126" s="1281">
        <v>0</v>
      </c>
      <c r="AS126" s="1281">
        <f>AS132+AS137</f>
        <v>0</v>
      </c>
      <c r="AT126" s="1281">
        <v>0</v>
      </c>
      <c r="AU126" s="1281">
        <v>0</v>
      </c>
      <c r="AV126" s="1281">
        <v>0</v>
      </c>
      <c r="AW126" s="1281">
        <v>0</v>
      </c>
      <c r="AX126" s="1281">
        <f>AX132+AX137</f>
        <v>0</v>
      </c>
      <c r="AY126" s="1281">
        <v>0</v>
      </c>
      <c r="AZ126" s="1281">
        <v>0</v>
      </c>
      <c r="BA126" s="1281">
        <v>0</v>
      </c>
      <c r="BB126" s="1281">
        <v>0</v>
      </c>
      <c r="BC126" s="1281">
        <f>BC132+BC137</f>
        <v>0</v>
      </c>
    </row>
    <row r="127" spans="3:55">
      <c r="C127" s="1220"/>
      <c r="D127" s="1194" t="s">
        <v>112</v>
      </c>
      <c r="E127" s="38"/>
      <c r="F127" s="249"/>
      <c r="G127" s="249"/>
      <c r="H127" s="249"/>
      <c r="I127" s="249"/>
      <c r="J127" s="249"/>
      <c r="K127" s="249"/>
      <c r="L127" s="249"/>
      <c r="M127" s="249"/>
      <c r="N127" s="249"/>
      <c r="O127" s="249"/>
      <c r="P127" s="987"/>
      <c r="Q127" s="987"/>
      <c r="R127" s="987"/>
      <c r="S127" s="987"/>
      <c r="T127" s="249"/>
      <c r="U127" s="987"/>
      <c r="V127" s="987"/>
      <c r="W127" s="987"/>
      <c r="X127" s="987"/>
      <c r="Y127" s="249"/>
      <c r="Z127" s="987"/>
      <c r="AA127" s="987"/>
      <c r="AB127" s="987"/>
      <c r="AC127" s="987"/>
      <c r="AD127" s="987"/>
      <c r="AE127" s="987"/>
      <c r="AF127" s="987"/>
      <c r="AG127" s="987"/>
      <c r="AH127" s="987"/>
      <c r="AI127" s="2171"/>
      <c r="AJ127" s="987"/>
      <c r="AK127" s="987"/>
      <c r="AL127" s="987"/>
      <c r="AM127" s="987"/>
      <c r="AN127" s="2380"/>
      <c r="AO127" s="987"/>
      <c r="AP127" s="1281">
        <v>0</v>
      </c>
      <c r="AQ127" s="1281">
        <v>0</v>
      </c>
      <c r="AR127" s="1281">
        <v>0</v>
      </c>
      <c r="AS127" s="1281">
        <f>AS133+AS138</f>
        <v>0</v>
      </c>
      <c r="AT127" s="1281">
        <v>0</v>
      </c>
      <c r="AU127" s="1281">
        <v>0</v>
      </c>
      <c r="AV127" s="1281">
        <v>0</v>
      </c>
      <c r="AW127" s="1281">
        <v>0</v>
      </c>
      <c r="AX127" s="1281">
        <f>AX133+AX138</f>
        <v>0</v>
      </c>
      <c r="AY127" s="1281">
        <v>0</v>
      </c>
      <c r="AZ127" s="1281">
        <v>0</v>
      </c>
      <c r="BA127" s="1281">
        <v>0</v>
      </c>
      <c r="BB127" s="1281">
        <v>0</v>
      </c>
      <c r="BC127" s="1281">
        <f>BC133+BC138</f>
        <v>0</v>
      </c>
    </row>
    <row r="128" spans="3:55">
      <c r="C128" s="1220"/>
      <c r="D128" s="1194"/>
      <c r="E128" s="38"/>
      <c r="F128" s="38"/>
      <c r="G128" s="38"/>
      <c r="H128" s="38"/>
      <c r="I128" s="38"/>
      <c r="J128" s="38"/>
      <c r="K128" s="38"/>
      <c r="L128" s="38"/>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9"/>
      <c r="AJ128" s="38"/>
      <c r="AK128" s="38"/>
      <c r="AL128" s="38"/>
      <c r="AM128" s="38"/>
      <c r="AN128" s="2366"/>
      <c r="AO128" s="38"/>
      <c r="AP128" s="38"/>
      <c r="AQ128" s="38"/>
      <c r="AR128" s="38"/>
      <c r="AS128" s="38"/>
      <c r="AT128" s="38"/>
      <c r="AU128" s="38"/>
      <c r="AV128" s="38"/>
      <c r="AW128" s="38"/>
      <c r="AX128" s="38"/>
      <c r="AY128" s="38"/>
      <c r="AZ128" s="38"/>
      <c r="BA128" s="38"/>
      <c r="BB128" s="38"/>
      <c r="BC128" s="38"/>
    </row>
    <row r="129" spans="1:55">
      <c r="C129" s="1220"/>
      <c r="D129" s="1194"/>
      <c r="E129" s="38"/>
      <c r="F129" s="38"/>
      <c r="G129" s="38"/>
      <c r="H129" s="38"/>
      <c r="I129" s="38"/>
      <c r="J129" s="38"/>
      <c r="K129" s="38"/>
      <c r="L129" s="38"/>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9"/>
      <c r="AJ129" s="38"/>
      <c r="AK129" s="38"/>
      <c r="AL129" s="38"/>
      <c r="AM129" s="38"/>
      <c r="AN129" s="2366"/>
      <c r="AO129" s="38"/>
      <c r="AP129" s="38"/>
      <c r="AQ129" s="38"/>
      <c r="AR129" s="38"/>
      <c r="AS129" s="38"/>
      <c r="AT129" s="38"/>
      <c r="AU129" s="38"/>
      <c r="AV129" s="38"/>
      <c r="AW129" s="38"/>
      <c r="AX129" s="38"/>
      <c r="AY129" s="38"/>
      <c r="AZ129" s="38"/>
      <c r="BA129" s="38"/>
      <c r="BB129" s="38"/>
      <c r="BC129" s="38"/>
    </row>
    <row r="130" spans="1:55">
      <c r="C130" s="1220"/>
      <c r="D130" s="1219" t="s">
        <v>244</v>
      </c>
      <c r="E130" s="38"/>
      <c r="F130" s="38"/>
      <c r="G130" s="38"/>
      <c r="H130" s="38"/>
      <c r="I130" s="38"/>
      <c r="J130" s="38"/>
      <c r="K130" s="38"/>
      <c r="L130" s="38"/>
      <c r="M130" s="38"/>
      <c r="N130" s="38"/>
      <c r="O130" s="1223"/>
      <c r="P130" s="38"/>
      <c r="Q130" s="38"/>
      <c r="R130" s="38"/>
      <c r="S130" s="38"/>
      <c r="T130" s="38"/>
      <c r="U130" s="38"/>
      <c r="V130" s="38"/>
      <c r="W130" s="41"/>
      <c r="X130" s="41"/>
      <c r="Y130" s="38"/>
      <c r="Z130" s="38"/>
      <c r="AA130" s="38"/>
      <c r="AB130" s="38"/>
      <c r="AC130" s="38"/>
      <c r="AD130" s="38"/>
      <c r="AE130" s="38"/>
      <c r="AF130" s="38"/>
      <c r="AG130" s="38"/>
      <c r="AH130" s="38"/>
      <c r="AI130" s="39"/>
      <c r="AJ130" s="38"/>
      <c r="AK130" s="38"/>
      <c r="AL130" s="38"/>
      <c r="AM130" s="38"/>
      <c r="AN130" s="2366"/>
      <c r="AO130" s="38"/>
      <c r="AP130" s="38"/>
      <c r="AQ130" s="38"/>
      <c r="AR130" s="38"/>
      <c r="AS130" s="38"/>
      <c r="AT130" s="38"/>
      <c r="AU130" s="38"/>
      <c r="AV130" s="38"/>
      <c r="AW130" s="38"/>
      <c r="AX130" s="38"/>
      <c r="AY130" s="38"/>
      <c r="AZ130" s="38"/>
      <c r="BA130" s="38"/>
      <c r="BB130" s="38"/>
      <c r="BC130" s="38"/>
    </row>
    <row r="131" spans="1:55">
      <c r="C131" s="1220"/>
      <c r="D131" s="1194" t="s">
        <v>110</v>
      </c>
      <c r="E131" s="38"/>
      <c r="F131" s="249"/>
      <c r="G131" s="249"/>
      <c r="H131" s="249"/>
      <c r="I131" s="249"/>
      <c r="J131" s="249"/>
      <c r="K131" s="249"/>
      <c r="L131" s="249"/>
      <c r="M131" s="249"/>
      <c r="N131" s="249"/>
      <c r="O131" s="249"/>
      <c r="P131" s="987"/>
      <c r="Q131" s="987"/>
      <c r="R131" s="987"/>
      <c r="S131" s="987"/>
      <c r="T131" s="249"/>
      <c r="U131" s="987"/>
      <c r="V131" s="987"/>
      <c r="W131" s="987"/>
      <c r="X131" s="987"/>
      <c r="Y131" s="249"/>
      <c r="Z131" s="987"/>
      <c r="AA131" s="987"/>
      <c r="AB131" s="987"/>
      <c r="AC131" s="987"/>
      <c r="AD131" s="249"/>
      <c r="AE131" s="987"/>
      <c r="AF131" s="987"/>
      <c r="AG131" s="987"/>
      <c r="AH131" s="987"/>
      <c r="AI131" s="2172"/>
      <c r="AJ131" s="987"/>
      <c r="AK131" s="987"/>
      <c r="AL131" s="987"/>
      <c r="AM131" s="987"/>
      <c r="AN131" s="2380"/>
      <c r="AO131" s="987"/>
      <c r="AP131" s="1057">
        <v>0</v>
      </c>
      <c r="AQ131" s="1057">
        <v>0</v>
      </c>
      <c r="AR131" s="1057">
        <v>0</v>
      </c>
      <c r="AS131" s="1057">
        <v>0</v>
      </c>
      <c r="AT131" s="1057">
        <v>0</v>
      </c>
      <c r="AU131" s="1057">
        <v>0</v>
      </c>
      <c r="AV131" s="1057">
        <v>0</v>
      </c>
      <c r="AW131" s="1057">
        <v>0</v>
      </c>
      <c r="AX131" s="1057">
        <v>0</v>
      </c>
      <c r="AY131" s="1057">
        <v>0</v>
      </c>
      <c r="AZ131" s="1057">
        <v>0</v>
      </c>
      <c r="BA131" s="1057">
        <v>0</v>
      </c>
      <c r="BB131" s="1057">
        <v>0</v>
      </c>
      <c r="BC131" s="1057">
        <v>0</v>
      </c>
    </row>
    <row r="132" spans="1:55">
      <c r="C132" s="1220"/>
      <c r="D132" s="1194" t="s">
        <v>111</v>
      </c>
      <c r="E132" s="38"/>
      <c r="F132" s="249"/>
      <c r="G132" s="249"/>
      <c r="H132" s="249"/>
      <c r="I132" s="249"/>
      <c r="J132" s="249"/>
      <c r="K132" s="249"/>
      <c r="L132" s="249"/>
      <c r="M132" s="249"/>
      <c r="N132" s="249"/>
      <c r="O132" s="249"/>
      <c r="P132" s="987">
        <f>Model!CR74-45%*3*(1-20%)</f>
        <v>16.920000000000002</v>
      </c>
      <c r="Q132" s="987">
        <f>Model!CS74-45%*34*(1-20%)</f>
        <v>107.75999999999999</v>
      </c>
      <c r="R132" s="987">
        <f>Model!CT74-45%*39*(1-20%)</f>
        <v>132.96</v>
      </c>
      <c r="S132" s="987">
        <f>Model!CU74-45%*78*(1-20%)</f>
        <v>80.92</v>
      </c>
      <c r="T132" s="249"/>
      <c r="U132" s="987">
        <f>Model!CW74-45%*50%*107*(1-20%)</f>
        <v>133.74</v>
      </c>
      <c r="V132" s="987">
        <f>Model!CX74-45%*50%*129*(1-20%)</f>
        <v>90.78</v>
      </c>
      <c r="W132" s="987">
        <f>Model!CY74-45%*50%*131*(1-20%)</f>
        <v>161.41999999999999</v>
      </c>
      <c r="X132" s="987">
        <f>Model!CZ74-45%*50%*124*(1-20%)</f>
        <v>78.679999999999993</v>
      </c>
      <c r="Y132" s="249"/>
      <c r="Z132" s="987">
        <f>Model!DB74-45%*50%*140*(1-20%)</f>
        <v>168.8</v>
      </c>
      <c r="AA132" s="987">
        <f>Model!DC74-45%*50%*170*(1-20%)</f>
        <v>70.400000000000006</v>
      </c>
      <c r="AB132" s="987">
        <f>Model!DD74-45%*50%*170*(1-20%)</f>
        <v>-30.6</v>
      </c>
      <c r="AC132" s="987">
        <f>Model!DE74-45%*50%*170*(1-20%)</f>
        <v>-30.6</v>
      </c>
      <c r="AD132" s="249"/>
      <c r="AE132" s="987">
        <f>Model!DG74-45%*50%*170*(1-20%)</f>
        <v>-30.6</v>
      </c>
      <c r="AF132" s="987">
        <f>Model!DH74-45%*50%*170*(1-20%)</f>
        <v>-30.6</v>
      </c>
      <c r="AG132" s="987">
        <f>Model!DI74-45%*50%*170*(1-20%)</f>
        <v>-22.6</v>
      </c>
      <c r="AH132" s="987">
        <f>Model!DJ74-45%*50%*170*(1-20%)</f>
        <v>19.399999999999999</v>
      </c>
      <c r="AI132" s="2172"/>
      <c r="AJ132" s="987">
        <f>Model!DL74-45%*50%*170*(1-20%)</f>
        <v>27.4</v>
      </c>
      <c r="AK132" s="987">
        <f>Model!DM74-45%*50%*170*(1-20%)</f>
        <v>48.4</v>
      </c>
      <c r="AL132" s="987">
        <f>Model!DN74-45%*50%*170*(1-20%)</f>
        <v>90.4</v>
      </c>
      <c r="AM132" s="987">
        <f>Model!DO74-45%*50%*170*(1-20%)</f>
        <v>53.4</v>
      </c>
      <c r="AN132" s="2380">
        <f>Model!DP74-45%*50%*170*(1-20%)</f>
        <v>311.39999999999998</v>
      </c>
      <c r="AO132" s="987">
        <f>Model!DQ74-45%*50%*170*(1-20%)</f>
        <v>46.4</v>
      </c>
      <c r="AP132" s="1057">
        <v>0</v>
      </c>
      <c r="AQ132" s="1057">
        <v>0</v>
      </c>
      <c r="AR132" s="1057">
        <v>0</v>
      </c>
      <c r="AS132" s="1057">
        <v>0</v>
      </c>
      <c r="AT132" s="1057">
        <v>0</v>
      </c>
      <c r="AU132" s="1057">
        <v>0</v>
      </c>
      <c r="AV132" s="1057">
        <v>0</v>
      </c>
      <c r="AW132" s="1057">
        <v>0</v>
      </c>
      <c r="AX132" s="1057">
        <v>0</v>
      </c>
      <c r="AY132" s="1057">
        <v>0</v>
      </c>
      <c r="AZ132" s="1057">
        <v>0</v>
      </c>
      <c r="BA132" s="1057">
        <v>0</v>
      </c>
      <c r="BB132" s="1057">
        <v>0</v>
      </c>
      <c r="BC132" s="1057">
        <v>0</v>
      </c>
    </row>
    <row r="133" spans="1:55">
      <c r="C133" s="1220"/>
      <c r="D133" s="1194" t="s">
        <v>112</v>
      </c>
      <c r="E133" s="38"/>
      <c r="F133" s="249"/>
      <c r="G133" s="249"/>
      <c r="H133" s="249"/>
      <c r="I133" s="249"/>
      <c r="J133" s="249"/>
      <c r="K133" s="249"/>
      <c r="L133" s="249"/>
      <c r="M133" s="249"/>
      <c r="N133" s="249"/>
      <c r="O133" s="249"/>
      <c r="P133" s="987"/>
      <c r="Q133" s="987"/>
      <c r="R133" s="987"/>
      <c r="S133" s="987"/>
      <c r="T133" s="249"/>
      <c r="U133" s="264"/>
      <c r="V133" s="264"/>
      <c r="W133" s="264"/>
      <c r="X133" s="264"/>
      <c r="Y133" s="249"/>
      <c r="Z133" s="264"/>
      <c r="AA133" s="264"/>
      <c r="AB133" s="264"/>
      <c r="AC133" s="264"/>
      <c r="AD133" s="987"/>
      <c r="AE133" s="264"/>
      <c r="AF133" s="264"/>
      <c r="AG133" s="264"/>
      <c r="AH133" s="264"/>
      <c r="AI133" s="2172"/>
      <c r="AJ133" s="264"/>
      <c r="AK133" s="264"/>
      <c r="AL133" s="264"/>
      <c r="AM133" s="264"/>
      <c r="AN133" s="2381"/>
      <c r="AO133" s="264"/>
      <c r="AP133" s="1057">
        <v>0</v>
      </c>
      <c r="AQ133" s="1057">
        <v>0</v>
      </c>
      <c r="AR133" s="1057">
        <v>0</v>
      </c>
      <c r="AS133" s="1057">
        <v>0</v>
      </c>
      <c r="AT133" s="1057">
        <v>0</v>
      </c>
      <c r="AU133" s="1057">
        <v>0</v>
      </c>
      <c r="AV133" s="1057">
        <v>0</v>
      </c>
      <c r="AW133" s="1057">
        <v>0</v>
      </c>
      <c r="AX133" s="1057">
        <v>0</v>
      </c>
      <c r="AY133" s="1057">
        <v>0</v>
      </c>
      <c r="AZ133" s="1057">
        <v>0</v>
      </c>
      <c r="BA133" s="1057">
        <v>0</v>
      </c>
      <c r="BB133" s="1057">
        <v>0</v>
      </c>
      <c r="BC133" s="1057">
        <v>0</v>
      </c>
    </row>
    <row r="134" spans="1:55">
      <c r="C134" s="1220"/>
      <c r="D134" s="1194"/>
      <c r="E134" s="38"/>
      <c r="F134" s="38"/>
      <c r="G134" s="38"/>
      <c r="H134" s="38"/>
      <c r="I134" s="38"/>
      <c r="J134" s="38"/>
      <c r="K134" s="38"/>
      <c r="L134" s="38"/>
      <c r="M134" s="38"/>
      <c r="N134" s="38"/>
      <c r="O134" s="38"/>
      <c r="P134" s="38"/>
      <c r="Q134" s="38"/>
      <c r="R134" s="38"/>
      <c r="S134" s="38"/>
      <c r="T134" s="38"/>
      <c r="U134" s="1456"/>
      <c r="V134" s="1456"/>
      <c r="W134" s="38"/>
      <c r="X134" s="38"/>
      <c r="Y134" s="38"/>
      <c r="Z134" s="38"/>
      <c r="AA134" s="38"/>
      <c r="AB134" s="38"/>
      <c r="AC134" s="38"/>
      <c r="AD134" s="38"/>
      <c r="AE134" s="38"/>
      <c r="AF134" s="38"/>
      <c r="AG134" s="38"/>
      <c r="AH134" s="38"/>
      <c r="AI134" s="39"/>
      <c r="AJ134" s="38"/>
      <c r="AK134" s="38"/>
      <c r="AL134" s="38"/>
      <c r="AM134" s="38"/>
      <c r="AN134" s="2366"/>
      <c r="AO134" s="38"/>
      <c r="AP134" s="38"/>
      <c r="AQ134" s="38"/>
      <c r="AR134" s="38"/>
      <c r="AS134" s="38"/>
      <c r="AT134" s="38"/>
      <c r="AU134" s="38"/>
      <c r="AV134" s="38"/>
      <c r="AW134" s="38"/>
      <c r="AX134" s="38"/>
      <c r="AY134" s="38"/>
      <c r="AZ134" s="38"/>
      <c r="BA134" s="38"/>
      <c r="BB134" s="38"/>
      <c r="BC134" s="38"/>
    </row>
    <row r="135" spans="1:55">
      <c r="C135" s="1220"/>
      <c r="D135" s="1219" t="s">
        <v>30</v>
      </c>
      <c r="E135" s="38"/>
      <c r="F135" s="38"/>
      <c r="G135" s="38"/>
      <c r="H135" s="38"/>
      <c r="I135" s="38"/>
      <c r="J135" s="38"/>
      <c r="K135" s="38"/>
      <c r="L135" s="38"/>
      <c r="M135" s="38"/>
      <c r="N135" s="38"/>
      <c r="O135" s="1223"/>
      <c r="P135" s="38"/>
      <c r="Q135" s="38"/>
      <c r="R135" s="38"/>
      <c r="S135" s="38"/>
      <c r="T135" s="41"/>
      <c r="U135" s="41"/>
      <c r="V135" s="41"/>
      <c r="W135" s="41"/>
      <c r="X135" s="41"/>
      <c r="Y135" s="38"/>
      <c r="Z135" s="38"/>
      <c r="AA135" s="38"/>
      <c r="AB135" s="38"/>
      <c r="AC135" s="38"/>
      <c r="AD135" s="38"/>
      <c r="AE135" s="38"/>
      <c r="AF135" s="38"/>
      <c r="AG135" s="38"/>
      <c r="AH135" s="38"/>
      <c r="AI135" s="39"/>
      <c r="AJ135" s="38"/>
      <c r="AK135" s="38"/>
      <c r="AL135" s="38"/>
      <c r="AM135" s="38"/>
      <c r="AN135" s="2366"/>
      <c r="AO135" s="38"/>
      <c r="AP135" s="38"/>
      <c r="AQ135" s="38"/>
      <c r="AR135" s="38"/>
      <c r="AS135" s="38"/>
      <c r="AT135" s="38"/>
      <c r="AU135" s="38"/>
      <c r="AV135" s="38"/>
      <c r="AW135" s="38"/>
      <c r="AX135" s="38"/>
      <c r="AY135" s="38"/>
      <c r="AZ135" s="38"/>
      <c r="BA135" s="38"/>
      <c r="BB135" s="38"/>
      <c r="BC135" s="38"/>
    </row>
    <row r="136" spans="1:55">
      <c r="C136" s="1220"/>
      <c r="D136" s="1194" t="s">
        <v>110</v>
      </c>
      <c r="E136" s="38"/>
      <c r="F136" s="249"/>
      <c r="G136" s="249"/>
      <c r="H136" s="249"/>
      <c r="I136" s="249"/>
      <c r="J136" s="249"/>
      <c r="K136" s="249"/>
      <c r="L136" s="249"/>
      <c r="M136" s="249"/>
      <c r="N136" s="249"/>
      <c r="O136" s="249"/>
      <c r="P136" s="987"/>
      <c r="Q136" s="987"/>
      <c r="R136" s="987"/>
      <c r="S136" s="987"/>
      <c r="T136" s="249"/>
      <c r="U136" s="987"/>
      <c r="V136" s="987"/>
      <c r="W136" s="987"/>
      <c r="X136" s="987"/>
      <c r="Y136" s="249"/>
      <c r="Z136" s="987"/>
      <c r="AA136" s="987"/>
      <c r="AB136" s="987"/>
      <c r="AC136" s="987"/>
      <c r="AD136" s="249"/>
      <c r="AE136" s="987"/>
      <c r="AF136" s="987"/>
      <c r="AG136" s="987"/>
      <c r="AH136" s="987"/>
      <c r="AI136" s="2172"/>
      <c r="AJ136" s="987"/>
      <c r="AK136" s="987"/>
      <c r="AL136" s="987"/>
      <c r="AM136" s="987"/>
      <c r="AN136" s="2380"/>
      <c r="AO136" s="987"/>
      <c r="AP136" s="1057">
        <v>0</v>
      </c>
      <c r="AQ136" s="1057">
        <v>0</v>
      </c>
      <c r="AR136" s="1057">
        <v>0</v>
      </c>
      <c r="AS136" s="1057">
        <v>0</v>
      </c>
      <c r="AT136" s="1057">
        <v>0</v>
      </c>
      <c r="AU136" s="1057">
        <v>0</v>
      </c>
      <c r="AV136" s="1057">
        <v>0</v>
      </c>
      <c r="AW136" s="1057">
        <v>0</v>
      </c>
      <c r="AX136" s="1057">
        <v>0</v>
      </c>
      <c r="AY136" s="1057">
        <v>0</v>
      </c>
      <c r="AZ136" s="1057">
        <v>0</v>
      </c>
      <c r="BA136" s="1057">
        <v>0</v>
      </c>
      <c r="BB136" s="1057">
        <v>0</v>
      </c>
      <c r="BC136" s="1057">
        <v>0</v>
      </c>
    </row>
    <row r="137" spans="1:55">
      <c r="C137" s="1220"/>
      <c r="D137" s="1194" t="s">
        <v>111</v>
      </c>
      <c r="E137" s="38"/>
      <c r="F137" s="249"/>
      <c r="G137" s="249"/>
      <c r="H137" s="249"/>
      <c r="I137" s="249"/>
      <c r="J137" s="249"/>
      <c r="K137" s="249"/>
      <c r="L137" s="249"/>
      <c r="M137" s="249"/>
      <c r="N137" s="249"/>
      <c r="O137" s="249"/>
      <c r="P137" s="987"/>
      <c r="Q137" s="987"/>
      <c r="R137" s="987"/>
      <c r="S137" s="987"/>
      <c r="T137" s="249"/>
      <c r="U137" s="987">
        <f>45%*(1-20%)*(50%*107)</f>
        <v>19.260000000000002</v>
      </c>
      <c r="V137" s="987">
        <f>45%*(1-20%)*(50%*129)</f>
        <v>23.220000000000002</v>
      </c>
      <c r="W137" s="987">
        <f>45%*(1-20%)*(50%*131)</f>
        <v>23.580000000000002</v>
      </c>
      <c r="X137" s="987">
        <f>45%*(1-20%)*(50%*124)</f>
        <v>22.320000000000004</v>
      </c>
      <c r="Y137" s="249"/>
      <c r="Z137" s="987">
        <f>45%*(1-20%)*(50%*140)</f>
        <v>25.200000000000003</v>
      </c>
      <c r="AA137" s="987">
        <f>45%*(1-20%)*(50%*170)</f>
        <v>30.600000000000005</v>
      </c>
      <c r="AB137" s="987">
        <f>45%*(1-20%)*(50%*170)</f>
        <v>30.600000000000005</v>
      </c>
      <c r="AC137" s="987">
        <f>45%*(1-20%)*(50%*170)</f>
        <v>30.600000000000005</v>
      </c>
      <c r="AD137" s="249"/>
      <c r="AE137" s="987">
        <f>45%*(1-20%)*(50%*170)</f>
        <v>30.600000000000005</v>
      </c>
      <c r="AF137" s="987">
        <f>45%*(1-20%)*(50%*170)</f>
        <v>30.600000000000005</v>
      </c>
      <c r="AG137" s="987">
        <f>45%*(1-20%)*(50%*170)</f>
        <v>30.600000000000005</v>
      </c>
      <c r="AH137" s="987">
        <f>45%*(1-20%)*(50%*170)</f>
        <v>30.600000000000005</v>
      </c>
      <c r="AI137" s="2172"/>
      <c r="AJ137" s="987">
        <f t="shared" ref="AJ137:AO137" si="109">45%*(1-20%)*(50%*170)</f>
        <v>30.600000000000005</v>
      </c>
      <c r="AK137" s="987">
        <f t="shared" si="109"/>
        <v>30.600000000000005</v>
      </c>
      <c r="AL137" s="987">
        <f t="shared" si="109"/>
        <v>30.600000000000005</v>
      </c>
      <c r="AM137" s="987">
        <f t="shared" si="109"/>
        <v>30.600000000000005</v>
      </c>
      <c r="AN137" s="2380">
        <f t="shared" si="109"/>
        <v>30.600000000000005</v>
      </c>
      <c r="AO137" s="987">
        <f t="shared" si="109"/>
        <v>30.600000000000005</v>
      </c>
      <c r="AP137" s="1057">
        <v>0</v>
      </c>
      <c r="AQ137" s="1057">
        <v>0</v>
      </c>
      <c r="AR137" s="1057">
        <v>0</v>
      </c>
      <c r="AS137" s="1057">
        <v>0</v>
      </c>
      <c r="AT137" s="1057">
        <v>0</v>
      </c>
      <c r="AU137" s="1057">
        <v>0</v>
      </c>
      <c r="AV137" s="1057">
        <v>0</v>
      </c>
      <c r="AW137" s="1057">
        <v>0</v>
      </c>
      <c r="AX137" s="1057">
        <v>0</v>
      </c>
      <c r="AY137" s="1057">
        <v>0</v>
      </c>
      <c r="AZ137" s="1057">
        <v>0</v>
      </c>
      <c r="BA137" s="1057">
        <v>0</v>
      </c>
      <c r="BB137" s="1057">
        <v>0</v>
      </c>
      <c r="BC137" s="1057">
        <v>0</v>
      </c>
    </row>
    <row r="138" spans="1:55">
      <c r="C138" s="1220"/>
      <c r="D138" s="1194" t="s">
        <v>112</v>
      </c>
      <c r="E138" s="38"/>
      <c r="F138" s="249"/>
      <c r="G138" s="249"/>
      <c r="H138" s="249"/>
      <c r="I138" s="249"/>
      <c r="J138" s="249"/>
      <c r="K138" s="249"/>
      <c r="L138" s="249"/>
      <c r="M138" s="249"/>
      <c r="N138" s="249"/>
      <c r="O138" s="249"/>
      <c r="P138" s="987"/>
      <c r="Q138" s="987"/>
      <c r="R138" s="987"/>
      <c r="S138" s="987"/>
      <c r="T138" s="249"/>
      <c r="U138" s="987"/>
      <c r="V138" s="987"/>
      <c r="W138" s="987"/>
      <c r="X138" s="987"/>
      <c r="Y138" s="249"/>
      <c r="Z138" s="987"/>
      <c r="AA138" s="987"/>
      <c r="AB138" s="987"/>
      <c r="AC138" s="987"/>
      <c r="AD138" s="987"/>
      <c r="AE138" s="987"/>
      <c r="AF138" s="987"/>
      <c r="AG138" s="987"/>
      <c r="AH138" s="987"/>
      <c r="AI138" s="2172"/>
      <c r="AJ138" s="987"/>
      <c r="AK138" s="987"/>
      <c r="AL138" s="987"/>
      <c r="AM138" s="987"/>
      <c r="AN138" s="2380"/>
      <c r="AO138" s="987"/>
      <c r="AP138" s="1057">
        <v>0</v>
      </c>
      <c r="AQ138" s="1057">
        <v>0</v>
      </c>
      <c r="AR138" s="1057">
        <v>0</v>
      </c>
      <c r="AS138" s="1057">
        <v>0</v>
      </c>
      <c r="AT138" s="1057">
        <v>0</v>
      </c>
      <c r="AU138" s="1057">
        <v>0</v>
      </c>
      <c r="AV138" s="1057">
        <v>0</v>
      </c>
      <c r="AW138" s="1057">
        <v>0</v>
      </c>
      <c r="AX138" s="1057">
        <v>0</v>
      </c>
      <c r="AY138" s="1057">
        <v>0</v>
      </c>
      <c r="AZ138" s="1057">
        <v>0</v>
      </c>
      <c r="BA138" s="1057">
        <v>0</v>
      </c>
      <c r="BB138" s="1057">
        <v>0</v>
      </c>
      <c r="BC138" s="1057">
        <v>0</v>
      </c>
    </row>
    <row r="139" spans="1:55">
      <c r="C139" s="1220"/>
      <c r="D139" s="1194"/>
      <c r="E139" s="38"/>
      <c r="F139" s="38"/>
      <c r="G139" s="38"/>
      <c r="H139" s="38"/>
      <c r="I139" s="38"/>
      <c r="J139" s="38"/>
      <c r="K139" s="38"/>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2366"/>
      <c r="AO139" s="38"/>
      <c r="AP139" s="38"/>
      <c r="AQ139" s="38"/>
      <c r="AR139" s="38"/>
      <c r="AS139" s="38"/>
      <c r="AT139" s="38"/>
      <c r="AU139" s="38"/>
      <c r="AV139" s="38"/>
      <c r="AW139" s="38"/>
      <c r="AX139" s="38"/>
      <c r="AY139" s="38"/>
      <c r="AZ139" s="38"/>
      <c r="BA139" s="38"/>
      <c r="BB139" s="38"/>
      <c r="BC139" s="38"/>
    </row>
    <row r="140" spans="1:55" ht="12.75">
      <c r="C140" s="1224" t="s">
        <v>206</v>
      </c>
      <c r="D140" s="1192"/>
      <c r="E140" s="38"/>
      <c r="F140" s="38"/>
      <c r="G140" s="38"/>
      <c r="H140" s="38"/>
      <c r="I140" s="38"/>
      <c r="J140" s="38"/>
      <c r="K140" s="38"/>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2366"/>
      <c r="AO140" s="38"/>
      <c r="AP140" s="38"/>
      <c r="AQ140" s="38"/>
      <c r="AR140" s="38"/>
      <c r="AS140" s="38"/>
      <c r="AT140" s="38"/>
      <c r="AU140" s="38"/>
      <c r="AV140" s="38"/>
      <c r="AW140" s="38"/>
      <c r="AX140" s="38"/>
      <c r="AY140" s="38"/>
      <c r="AZ140" s="38"/>
      <c r="BA140" s="38"/>
      <c r="BB140" s="38"/>
      <c r="BC140" s="38"/>
    </row>
    <row r="141" spans="1:55" ht="13.5" thickBot="1">
      <c r="C141" s="1225"/>
      <c r="D141" s="1192"/>
      <c r="E141" s="38"/>
      <c r="F141" s="38"/>
      <c r="G141" s="38"/>
      <c r="H141" s="38"/>
      <c r="I141" s="38"/>
      <c r="J141" s="38"/>
      <c r="K141" s="38"/>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c r="AN141" s="2366"/>
      <c r="AO141" s="38"/>
      <c r="AP141" s="38"/>
      <c r="AQ141" s="38"/>
      <c r="AR141" s="38"/>
      <c r="AS141" s="38"/>
      <c r="AT141" s="38"/>
      <c r="AU141" s="38"/>
      <c r="AV141" s="38"/>
      <c r="AW141" s="38"/>
      <c r="AX141" s="38"/>
      <c r="AY141" s="38"/>
      <c r="AZ141" s="38"/>
      <c r="BA141" s="38"/>
      <c r="BB141" s="38"/>
      <c r="BC141" s="38"/>
    </row>
    <row r="142" spans="1:55" ht="13.5" thickBot="1">
      <c r="C142" s="1225"/>
      <c r="D142" s="1002" t="str">
        <f>$C$9</f>
        <v>2 - Base</v>
      </c>
      <c r="E142" s="38"/>
      <c r="F142" s="38"/>
      <c r="G142" s="38"/>
      <c r="H142" s="38"/>
      <c r="I142" s="38"/>
      <c r="J142" s="38"/>
      <c r="K142" s="38"/>
      <c r="L142" s="38"/>
      <c r="M142" s="38"/>
      <c r="N142" s="38"/>
      <c r="O142" s="38"/>
      <c r="P142" s="1201"/>
      <c r="Q142" s="1201"/>
      <c r="R142" s="1201"/>
      <c r="S142" s="1201"/>
      <c r="T142" s="1201"/>
      <c r="U142" s="1201"/>
      <c r="V142" s="1201"/>
      <c r="W142" s="38"/>
      <c r="X142" s="38"/>
      <c r="Y142" s="38"/>
      <c r="Z142" s="38"/>
      <c r="AA142" s="38"/>
      <c r="AB142" s="38"/>
      <c r="AC142" s="38"/>
      <c r="AD142" s="38"/>
      <c r="AE142" s="38"/>
      <c r="AF142" s="38"/>
      <c r="AG142" s="38"/>
      <c r="AH142" s="38"/>
      <c r="AI142" s="38"/>
      <c r="AJ142" s="38"/>
      <c r="AK142" s="38"/>
      <c r="AL142" s="38"/>
      <c r="AM142" s="38"/>
      <c r="AN142" s="2366"/>
      <c r="AO142" s="38"/>
      <c r="AP142" s="38"/>
      <c r="AQ142" s="38"/>
      <c r="AR142" s="38"/>
      <c r="AS142" s="38"/>
      <c r="AT142" s="38"/>
      <c r="AU142" s="38"/>
      <c r="AV142" s="38"/>
      <c r="AW142" s="38"/>
      <c r="AX142" s="38"/>
      <c r="AY142" s="38"/>
      <c r="AZ142" s="38"/>
      <c r="BA142" s="38"/>
      <c r="BB142" s="38"/>
      <c r="BC142" s="38"/>
    </row>
    <row r="143" spans="1:55" ht="12.75">
      <c r="A143">
        <v>95</v>
      </c>
      <c r="C143" s="1225"/>
      <c r="D143" s="1192"/>
      <c r="E143" s="38"/>
      <c r="F143" s="38"/>
      <c r="G143" s="38"/>
      <c r="H143" s="38"/>
      <c r="I143" s="38"/>
      <c r="J143" s="38"/>
      <c r="K143" s="38"/>
      <c r="L143" s="38"/>
      <c r="M143" s="38"/>
      <c r="N143" s="38"/>
      <c r="O143" s="38"/>
      <c r="P143" s="1201"/>
      <c r="Q143" s="1201"/>
      <c r="R143" s="1201"/>
      <c r="S143" s="1201"/>
      <c r="T143" s="1201"/>
      <c r="U143" s="1201"/>
      <c r="V143" s="1201"/>
      <c r="W143" s="38"/>
      <c r="X143" s="38"/>
      <c r="Y143" s="38"/>
      <c r="Z143" s="38"/>
      <c r="AA143" s="38"/>
      <c r="AB143" s="38"/>
      <c r="AC143" s="38"/>
      <c r="AD143" s="38"/>
      <c r="AE143" s="38"/>
      <c r="AF143" s="38"/>
      <c r="AG143" s="38"/>
      <c r="AH143" s="38"/>
      <c r="AI143" s="38"/>
      <c r="AJ143" s="38"/>
      <c r="AK143" s="38"/>
      <c r="AL143" s="38"/>
      <c r="AM143" s="38"/>
      <c r="AN143" s="2366"/>
      <c r="AO143" s="38"/>
      <c r="AP143" s="38"/>
      <c r="AQ143" s="38"/>
      <c r="AR143" s="38"/>
      <c r="AS143" s="38"/>
      <c r="AT143" s="38"/>
      <c r="AU143" s="38"/>
      <c r="AV143" s="38"/>
      <c r="AW143" s="38"/>
      <c r="AX143" s="38"/>
      <c r="AY143" s="38"/>
      <c r="AZ143" s="38"/>
      <c r="BA143" s="38"/>
      <c r="BB143" s="38"/>
      <c r="BC143" s="38"/>
    </row>
    <row r="144" spans="1:55" ht="12.75">
      <c r="A144">
        <f>15*12</f>
        <v>180</v>
      </c>
      <c r="C144" s="1225"/>
      <c r="D144" s="1193" t="s">
        <v>253</v>
      </c>
      <c r="E144" s="38"/>
      <c r="F144" s="38"/>
      <c r="G144" s="38"/>
      <c r="H144" s="38"/>
      <c r="I144" s="38"/>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2366"/>
      <c r="AO144" s="38"/>
      <c r="AP144" s="38"/>
      <c r="AQ144" s="38"/>
      <c r="AR144" s="38"/>
      <c r="AS144" s="38"/>
      <c r="AT144" s="38"/>
      <c r="AU144" s="38"/>
      <c r="AV144" s="38"/>
      <c r="AW144" s="38"/>
      <c r="AX144" s="38"/>
      <c r="AY144" s="38"/>
      <c r="AZ144" s="38"/>
      <c r="BA144" s="38"/>
      <c r="BB144" s="38"/>
      <c r="BC144" s="38"/>
    </row>
    <row r="145" spans="3:55" ht="12.75">
      <c r="C145" s="1225"/>
      <c r="D145" s="1194" t="s">
        <v>110</v>
      </c>
      <c r="E145" s="38"/>
      <c r="F145" s="1195"/>
      <c r="G145" s="1195"/>
      <c r="H145" s="1195"/>
      <c r="I145" s="1195"/>
      <c r="J145" s="1195"/>
      <c r="K145" s="1195"/>
      <c r="L145" s="1195"/>
      <c r="M145" s="1195"/>
      <c r="N145" s="1195"/>
      <c r="O145" s="1195"/>
      <c r="P145" s="1201"/>
      <c r="Q145" s="1201"/>
      <c r="R145" s="1201"/>
      <c r="S145" s="1201"/>
      <c r="T145" s="1201"/>
      <c r="U145" s="1201"/>
      <c r="V145" s="1201"/>
      <c r="W145" s="1201"/>
      <c r="X145" s="1201"/>
      <c r="Y145" s="1201"/>
      <c r="Z145" s="1201"/>
      <c r="AA145" s="1201"/>
      <c r="AB145" s="1201"/>
      <c r="AC145" s="1201"/>
      <c r="AD145" s="1201">
        <f>SUM(Z145:AC145)</f>
        <v>0</v>
      </c>
      <c r="AE145" s="1201"/>
      <c r="AF145" s="1201"/>
      <c r="AG145" s="1201"/>
      <c r="AH145" s="1201"/>
      <c r="AI145" s="1196">
        <v>50</v>
      </c>
      <c r="AJ145" s="1201"/>
      <c r="AK145" s="1201"/>
      <c r="AL145" s="1201"/>
      <c r="AM145" s="1201"/>
      <c r="AN145" s="2382"/>
      <c r="AO145" s="1201"/>
      <c r="AP145" s="1196">
        <f t="shared" ref="AP145:BC145" si="110">AP146</f>
        <v>0</v>
      </c>
      <c r="AQ145" s="1196">
        <f t="shared" si="110"/>
        <v>0</v>
      </c>
      <c r="AR145" s="1196">
        <f t="shared" si="110"/>
        <v>0</v>
      </c>
      <c r="AS145" s="1196">
        <f t="shared" si="110"/>
        <v>0</v>
      </c>
      <c r="AT145" s="1196">
        <f t="shared" si="110"/>
        <v>0</v>
      </c>
      <c r="AU145" s="1196">
        <f t="shared" si="110"/>
        <v>0</v>
      </c>
      <c r="AV145" s="1196">
        <f t="shared" si="110"/>
        <v>0</v>
      </c>
      <c r="AW145" s="1196">
        <f t="shared" si="110"/>
        <v>0</v>
      </c>
      <c r="AX145" s="1196">
        <f t="shared" si="110"/>
        <v>0</v>
      </c>
      <c r="AY145" s="1196">
        <f t="shared" si="110"/>
        <v>0</v>
      </c>
      <c r="AZ145" s="1196">
        <f t="shared" si="110"/>
        <v>0</v>
      </c>
      <c r="BA145" s="1196">
        <f t="shared" si="110"/>
        <v>0</v>
      </c>
      <c r="BB145" s="1196">
        <f t="shared" si="110"/>
        <v>0</v>
      </c>
      <c r="BC145" s="1196">
        <f t="shared" si="110"/>
        <v>0</v>
      </c>
    </row>
    <row r="146" spans="3:55" ht="12.75">
      <c r="C146" s="1225"/>
      <c r="D146" s="1194" t="s">
        <v>111</v>
      </c>
      <c r="E146" s="38"/>
      <c r="F146" s="1195"/>
      <c r="G146" s="1195"/>
      <c r="H146" s="1195"/>
      <c r="I146" s="1195"/>
      <c r="J146" s="1195"/>
      <c r="K146" s="1195"/>
      <c r="L146" s="1195"/>
      <c r="M146" s="1195"/>
      <c r="N146" s="1195"/>
      <c r="O146" s="1195"/>
      <c r="P146" s="1201">
        <f>'US Retail'!CR160</f>
        <v>0</v>
      </c>
      <c r="Q146" s="1201">
        <f>'US Retail'!CS160</f>
        <v>0</v>
      </c>
      <c r="R146" s="1201">
        <f>'US Retail'!CT160</f>
        <v>0</v>
      </c>
      <c r="S146" s="1201">
        <f>'US Retail'!CU160</f>
        <v>0</v>
      </c>
      <c r="T146" s="1201">
        <f>'US Retail'!CV160</f>
        <v>0</v>
      </c>
      <c r="U146" s="1201">
        <f>'US Retail'!CW160</f>
        <v>0</v>
      </c>
      <c r="V146" s="1201">
        <f>'US Retail'!CX160</f>
        <v>0</v>
      </c>
      <c r="W146" s="1201">
        <f>'US Retail'!CY160</f>
        <v>0</v>
      </c>
      <c r="X146" s="1201">
        <f>'US Retail'!CZ160</f>
        <v>0</v>
      </c>
      <c r="Y146" s="1201">
        <f>'US Retail'!DA160</f>
        <v>0</v>
      </c>
      <c r="Z146" s="1201">
        <f>'US Retail'!DB160</f>
        <v>0</v>
      </c>
      <c r="AA146" s="1201">
        <f>'US Retail'!DC160</f>
        <v>0</v>
      </c>
      <c r="AB146" s="1201">
        <f>'US Retail'!DD160</f>
        <v>0</v>
      </c>
      <c r="AC146" s="1201">
        <f>'US Retail'!DE160</f>
        <v>0</v>
      </c>
      <c r="AD146" s="1201">
        <f>SUM(Z146:AC146)</f>
        <v>0</v>
      </c>
      <c r="AE146" s="1201">
        <f>'US Retail'!DG160</f>
        <v>0</v>
      </c>
      <c r="AF146" s="1201">
        <f>'US Retail'!DH160</f>
        <v>0</v>
      </c>
      <c r="AG146" s="1201">
        <f>'US Retail'!DI160</f>
        <v>0</v>
      </c>
      <c r="AH146" s="1201">
        <f>'US Retail'!DJ160</f>
        <v>0</v>
      </c>
      <c r="AI146" s="1196">
        <f>SUM(AE146:AH146)</f>
        <v>0</v>
      </c>
      <c r="AJ146" s="1201">
        <f>'US Retail'!DL160</f>
        <v>0</v>
      </c>
      <c r="AK146" s="1201">
        <f>'US Retail'!DM160</f>
        <v>0</v>
      </c>
      <c r="AL146" s="1201">
        <f>'US Retail'!DN160</f>
        <v>0</v>
      </c>
      <c r="AM146" s="1201">
        <f>'US Retail'!DO160</f>
        <v>0</v>
      </c>
      <c r="AN146" s="2382">
        <f>'US Retail'!DP160</f>
        <v>0</v>
      </c>
      <c r="AO146" s="1201">
        <f>'US Retail'!DQ160</f>
        <v>0</v>
      </c>
      <c r="AP146" s="1196">
        <f t="shared" ref="AP146:AR147" si="111">$AI146/4</f>
        <v>0</v>
      </c>
      <c r="AQ146" s="1196">
        <f t="shared" si="111"/>
        <v>0</v>
      </c>
      <c r="AR146" s="1196">
        <f t="shared" si="111"/>
        <v>0</v>
      </c>
      <c r="AS146" s="1196">
        <f>SUM(AO146:AR146)</f>
        <v>0</v>
      </c>
      <c r="AT146" s="1196">
        <f>$AI146/4</f>
        <v>0</v>
      </c>
      <c r="AU146" s="1196">
        <f t="shared" ref="AU146:AW147" si="112">$AI146/4</f>
        <v>0</v>
      </c>
      <c r="AV146" s="1196">
        <f t="shared" si="112"/>
        <v>0</v>
      </c>
      <c r="AW146" s="1196">
        <f t="shared" si="112"/>
        <v>0</v>
      </c>
      <c r="AX146" s="1196">
        <f>SUM(AT146:AW146)</f>
        <v>0</v>
      </c>
      <c r="AY146" s="1196">
        <f>$AI146/4</f>
        <v>0</v>
      </c>
      <c r="AZ146" s="1196">
        <f t="shared" ref="AZ146:BB147" si="113">$AI146/4</f>
        <v>0</v>
      </c>
      <c r="BA146" s="1196">
        <f t="shared" si="113"/>
        <v>0</v>
      </c>
      <c r="BB146" s="1196">
        <f t="shared" si="113"/>
        <v>0</v>
      </c>
      <c r="BC146" s="1196">
        <f>SUM(AY146:BB146)</f>
        <v>0</v>
      </c>
    </row>
    <row r="147" spans="3:55" ht="12.75">
      <c r="C147" s="1225"/>
      <c r="D147" s="1194" t="s">
        <v>112</v>
      </c>
      <c r="E147" s="38"/>
      <c r="F147" s="1195"/>
      <c r="G147" s="1195"/>
      <c r="H147" s="1195"/>
      <c r="I147" s="1195"/>
      <c r="J147" s="1195"/>
      <c r="K147" s="1195"/>
      <c r="L147" s="1195"/>
      <c r="M147" s="1195"/>
      <c r="N147" s="1195"/>
      <c r="O147" s="1195"/>
      <c r="P147" s="1201"/>
      <c r="Q147" s="1201"/>
      <c r="R147" s="1201"/>
      <c r="S147" s="1201"/>
      <c r="T147" s="1201"/>
      <c r="U147" s="1201"/>
      <c r="V147" s="1201"/>
      <c r="W147" s="1201"/>
      <c r="X147" s="1201"/>
      <c r="Y147" s="1201"/>
      <c r="Z147" s="1201"/>
      <c r="AA147" s="1201"/>
      <c r="AB147" s="1201"/>
      <c r="AC147" s="1201"/>
      <c r="AD147" s="1201">
        <f>SUM(Z147:AC147)</f>
        <v>0</v>
      </c>
      <c r="AE147" s="1201"/>
      <c r="AF147" s="1201"/>
      <c r="AG147" s="1201"/>
      <c r="AH147" s="1201"/>
      <c r="AI147" s="1196">
        <v>0</v>
      </c>
      <c r="AJ147" s="1201"/>
      <c r="AK147" s="1201"/>
      <c r="AL147" s="1201"/>
      <c r="AM147" s="1201"/>
      <c r="AN147" s="2382"/>
      <c r="AO147" s="1201"/>
      <c r="AP147" s="1196">
        <f t="shared" si="111"/>
        <v>0</v>
      </c>
      <c r="AQ147" s="1196">
        <f t="shared" si="111"/>
        <v>0</v>
      </c>
      <c r="AR147" s="1196">
        <f t="shared" si="111"/>
        <v>0</v>
      </c>
      <c r="AS147" s="1196">
        <v>0</v>
      </c>
      <c r="AT147" s="1196">
        <f>$AI147/4</f>
        <v>0</v>
      </c>
      <c r="AU147" s="1196">
        <f t="shared" si="112"/>
        <v>0</v>
      </c>
      <c r="AV147" s="1196">
        <f t="shared" si="112"/>
        <v>0</v>
      </c>
      <c r="AW147" s="1196">
        <f t="shared" si="112"/>
        <v>0</v>
      </c>
      <c r="AX147" s="1196">
        <v>0</v>
      </c>
      <c r="AY147" s="1196">
        <f>$AI147/4</f>
        <v>0</v>
      </c>
      <c r="AZ147" s="1196">
        <f t="shared" si="113"/>
        <v>0</v>
      </c>
      <c r="BA147" s="1196">
        <f t="shared" si="113"/>
        <v>0</v>
      </c>
      <c r="BB147" s="1196">
        <f t="shared" si="113"/>
        <v>0</v>
      </c>
      <c r="BC147" s="1196">
        <v>0</v>
      </c>
    </row>
    <row r="148" spans="3:55">
      <c r="C148" s="1226"/>
      <c r="D148" s="38"/>
      <c r="E148" s="38"/>
      <c r="F148" s="38"/>
      <c r="G148" s="38"/>
      <c r="H148" s="38"/>
      <c r="I148" s="38"/>
      <c r="J148" s="38"/>
      <c r="K148" s="38"/>
      <c r="L148" s="38"/>
      <c r="M148" s="38"/>
      <c r="N148" s="38"/>
      <c r="O148" s="38"/>
      <c r="P148" s="28"/>
      <c r="Q148" s="28"/>
      <c r="R148" s="28"/>
      <c r="S148" s="28"/>
      <c r="T148" s="28"/>
      <c r="U148" s="28"/>
      <c r="V148" s="28"/>
      <c r="W148" s="28"/>
      <c r="X148" s="29"/>
      <c r="Y148" s="29"/>
      <c r="Z148" s="29"/>
      <c r="AA148" s="29"/>
      <c r="AB148" s="29"/>
      <c r="AC148" s="29"/>
      <c r="AD148" s="29"/>
      <c r="AE148" s="29"/>
      <c r="AF148" s="29"/>
      <c r="AG148" s="29"/>
      <c r="AH148" s="29"/>
      <c r="AI148" s="29"/>
      <c r="AJ148" s="29"/>
      <c r="AK148" s="29"/>
      <c r="AL148" s="29"/>
      <c r="AM148" s="29"/>
      <c r="AN148" s="2383"/>
      <c r="AO148" s="29"/>
      <c r="AP148" s="29"/>
      <c r="AQ148" s="29"/>
      <c r="AR148" s="29"/>
      <c r="AS148" s="29"/>
      <c r="AT148" s="29"/>
      <c r="AU148" s="29"/>
      <c r="AV148" s="29"/>
      <c r="AW148" s="29"/>
      <c r="AX148" s="29"/>
      <c r="AY148" s="29"/>
      <c r="AZ148" s="29"/>
      <c r="BA148" s="29"/>
      <c r="BB148" s="29"/>
      <c r="BC148" s="29"/>
    </row>
    <row r="149" spans="3:55" ht="12.75">
      <c r="C149" s="1225"/>
      <c r="D149" s="1193" t="s">
        <v>254</v>
      </c>
      <c r="E149" s="38"/>
      <c r="F149" s="38"/>
      <c r="G149" s="38"/>
      <c r="H149" s="38"/>
      <c r="I149" s="38"/>
      <c r="J149" s="38"/>
      <c r="K149" s="38"/>
      <c r="L149" s="38"/>
      <c r="M149" s="38"/>
      <c r="N149" s="38"/>
      <c r="O149" s="38"/>
      <c r="P149" s="28"/>
      <c r="Q149" s="28"/>
      <c r="R149" s="28"/>
      <c r="S149" s="28"/>
      <c r="T149" s="28"/>
      <c r="U149" s="28"/>
      <c r="V149" s="28"/>
      <c r="W149" s="28"/>
      <c r="X149" s="29"/>
      <c r="Y149" s="29"/>
      <c r="Z149" s="29"/>
      <c r="AA149" s="29"/>
      <c r="AB149" s="29"/>
      <c r="AC149" s="29"/>
      <c r="AD149" s="29"/>
      <c r="AE149" s="29"/>
      <c r="AF149" s="29"/>
      <c r="AG149" s="29"/>
      <c r="AH149" s="29"/>
      <c r="AI149" s="29"/>
      <c r="AJ149" s="29"/>
      <c r="AK149" s="29"/>
      <c r="AL149" s="29"/>
      <c r="AM149" s="29"/>
      <c r="AN149" s="2383"/>
      <c r="AO149" s="29"/>
      <c r="AP149" s="29"/>
      <c r="AQ149" s="29"/>
      <c r="AR149" s="29"/>
      <c r="AS149" s="29"/>
      <c r="AT149" s="29"/>
      <c r="AU149" s="29"/>
      <c r="AV149" s="29"/>
      <c r="AW149" s="29"/>
      <c r="AX149" s="29"/>
      <c r="AY149" s="29"/>
      <c r="AZ149" s="29"/>
      <c r="BA149" s="29"/>
      <c r="BB149" s="29"/>
      <c r="BC149" s="29"/>
    </row>
    <row r="150" spans="3:55" ht="12.75">
      <c r="C150" s="1225"/>
      <c r="D150" s="1194" t="s">
        <v>110</v>
      </c>
      <c r="E150" s="38"/>
      <c r="F150" s="38"/>
      <c r="G150" s="38"/>
      <c r="H150" s="38"/>
      <c r="I150" s="38"/>
      <c r="J150" s="38"/>
      <c r="K150" s="38"/>
      <c r="L150" s="38"/>
      <c r="M150" s="38"/>
      <c r="N150" s="38"/>
      <c r="O150" s="38"/>
      <c r="P150" s="1201"/>
      <c r="Q150" s="1201"/>
      <c r="R150" s="1201"/>
      <c r="S150" s="1201"/>
      <c r="T150" s="1201"/>
      <c r="U150" s="1201"/>
      <c r="V150" s="1201"/>
      <c r="W150" s="1201"/>
      <c r="X150" s="1201"/>
      <c r="Y150" s="1201"/>
      <c r="Z150" s="1201"/>
      <c r="AA150" s="1201"/>
      <c r="AB150" s="1201"/>
      <c r="AC150" s="1201"/>
      <c r="AD150" s="1201">
        <f>SUM(Z150:AC150)</f>
        <v>0</v>
      </c>
      <c r="AE150" s="1201"/>
      <c r="AF150" s="1201"/>
      <c r="AG150" s="1201"/>
      <c r="AH150" s="1201"/>
      <c r="AI150" s="1196">
        <v>275</v>
      </c>
      <c r="AJ150" s="1201"/>
      <c r="AK150" s="1201"/>
      <c r="AL150" s="1201"/>
      <c r="AM150" s="1201"/>
      <c r="AN150" s="2382"/>
      <c r="AO150" s="1201"/>
      <c r="AP150" s="1196">
        <v>0</v>
      </c>
      <c r="AQ150" s="1196">
        <v>40</v>
      </c>
      <c r="AR150" s="1196">
        <v>50</v>
      </c>
      <c r="AS150" s="1196"/>
      <c r="AT150" s="1196">
        <f>AT151+20</f>
        <v>55</v>
      </c>
      <c r="AU150" s="1196">
        <f t="shared" ref="AU150:AW150" si="114">AU151+20</f>
        <v>55</v>
      </c>
      <c r="AV150" s="1196">
        <f t="shared" si="114"/>
        <v>55</v>
      </c>
      <c r="AW150" s="1196">
        <f t="shared" si="114"/>
        <v>75</v>
      </c>
      <c r="AX150" s="1196"/>
      <c r="AY150" s="1196">
        <f>AY151+20</f>
        <v>80</v>
      </c>
      <c r="AZ150" s="1196">
        <f t="shared" ref="AZ150" si="115">AZ151+20</f>
        <v>80</v>
      </c>
      <c r="BA150" s="1196">
        <f t="shared" ref="BA150" si="116">BA151+20</f>
        <v>80</v>
      </c>
      <c r="BB150" s="1196">
        <f t="shared" ref="BB150" si="117">BB151+20</f>
        <v>100</v>
      </c>
      <c r="BC150" s="1196"/>
    </row>
    <row r="151" spans="3:55" ht="12.75">
      <c r="C151" s="1225"/>
      <c r="D151" s="1194" t="s">
        <v>111</v>
      </c>
      <c r="E151" s="38"/>
      <c r="F151" s="38"/>
      <c r="G151" s="38"/>
      <c r="H151" s="38"/>
      <c r="I151" s="38"/>
      <c r="J151" s="38"/>
      <c r="K151" s="38"/>
      <c r="L151" s="38"/>
      <c r="M151" s="38"/>
      <c r="N151" s="38"/>
      <c r="O151" s="38"/>
      <c r="P151" s="1201">
        <f>'US Retail'!CR92</f>
        <v>1.3793103448275863</v>
      </c>
      <c r="Q151" s="1201">
        <f>'US Retail'!CS92</f>
        <v>17.241379310344829</v>
      </c>
      <c r="R151" s="1201">
        <f>'US Retail'!CT92</f>
        <v>19.310344827586206</v>
      </c>
      <c r="S151" s="1201">
        <f>'US Retail'!CU92</f>
        <v>23.668965517241382</v>
      </c>
      <c r="T151" s="1201">
        <f>'US Retail'!CV92</f>
        <v>61.6</v>
      </c>
      <c r="U151" s="1201">
        <f>'US Retail'!CW92</f>
        <v>40.862295716575886</v>
      </c>
      <c r="V151" s="1201">
        <f>'US Retail'!CX92</f>
        <v>49.263889228395236</v>
      </c>
      <c r="W151" s="1201">
        <f>'US Retail'!CY92</f>
        <v>50.02767045674242</v>
      </c>
      <c r="X151" s="1201">
        <f>'US Retail'!CZ92</f>
        <v>31.696844598286447</v>
      </c>
      <c r="Y151" s="1201">
        <f>'US Retail'!DA92</f>
        <v>171.85069999999999</v>
      </c>
      <c r="Z151" s="1201">
        <f>'US Retail'!DB92</f>
        <v>42.019384615384617</v>
      </c>
      <c r="AA151" s="1201">
        <f>'US Retail'!DC92</f>
        <v>51.023538461538465</v>
      </c>
      <c r="AB151" s="1201">
        <f>'US Retail'!DD92</f>
        <v>58.199999999999996</v>
      </c>
      <c r="AC151" s="1201">
        <f>'US Retail'!DE92</f>
        <v>58.199999999999996</v>
      </c>
      <c r="AD151" s="1201">
        <f>SUM(Z151:AC151)</f>
        <v>209.44292307692305</v>
      </c>
      <c r="AE151" s="1201">
        <f>'US Retail'!DG92</f>
        <v>0</v>
      </c>
      <c r="AF151" s="1201">
        <f>'US Retail'!DH92</f>
        <v>0</v>
      </c>
      <c r="AG151" s="1201">
        <f>'US Retail'!DI92</f>
        <v>0</v>
      </c>
      <c r="AH151" s="1201">
        <f>'US Retail'!DJ92</f>
        <v>0</v>
      </c>
      <c r="AI151" s="1196">
        <f>SUM(AE151:AH151)</f>
        <v>0</v>
      </c>
      <c r="AJ151" s="1201">
        <f>'US Retail'!DL92</f>
        <v>0</v>
      </c>
      <c r="AK151" s="1201">
        <f>'US Retail'!DM92</f>
        <v>0</v>
      </c>
      <c r="AL151" s="1201">
        <f>'US Retail'!DN92</f>
        <v>0</v>
      </c>
      <c r="AM151" s="1201">
        <f>'US Retail'!DO92</f>
        <v>0</v>
      </c>
      <c r="AN151" s="2382">
        <f>'US Retail'!DP92</f>
        <v>0</v>
      </c>
      <c r="AO151" s="1201">
        <f>'US Retail'!DQ92</f>
        <v>0</v>
      </c>
      <c r="AP151" s="1196">
        <v>0</v>
      </c>
      <c r="AQ151" s="1196">
        <v>20</v>
      </c>
      <c r="AR151" s="1196">
        <v>30</v>
      </c>
      <c r="AS151" s="1196"/>
      <c r="AT151" s="2233">
        <v>35</v>
      </c>
      <c r="AU151" s="2233">
        <v>35</v>
      </c>
      <c r="AV151" s="2233">
        <v>35</v>
      </c>
      <c r="AW151" s="2233">
        <v>55</v>
      </c>
      <c r="AX151" s="1196"/>
      <c r="AY151" s="2233">
        <f>AT151+25</f>
        <v>60</v>
      </c>
      <c r="AZ151" s="2233">
        <f t="shared" ref="AZ151:BB151" si="118">AU151+25</f>
        <v>60</v>
      </c>
      <c r="BA151" s="2233">
        <f t="shared" si="118"/>
        <v>60</v>
      </c>
      <c r="BB151" s="2233">
        <f t="shared" si="118"/>
        <v>80</v>
      </c>
      <c r="BC151" s="1196"/>
    </row>
    <row r="152" spans="3:55" ht="12.75">
      <c r="C152" s="1225"/>
      <c r="D152" s="1194" t="s">
        <v>112</v>
      </c>
      <c r="E152" s="38"/>
      <c r="F152" s="38"/>
      <c r="G152" s="38"/>
      <c r="H152" s="38"/>
      <c r="I152" s="38"/>
      <c r="J152" s="38"/>
      <c r="K152" s="38"/>
      <c r="L152" s="38"/>
      <c r="M152" s="38"/>
      <c r="N152" s="38"/>
      <c r="O152" s="38"/>
      <c r="P152" s="1201"/>
      <c r="Q152" s="1201"/>
      <c r="R152" s="1201"/>
      <c r="S152" s="1201"/>
      <c r="T152" s="1201"/>
      <c r="U152" s="1201"/>
      <c r="V152" s="1201"/>
      <c r="W152" s="1201"/>
      <c r="X152" s="1201"/>
      <c r="Y152" s="1201"/>
      <c r="Z152" s="1201"/>
      <c r="AA152" s="1201"/>
      <c r="AB152" s="1201"/>
      <c r="AC152" s="1201"/>
      <c r="AD152" s="1201">
        <f>SUM(Z152:AC152)</f>
        <v>0</v>
      </c>
      <c r="AE152" s="1201"/>
      <c r="AF152" s="1201"/>
      <c r="AG152" s="1201"/>
      <c r="AH152" s="1201"/>
      <c r="AI152" s="1196">
        <v>200</v>
      </c>
      <c r="AJ152" s="1201"/>
      <c r="AK152" s="1201"/>
      <c r="AL152" s="1201"/>
      <c r="AM152" s="1201"/>
      <c r="AN152" s="2382"/>
      <c r="AO152" s="1201"/>
      <c r="AP152" s="1196">
        <v>0</v>
      </c>
      <c r="AQ152" s="1196">
        <v>0</v>
      </c>
      <c r="AR152" s="1196">
        <v>0</v>
      </c>
      <c r="AS152" s="1196"/>
      <c r="AT152" s="1196">
        <f>AT151-20</f>
        <v>15</v>
      </c>
      <c r="AU152" s="1196">
        <f t="shared" ref="AU152:AW152" si="119">AU151-20</f>
        <v>15</v>
      </c>
      <c r="AV152" s="1196">
        <f t="shared" si="119"/>
        <v>15</v>
      </c>
      <c r="AW152" s="1196">
        <f t="shared" si="119"/>
        <v>35</v>
      </c>
      <c r="AX152" s="1196"/>
      <c r="AY152" s="1196">
        <f>AY151-20</f>
        <v>40</v>
      </c>
      <c r="AZ152" s="1196">
        <f t="shared" ref="AZ152" si="120">AZ151-20</f>
        <v>40</v>
      </c>
      <c r="BA152" s="1196">
        <f t="shared" ref="BA152" si="121">BA151-20</f>
        <v>40</v>
      </c>
      <c r="BB152" s="1196">
        <f t="shared" ref="BB152" si="122">BB151-20</f>
        <v>60</v>
      </c>
      <c r="BC152" s="1196"/>
    </row>
    <row r="153" spans="3:55">
      <c r="C153" s="1226"/>
      <c r="D153" s="38"/>
      <c r="E153" s="38"/>
      <c r="F153" s="38"/>
      <c r="G153" s="38"/>
      <c r="H153" s="38"/>
      <c r="I153" s="38"/>
      <c r="J153" s="38"/>
      <c r="K153" s="38"/>
      <c r="L153" s="38"/>
      <c r="M153" s="38"/>
      <c r="N153" s="38"/>
      <c r="O153" s="38"/>
      <c r="P153" s="28"/>
      <c r="Q153" s="28"/>
      <c r="R153" s="28"/>
      <c r="S153" s="28"/>
      <c r="T153" s="28"/>
      <c r="U153" s="28"/>
      <c r="V153" s="28"/>
      <c r="W153" s="28"/>
      <c r="X153" s="29"/>
      <c r="Y153" s="29"/>
      <c r="Z153" s="29"/>
      <c r="AA153" s="29"/>
      <c r="AB153" s="29"/>
      <c r="AC153" s="29"/>
      <c r="AD153" s="29"/>
      <c r="AE153" s="29"/>
      <c r="AF153" s="29"/>
      <c r="AG153" s="29"/>
      <c r="AH153" s="29"/>
      <c r="AI153" s="29"/>
      <c r="AJ153" s="29"/>
      <c r="AK153" s="29"/>
      <c r="AL153" s="29"/>
      <c r="AM153" s="29"/>
      <c r="AN153" s="2383"/>
      <c r="AO153" s="29"/>
      <c r="AP153" s="29"/>
      <c r="AQ153" s="29"/>
      <c r="AR153" s="29"/>
      <c r="AS153" s="29"/>
      <c r="AT153" s="29"/>
      <c r="AU153" s="29"/>
      <c r="AV153" s="29"/>
      <c r="AW153" s="29"/>
      <c r="AX153" s="29"/>
      <c r="AY153" s="29"/>
      <c r="AZ153" s="29"/>
      <c r="BA153" s="29"/>
      <c r="BB153" s="29"/>
      <c r="BC153" s="29"/>
    </row>
    <row r="154" spans="3:55" ht="12.75">
      <c r="C154" s="1225"/>
      <c r="D154" s="1193" t="s">
        <v>255</v>
      </c>
      <c r="E154" s="38"/>
      <c r="F154" s="38"/>
      <c r="G154" s="38"/>
      <c r="H154" s="38"/>
      <c r="I154" s="38"/>
      <c r="J154" s="38"/>
      <c r="K154" s="38"/>
      <c r="L154" s="38"/>
      <c r="M154" s="38"/>
      <c r="N154" s="38"/>
      <c r="O154" s="38"/>
      <c r="P154" s="28"/>
      <c r="Q154" s="28"/>
      <c r="R154" s="28"/>
      <c r="S154" s="28"/>
      <c r="T154" s="28"/>
      <c r="U154" s="28"/>
      <c r="V154" s="28"/>
      <c r="W154" s="28"/>
      <c r="X154" s="29"/>
      <c r="Y154" s="29"/>
      <c r="Z154" s="29"/>
      <c r="AA154" s="29"/>
      <c r="AB154" s="29"/>
      <c r="AC154" s="29"/>
      <c r="AD154" s="29"/>
      <c r="AE154" s="29"/>
      <c r="AF154" s="29"/>
      <c r="AG154" s="29"/>
      <c r="AH154" s="29"/>
      <c r="AI154" s="29"/>
      <c r="AJ154" s="29"/>
      <c r="AK154" s="29"/>
      <c r="AL154" s="29"/>
      <c r="AM154" s="29"/>
      <c r="AN154" s="2383"/>
      <c r="AO154" s="29"/>
      <c r="AP154" s="29"/>
      <c r="AQ154" s="29"/>
      <c r="AR154" s="29"/>
      <c r="AS154" s="29"/>
      <c r="AT154" s="29"/>
      <c r="AU154" s="29"/>
      <c r="AV154" s="29"/>
      <c r="AW154" s="29"/>
      <c r="AX154" s="29"/>
      <c r="AY154" s="29"/>
      <c r="AZ154" s="29"/>
      <c r="BA154" s="29"/>
      <c r="BB154" s="29"/>
      <c r="BC154" s="29"/>
    </row>
    <row r="155" spans="3:55" ht="12.75">
      <c r="C155" s="1225"/>
      <c r="D155" s="1194" t="s">
        <v>110</v>
      </c>
      <c r="E155" s="38"/>
      <c r="F155" s="38"/>
      <c r="G155" s="38"/>
      <c r="H155" s="38"/>
      <c r="I155" s="38"/>
      <c r="J155" s="38"/>
      <c r="K155" s="38"/>
      <c r="L155" s="38"/>
      <c r="M155" s="38"/>
      <c r="N155" s="38"/>
      <c r="O155" s="38"/>
      <c r="P155" s="1201"/>
      <c r="Q155" s="1201"/>
      <c r="R155" s="1201"/>
      <c r="S155" s="1201"/>
      <c r="T155" s="1201"/>
      <c r="U155" s="1201"/>
      <c r="V155" s="1201"/>
      <c r="W155" s="1201"/>
      <c r="X155" s="1201"/>
      <c r="Y155" s="1201"/>
      <c r="Z155" s="1201"/>
      <c r="AA155" s="1201"/>
      <c r="AB155" s="1201"/>
      <c r="AC155" s="1201"/>
      <c r="AD155" s="1201">
        <f>SUM(Z155:AC155)</f>
        <v>0</v>
      </c>
      <c r="AE155" s="1201"/>
      <c r="AF155" s="1201"/>
      <c r="AG155" s="1201"/>
      <c r="AH155" s="1201"/>
      <c r="AI155" s="1196">
        <v>0</v>
      </c>
      <c r="AJ155" s="1201"/>
      <c r="AK155" s="1201"/>
      <c r="AL155" s="1201"/>
      <c r="AM155" s="1201"/>
      <c r="AN155" s="2382"/>
      <c r="AO155" s="1201"/>
      <c r="AP155" s="1196">
        <f t="shared" ref="AP155:AR157" si="123">$AI155/4</f>
        <v>0</v>
      </c>
      <c r="AQ155" s="1196">
        <f t="shared" si="123"/>
        <v>0</v>
      </c>
      <c r="AR155" s="1196">
        <f t="shared" si="123"/>
        <v>0</v>
      </c>
      <c r="AS155" s="1196">
        <v>0</v>
      </c>
      <c r="AT155" s="1196">
        <f>$AI155/4</f>
        <v>0</v>
      </c>
      <c r="AU155" s="1196">
        <f t="shared" ref="AU155:AW157" si="124">$AI155/4</f>
        <v>0</v>
      </c>
      <c r="AV155" s="1196">
        <f t="shared" si="124"/>
        <v>0</v>
      </c>
      <c r="AW155" s="1196">
        <f t="shared" si="124"/>
        <v>0</v>
      </c>
      <c r="AX155" s="1196">
        <v>0</v>
      </c>
      <c r="AY155" s="1196">
        <f>$AI155/4</f>
        <v>0</v>
      </c>
      <c r="AZ155" s="1196">
        <f t="shared" ref="AZ155:BB157" si="125">$AI155/4</f>
        <v>0</v>
      </c>
      <c r="BA155" s="1196">
        <f t="shared" si="125"/>
        <v>0</v>
      </c>
      <c r="BB155" s="1196">
        <f t="shared" si="125"/>
        <v>0</v>
      </c>
      <c r="BC155" s="1196">
        <v>0</v>
      </c>
    </row>
    <row r="156" spans="3:55" ht="12.75">
      <c r="C156" s="1225"/>
      <c r="D156" s="1194" t="s">
        <v>111</v>
      </c>
      <c r="E156" s="38"/>
      <c r="F156" s="38"/>
      <c r="G156" s="38"/>
      <c r="H156" s="38"/>
      <c r="I156" s="38"/>
      <c r="J156" s="38"/>
      <c r="K156" s="38"/>
      <c r="L156" s="38"/>
      <c r="M156" s="38"/>
      <c r="N156" s="38"/>
      <c r="O156" s="38"/>
      <c r="P156" s="1201">
        <f>'US Retail'!CR93</f>
        <v>0</v>
      </c>
      <c r="Q156" s="1201">
        <f>'US Retail'!CS93</f>
        <v>0</v>
      </c>
      <c r="R156" s="1201">
        <f>'US Retail'!CT93</f>
        <v>0</v>
      </c>
      <c r="S156" s="1201">
        <f>'US Retail'!CU93</f>
        <v>0</v>
      </c>
      <c r="T156" s="1201">
        <f>'US Retail'!CV93</f>
        <v>0</v>
      </c>
      <c r="U156" s="1201">
        <f>'US Retail'!CW93</f>
        <v>0</v>
      </c>
      <c r="V156" s="1201">
        <f>'US Retail'!CX93</f>
        <v>0</v>
      </c>
      <c r="W156" s="1201">
        <f>'US Retail'!CY93</f>
        <v>0</v>
      </c>
      <c r="X156" s="1201">
        <f>'US Retail'!CZ93</f>
        <v>0</v>
      </c>
      <c r="Y156" s="1201">
        <f>'US Retail'!DA93</f>
        <v>0</v>
      </c>
      <c r="Z156" s="1201">
        <f>'US Retail'!DB93</f>
        <v>0</v>
      </c>
      <c r="AA156" s="1201">
        <f>'US Retail'!DC93</f>
        <v>0</v>
      </c>
      <c r="AB156" s="1201">
        <f ca="1">'US Retail'!DD93</f>
        <v>0</v>
      </c>
      <c r="AC156" s="1201">
        <f ca="1">'US Retail'!DE93</f>
        <v>0</v>
      </c>
      <c r="AD156" s="1201">
        <f ca="1">SUM(Z156:AC156)</f>
        <v>0</v>
      </c>
      <c r="AE156" s="1201">
        <f>'US Retail'!DG93</f>
        <v>0</v>
      </c>
      <c r="AF156" s="1201">
        <f ca="1">'US Retail'!DH93</f>
        <v>0</v>
      </c>
      <c r="AG156" s="1201">
        <f ca="1">'US Retail'!DI93</f>
        <v>0</v>
      </c>
      <c r="AH156" s="1201">
        <f ca="1">'US Retail'!DJ93</f>
        <v>0</v>
      </c>
      <c r="AI156" s="1196">
        <v>0</v>
      </c>
      <c r="AJ156" s="1201">
        <f>'US Retail'!DL93</f>
        <v>0</v>
      </c>
      <c r="AK156" s="1201">
        <f>'US Retail'!DM93</f>
        <v>0</v>
      </c>
      <c r="AL156" s="1201">
        <f>'US Retail'!DN93</f>
        <v>0</v>
      </c>
      <c r="AM156" s="1201">
        <f>'US Retail'!DO93</f>
        <v>0</v>
      </c>
      <c r="AN156" s="2382">
        <f>'US Retail'!DP93</f>
        <v>0</v>
      </c>
      <c r="AO156" s="1201">
        <f>'US Retail'!DQ93</f>
        <v>0</v>
      </c>
      <c r="AP156" s="1196">
        <f t="shared" si="123"/>
        <v>0</v>
      </c>
      <c r="AQ156" s="1196">
        <f t="shared" si="123"/>
        <v>0</v>
      </c>
      <c r="AR156" s="1196">
        <f t="shared" si="123"/>
        <v>0</v>
      </c>
      <c r="AS156" s="1196">
        <v>0</v>
      </c>
      <c r="AT156" s="1196">
        <f>$AI156/4</f>
        <v>0</v>
      </c>
      <c r="AU156" s="1196">
        <f t="shared" si="124"/>
        <v>0</v>
      </c>
      <c r="AV156" s="1196">
        <f t="shared" si="124"/>
        <v>0</v>
      </c>
      <c r="AW156" s="1196">
        <f t="shared" si="124"/>
        <v>0</v>
      </c>
      <c r="AX156" s="1196">
        <v>0</v>
      </c>
      <c r="AY156" s="1196">
        <f>$AI156/4</f>
        <v>0</v>
      </c>
      <c r="AZ156" s="1196">
        <f t="shared" si="125"/>
        <v>0</v>
      </c>
      <c r="BA156" s="1196">
        <f t="shared" si="125"/>
        <v>0</v>
      </c>
      <c r="BB156" s="1196">
        <f t="shared" si="125"/>
        <v>0</v>
      </c>
      <c r="BC156" s="1196">
        <v>0</v>
      </c>
    </row>
    <row r="157" spans="3:55" ht="12.75">
      <c r="C157" s="1225"/>
      <c r="D157" s="1194" t="s">
        <v>112</v>
      </c>
      <c r="E157" s="38"/>
      <c r="F157" s="38"/>
      <c r="G157" s="38"/>
      <c r="H157" s="38"/>
      <c r="I157" s="38"/>
      <c r="J157" s="38"/>
      <c r="K157" s="38"/>
      <c r="L157" s="38"/>
      <c r="M157" s="38"/>
      <c r="N157" s="38"/>
      <c r="O157" s="38"/>
      <c r="P157" s="1201"/>
      <c r="Q157" s="1201"/>
      <c r="R157" s="1201"/>
      <c r="S157" s="1201"/>
      <c r="T157" s="1201"/>
      <c r="U157" s="1201"/>
      <c r="V157" s="1201"/>
      <c r="W157" s="1201"/>
      <c r="X157" s="1201"/>
      <c r="Y157" s="1201"/>
      <c r="Z157" s="1201"/>
      <c r="AA157" s="1201"/>
      <c r="AB157" s="1201"/>
      <c r="AC157" s="1201"/>
      <c r="AD157" s="1201">
        <f>SUM(Z157:AC157)</f>
        <v>0</v>
      </c>
      <c r="AE157" s="1201"/>
      <c r="AF157" s="1201"/>
      <c r="AG157" s="1201"/>
      <c r="AH157" s="1201"/>
      <c r="AI157" s="1196">
        <v>0</v>
      </c>
      <c r="AJ157" s="1201"/>
      <c r="AK157" s="1201"/>
      <c r="AL157" s="1201"/>
      <c r="AM157" s="1201"/>
      <c r="AN157" s="2382"/>
      <c r="AO157" s="1201"/>
      <c r="AP157" s="1196">
        <f t="shared" si="123"/>
        <v>0</v>
      </c>
      <c r="AQ157" s="1196">
        <f t="shared" si="123"/>
        <v>0</v>
      </c>
      <c r="AR157" s="1196">
        <f t="shared" si="123"/>
        <v>0</v>
      </c>
      <c r="AS157" s="1196">
        <v>0</v>
      </c>
      <c r="AT157" s="1196">
        <f>$AI157/4</f>
        <v>0</v>
      </c>
      <c r="AU157" s="1196">
        <f t="shared" si="124"/>
        <v>0</v>
      </c>
      <c r="AV157" s="1196">
        <f t="shared" si="124"/>
        <v>0</v>
      </c>
      <c r="AW157" s="1196">
        <f t="shared" si="124"/>
        <v>0</v>
      </c>
      <c r="AX157" s="1196">
        <v>0</v>
      </c>
      <c r="AY157" s="1196">
        <f>$AI157/4</f>
        <v>0</v>
      </c>
      <c r="AZ157" s="1196">
        <f t="shared" si="125"/>
        <v>0</v>
      </c>
      <c r="BA157" s="1196">
        <f t="shared" si="125"/>
        <v>0</v>
      </c>
      <c r="BB157" s="1196">
        <f t="shared" si="125"/>
        <v>0</v>
      </c>
      <c r="BC157" s="1196">
        <v>0</v>
      </c>
    </row>
    <row r="158" spans="3:55">
      <c r="C158" s="1226"/>
      <c r="D158" s="38"/>
      <c r="E158" s="38"/>
      <c r="F158" s="38"/>
      <c r="G158" s="38"/>
      <c r="H158" s="38"/>
      <c r="I158" s="38"/>
      <c r="J158" s="38"/>
      <c r="K158" s="38"/>
      <c r="L158" s="38"/>
      <c r="M158" s="38"/>
      <c r="N158" s="38"/>
      <c r="O158" s="38"/>
      <c r="P158" s="28"/>
      <c r="Q158" s="28"/>
      <c r="R158" s="28"/>
      <c r="S158" s="28"/>
      <c r="T158" s="28"/>
      <c r="U158" s="28"/>
      <c r="V158" s="28"/>
      <c r="W158" s="28"/>
      <c r="X158" s="29"/>
      <c r="Y158" s="29"/>
      <c r="Z158" s="29"/>
      <c r="AA158" s="29"/>
      <c r="AB158" s="29"/>
      <c r="AC158" s="29"/>
      <c r="AD158" s="29"/>
      <c r="AE158" s="29"/>
      <c r="AF158" s="29"/>
      <c r="AG158" s="29"/>
      <c r="AH158" s="29"/>
      <c r="AI158" s="29"/>
      <c r="AJ158" s="29"/>
      <c r="AK158" s="29"/>
      <c r="AL158" s="29"/>
      <c r="AM158" s="29"/>
      <c r="AN158" s="2383"/>
      <c r="AO158" s="29"/>
      <c r="AP158" s="29"/>
      <c r="AQ158" s="29"/>
      <c r="AR158" s="29"/>
      <c r="AS158" s="29"/>
      <c r="AT158" s="29"/>
      <c r="AU158" s="29"/>
      <c r="AV158" s="29"/>
      <c r="AW158" s="29"/>
      <c r="AX158" s="29"/>
      <c r="AY158" s="29"/>
      <c r="AZ158" s="29"/>
      <c r="BA158" s="29"/>
      <c r="BB158" s="29"/>
      <c r="BC158" s="29"/>
    </row>
    <row r="159" spans="3:55" ht="12.75">
      <c r="C159" s="1225"/>
      <c r="D159" s="1193" t="s">
        <v>256</v>
      </c>
      <c r="E159" s="38"/>
      <c r="F159" s="38"/>
      <c r="G159" s="38"/>
      <c r="H159" s="38"/>
      <c r="I159" s="38"/>
      <c r="J159" s="38"/>
      <c r="K159" s="38"/>
      <c r="L159" s="38"/>
      <c r="M159" s="38"/>
      <c r="N159" s="38"/>
      <c r="O159" s="38"/>
      <c r="P159" s="28"/>
      <c r="Q159" s="28"/>
      <c r="R159" s="28"/>
      <c r="S159" s="28"/>
      <c r="T159" s="28"/>
      <c r="U159" s="28"/>
      <c r="V159" s="28"/>
      <c r="W159" s="28"/>
      <c r="X159" s="29"/>
      <c r="Y159" s="29"/>
      <c r="Z159" s="29"/>
      <c r="AA159" s="29"/>
      <c r="AB159" s="29"/>
      <c r="AC159" s="29"/>
      <c r="AD159" s="29"/>
      <c r="AE159" s="29"/>
      <c r="AF159" s="29"/>
      <c r="AG159" s="29"/>
      <c r="AH159" s="29"/>
      <c r="AI159" s="29"/>
      <c r="AJ159" s="29"/>
      <c r="AK159" s="29"/>
      <c r="AL159" s="29"/>
      <c r="AM159" s="29"/>
      <c r="AN159" s="2383"/>
      <c r="AO159" s="29"/>
      <c r="AP159" s="29"/>
      <c r="AQ159" s="29"/>
      <c r="AR159" s="29"/>
      <c r="AS159" s="29"/>
      <c r="AT159" s="29"/>
      <c r="AU159" s="29"/>
      <c r="AV159" s="29"/>
      <c r="AW159" s="29"/>
      <c r="AX159" s="29"/>
      <c r="AY159" s="29"/>
      <c r="AZ159" s="29"/>
      <c r="BA159" s="29"/>
      <c r="BB159" s="29"/>
      <c r="BC159" s="29"/>
    </row>
    <row r="160" spans="3:55" ht="12.75">
      <c r="C160" s="1225"/>
      <c r="D160" s="1194" t="s">
        <v>110</v>
      </c>
      <c r="E160" s="38"/>
      <c r="F160" s="38"/>
      <c r="G160" s="38"/>
      <c r="H160" s="38"/>
      <c r="I160" s="38"/>
      <c r="J160" s="38"/>
      <c r="K160" s="38"/>
      <c r="L160" s="38"/>
      <c r="M160" s="38"/>
      <c r="N160" s="38"/>
      <c r="O160" s="43"/>
      <c r="P160" s="1201"/>
      <c r="Q160" s="1201"/>
      <c r="R160" s="1201"/>
      <c r="S160" s="1201"/>
      <c r="T160" s="1201"/>
      <c r="U160" s="1201"/>
      <c r="V160" s="1201"/>
      <c r="W160" s="1201"/>
      <c r="X160" s="1201"/>
      <c r="Y160" s="1201"/>
      <c r="Z160" s="1201"/>
      <c r="AA160" s="1201"/>
      <c r="AB160" s="1201"/>
      <c r="AC160" s="1201"/>
      <c r="AD160" s="1201">
        <f>SUM(Z160:AC160)</f>
        <v>0</v>
      </c>
      <c r="AE160" s="1201"/>
      <c r="AF160" s="1201"/>
      <c r="AG160" s="1201"/>
      <c r="AH160" s="1201"/>
      <c r="AI160" s="1196">
        <v>225</v>
      </c>
      <c r="AJ160" s="1201"/>
      <c r="AK160" s="1201"/>
      <c r="AL160" s="1201"/>
      <c r="AM160" s="1201"/>
      <c r="AN160" s="2382"/>
      <c r="AO160" s="1201"/>
      <c r="AP160" s="1196">
        <f t="shared" ref="AP160:BC160" si="126">AP161</f>
        <v>31.341903736736889</v>
      </c>
      <c r="AQ160" s="1196">
        <f t="shared" si="126"/>
        <v>31.341903736736889</v>
      </c>
      <c r="AR160" s="1196">
        <f t="shared" si="126"/>
        <v>31.341903736736889</v>
      </c>
      <c r="AS160" s="1196">
        <f t="shared" si="126"/>
        <v>94.025711210210659</v>
      </c>
      <c r="AT160" s="1196">
        <f t="shared" si="126"/>
        <v>31.341903736736889</v>
      </c>
      <c r="AU160" s="1196">
        <f t="shared" si="126"/>
        <v>31.341903736736889</v>
      </c>
      <c r="AV160" s="1196">
        <f t="shared" si="126"/>
        <v>31.341903736736889</v>
      </c>
      <c r="AW160" s="1196">
        <f t="shared" si="126"/>
        <v>31.341903736736889</v>
      </c>
      <c r="AX160" s="1196">
        <f t="shared" si="126"/>
        <v>125.36761494694755</v>
      </c>
      <c r="AY160" s="1196">
        <f t="shared" si="126"/>
        <v>31.341903736736889</v>
      </c>
      <c r="AZ160" s="1196">
        <f t="shared" si="126"/>
        <v>31.341903736736889</v>
      </c>
      <c r="BA160" s="1196">
        <f t="shared" si="126"/>
        <v>31.341903736736889</v>
      </c>
      <c r="BB160" s="1196">
        <f t="shared" si="126"/>
        <v>31.341903736736889</v>
      </c>
      <c r="BC160" s="1196">
        <f t="shared" si="126"/>
        <v>125.36761494694755</v>
      </c>
    </row>
    <row r="161" spans="3:55" ht="12.75">
      <c r="C161" s="1225"/>
      <c r="D161" s="1194" t="s">
        <v>111</v>
      </c>
      <c r="E161" s="38"/>
      <c r="F161" s="38"/>
      <c r="G161" s="38"/>
      <c r="H161" s="38"/>
      <c r="I161" s="38"/>
      <c r="J161" s="38"/>
      <c r="K161" s="38"/>
      <c r="L161" s="38"/>
      <c r="M161" s="38"/>
      <c r="N161" s="38"/>
      <c r="O161" s="43"/>
      <c r="P161" s="1201">
        <f>'US Retail'!CR163</f>
        <v>0</v>
      </c>
      <c r="Q161" s="1201">
        <f>'US Retail'!CS163</f>
        <v>0</v>
      </c>
      <c r="R161" s="1201">
        <f>'US Retail'!CT163</f>
        <v>0</v>
      </c>
      <c r="S161" s="1201">
        <f>'US Retail'!CU163</f>
        <v>0</v>
      </c>
      <c r="T161" s="1201">
        <f>'US Retail'!CV163</f>
        <v>0</v>
      </c>
      <c r="U161" s="1201">
        <f>'US Retail'!CW163</f>
        <v>0</v>
      </c>
      <c r="V161" s="1201">
        <f>'US Retail'!CX163</f>
        <v>0</v>
      </c>
      <c r="W161" s="1201">
        <f>'US Retail'!CY163</f>
        <v>0</v>
      </c>
      <c r="X161" s="1201">
        <f>'US Retail'!CZ163</f>
        <v>0</v>
      </c>
      <c r="Y161" s="1201">
        <f>'US Retail'!DA163</f>
        <v>0</v>
      </c>
      <c r="Z161" s="1201">
        <f>'US Retail'!DB163</f>
        <v>0</v>
      </c>
      <c r="AA161" s="1201">
        <f>'US Retail'!DC163</f>
        <v>0</v>
      </c>
      <c r="AB161" s="1201">
        <f>'US Retail'!DD163</f>
        <v>0</v>
      </c>
      <c r="AC161" s="1201">
        <f>'US Retail'!DE163</f>
        <v>0</v>
      </c>
      <c r="AD161" s="1201">
        <f>SUM(Z161:AC161)</f>
        <v>0</v>
      </c>
      <c r="AE161" s="1201">
        <f>'US Retail'!DG163</f>
        <v>0</v>
      </c>
      <c r="AF161" s="1201">
        <f>'US Retail'!DH163</f>
        <v>0</v>
      </c>
      <c r="AG161" s="1201">
        <f>'US Retail'!DI163</f>
        <v>0</v>
      </c>
      <c r="AH161" s="1201">
        <f>'US Retail'!DJ163</f>
        <v>0</v>
      </c>
      <c r="AI161" s="1196">
        <f>SUM(AE161:AH161)</f>
        <v>0</v>
      </c>
      <c r="AJ161" s="1201">
        <f>'US Retail'!DL163</f>
        <v>0</v>
      </c>
      <c r="AK161" s="1201">
        <f>'US Retail'!DM163</f>
        <v>0</v>
      </c>
      <c r="AL161" s="1201">
        <f>'US Retail'!DN163</f>
        <v>0</v>
      </c>
      <c r="AM161" s="1201">
        <f>'US Retail'!DO163</f>
        <v>0</v>
      </c>
      <c r="AN161" s="2382">
        <f>'US Retail'!DP163</f>
        <v>0</v>
      </c>
      <c r="AO161" s="1201">
        <f>'US Retail'!DQ163</f>
        <v>0</v>
      </c>
      <c r="AP161" s="1196">
        <v>31.341903736736889</v>
      </c>
      <c r="AQ161" s="1196">
        <v>31.341903736736889</v>
      </c>
      <c r="AR161" s="1196">
        <v>31.341903736736889</v>
      </c>
      <c r="AS161" s="1196">
        <f>SUM(AO161:AR161)</f>
        <v>94.025711210210659</v>
      </c>
      <c r="AT161" s="1196">
        <v>31.341903736736889</v>
      </c>
      <c r="AU161" s="1196">
        <v>31.341903736736889</v>
      </c>
      <c r="AV161" s="1196">
        <v>31.341903736736889</v>
      </c>
      <c r="AW161" s="1196">
        <v>31.341903736736889</v>
      </c>
      <c r="AX161" s="1196">
        <f>SUM(AT161:AW161)</f>
        <v>125.36761494694755</v>
      </c>
      <c r="AY161" s="1196">
        <v>31.341903736736889</v>
      </c>
      <c r="AZ161" s="1196">
        <v>31.341903736736889</v>
      </c>
      <c r="BA161" s="1196">
        <v>31.341903736736889</v>
      </c>
      <c r="BB161" s="1196">
        <v>31.341903736736889</v>
      </c>
      <c r="BC161" s="1196">
        <f>SUM(AY161:BB161)</f>
        <v>125.36761494694755</v>
      </c>
    </row>
    <row r="162" spans="3:55" ht="12.75">
      <c r="C162" s="1225"/>
      <c r="D162" s="1194" t="s">
        <v>112</v>
      </c>
      <c r="E162" s="38"/>
      <c r="F162" s="38"/>
      <c r="G162" s="38"/>
      <c r="H162" s="38"/>
      <c r="I162" s="38"/>
      <c r="J162" s="38"/>
      <c r="K162" s="38"/>
      <c r="L162" s="38"/>
      <c r="M162" s="38"/>
      <c r="N162" s="38"/>
      <c r="O162" s="43"/>
      <c r="P162" s="1201"/>
      <c r="Q162" s="1201"/>
      <c r="R162" s="1201"/>
      <c r="S162" s="1201"/>
      <c r="T162" s="1201"/>
      <c r="U162" s="1201"/>
      <c r="V162" s="1201"/>
      <c r="W162" s="1201"/>
      <c r="X162" s="1201"/>
      <c r="Y162" s="1201"/>
      <c r="Z162" s="1201"/>
      <c r="AA162" s="1201"/>
      <c r="AB162" s="1201"/>
      <c r="AC162" s="1201"/>
      <c r="AD162" s="1201">
        <f>SUM(Z162:AC162)</f>
        <v>0</v>
      </c>
      <c r="AE162" s="1201"/>
      <c r="AF162" s="1201"/>
      <c r="AG162" s="1201"/>
      <c r="AH162" s="1201"/>
      <c r="AI162" s="1196">
        <v>150</v>
      </c>
      <c r="AJ162" s="1201"/>
      <c r="AK162" s="1201"/>
      <c r="AL162" s="1201"/>
      <c r="AM162" s="1201">
        <f>AM161</f>
        <v>0</v>
      </c>
      <c r="AN162" s="2382">
        <f>AN161</f>
        <v>0</v>
      </c>
      <c r="AO162" s="1201">
        <f>AO161</f>
        <v>0</v>
      </c>
      <c r="AP162" s="1196">
        <f t="shared" ref="AP162:AX162" si="127">AP161</f>
        <v>31.341903736736889</v>
      </c>
      <c r="AQ162" s="1196">
        <f t="shared" si="127"/>
        <v>31.341903736736889</v>
      </c>
      <c r="AR162" s="1196">
        <f t="shared" si="127"/>
        <v>31.341903736736889</v>
      </c>
      <c r="AS162" s="1196">
        <f t="shared" si="127"/>
        <v>94.025711210210659</v>
      </c>
      <c r="AT162" s="1196">
        <f t="shared" si="127"/>
        <v>31.341903736736889</v>
      </c>
      <c r="AU162" s="1196">
        <f t="shared" si="127"/>
        <v>31.341903736736889</v>
      </c>
      <c r="AV162" s="1196">
        <f t="shared" si="127"/>
        <v>31.341903736736889</v>
      </c>
      <c r="AW162" s="1196">
        <f t="shared" si="127"/>
        <v>31.341903736736889</v>
      </c>
      <c r="AX162" s="1196">
        <f t="shared" si="127"/>
        <v>125.36761494694755</v>
      </c>
      <c r="AY162" s="1196">
        <f t="shared" ref="AY162:BC162" si="128">AY161</f>
        <v>31.341903736736889</v>
      </c>
      <c r="AZ162" s="1196">
        <f t="shared" si="128"/>
        <v>31.341903736736889</v>
      </c>
      <c r="BA162" s="1196">
        <f t="shared" si="128"/>
        <v>31.341903736736889</v>
      </c>
      <c r="BB162" s="1196">
        <f t="shared" si="128"/>
        <v>31.341903736736889</v>
      </c>
      <c r="BC162" s="1196">
        <f t="shared" si="128"/>
        <v>125.36761494694755</v>
      </c>
    </row>
    <row r="163" spans="3:55" s="33" customFormat="1" ht="13.5" thickBot="1">
      <c r="C163" s="1227"/>
      <c r="D163" s="1228"/>
      <c r="E163" s="1229"/>
      <c r="F163" s="1229"/>
      <c r="G163" s="1229"/>
      <c r="H163" s="1229"/>
      <c r="I163" s="1229"/>
      <c r="J163" s="1229"/>
      <c r="K163" s="1229"/>
      <c r="L163" s="1229"/>
      <c r="M163" s="1229"/>
      <c r="N163" s="1229"/>
      <c r="O163" s="1230"/>
      <c r="P163" s="1231"/>
      <c r="Q163" s="1231"/>
      <c r="R163" s="1231"/>
      <c r="S163" s="1231"/>
      <c r="T163" s="1232"/>
      <c r="U163" s="1231"/>
      <c r="V163" s="1231"/>
      <c r="W163" s="1231"/>
      <c r="X163" s="1231"/>
      <c r="Y163" s="1232"/>
      <c r="Z163" s="1231"/>
      <c r="AA163" s="1231"/>
      <c r="AB163" s="1231"/>
      <c r="AC163" s="1231"/>
      <c r="AD163" s="1232"/>
      <c r="AE163" s="1232"/>
      <c r="AF163" s="1232"/>
      <c r="AG163" s="1232"/>
      <c r="AH163" s="1232"/>
      <c r="AI163" s="1232"/>
      <c r="AJ163" s="1232"/>
      <c r="AK163" s="1232"/>
      <c r="AL163" s="1232"/>
      <c r="AM163" s="1232"/>
      <c r="AN163" s="1232"/>
      <c r="AO163" s="1232"/>
      <c r="AP163" s="1232"/>
      <c r="AQ163" s="1232"/>
      <c r="AR163" s="1232"/>
      <c r="AS163" s="1232"/>
      <c r="AT163" s="1232"/>
      <c r="AU163" s="1232"/>
      <c r="AV163" s="1232"/>
      <c r="AW163" s="1232"/>
      <c r="AX163" s="1232"/>
      <c r="AY163" s="1232"/>
      <c r="AZ163" s="1232"/>
      <c r="BA163" s="1232"/>
      <c r="BB163" s="1232"/>
      <c r="BC163" s="1232"/>
    </row>
    <row r="164" spans="3:55" s="33" customFormat="1" ht="12.75">
      <c r="C164" s="1199"/>
      <c r="D164" s="1200"/>
      <c r="O164" s="51"/>
      <c r="P164" s="1201"/>
      <c r="Q164" s="1201"/>
      <c r="R164" s="1201"/>
      <c r="S164" s="1201"/>
      <c r="T164" s="1202"/>
      <c r="U164" s="1202"/>
      <c r="V164" s="1202"/>
      <c r="W164" s="1202"/>
      <c r="X164" s="1202"/>
      <c r="Y164" s="1202"/>
      <c r="Z164" s="1201"/>
      <c r="AA164" s="1201"/>
      <c r="AB164" s="1201"/>
      <c r="AC164" s="1201"/>
      <c r="AD164" s="1202"/>
      <c r="AE164" s="1202"/>
      <c r="AF164" s="1202"/>
      <c r="AG164" s="1202"/>
      <c r="AH164" s="1202"/>
      <c r="AI164" s="1202"/>
      <c r="AJ164" s="1202"/>
      <c r="AK164" s="1202"/>
      <c r="AL164" s="1202"/>
      <c r="AM164" s="1202"/>
      <c r="AN164" s="1202"/>
      <c r="AO164" s="1202"/>
      <c r="AP164" s="1202"/>
      <c r="AQ164" s="1202"/>
      <c r="AR164" s="1202"/>
      <c r="AS164" s="1202"/>
      <c r="AT164" s="1202"/>
      <c r="AU164" s="1202"/>
      <c r="AV164" s="1202"/>
      <c r="AW164" s="1202"/>
      <c r="AX164" s="1202"/>
      <c r="AY164" s="1202"/>
      <c r="AZ164" s="1202"/>
      <c r="BA164" s="1202"/>
      <c r="BB164" s="1202"/>
      <c r="BC164" s="1202"/>
    </row>
    <row r="165" spans="3:55" s="33" customFormat="1" ht="12.75">
      <c r="C165" s="1199"/>
      <c r="D165" s="1200"/>
      <c r="O165" s="51"/>
      <c r="P165" s="1201"/>
      <c r="Q165" s="1201"/>
      <c r="R165" s="1201"/>
      <c r="S165" s="1201"/>
      <c r="T165" s="1202"/>
      <c r="U165" s="1202"/>
      <c r="V165" s="1202"/>
      <c r="W165" s="1202"/>
      <c r="X165" s="1596"/>
      <c r="Y165" s="1596"/>
      <c r="Z165" s="1596"/>
      <c r="AA165" s="1596"/>
      <c r="AB165" s="1596"/>
      <c r="AC165" s="1596"/>
      <c r="AD165" s="1597"/>
      <c r="AE165" s="1597"/>
      <c r="AF165" s="1597"/>
      <c r="AG165" s="1597"/>
      <c r="AH165" s="1597"/>
      <c r="AI165" s="1597"/>
      <c r="AJ165" s="1597"/>
      <c r="AK165" s="1597"/>
      <c r="AL165" s="1597"/>
      <c r="AM165" s="1597"/>
      <c r="AN165" s="1597"/>
      <c r="AO165" s="1597"/>
      <c r="AP165" s="1597"/>
      <c r="AQ165" s="1597"/>
      <c r="AR165" s="1597"/>
      <c r="AS165" s="1597"/>
      <c r="AT165" s="1597"/>
      <c r="AU165" s="1597"/>
      <c r="AV165" s="1597"/>
      <c r="AW165" s="1597"/>
      <c r="AX165" s="1597"/>
      <c r="AY165" s="1597"/>
      <c r="AZ165" s="1597"/>
      <c r="BA165" s="1597"/>
      <c r="BB165" s="1597"/>
      <c r="BC165" s="1597"/>
    </row>
    <row r="166" spans="3:55" ht="13.5" thickBot="1">
      <c r="O166" s="43"/>
      <c r="S166" s="1201"/>
      <c r="T166" s="43"/>
      <c r="U166" s="1202"/>
      <c r="V166" s="1598"/>
      <c r="W166" s="1202"/>
      <c r="X166" s="1277"/>
      <c r="Y166" s="1597"/>
      <c r="Z166" s="1277"/>
      <c r="AA166" s="1277"/>
      <c r="AB166" s="1277"/>
      <c r="AC166" s="1277"/>
      <c r="AD166" s="1597"/>
      <c r="AE166" s="1597"/>
      <c r="AF166" s="1597"/>
      <c r="AG166" s="1597"/>
      <c r="AH166" s="1597"/>
      <c r="AI166" s="1277"/>
      <c r="AJ166" s="1277"/>
      <c r="AK166" s="1277"/>
      <c r="AL166" s="1277"/>
      <c r="AM166" s="1277"/>
      <c r="AN166" s="1597"/>
      <c r="AO166" s="1277"/>
      <c r="AP166" s="1277"/>
      <c r="AQ166" s="1277"/>
      <c r="AR166" s="1277"/>
      <c r="AS166" s="1597"/>
      <c r="AT166" s="1277"/>
      <c r="AU166" s="1277"/>
      <c r="AV166" s="1277"/>
      <c r="AW166" s="1277"/>
      <c r="AX166" s="1597"/>
      <c r="AY166" s="1277"/>
      <c r="AZ166" s="1277"/>
      <c r="BA166" s="1277"/>
      <c r="BB166" s="1277"/>
      <c r="BC166" s="1597"/>
    </row>
    <row r="167" spans="3:55" ht="13.5" thickBot="1">
      <c r="C167" s="1002" t="s">
        <v>548</v>
      </c>
      <c r="O167" s="43"/>
      <c r="S167" s="1201"/>
      <c r="T167" s="1195"/>
      <c r="U167" s="1202"/>
      <c r="V167" s="1598"/>
      <c r="W167" s="1202"/>
      <c r="X167" s="1277"/>
      <c r="Y167" s="1597"/>
      <c r="Z167" s="1277"/>
      <c r="AA167" s="1277"/>
      <c r="AB167" s="1277"/>
      <c r="AC167" s="1277"/>
      <c r="AD167" s="1597"/>
      <c r="AE167" s="1597"/>
      <c r="AF167" s="1597"/>
      <c r="AG167" s="1597"/>
      <c r="AH167" s="1597"/>
      <c r="AI167" s="1277"/>
      <c r="AJ167" s="1277"/>
      <c r="AK167" s="1277"/>
      <c r="AL167" s="1277"/>
      <c r="AM167" s="1277"/>
      <c r="AN167" s="1597"/>
      <c r="AO167" s="1277"/>
      <c r="AP167" s="1277"/>
      <c r="AQ167" s="1277"/>
      <c r="AR167" s="1277"/>
      <c r="AS167" s="1597"/>
      <c r="AT167" s="1277"/>
      <c r="AU167" s="1277"/>
      <c r="AV167" s="1277"/>
      <c r="AW167" s="1277"/>
      <c r="AX167" s="1597"/>
      <c r="AY167" s="1277"/>
      <c r="AZ167" s="1277"/>
      <c r="BA167" s="1277"/>
      <c r="BB167" s="1277"/>
      <c r="BC167" s="1597"/>
    </row>
    <row r="168" spans="3:55" ht="12.75">
      <c r="C168" s="1503" t="s">
        <v>432</v>
      </c>
      <c r="O168" s="43"/>
      <c r="T168" s="1195"/>
      <c r="U168" s="43"/>
      <c r="V168" s="1599"/>
      <c r="W168" s="43"/>
      <c r="X168" s="1277"/>
      <c r="Y168" s="1597"/>
      <c r="Z168" s="1277"/>
      <c r="AA168" s="1277"/>
      <c r="AB168" s="1277"/>
      <c r="AC168" s="1277"/>
      <c r="AD168" s="1597"/>
      <c r="AE168" s="1597"/>
      <c r="AF168" s="1597"/>
      <c r="AG168" s="1597"/>
      <c r="AH168" s="1597"/>
      <c r="AI168" s="1277"/>
      <c r="AJ168" s="1277"/>
      <c r="AK168" s="1277"/>
      <c r="AL168" s="1277"/>
      <c r="AM168" s="1277"/>
      <c r="AN168" s="1277"/>
      <c r="AO168" s="1277"/>
      <c r="AP168" s="1277"/>
      <c r="AQ168" s="1277"/>
      <c r="AR168" s="1277"/>
      <c r="AS168" s="1277"/>
      <c r="AT168" s="1277"/>
      <c r="AU168" s="1277"/>
      <c r="AV168" s="1277"/>
      <c r="AW168" s="1277"/>
      <c r="AX168" s="1277"/>
      <c r="AY168" s="1277"/>
      <c r="AZ168" s="1277"/>
      <c r="BA168" s="1277"/>
      <c r="BB168" s="1277"/>
      <c r="BC168" s="1277"/>
    </row>
    <row r="169" spans="3:55" ht="12.75">
      <c r="O169" s="43"/>
      <c r="T169" s="1195"/>
      <c r="U169" s="43"/>
      <c r="V169" s="1599"/>
      <c r="W169" s="43"/>
      <c r="X169" s="1277"/>
      <c r="Y169" s="1597"/>
      <c r="Z169" s="1277"/>
      <c r="AA169" s="1277"/>
      <c r="AB169" s="1277"/>
      <c r="AC169" s="1277"/>
      <c r="AD169" s="1597"/>
      <c r="AE169" s="1597"/>
      <c r="AF169" s="1597"/>
      <c r="AG169" s="1597"/>
      <c r="AH169" s="1597"/>
      <c r="AI169" s="1277"/>
      <c r="AJ169" s="1277"/>
      <c r="AK169" s="1277"/>
      <c r="AL169" s="1277"/>
      <c r="AM169" s="1277"/>
      <c r="AN169" s="1277"/>
      <c r="AO169" s="1277"/>
      <c r="AP169" s="1277"/>
      <c r="AQ169" s="1277"/>
      <c r="AR169" s="1277"/>
      <c r="AS169" s="1277"/>
      <c r="AT169" s="1277"/>
      <c r="AU169" s="1277"/>
      <c r="AV169" s="1277"/>
      <c r="AW169" s="1277"/>
      <c r="AX169" s="1277"/>
      <c r="AY169" s="1277"/>
      <c r="AZ169" s="1277"/>
      <c r="BA169" s="1277"/>
      <c r="BB169" s="1277"/>
      <c r="BC169" s="1277"/>
    </row>
    <row r="170" spans="3:55" ht="12.75">
      <c r="O170" s="43"/>
      <c r="T170" s="1195"/>
      <c r="U170" s="43"/>
      <c r="V170" s="43"/>
      <c r="W170" s="43"/>
      <c r="X170" s="1277"/>
      <c r="Y170" s="1597"/>
      <c r="Z170" s="1277"/>
      <c r="AA170" s="1277"/>
      <c r="AB170" s="1277"/>
      <c r="AC170" s="1277"/>
      <c r="AD170" s="1597"/>
      <c r="AE170" s="1597"/>
      <c r="AF170" s="1597"/>
      <c r="AG170" s="1597"/>
      <c r="AH170" s="1597"/>
      <c r="AI170" s="1277"/>
      <c r="AJ170" s="1277"/>
      <c r="AK170" s="1277"/>
      <c r="AL170" s="1277"/>
      <c r="AM170" s="1277"/>
      <c r="AN170" s="1277"/>
      <c r="AO170" s="1277"/>
      <c r="AP170" s="1277"/>
      <c r="AQ170" s="1277"/>
      <c r="AR170" s="1277"/>
      <c r="AS170" s="1277"/>
      <c r="AT170" s="1277"/>
      <c r="AU170" s="1277"/>
      <c r="AV170" s="1277"/>
      <c r="AW170" s="1277"/>
      <c r="AX170" s="1277"/>
      <c r="AY170" s="1277"/>
      <c r="AZ170" s="1277"/>
      <c r="BA170" s="1277"/>
      <c r="BB170" s="1277"/>
      <c r="BC170" s="1277"/>
    </row>
    <row r="171" spans="3:55">
      <c r="O171" s="43"/>
      <c r="T171" s="1195"/>
      <c r="U171" s="43"/>
      <c r="V171" s="43"/>
      <c r="W171" s="43"/>
      <c r="X171" s="43"/>
      <c r="Y171" s="1195"/>
      <c r="AD171" s="1195"/>
      <c r="AE171" s="1195"/>
      <c r="AF171" s="1195"/>
      <c r="AG171" s="1195"/>
      <c r="AH171" s="1195"/>
      <c r="AI171" s="1195"/>
      <c r="AJ171" s="1195"/>
      <c r="AK171" s="1195"/>
      <c r="AL171" s="1195"/>
      <c r="AM171" s="1195"/>
      <c r="AN171" s="1195"/>
      <c r="AO171" s="1195"/>
      <c r="AP171" s="1195"/>
      <c r="AQ171" s="1195"/>
      <c r="AR171" s="1195"/>
      <c r="AS171" s="1195"/>
      <c r="AT171" s="1195"/>
      <c r="AU171" s="1195"/>
      <c r="AV171" s="1195"/>
      <c r="AW171" s="1195"/>
      <c r="AX171" s="1195"/>
      <c r="AY171" s="1195"/>
      <c r="AZ171" s="1195"/>
      <c r="BA171" s="1195"/>
      <c r="BB171" s="1195"/>
      <c r="BC171" s="1195"/>
    </row>
    <row r="172" spans="3:55">
      <c r="O172" s="43"/>
      <c r="T172" s="1195"/>
      <c r="U172" s="43"/>
      <c r="V172" s="43"/>
      <c r="W172" s="43"/>
      <c r="X172" s="43"/>
      <c r="Y172" s="1195"/>
      <c r="AD172" s="1195"/>
      <c r="AE172" s="1195"/>
      <c r="AF172" s="1195"/>
      <c r="AG172" s="1195"/>
      <c r="AH172" s="1195"/>
      <c r="AI172" s="1195"/>
      <c r="AJ172" s="1195"/>
      <c r="AK172" s="1195"/>
      <c r="AL172" s="1195"/>
      <c r="AM172" s="1195"/>
      <c r="AN172" s="1195"/>
      <c r="AO172" s="1195"/>
      <c r="AP172" s="1195"/>
      <c r="AQ172" s="1195"/>
      <c r="AR172" s="1195"/>
      <c r="AS172" s="1195"/>
      <c r="AT172" s="1195"/>
      <c r="AU172" s="1195"/>
      <c r="AV172" s="1195"/>
      <c r="AW172" s="1195"/>
      <c r="AX172" s="1195"/>
      <c r="AY172" s="1195"/>
      <c r="AZ172" s="1195"/>
      <c r="BA172" s="1195"/>
      <c r="BB172" s="1195"/>
      <c r="BC172" s="1195"/>
    </row>
    <row r="173" spans="3:55">
      <c r="C173" t="s">
        <v>110</v>
      </c>
      <c r="J173" s="1103"/>
      <c r="K173" s="1103"/>
      <c r="O173" s="43"/>
      <c r="P173" s="1102"/>
      <c r="Q173" s="52"/>
      <c r="T173" s="1195"/>
      <c r="U173" s="43"/>
      <c r="V173" s="43"/>
      <c r="W173" s="43"/>
      <c r="X173" s="43"/>
      <c r="Y173" s="1195"/>
      <c r="AD173" s="1195"/>
      <c r="AE173" s="1195"/>
      <c r="AF173" s="1195"/>
      <c r="AG173" s="1195"/>
      <c r="AH173" s="1195"/>
      <c r="AI173" s="1195"/>
      <c r="AJ173" s="1195"/>
      <c r="AK173" s="1195"/>
      <c r="AL173" s="1195"/>
      <c r="AM173" s="1195"/>
      <c r="AN173" s="1195"/>
      <c r="AO173" s="1195"/>
      <c r="AP173" s="1195"/>
      <c r="AQ173" s="1195"/>
      <c r="AR173" s="1195"/>
      <c r="AS173" s="1195"/>
      <c r="AT173" s="1195"/>
      <c r="AU173" s="1195"/>
      <c r="AV173" s="1195"/>
      <c r="AW173" s="1195"/>
      <c r="AX173" s="1195"/>
      <c r="AY173" s="1195"/>
      <c r="AZ173" s="1195"/>
      <c r="BA173" s="1195"/>
      <c r="BB173" s="1195"/>
      <c r="BC173" s="1195"/>
    </row>
    <row r="174" spans="3:55">
      <c r="C174" t="s">
        <v>111</v>
      </c>
      <c r="J174" s="1103"/>
      <c r="K174" s="1103"/>
      <c r="O174" s="1102"/>
      <c r="P174" s="1102"/>
      <c r="Q174" s="52"/>
      <c r="T174" s="1195"/>
      <c r="U174" s="43"/>
      <c r="V174" s="43"/>
      <c r="W174" s="43"/>
      <c r="X174" s="43"/>
      <c r="Y174" s="1195"/>
      <c r="AD174" s="1195"/>
      <c r="AE174" s="1195"/>
      <c r="AF174" s="1195"/>
      <c r="AG174" s="1195"/>
      <c r="AH174" s="1195"/>
      <c r="AI174" s="1195"/>
      <c r="AJ174" s="1195"/>
      <c r="AK174" s="1195"/>
      <c r="AL174" s="1195"/>
      <c r="AM174" s="1195"/>
      <c r="AN174" s="1195"/>
      <c r="AO174" s="1195"/>
      <c r="AP174" s="1195"/>
      <c r="AQ174" s="1195"/>
      <c r="AR174" s="1195"/>
      <c r="AS174" s="1195"/>
      <c r="AT174" s="1195"/>
      <c r="AU174" s="1195"/>
      <c r="AV174" s="1195"/>
      <c r="AW174" s="1195"/>
      <c r="AX174" s="1195"/>
      <c r="AY174" s="1195"/>
      <c r="AZ174" s="1195"/>
      <c r="BA174" s="1195"/>
      <c r="BB174" s="1195"/>
      <c r="BC174" s="1195"/>
    </row>
    <row r="175" spans="3:55">
      <c r="C175" t="s">
        <v>112</v>
      </c>
      <c r="J175" s="1103"/>
      <c r="K175" s="1103"/>
      <c r="O175" s="43"/>
      <c r="P175" s="1102"/>
      <c r="Q175" s="52"/>
      <c r="T175" s="1197"/>
      <c r="U175" s="1197"/>
      <c r="V175" s="1197"/>
      <c r="W175" s="1197"/>
      <c r="X175" s="43"/>
    </row>
    <row r="176" spans="3:55">
      <c r="O176" s="43"/>
      <c r="T176" s="1197"/>
      <c r="U176" s="1197"/>
      <c r="V176" s="1197"/>
      <c r="W176" s="1197"/>
      <c r="X176" s="43"/>
    </row>
    <row r="177" spans="7:24">
      <c r="O177" s="48"/>
      <c r="T177" s="1198"/>
      <c r="U177" s="1198"/>
      <c r="V177" s="1198"/>
      <c r="W177" s="1198"/>
      <c r="X177" s="48"/>
    </row>
    <row r="178" spans="7:24">
      <c r="O178" s="43"/>
      <c r="T178" s="43"/>
      <c r="U178" s="43"/>
      <c r="V178" s="43"/>
      <c r="W178" s="43"/>
      <c r="X178" s="43"/>
    </row>
    <row r="179" spans="7:24">
      <c r="O179" s="43"/>
      <c r="T179" s="43"/>
      <c r="U179" s="43"/>
      <c r="V179" s="43"/>
      <c r="W179" s="43"/>
      <c r="X179" s="43"/>
    </row>
    <row r="180" spans="7:24">
      <c r="O180" s="43"/>
      <c r="T180" s="43"/>
      <c r="U180" s="43"/>
      <c r="V180" s="43"/>
      <c r="W180" s="43"/>
      <c r="X180" s="43"/>
    </row>
    <row r="181" spans="7:24">
      <c r="O181" s="43"/>
      <c r="T181" s="43"/>
      <c r="U181" s="43"/>
      <c r="V181" s="43"/>
      <c r="W181" s="43"/>
      <c r="X181" s="43"/>
    </row>
    <row r="182" spans="7:24">
      <c r="O182" s="43"/>
      <c r="T182" s="43"/>
      <c r="U182" s="43"/>
      <c r="V182" s="43"/>
      <c r="W182" s="43"/>
      <c r="X182" s="43"/>
    </row>
    <row r="183" spans="7:24">
      <c r="O183" s="4"/>
      <c r="T183" s="43"/>
      <c r="U183" s="43"/>
      <c r="V183" s="43"/>
      <c r="W183" s="43"/>
      <c r="X183" s="43"/>
    </row>
    <row r="192" spans="7:24">
      <c r="G192" s="249"/>
      <c r="H192" s="249"/>
    </row>
    <row r="193" spans="7:8">
      <c r="G193" s="249"/>
      <c r="H193" s="249"/>
    </row>
  </sheetData>
  <phoneticPr fontId="26" type="noConversion"/>
  <dataValidations count="1">
    <dataValidation type="list" allowBlank="1" showInputMessage="1" showErrorMessage="1" sqref="D142 D123 D115 D106 D97 D83 D75 C9">
      <formula1>$C$173:$C$175</formula1>
    </dataValidation>
  </dataValidations>
  <hyperlinks>
    <hyperlink ref="C1" location="Cover!A1" tooltip="Go to Cover Page" display="Cover Page"/>
  </hyperlinks>
  <pageMargins left="0.75" right="0.75" top="1" bottom="1" header="0.5" footer="0.5"/>
  <pageSetup scale="60" fitToHeight="2" orientation="landscape" r:id="rId1"/>
  <headerFooter alignWithMargins="0"/>
  <rowBreaks count="2" manualBreakCount="2">
    <brk id="71" min="2" max="39" man="1"/>
    <brk id="120" min="2" max="39"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topLeftCell="A25" workbookViewId="0">
      <selection activeCell="B42" sqref="B42"/>
    </sheetView>
  </sheetViews>
  <sheetFormatPr defaultRowHeight="12.75"/>
  <cols>
    <col min="1" max="1" width="34.5" style="2311" bestFit="1" customWidth="1"/>
    <col min="2" max="2" width="23.1640625" style="2412" customWidth="1"/>
    <col min="3" max="3" width="14" style="2311" bestFit="1" customWidth="1"/>
    <col min="4" max="256" width="9.33203125" style="2311"/>
    <col min="257" max="257" width="34.5" style="2311" bestFit="1" customWidth="1"/>
    <col min="258" max="258" width="23.1640625" style="2311" customWidth="1"/>
    <col min="259" max="259" width="14" style="2311" bestFit="1" customWidth="1"/>
    <col min="260" max="512" width="9.33203125" style="2311"/>
    <col min="513" max="513" width="34.5" style="2311" bestFit="1" customWidth="1"/>
    <col min="514" max="514" width="23.1640625" style="2311" customWidth="1"/>
    <col min="515" max="515" width="14" style="2311" bestFit="1" customWidth="1"/>
    <col min="516" max="768" width="9.33203125" style="2311"/>
    <col min="769" max="769" width="34.5" style="2311" bestFit="1" customWidth="1"/>
    <col min="770" max="770" width="23.1640625" style="2311" customWidth="1"/>
    <col min="771" max="771" width="14" style="2311" bestFit="1" customWidth="1"/>
    <col min="772" max="1024" width="9.33203125" style="2311"/>
    <col min="1025" max="1025" width="34.5" style="2311" bestFit="1" customWidth="1"/>
    <col min="1026" max="1026" width="23.1640625" style="2311" customWidth="1"/>
    <col min="1027" max="1027" width="14" style="2311" bestFit="1" customWidth="1"/>
    <col min="1028" max="1280" width="9.33203125" style="2311"/>
    <col min="1281" max="1281" width="34.5" style="2311" bestFit="1" customWidth="1"/>
    <col min="1282" max="1282" width="23.1640625" style="2311" customWidth="1"/>
    <col min="1283" max="1283" width="14" style="2311" bestFit="1" customWidth="1"/>
    <col min="1284" max="1536" width="9.33203125" style="2311"/>
    <col min="1537" max="1537" width="34.5" style="2311" bestFit="1" customWidth="1"/>
    <col min="1538" max="1538" width="23.1640625" style="2311" customWidth="1"/>
    <col min="1539" max="1539" width="14" style="2311" bestFit="1" customWidth="1"/>
    <col min="1540" max="1792" width="9.33203125" style="2311"/>
    <col min="1793" max="1793" width="34.5" style="2311" bestFit="1" customWidth="1"/>
    <col min="1794" max="1794" width="23.1640625" style="2311" customWidth="1"/>
    <col min="1795" max="1795" width="14" style="2311" bestFit="1" customWidth="1"/>
    <col min="1796" max="2048" width="9.33203125" style="2311"/>
    <col min="2049" max="2049" width="34.5" style="2311" bestFit="1" customWidth="1"/>
    <col min="2050" max="2050" width="23.1640625" style="2311" customWidth="1"/>
    <col min="2051" max="2051" width="14" style="2311" bestFit="1" customWidth="1"/>
    <col min="2052" max="2304" width="9.33203125" style="2311"/>
    <col min="2305" max="2305" width="34.5" style="2311" bestFit="1" customWidth="1"/>
    <col min="2306" max="2306" width="23.1640625" style="2311" customWidth="1"/>
    <col min="2307" max="2307" width="14" style="2311" bestFit="1" customWidth="1"/>
    <col min="2308" max="2560" width="9.33203125" style="2311"/>
    <col min="2561" max="2561" width="34.5" style="2311" bestFit="1" customWidth="1"/>
    <col min="2562" max="2562" width="23.1640625" style="2311" customWidth="1"/>
    <col min="2563" max="2563" width="14" style="2311" bestFit="1" customWidth="1"/>
    <col min="2564" max="2816" width="9.33203125" style="2311"/>
    <col min="2817" max="2817" width="34.5" style="2311" bestFit="1" customWidth="1"/>
    <col min="2818" max="2818" width="23.1640625" style="2311" customWidth="1"/>
    <col min="2819" max="2819" width="14" style="2311" bestFit="1" customWidth="1"/>
    <col min="2820" max="3072" width="9.33203125" style="2311"/>
    <col min="3073" max="3073" width="34.5" style="2311" bestFit="1" customWidth="1"/>
    <col min="3074" max="3074" width="23.1640625" style="2311" customWidth="1"/>
    <col min="3075" max="3075" width="14" style="2311" bestFit="1" customWidth="1"/>
    <col min="3076" max="3328" width="9.33203125" style="2311"/>
    <col min="3329" max="3329" width="34.5" style="2311" bestFit="1" customWidth="1"/>
    <col min="3330" max="3330" width="23.1640625" style="2311" customWidth="1"/>
    <col min="3331" max="3331" width="14" style="2311" bestFit="1" customWidth="1"/>
    <col min="3332" max="3584" width="9.33203125" style="2311"/>
    <col min="3585" max="3585" width="34.5" style="2311" bestFit="1" customWidth="1"/>
    <col min="3586" max="3586" width="23.1640625" style="2311" customWidth="1"/>
    <col min="3587" max="3587" width="14" style="2311" bestFit="1" customWidth="1"/>
    <col min="3588" max="3840" width="9.33203125" style="2311"/>
    <col min="3841" max="3841" width="34.5" style="2311" bestFit="1" customWidth="1"/>
    <col min="3842" max="3842" width="23.1640625" style="2311" customWidth="1"/>
    <col min="3843" max="3843" width="14" style="2311" bestFit="1" customWidth="1"/>
    <col min="3844" max="4096" width="9.33203125" style="2311"/>
    <col min="4097" max="4097" width="34.5" style="2311" bestFit="1" customWidth="1"/>
    <col min="4098" max="4098" width="23.1640625" style="2311" customWidth="1"/>
    <col min="4099" max="4099" width="14" style="2311" bestFit="1" customWidth="1"/>
    <col min="4100" max="4352" width="9.33203125" style="2311"/>
    <col min="4353" max="4353" width="34.5" style="2311" bestFit="1" customWidth="1"/>
    <col min="4354" max="4354" width="23.1640625" style="2311" customWidth="1"/>
    <col min="4355" max="4355" width="14" style="2311" bestFit="1" customWidth="1"/>
    <col min="4356" max="4608" width="9.33203125" style="2311"/>
    <col min="4609" max="4609" width="34.5" style="2311" bestFit="1" customWidth="1"/>
    <col min="4610" max="4610" width="23.1640625" style="2311" customWidth="1"/>
    <col min="4611" max="4611" width="14" style="2311" bestFit="1" customWidth="1"/>
    <col min="4612" max="4864" width="9.33203125" style="2311"/>
    <col min="4865" max="4865" width="34.5" style="2311" bestFit="1" customWidth="1"/>
    <col min="4866" max="4866" width="23.1640625" style="2311" customWidth="1"/>
    <col min="4867" max="4867" width="14" style="2311" bestFit="1" customWidth="1"/>
    <col min="4868" max="5120" width="9.33203125" style="2311"/>
    <col min="5121" max="5121" width="34.5" style="2311" bestFit="1" customWidth="1"/>
    <col min="5122" max="5122" width="23.1640625" style="2311" customWidth="1"/>
    <col min="5123" max="5123" width="14" style="2311" bestFit="1" customWidth="1"/>
    <col min="5124" max="5376" width="9.33203125" style="2311"/>
    <col min="5377" max="5377" width="34.5" style="2311" bestFit="1" customWidth="1"/>
    <col min="5378" max="5378" width="23.1640625" style="2311" customWidth="1"/>
    <col min="5379" max="5379" width="14" style="2311" bestFit="1" customWidth="1"/>
    <col min="5380" max="5632" width="9.33203125" style="2311"/>
    <col min="5633" max="5633" width="34.5" style="2311" bestFit="1" customWidth="1"/>
    <col min="5634" max="5634" width="23.1640625" style="2311" customWidth="1"/>
    <col min="5635" max="5635" width="14" style="2311" bestFit="1" customWidth="1"/>
    <col min="5636" max="5888" width="9.33203125" style="2311"/>
    <col min="5889" max="5889" width="34.5" style="2311" bestFit="1" customWidth="1"/>
    <col min="5890" max="5890" width="23.1640625" style="2311" customWidth="1"/>
    <col min="5891" max="5891" width="14" style="2311" bestFit="1" customWidth="1"/>
    <col min="5892" max="6144" width="9.33203125" style="2311"/>
    <col min="6145" max="6145" width="34.5" style="2311" bestFit="1" customWidth="1"/>
    <col min="6146" max="6146" width="23.1640625" style="2311" customWidth="1"/>
    <col min="6147" max="6147" width="14" style="2311" bestFit="1" customWidth="1"/>
    <col min="6148" max="6400" width="9.33203125" style="2311"/>
    <col min="6401" max="6401" width="34.5" style="2311" bestFit="1" customWidth="1"/>
    <col min="6402" max="6402" width="23.1640625" style="2311" customWidth="1"/>
    <col min="6403" max="6403" width="14" style="2311" bestFit="1" customWidth="1"/>
    <col min="6404" max="6656" width="9.33203125" style="2311"/>
    <col min="6657" max="6657" width="34.5" style="2311" bestFit="1" customWidth="1"/>
    <col min="6658" max="6658" width="23.1640625" style="2311" customWidth="1"/>
    <col min="6659" max="6659" width="14" style="2311" bestFit="1" customWidth="1"/>
    <col min="6660" max="6912" width="9.33203125" style="2311"/>
    <col min="6913" max="6913" width="34.5" style="2311" bestFit="1" customWidth="1"/>
    <col min="6914" max="6914" width="23.1640625" style="2311" customWidth="1"/>
    <col min="6915" max="6915" width="14" style="2311" bestFit="1" customWidth="1"/>
    <col min="6916" max="7168" width="9.33203125" style="2311"/>
    <col min="7169" max="7169" width="34.5" style="2311" bestFit="1" customWidth="1"/>
    <col min="7170" max="7170" width="23.1640625" style="2311" customWidth="1"/>
    <col min="7171" max="7171" width="14" style="2311" bestFit="1" customWidth="1"/>
    <col min="7172" max="7424" width="9.33203125" style="2311"/>
    <col min="7425" max="7425" width="34.5" style="2311" bestFit="1" customWidth="1"/>
    <col min="7426" max="7426" width="23.1640625" style="2311" customWidth="1"/>
    <col min="7427" max="7427" width="14" style="2311" bestFit="1" customWidth="1"/>
    <col min="7428" max="7680" width="9.33203125" style="2311"/>
    <col min="7681" max="7681" width="34.5" style="2311" bestFit="1" customWidth="1"/>
    <col min="7682" max="7682" width="23.1640625" style="2311" customWidth="1"/>
    <col min="7683" max="7683" width="14" style="2311" bestFit="1" customWidth="1"/>
    <col min="7684" max="7936" width="9.33203125" style="2311"/>
    <col min="7937" max="7937" width="34.5" style="2311" bestFit="1" customWidth="1"/>
    <col min="7938" max="7938" width="23.1640625" style="2311" customWidth="1"/>
    <col min="7939" max="7939" width="14" style="2311" bestFit="1" customWidth="1"/>
    <col min="7940" max="8192" width="9.33203125" style="2311"/>
    <col min="8193" max="8193" width="34.5" style="2311" bestFit="1" customWidth="1"/>
    <col min="8194" max="8194" width="23.1640625" style="2311" customWidth="1"/>
    <col min="8195" max="8195" width="14" style="2311" bestFit="1" customWidth="1"/>
    <col min="8196" max="8448" width="9.33203125" style="2311"/>
    <col min="8449" max="8449" width="34.5" style="2311" bestFit="1" customWidth="1"/>
    <col min="8450" max="8450" width="23.1640625" style="2311" customWidth="1"/>
    <col min="8451" max="8451" width="14" style="2311" bestFit="1" customWidth="1"/>
    <col min="8452" max="8704" width="9.33203125" style="2311"/>
    <col min="8705" max="8705" width="34.5" style="2311" bestFit="1" customWidth="1"/>
    <col min="8706" max="8706" width="23.1640625" style="2311" customWidth="1"/>
    <col min="8707" max="8707" width="14" style="2311" bestFit="1" customWidth="1"/>
    <col min="8708" max="8960" width="9.33203125" style="2311"/>
    <col min="8961" max="8961" width="34.5" style="2311" bestFit="1" customWidth="1"/>
    <col min="8962" max="8962" width="23.1640625" style="2311" customWidth="1"/>
    <col min="8963" max="8963" width="14" style="2311" bestFit="1" customWidth="1"/>
    <col min="8964" max="9216" width="9.33203125" style="2311"/>
    <col min="9217" max="9217" width="34.5" style="2311" bestFit="1" customWidth="1"/>
    <col min="9218" max="9218" width="23.1640625" style="2311" customWidth="1"/>
    <col min="9219" max="9219" width="14" style="2311" bestFit="1" customWidth="1"/>
    <col min="9220" max="9472" width="9.33203125" style="2311"/>
    <col min="9473" max="9473" width="34.5" style="2311" bestFit="1" customWidth="1"/>
    <col min="9474" max="9474" width="23.1640625" style="2311" customWidth="1"/>
    <col min="9475" max="9475" width="14" style="2311" bestFit="1" customWidth="1"/>
    <col min="9476" max="9728" width="9.33203125" style="2311"/>
    <col min="9729" max="9729" width="34.5" style="2311" bestFit="1" customWidth="1"/>
    <col min="9730" max="9730" width="23.1640625" style="2311" customWidth="1"/>
    <col min="9731" max="9731" width="14" style="2311" bestFit="1" customWidth="1"/>
    <col min="9732" max="9984" width="9.33203125" style="2311"/>
    <col min="9985" max="9985" width="34.5" style="2311" bestFit="1" customWidth="1"/>
    <col min="9986" max="9986" width="23.1640625" style="2311" customWidth="1"/>
    <col min="9987" max="9987" width="14" style="2311" bestFit="1" customWidth="1"/>
    <col min="9988" max="10240" width="9.33203125" style="2311"/>
    <col min="10241" max="10241" width="34.5" style="2311" bestFit="1" customWidth="1"/>
    <col min="10242" max="10242" width="23.1640625" style="2311" customWidth="1"/>
    <col min="10243" max="10243" width="14" style="2311" bestFit="1" customWidth="1"/>
    <col min="10244" max="10496" width="9.33203125" style="2311"/>
    <col min="10497" max="10497" width="34.5" style="2311" bestFit="1" customWidth="1"/>
    <col min="10498" max="10498" width="23.1640625" style="2311" customWidth="1"/>
    <col min="10499" max="10499" width="14" style="2311" bestFit="1" customWidth="1"/>
    <col min="10500" max="10752" width="9.33203125" style="2311"/>
    <col min="10753" max="10753" width="34.5" style="2311" bestFit="1" customWidth="1"/>
    <col min="10754" max="10754" width="23.1640625" style="2311" customWidth="1"/>
    <col min="10755" max="10755" width="14" style="2311" bestFit="1" customWidth="1"/>
    <col min="10756" max="11008" width="9.33203125" style="2311"/>
    <col min="11009" max="11009" width="34.5" style="2311" bestFit="1" customWidth="1"/>
    <col min="11010" max="11010" width="23.1640625" style="2311" customWidth="1"/>
    <col min="11011" max="11011" width="14" style="2311" bestFit="1" customWidth="1"/>
    <col min="11012" max="11264" width="9.33203125" style="2311"/>
    <col min="11265" max="11265" width="34.5" style="2311" bestFit="1" customWidth="1"/>
    <col min="11266" max="11266" width="23.1640625" style="2311" customWidth="1"/>
    <col min="11267" max="11267" width="14" style="2311" bestFit="1" customWidth="1"/>
    <col min="11268" max="11520" width="9.33203125" style="2311"/>
    <col min="11521" max="11521" width="34.5" style="2311" bestFit="1" customWidth="1"/>
    <col min="11522" max="11522" width="23.1640625" style="2311" customWidth="1"/>
    <col min="11523" max="11523" width="14" style="2311" bestFit="1" customWidth="1"/>
    <col min="11524" max="11776" width="9.33203125" style="2311"/>
    <col min="11777" max="11777" width="34.5" style="2311" bestFit="1" customWidth="1"/>
    <col min="11778" max="11778" width="23.1640625" style="2311" customWidth="1"/>
    <col min="11779" max="11779" width="14" style="2311" bestFit="1" customWidth="1"/>
    <col min="11780" max="12032" width="9.33203125" style="2311"/>
    <col min="12033" max="12033" width="34.5" style="2311" bestFit="1" customWidth="1"/>
    <col min="12034" max="12034" width="23.1640625" style="2311" customWidth="1"/>
    <col min="12035" max="12035" width="14" style="2311" bestFit="1" customWidth="1"/>
    <col min="12036" max="12288" width="9.33203125" style="2311"/>
    <col min="12289" max="12289" width="34.5" style="2311" bestFit="1" customWidth="1"/>
    <col min="12290" max="12290" width="23.1640625" style="2311" customWidth="1"/>
    <col min="12291" max="12291" width="14" style="2311" bestFit="1" customWidth="1"/>
    <col min="12292" max="12544" width="9.33203125" style="2311"/>
    <col min="12545" max="12545" width="34.5" style="2311" bestFit="1" customWidth="1"/>
    <col min="12546" max="12546" width="23.1640625" style="2311" customWidth="1"/>
    <col min="12547" max="12547" width="14" style="2311" bestFit="1" customWidth="1"/>
    <col min="12548" max="12800" width="9.33203125" style="2311"/>
    <col min="12801" max="12801" width="34.5" style="2311" bestFit="1" customWidth="1"/>
    <col min="12802" max="12802" width="23.1640625" style="2311" customWidth="1"/>
    <col min="12803" max="12803" width="14" style="2311" bestFit="1" customWidth="1"/>
    <col min="12804" max="13056" width="9.33203125" style="2311"/>
    <col min="13057" max="13057" width="34.5" style="2311" bestFit="1" customWidth="1"/>
    <col min="13058" max="13058" width="23.1640625" style="2311" customWidth="1"/>
    <col min="13059" max="13059" width="14" style="2311" bestFit="1" customWidth="1"/>
    <col min="13060" max="13312" width="9.33203125" style="2311"/>
    <col min="13313" max="13313" width="34.5" style="2311" bestFit="1" customWidth="1"/>
    <col min="13314" max="13314" width="23.1640625" style="2311" customWidth="1"/>
    <col min="13315" max="13315" width="14" style="2311" bestFit="1" customWidth="1"/>
    <col min="13316" max="13568" width="9.33203125" style="2311"/>
    <col min="13569" max="13569" width="34.5" style="2311" bestFit="1" customWidth="1"/>
    <col min="13570" max="13570" width="23.1640625" style="2311" customWidth="1"/>
    <col min="13571" max="13571" width="14" style="2311" bestFit="1" customWidth="1"/>
    <col min="13572" max="13824" width="9.33203125" style="2311"/>
    <col min="13825" max="13825" width="34.5" style="2311" bestFit="1" customWidth="1"/>
    <col min="13826" max="13826" width="23.1640625" style="2311" customWidth="1"/>
    <col min="13827" max="13827" width="14" style="2311" bestFit="1" customWidth="1"/>
    <col min="13828" max="14080" width="9.33203125" style="2311"/>
    <col min="14081" max="14081" width="34.5" style="2311" bestFit="1" customWidth="1"/>
    <col min="14082" max="14082" width="23.1640625" style="2311" customWidth="1"/>
    <col min="14083" max="14083" width="14" style="2311" bestFit="1" customWidth="1"/>
    <col min="14084" max="14336" width="9.33203125" style="2311"/>
    <col min="14337" max="14337" width="34.5" style="2311" bestFit="1" customWidth="1"/>
    <col min="14338" max="14338" width="23.1640625" style="2311" customWidth="1"/>
    <col min="14339" max="14339" width="14" style="2311" bestFit="1" customWidth="1"/>
    <col min="14340" max="14592" width="9.33203125" style="2311"/>
    <col min="14593" max="14593" width="34.5" style="2311" bestFit="1" customWidth="1"/>
    <col min="14594" max="14594" width="23.1640625" style="2311" customWidth="1"/>
    <col min="14595" max="14595" width="14" style="2311" bestFit="1" customWidth="1"/>
    <col min="14596" max="14848" width="9.33203125" style="2311"/>
    <col min="14849" max="14849" width="34.5" style="2311" bestFit="1" customWidth="1"/>
    <col min="14850" max="14850" width="23.1640625" style="2311" customWidth="1"/>
    <col min="14851" max="14851" width="14" style="2311" bestFit="1" customWidth="1"/>
    <col min="14852" max="15104" width="9.33203125" style="2311"/>
    <col min="15105" max="15105" width="34.5" style="2311" bestFit="1" customWidth="1"/>
    <col min="15106" max="15106" width="23.1640625" style="2311" customWidth="1"/>
    <col min="15107" max="15107" width="14" style="2311" bestFit="1" customWidth="1"/>
    <col min="15108" max="15360" width="9.33203125" style="2311"/>
    <col min="15361" max="15361" width="34.5" style="2311" bestFit="1" customWidth="1"/>
    <col min="15362" max="15362" width="23.1640625" style="2311" customWidth="1"/>
    <col min="15363" max="15363" width="14" style="2311" bestFit="1" customWidth="1"/>
    <col min="15364" max="15616" width="9.33203125" style="2311"/>
    <col min="15617" max="15617" width="34.5" style="2311" bestFit="1" customWidth="1"/>
    <col min="15618" max="15618" width="23.1640625" style="2311" customWidth="1"/>
    <col min="15619" max="15619" width="14" style="2311" bestFit="1" customWidth="1"/>
    <col min="15620" max="15872" width="9.33203125" style="2311"/>
    <col min="15873" max="15873" width="34.5" style="2311" bestFit="1" customWidth="1"/>
    <col min="15874" max="15874" width="23.1640625" style="2311" customWidth="1"/>
    <col min="15875" max="15875" width="14" style="2311" bestFit="1" customWidth="1"/>
    <col min="15876" max="16128" width="9.33203125" style="2311"/>
    <col min="16129" max="16129" width="34.5" style="2311" bestFit="1" customWidth="1"/>
    <col min="16130" max="16130" width="23.1640625" style="2311" customWidth="1"/>
    <col min="16131" max="16131" width="14" style="2311" bestFit="1" customWidth="1"/>
    <col min="16132" max="16384" width="9.33203125" style="2311"/>
  </cols>
  <sheetData>
    <row r="1" spans="1:2">
      <c r="A1" s="2311" t="s">
        <v>937</v>
      </c>
      <c r="B1" s="2411">
        <v>6.1</v>
      </c>
    </row>
    <row r="2" spans="1:2">
      <c r="A2" s="2311" t="s">
        <v>938</v>
      </c>
      <c r="B2" s="2415">
        <v>43186.453668981485</v>
      </c>
    </row>
    <row r="3" spans="1:2">
      <c r="A3" s="2311" t="s">
        <v>939</v>
      </c>
      <c r="B3" s="2412" t="s">
        <v>634</v>
      </c>
    </row>
    <row r="4" spans="1:2">
      <c r="A4" s="2311" t="s">
        <v>940</v>
      </c>
      <c r="B4" s="2412" t="s">
        <v>941</v>
      </c>
    </row>
    <row r="5" spans="1:2">
      <c r="A5" s="2311" t="s">
        <v>942</v>
      </c>
      <c r="B5" s="2412" t="s">
        <v>592</v>
      </c>
    </row>
    <row r="6" spans="1:2">
      <c r="A6" s="2311" t="s">
        <v>943</v>
      </c>
    </row>
    <row r="7" spans="1:2">
      <c r="A7" s="2311" t="s">
        <v>421</v>
      </c>
      <c r="B7" s="2412" t="s">
        <v>54</v>
      </c>
    </row>
    <row r="8" spans="1:2">
      <c r="A8" s="2311" t="s">
        <v>944</v>
      </c>
      <c r="B8" s="2412" t="s">
        <v>945</v>
      </c>
    </row>
    <row r="9" spans="1:2">
      <c r="A9" s="2311" t="s">
        <v>946</v>
      </c>
      <c r="B9" s="2412" t="s">
        <v>981</v>
      </c>
    </row>
    <row r="10" spans="1:2">
      <c r="A10" s="2311" t="s">
        <v>947</v>
      </c>
    </row>
    <row r="11" spans="1:2">
      <c r="A11" s="2311" t="s">
        <v>948</v>
      </c>
    </row>
    <row r="12" spans="1:2">
      <c r="A12" s="2311" t="s">
        <v>949</v>
      </c>
    </row>
    <row r="13" spans="1:2">
      <c r="A13" s="2311" t="s">
        <v>950</v>
      </c>
    </row>
    <row r="14" spans="1:2">
      <c r="A14" s="2311" t="s">
        <v>951</v>
      </c>
    </row>
    <row r="15" spans="1:2">
      <c r="A15" s="2311" t="s">
        <v>952</v>
      </c>
    </row>
    <row r="16" spans="1:2">
      <c r="A16" s="2311" t="s">
        <v>953</v>
      </c>
    </row>
    <row r="17" spans="1:4">
      <c r="A17" s="2311" t="s">
        <v>954</v>
      </c>
      <c r="B17" s="2412" t="s">
        <v>982</v>
      </c>
    </row>
    <row r="18" spans="1:4">
      <c r="A18" s="2311" t="s">
        <v>955</v>
      </c>
      <c r="B18" s="2412" t="s">
        <v>633</v>
      </c>
    </row>
    <row r="19" spans="1:4">
      <c r="A19" s="2311" t="s">
        <v>475</v>
      </c>
      <c r="B19" s="2412" t="s">
        <v>53</v>
      </c>
    </row>
    <row r="20" spans="1:4">
      <c r="A20" s="2311" t="s">
        <v>956</v>
      </c>
      <c r="B20" s="2413">
        <v>931427108</v>
      </c>
    </row>
    <row r="21" spans="1:4">
      <c r="A21" s="2311" t="s">
        <v>957</v>
      </c>
      <c r="B21" s="2412" t="s">
        <v>53</v>
      </c>
    </row>
    <row r="22" spans="1:4">
      <c r="A22" s="2311" t="s">
        <v>958</v>
      </c>
      <c r="B22" s="2413" t="s">
        <v>0</v>
      </c>
    </row>
    <row r="23" spans="1:4">
      <c r="A23" s="2311" t="s">
        <v>200</v>
      </c>
      <c r="B23" s="2411">
        <v>66.989999999999995</v>
      </c>
    </row>
    <row r="24" spans="1:4">
      <c r="A24" s="2311" t="s">
        <v>137</v>
      </c>
      <c r="B24" s="2412" t="s">
        <v>135</v>
      </c>
      <c r="D24" s="2311" t="s">
        <v>414</v>
      </c>
    </row>
    <row r="25" spans="1:4">
      <c r="A25" s="2311" t="s">
        <v>959</v>
      </c>
      <c r="B25" s="2412" t="s">
        <v>985</v>
      </c>
    </row>
    <row r="26" spans="1:4">
      <c r="A26" s="2311" t="s">
        <v>960</v>
      </c>
      <c r="B26" s="2412">
        <v>0</v>
      </c>
    </row>
    <row r="27" spans="1:4">
      <c r="A27" s="2311" t="s">
        <v>961</v>
      </c>
      <c r="B27" s="2412" t="s">
        <v>73</v>
      </c>
    </row>
    <row r="28" spans="1:4">
      <c r="A28" s="2311" t="s">
        <v>962</v>
      </c>
      <c r="B28" s="2412" t="s">
        <v>963</v>
      </c>
    </row>
    <row r="29" spans="1:4">
      <c r="A29" s="2311" t="s">
        <v>964</v>
      </c>
    </row>
    <row r="30" spans="1:4">
      <c r="A30" s="2311" t="s">
        <v>965</v>
      </c>
    </row>
    <row r="31" spans="1:4">
      <c r="A31" s="2311" t="s">
        <v>966</v>
      </c>
    </row>
    <row r="32" spans="1:4">
      <c r="A32" s="2311" t="s">
        <v>967</v>
      </c>
      <c r="B32" s="2411"/>
    </row>
    <row r="33" spans="1:2">
      <c r="A33" s="2311" t="s">
        <v>968</v>
      </c>
      <c r="B33" s="2411"/>
    </row>
    <row r="34" spans="1:2">
      <c r="A34" s="2311" t="s">
        <v>969</v>
      </c>
      <c r="B34" s="2411"/>
    </row>
    <row r="35" spans="1:2">
      <c r="A35" s="2311" t="s">
        <v>970</v>
      </c>
      <c r="B35" s="2412">
        <v>1000000</v>
      </c>
    </row>
    <row r="36" spans="1:2">
      <c r="A36" s="2311" t="s">
        <v>971</v>
      </c>
      <c r="B36" s="2412" t="s">
        <v>983</v>
      </c>
    </row>
    <row r="37" spans="1:2">
      <c r="A37" s="2311" t="s">
        <v>972</v>
      </c>
      <c r="B37" s="2412" t="s">
        <v>973</v>
      </c>
    </row>
    <row r="38" spans="1:2">
      <c r="A38" s="2311" t="s">
        <v>974</v>
      </c>
      <c r="B38" s="2412" t="s">
        <v>975</v>
      </c>
    </row>
    <row r="39" spans="1:2">
      <c r="A39" s="2311" t="s">
        <v>976</v>
      </c>
      <c r="B39" s="2412" t="s">
        <v>984</v>
      </c>
    </row>
    <row r="40" spans="1:2">
      <c r="A40" s="2311" t="s">
        <v>977</v>
      </c>
      <c r="B40" s="2412">
        <v>1500005520</v>
      </c>
    </row>
    <row r="41" spans="1:2">
      <c r="A41" s="2311" t="s">
        <v>978</v>
      </c>
      <c r="B41" s="2412">
        <v>1</v>
      </c>
    </row>
    <row r="42" spans="1:2">
      <c r="A42" s="2414" t="s">
        <v>979</v>
      </c>
    </row>
    <row r="43" spans="1:2">
      <c r="A43" s="2311" t="s">
        <v>980</v>
      </c>
    </row>
  </sheetData>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33.33203125" style="2311" bestFit="1" customWidth="1"/>
    <col min="2" max="256" width="9.33203125" style="2311"/>
    <col min="257" max="257" width="33.33203125" style="2311" bestFit="1" customWidth="1"/>
    <col min="258" max="512" width="9.33203125" style="2311"/>
    <col min="513" max="513" width="33.33203125" style="2311" bestFit="1" customWidth="1"/>
    <col min="514" max="768" width="9.33203125" style="2311"/>
    <col min="769" max="769" width="33.33203125" style="2311" bestFit="1" customWidth="1"/>
    <col min="770" max="1024" width="9.33203125" style="2311"/>
    <col min="1025" max="1025" width="33.33203125" style="2311" bestFit="1" customWidth="1"/>
    <col min="1026" max="1280" width="9.33203125" style="2311"/>
    <col min="1281" max="1281" width="33.33203125" style="2311" bestFit="1" customWidth="1"/>
    <col min="1282" max="1536" width="9.33203125" style="2311"/>
    <col min="1537" max="1537" width="33.33203125" style="2311" bestFit="1" customWidth="1"/>
    <col min="1538" max="1792" width="9.33203125" style="2311"/>
    <col min="1793" max="1793" width="33.33203125" style="2311" bestFit="1" customWidth="1"/>
    <col min="1794" max="2048" width="9.33203125" style="2311"/>
    <col min="2049" max="2049" width="33.33203125" style="2311" bestFit="1" customWidth="1"/>
    <col min="2050" max="2304" width="9.33203125" style="2311"/>
    <col min="2305" max="2305" width="33.33203125" style="2311" bestFit="1" customWidth="1"/>
    <col min="2306" max="2560" width="9.33203125" style="2311"/>
    <col min="2561" max="2561" width="33.33203125" style="2311" bestFit="1" customWidth="1"/>
    <col min="2562" max="2816" width="9.33203125" style="2311"/>
    <col min="2817" max="2817" width="33.33203125" style="2311" bestFit="1" customWidth="1"/>
    <col min="2818" max="3072" width="9.33203125" style="2311"/>
    <col min="3073" max="3073" width="33.33203125" style="2311" bestFit="1" customWidth="1"/>
    <col min="3074" max="3328" width="9.33203125" style="2311"/>
    <col min="3329" max="3329" width="33.33203125" style="2311" bestFit="1" customWidth="1"/>
    <col min="3330" max="3584" width="9.33203125" style="2311"/>
    <col min="3585" max="3585" width="33.33203125" style="2311" bestFit="1" customWidth="1"/>
    <col min="3586" max="3840" width="9.33203125" style="2311"/>
    <col min="3841" max="3841" width="33.33203125" style="2311" bestFit="1" customWidth="1"/>
    <col min="3842" max="4096" width="9.33203125" style="2311"/>
    <col min="4097" max="4097" width="33.33203125" style="2311" bestFit="1" customWidth="1"/>
    <col min="4098" max="4352" width="9.33203125" style="2311"/>
    <col min="4353" max="4353" width="33.33203125" style="2311" bestFit="1" customWidth="1"/>
    <col min="4354" max="4608" width="9.33203125" style="2311"/>
    <col min="4609" max="4609" width="33.33203125" style="2311" bestFit="1" customWidth="1"/>
    <col min="4610" max="4864" width="9.33203125" style="2311"/>
    <col min="4865" max="4865" width="33.33203125" style="2311" bestFit="1" customWidth="1"/>
    <col min="4866" max="5120" width="9.33203125" style="2311"/>
    <col min="5121" max="5121" width="33.33203125" style="2311" bestFit="1" customWidth="1"/>
    <col min="5122" max="5376" width="9.33203125" style="2311"/>
    <col min="5377" max="5377" width="33.33203125" style="2311" bestFit="1" customWidth="1"/>
    <col min="5378" max="5632" width="9.33203125" style="2311"/>
    <col min="5633" max="5633" width="33.33203125" style="2311" bestFit="1" customWidth="1"/>
    <col min="5634" max="5888" width="9.33203125" style="2311"/>
    <col min="5889" max="5889" width="33.33203125" style="2311" bestFit="1" customWidth="1"/>
    <col min="5890" max="6144" width="9.33203125" style="2311"/>
    <col min="6145" max="6145" width="33.33203125" style="2311" bestFit="1" customWidth="1"/>
    <col min="6146" max="6400" width="9.33203125" style="2311"/>
    <col min="6401" max="6401" width="33.33203125" style="2311" bestFit="1" customWidth="1"/>
    <col min="6402" max="6656" width="9.33203125" style="2311"/>
    <col min="6657" max="6657" width="33.33203125" style="2311" bestFit="1" customWidth="1"/>
    <col min="6658" max="6912" width="9.33203125" style="2311"/>
    <col min="6913" max="6913" width="33.33203125" style="2311" bestFit="1" customWidth="1"/>
    <col min="6914" max="7168" width="9.33203125" style="2311"/>
    <col min="7169" max="7169" width="33.33203125" style="2311" bestFit="1" customWidth="1"/>
    <col min="7170" max="7424" width="9.33203125" style="2311"/>
    <col min="7425" max="7425" width="33.33203125" style="2311" bestFit="1" customWidth="1"/>
    <col min="7426" max="7680" width="9.33203125" style="2311"/>
    <col min="7681" max="7681" width="33.33203125" style="2311" bestFit="1" customWidth="1"/>
    <col min="7682" max="7936" width="9.33203125" style="2311"/>
    <col min="7937" max="7937" width="33.33203125" style="2311" bestFit="1" customWidth="1"/>
    <col min="7938" max="8192" width="9.33203125" style="2311"/>
    <col min="8193" max="8193" width="33.33203125" style="2311" bestFit="1" customWidth="1"/>
    <col min="8194" max="8448" width="9.33203125" style="2311"/>
    <col min="8449" max="8449" width="33.33203125" style="2311" bestFit="1" customWidth="1"/>
    <col min="8450" max="8704" width="9.33203125" style="2311"/>
    <col min="8705" max="8705" width="33.33203125" style="2311" bestFit="1" customWidth="1"/>
    <col min="8706" max="8960" width="9.33203125" style="2311"/>
    <col min="8961" max="8961" width="33.33203125" style="2311" bestFit="1" customWidth="1"/>
    <col min="8962" max="9216" width="9.33203125" style="2311"/>
    <col min="9217" max="9217" width="33.33203125" style="2311" bestFit="1" customWidth="1"/>
    <col min="9218" max="9472" width="9.33203125" style="2311"/>
    <col min="9473" max="9473" width="33.33203125" style="2311" bestFit="1" customWidth="1"/>
    <col min="9474" max="9728" width="9.33203125" style="2311"/>
    <col min="9729" max="9729" width="33.33203125" style="2311" bestFit="1" customWidth="1"/>
    <col min="9730" max="9984" width="9.33203125" style="2311"/>
    <col min="9985" max="9985" width="33.33203125" style="2311" bestFit="1" customWidth="1"/>
    <col min="9986" max="10240" width="9.33203125" style="2311"/>
    <col min="10241" max="10241" width="33.33203125" style="2311" bestFit="1" customWidth="1"/>
    <col min="10242" max="10496" width="9.33203125" style="2311"/>
    <col min="10497" max="10497" width="33.33203125" style="2311" bestFit="1" customWidth="1"/>
    <col min="10498" max="10752" width="9.33203125" style="2311"/>
    <col min="10753" max="10753" width="33.33203125" style="2311" bestFit="1" customWidth="1"/>
    <col min="10754" max="11008" width="9.33203125" style="2311"/>
    <col min="11009" max="11009" width="33.33203125" style="2311" bestFit="1" customWidth="1"/>
    <col min="11010" max="11264" width="9.33203125" style="2311"/>
    <col min="11265" max="11265" width="33.33203125" style="2311" bestFit="1" customWidth="1"/>
    <col min="11266" max="11520" width="9.33203125" style="2311"/>
    <col min="11521" max="11521" width="33.33203125" style="2311" bestFit="1" customWidth="1"/>
    <col min="11522" max="11776" width="9.33203125" style="2311"/>
    <col min="11777" max="11777" width="33.33203125" style="2311" bestFit="1" customWidth="1"/>
    <col min="11778" max="12032" width="9.33203125" style="2311"/>
    <col min="12033" max="12033" width="33.33203125" style="2311" bestFit="1" customWidth="1"/>
    <col min="12034" max="12288" width="9.33203125" style="2311"/>
    <col min="12289" max="12289" width="33.33203125" style="2311" bestFit="1" customWidth="1"/>
    <col min="12290" max="12544" width="9.33203125" style="2311"/>
    <col min="12545" max="12545" width="33.33203125" style="2311" bestFit="1" customWidth="1"/>
    <col min="12546" max="12800" width="9.33203125" style="2311"/>
    <col min="12801" max="12801" width="33.33203125" style="2311" bestFit="1" customWidth="1"/>
    <col min="12802" max="13056" width="9.33203125" style="2311"/>
    <col min="13057" max="13057" width="33.33203125" style="2311" bestFit="1" customWidth="1"/>
    <col min="13058" max="13312" width="9.33203125" style="2311"/>
    <col min="13313" max="13313" width="33.33203125" style="2311" bestFit="1" customWidth="1"/>
    <col min="13314" max="13568" width="9.33203125" style="2311"/>
    <col min="13569" max="13569" width="33.33203125" style="2311" bestFit="1" customWidth="1"/>
    <col min="13570" max="13824" width="9.33203125" style="2311"/>
    <col min="13825" max="13825" width="33.33203125" style="2311" bestFit="1" customWidth="1"/>
    <col min="13826" max="14080" width="9.33203125" style="2311"/>
    <col min="14081" max="14081" width="33.33203125" style="2311" bestFit="1" customWidth="1"/>
    <col min="14082" max="14336" width="9.33203125" style="2311"/>
    <col min="14337" max="14337" width="33.33203125" style="2311" bestFit="1" customWidth="1"/>
    <col min="14338" max="14592" width="9.33203125" style="2311"/>
    <col min="14593" max="14593" width="33.33203125" style="2311" bestFit="1" customWidth="1"/>
    <col min="14594" max="14848" width="9.33203125" style="2311"/>
    <col min="14849" max="14849" width="33.33203125" style="2311" bestFit="1" customWidth="1"/>
    <col min="14850" max="15104" width="9.33203125" style="2311"/>
    <col min="15105" max="15105" width="33.33203125" style="2311" bestFit="1" customWidth="1"/>
    <col min="15106" max="15360" width="9.33203125" style="2311"/>
    <col min="15361" max="15361" width="33.33203125" style="2311" bestFit="1" customWidth="1"/>
    <col min="15362" max="15616" width="9.33203125" style="2311"/>
    <col min="15617" max="15617" width="33.33203125" style="2311" bestFit="1" customWidth="1"/>
    <col min="15618" max="15872" width="9.33203125" style="2311"/>
    <col min="15873" max="15873" width="33.33203125" style="2311" bestFit="1" customWidth="1"/>
    <col min="15874" max="16128" width="9.33203125" style="2311"/>
    <col min="16129" max="16129" width="33.33203125" style="2311" bestFit="1" customWidth="1"/>
    <col min="16130" max="16384" width="9.33203125" style="2311"/>
  </cols>
  <sheetData>
    <row r="1" spans="1:1">
      <c r="A1" s="2416" t="s">
        <v>986</v>
      </c>
    </row>
    <row r="2" spans="1:1">
      <c r="A2" s="2416" t="s">
        <v>991</v>
      </c>
    </row>
    <row r="3" spans="1:1">
      <c r="A3" s="2416" t="s">
        <v>992</v>
      </c>
    </row>
    <row r="4" spans="1:1">
      <c r="A4" s="2416" t="s">
        <v>993</v>
      </c>
    </row>
    <row r="5" spans="1:1">
      <c r="A5" s="2416" t="s">
        <v>994</v>
      </c>
    </row>
    <row r="6" spans="1:1">
      <c r="A6" s="2416" t="s">
        <v>987</v>
      </c>
    </row>
    <row r="7" spans="1:1">
      <c r="A7" s="2416" t="s">
        <v>995</v>
      </c>
    </row>
    <row r="8" spans="1:1">
      <c r="A8" s="2416" t="s">
        <v>996</v>
      </c>
    </row>
    <row r="9" spans="1:1">
      <c r="A9" s="2416" t="s">
        <v>997</v>
      </c>
    </row>
    <row r="10" spans="1:1">
      <c r="A10" s="2416" t="s">
        <v>988</v>
      </c>
    </row>
    <row r="11" spans="1:1">
      <c r="A11" s="2416" t="s">
        <v>998</v>
      </c>
    </row>
    <row r="12" spans="1:1">
      <c r="A12" s="2416" t="s">
        <v>989</v>
      </c>
    </row>
    <row r="13" spans="1:1">
      <c r="A13" s="2416" t="s">
        <v>990</v>
      </c>
    </row>
  </sheetData>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1"/>
  <sheetViews>
    <sheetView workbookViewId="0"/>
  </sheetViews>
  <sheetFormatPr defaultRowHeight="11.25"/>
  <sheetData>
    <row r="1" spans="1:2">
      <c r="B1" t="s">
        <v>338</v>
      </c>
    </row>
  </sheetData>
  <phoneticPr fontId="26" type="noConversion"/>
  <pageMargins left="0.75" right="0.75" top="1" bottom="1" header="0.5" footer="0.5"/>
  <pageSetup orientation="portrait" r:id="rId1"/>
  <headerFooter alignWithMargins="0"/>
  <legacyDrawing r:id="rId2"/>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3C088797-A197-4087-93C5-86590625920D}">
  <ds:schemaRefs>
    <ds:schemaRef ds:uri="thomsonreuters.linking.metadatachange"/>
  </ds:schemaRefs>
</ds:datastoreItem>
</file>

<file path=customXml/itemProps2.xml><?xml version="1.0" encoding="utf-8"?>
<ds:datastoreItem xmlns:ds="http://schemas.openxmlformats.org/officeDocument/2006/customXml" ds:itemID="{53B83522-4B78-4EBB-AC67-50D28C66B3AB}">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117</vt:i4>
      </vt:variant>
    </vt:vector>
  </HeadingPairs>
  <TitlesOfParts>
    <vt:vector size="130" baseType="lpstr">
      <vt:lpstr>ImportantDisclosures</vt:lpstr>
      <vt:lpstr>CircularReferenceAlert</vt:lpstr>
      <vt:lpstr>Cover</vt:lpstr>
      <vt:lpstr>Model</vt:lpstr>
      <vt:lpstr>Summary</vt:lpstr>
      <vt:lpstr>US Retail</vt:lpstr>
      <vt:lpstr>International Retail</vt:lpstr>
      <vt:lpstr>International Wholesale</vt:lpstr>
      <vt:lpstr>Debt</vt:lpstr>
      <vt:lpstr>Guidance</vt:lpstr>
      <vt:lpstr>Scenarios</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CircularReferenceAlert!Buttons</vt:lpstr>
      <vt:lpstr>cell</vt:lpstr>
      <vt:lpstr>Circ</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Linking_2</vt:lpstr>
      <vt:lpstr>Linking_3</vt:lpstr>
      <vt:lpstr>Linking_Range_10</vt:lpstr>
      <vt:lpstr>Linking_Range_11</vt:lpstr>
      <vt:lpstr>Linking_Range_12</vt:lpstr>
      <vt:lpstr>Linking_Range_14</vt:lpstr>
      <vt:lpstr>Linking_Range_16</vt:lpstr>
      <vt:lpstr>Linking_Range_17</vt:lpstr>
      <vt:lpstr>Linking_Range_18</vt:lpstr>
      <vt:lpstr>Linking_Range_19</vt:lpstr>
      <vt:lpstr>Linking_Range_20</vt:lpstr>
      <vt:lpstr>Linking_Range_21</vt:lpstr>
      <vt:lpstr>Linking_Range_22</vt:lpstr>
      <vt:lpstr>Linking_Range_23</vt:lpstr>
      <vt:lpstr>Linking_Range_24</vt:lpstr>
      <vt:lpstr>Linking_Range_25</vt:lpstr>
      <vt:lpstr>Linking_Range_26</vt:lpstr>
      <vt:lpstr>Linking_Range_36</vt:lpstr>
      <vt:lpstr>Linking_Range_39</vt:lpstr>
      <vt:lpstr>Linking_Range_40</vt:lpstr>
      <vt:lpstr>Linking_Range_41</vt:lpstr>
      <vt:lpstr>Linking_Range_42</vt:lpstr>
      <vt:lpstr>Linking_Range_43</vt:lpstr>
      <vt:lpstr>Linking_Range_44</vt:lpstr>
      <vt:lpstr>Linking_Range_45</vt:lpstr>
      <vt:lpstr>Linking_Range_8</vt:lpstr>
      <vt:lpstr>Linking_Range_9</vt:lpstr>
      <vt:lpstr>IndexInformation!MacroVersion</vt:lpstr>
      <vt:lpstr>CircularReferenceAlert!MaxChange</vt:lpstr>
      <vt:lpstr>CircularReferenceAlert!MaxIterations</vt:lpstr>
      <vt:lpstr>ImportantDisclosures!ModelPrice</vt:lpstr>
      <vt:lpstr>IndexInformation!Multiplier</vt:lpstr>
      <vt:lpstr>Name</vt:lpstr>
      <vt:lpstr>IndexInformation!NextYearEPS</vt:lpstr>
      <vt:lpstr>IndexInformation!NextYearTotalRevenue</vt:lpstr>
      <vt:lpstr>IndexInformation!NextYearTotalRevenueActual</vt:lpstr>
      <vt:lpstr>ObjectType</vt:lpstr>
      <vt:lpstr>ModPubIndex!PANA</vt:lpstr>
      <vt:lpstr>IndexInformation!PathName</vt:lpstr>
      <vt:lpstr>Cover!Print_Area</vt:lpstr>
      <vt:lpstr>Guidance!Print_Area</vt:lpstr>
      <vt:lpstr>'International Retail'!Print_Area</vt:lpstr>
      <vt:lpstr>'International Wholesale'!Print_Area</vt:lpstr>
      <vt:lpstr>Model!Print_Area</vt:lpstr>
      <vt:lpstr>Scenarios!Print_Area</vt:lpstr>
      <vt:lpstr>Summary!Print_Area</vt:lpstr>
      <vt:lpstr>'US Retail'!Print_Area</vt:lpstr>
      <vt:lpstr>'International Retail'!Print_Titles</vt:lpstr>
      <vt:lpstr>'International Wholesale'!Print_Titles</vt:lpstr>
      <vt:lpstr>Summary!Print_Titles</vt:lpstr>
      <vt:lpstr>'US Retail'!Print_Titles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rngPriceTarget</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targetprice</vt:lpstr>
      <vt:lpstr>TemplateRegion</vt:lpstr>
      <vt:lpstr>ImportantDisclosures!Ticker</vt:lpstr>
      <vt:lpstr>TickerRegion</vt:lpstr>
      <vt:lpstr>IndexInformation!Tickers</vt:lpstr>
      <vt:lpstr>IndexInformation!UpdateReason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1998-03-31T16:07:30Z</dcterms:created>
  <dc:creator>Morgan Stanley</dc:creator>
  <cp:lastModifiedBy>Rozansky, Karen (Research)</cp:lastModifiedBy>
  <cp:lastPrinted>2018-01-16T22:15:51Z</cp:lastPrinted>
  <dcterms:modified xsi:type="dcterms:W3CDTF">2018-03-27T14:56:48Z</dcterms:modified>
  <dc:title>wag</dc:title>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name="LinkingAutoNameNumberLinking_Range_" pid="3">
    <vt:lpwstr>45</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758495</vt:lpwstr>
  </property>
  <property fmtid="{D5CDD505-2E9C-101B-9397-08002B2CF9AE}" name="ERModPubCompanyName" pid="7">
    <vt:lpwstr>Walgreens Boots Alliance Inc</vt:lpwstr>
  </property>
  <property fmtid="{D5CDD505-2E9C-101B-9397-08002B2CF9AE}" name="ERModPubMaxIterations" pid="8">
    <vt:i4>100</vt:i4>
  </property>
  <property fmtid="{D5CDD505-2E9C-101B-9397-08002B2CF9AE}" name="ERModPubMaxChange" pid="9">
    <vt:r8>0.001</vt:r8>
  </property>
  <property fmtid="{D5CDD505-2E9C-101B-9397-08002B2CF9AE}" name="MSDH34TAG" pid="10">
    <vt:lpwstr>.TEZUF76X5TAHATHESADREYAK-00-INB160+*94600-06=9b1555b0/-31ce/-11e8/-ba27/-fba2371fa2b6,MD=20180327112255/-0400,ZZ=000Z-fa6a.</vt:lpwstr>
  </property>
</Properties>
</file>